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.xml" ContentType="application/vnd.openxmlformats-officedocument.spreadsheetml.pivotTable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3.xml" ContentType="application/vnd.openxmlformats-officedocument.spreadsheetml.pivotTable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4.xml" ContentType="application/vnd.openxmlformats-officedocument.spreadsheetml.pivotTab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5.xml" ContentType="application/vnd.openxmlformats-officedocument.spreadsheetml.pivotTab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ithub models\DK-BioRES\"/>
    </mc:Choice>
  </mc:AlternateContent>
  <xr:revisionPtr revIDLastSave="0" documentId="13_ncr:1_{867E766E-B9EB-41E6-A938-65B12A1C3113}" xr6:coauthVersionLast="47" xr6:coauthVersionMax="47" xr10:uidLastSave="{00000000-0000-0000-0000-000000000000}"/>
  <bookViews>
    <workbookView xWindow="-96" yWindow="-96" windowWidth="23232" windowHeight="12552" tabRatio="945" activeTab="7" xr2:uid="{86D0E40E-C8C7-410E-B314-8472CCF1C330}"/>
  </bookViews>
  <sheets>
    <sheet name="Overblik" sheetId="1" r:id="rId1"/>
    <sheet name="Resume" sheetId="70" r:id="rId2"/>
    <sheet name="Arealanvendelse" sheetId="9" r:id="rId3"/>
    <sheet name="Landbrug" sheetId="17" r:id="rId4"/>
    <sheet name="Fodersammensætning" sheetId="34" r:id="rId5"/>
    <sheet name="Skovbrug" sheetId="26" r:id="rId6"/>
    <sheet name="Havbrug" sheetId="32" r:id="rId7"/>
    <sheet name="Adfærd" sheetId="6" r:id="rId8"/>
    <sheet name="Biogasanlæg" sheetId="39" r:id="rId9"/>
    <sheet name="Forbrug til andet" sheetId="8" r:id="rId10"/>
    <sheet name="Avanceret" sheetId="69" r:id="rId11"/>
    <sheet name="Direkte input" sheetId="35" r:id="rId12"/>
    <sheet name="Forbrug af biomasse" sheetId="38" r:id="rId13"/>
    <sheet name="Restprodukter" sheetId="53" r:id="rId14"/>
    <sheet name="Resultater - Vestdanmark" sheetId="37" r:id="rId15"/>
    <sheet name="Resultater - Østdanmark" sheetId="58" r:id="rId16"/>
    <sheet name="Resultater - Danmark" sheetId="41" r:id="rId17"/>
    <sheet name="Resultat-Produktion &amp; forbrug" sheetId="66" r:id="rId18"/>
    <sheet name="Pivot tabeller og data" sheetId="68" state="hidden" r:id="rId19"/>
    <sheet name="Resultat-Forbrug af biomasse" sheetId="56" state="hidden" r:id="rId20"/>
    <sheet name="Resultat-Import" sheetId="51" r:id="rId21"/>
    <sheet name="Resultat-Eksport" sheetId="71" state="hidden" r:id="rId22"/>
    <sheet name="Landbrugsareal - resultat" sheetId="20" state="hidden" r:id="rId23"/>
    <sheet name="Resultat-Potentiale til energi" sheetId="50" state="hidden" r:id="rId24"/>
    <sheet name="Resultat-Tørstof til energi" sheetId="67" state="hidden" r:id="rId25"/>
    <sheet name="CO2-pivot" sheetId="64" r:id="rId26"/>
    <sheet name="CO2-udledning" sheetId="63" r:id="rId27"/>
    <sheet name="Produktion afgrøder-pivot" sheetId="60" state="hidden" r:id="rId28"/>
    <sheet name="Produktion af afgrøder" sheetId="57" state="hidden" r:id="rId29"/>
    <sheet name="Produkt skovbrug" sheetId="62" state="hidden" r:id="rId30"/>
    <sheet name="Produkt havbrug" sheetId="61" state="hidden" r:id="rId31"/>
    <sheet name="Arealanvendelse - pivot" sheetId="23" state="hidden" r:id="rId32"/>
    <sheet name="Pivot chart - landbrug" sheetId="19" state="hidden" r:id="rId33"/>
    <sheet name="Arealanvendelsesresultater-big" sheetId="22" state="hidden" r:id="rId34"/>
    <sheet name="Landbrugsresultater - pivot" sheetId="18" state="hidden" r:id="rId35"/>
  </sheets>
  <externalReferences>
    <externalReference r:id="rId36"/>
  </externalReferences>
  <definedNames>
    <definedName name="_xlnm._FilterDatabase" localSheetId="11" hidden="1">'Direkte input'!$A$2:$I$230</definedName>
    <definedName name="_xlnm._FilterDatabase" localSheetId="12" hidden="1">'Forbrug af biomasse'!$A$1:$G$415</definedName>
    <definedName name="_xlnm._FilterDatabase" localSheetId="16" hidden="1">'Resultater - Danmark'!$A$2:$O$475</definedName>
    <definedName name="_xlnm._FilterDatabase" localSheetId="14" hidden="1">'Resultater - Vestdanmark'!$A$2:$U$475</definedName>
    <definedName name="_xlnm._FilterDatabase" localSheetId="17" hidden="1">'Resultat-Produktion &amp; forbrug'!$A$2:$Z$290</definedName>
    <definedName name="Afgrøder">Overblik!$D$12</definedName>
    <definedName name="År1">Overblik!$D$18</definedName>
    <definedName name="År2">Overblik!$D$19</definedName>
    <definedName name="År3">Overblik!$D$20</definedName>
    <definedName name="Bebyg">Overblik!$D$11</definedName>
    <definedName name="IKareal">Overblik!$D$15</definedName>
    <definedName name="Jordbund1">Overblik!$D$6</definedName>
    <definedName name="NaturAreal">Overblik!$D$14</definedName>
    <definedName name="Organ12">Overblik!$D$8</definedName>
    <definedName name="Organ6">Overblik!$D$7</definedName>
    <definedName name="SkovAreal">Overblik!$D$13</definedName>
  </definedNames>
  <calcPr calcId="191029"/>
  <pivotCaches>
    <pivotCache cacheId="0" r:id="rId37"/>
    <pivotCache cacheId="1" r:id="rId38"/>
    <pivotCache cacheId="2" r:id="rId39"/>
    <pivotCache cacheId="3" r:id="rId40"/>
    <pivotCache cacheId="4" r:id="rId41"/>
    <pivotCache cacheId="5" r:id="rId42"/>
    <pivotCache cacheId="6" r:id="rId43"/>
    <pivotCache cacheId="7" r:id="rId4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27" i="35" l="1"/>
  <c r="G228" i="35"/>
  <c r="H228" i="35"/>
  <c r="I228" i="35"/>
  <c r="G229" i="35"/>
  <c r="H229" i="35"/>
  <c r="I229" i="35"/>
  <c r="G230" i="35"/>
  <c r="H230" i="35"/>
  <c r="I230" i="35"/>
  <c r="I227" i="35"/>
  <c r="G227" i="35"/>
  <c r="F13" i="32"/>
  <c r="G13" i="32"/>
  <c r="C13" i="32"/>
  <c r="D13" i="32"/>
  <c r="C6" i="32" l="1"/>
  <c r="B13" i="32" s="1"/>
  <c r="C7" i="32"/>
  <c r="E13" i="32" s="1"/>
  <c r="F5" i="32"/>
  <c r="F4" i="32"/>
  <c r="D12" i="32" l="1"/>
  <c r="C12" i="32"/>
  <c r="C5" i="32"/>
  <c r="E12" i="32" s="1"/>
  <c r="G12" i="32"/>
  <c r="F12" i="32"/>
  <c r="C4" i="32"/>
  <c r="B12" i="32" s="1"/>
  <c r="E3" i="32"/>
  <c r="D3" i="32"/>
  <c r="C3" i="32"/>
  <c r="E15" i="34"/>
  <c r="E14" i="34"/>
  <c r="D15" i="34"/>
  <c r="D14" i="34"/>
  <c r="C196" i="38" l="1"/>
  <c r="C197" i="38"/>
  <c r="C198" i="38"/>
  <c r="C199" i="38"/>
  <c r="C200" i="38"/>
  <c r="A17" i="34"/>
  <c r="C17" i="34" s="1"/>
  <c r="A3" i="34"/>
  <c r="C3" i="34" s="1"/>
  <c r="A4" i="34"/>
  <c r="C189" i="38" s="1"/>
  <c r="A5" i="34"/>
  <c r="C190" i="38" s="1"/>
  <c r="A6" i="34"/>
  <c r="C191" i="38" s="1"/>
  <c r="A7" i="34"/>
  <c r="C7" i="34" s="1"/>
  <c r="A8" i="34"/>
  <c r="C8" i="34" s="1"/>
  <c r="A9" i="34"/>
  <c r="C9" i="34" s="1"/>
  <c r="A10" i="34"/>
  <c r="C10" i="34" s="1"/>
  <c r="A11" i="34"/>
  <c r="C11" i="34" s="1"/>
  <c r="A12" i="34"/>
  <c r="C12" i="34" s="1"/>
  <c r="A13" i="34"/>
  <c r="C13" i="34" s="1"/>
  <c r="A14" i="34"/>
  <c r="C14" i="34" s="1"/>
  <c r="A15" i="34"/>
  <c r="C15" i="34" s="1"/>
  <c r="A16" i="34"/>
  <c r="C201" i="38" s="1"/>
  <c r="C10" i="17"/>
  <c r="B26" i="6"/>
  <c r="C16" i="34" l="1"/>
  <c r="C195" i="38"/>
  <c r="C6" i="34"/>
  <c r="C194" i="38"/>
  <c r="C5" i="34"/>
  <c r="C193" i="38"/>
  <c r="C4" i="34"/>
  <c r="C192" i="38"/>
  <c r="C188" i="38"/>
  <c r="D12" i="63"/>
  <c r="E12" i="63"/>
  <c r="F12" i="63"/>
  <c r="F21" i="63" s="1"/>
  <c r="F30" i="63" s="1"/>
  <c r="F39" i="63" s="1"/>
  <c r="F48" i="63" s="1"/>
  <c r="G12" i="63"/>
  <c r="H12" i="63"/>
  <c r="I12" i="63"/>
  <c r="D13" i="63"/>
  <c r="E13" i="63"/>
  <c r="G13" i="63"/>
  <c r="H13" i="63"/>
  <c r="I13" i="63"/>
  <c r="I22" i="63" s="1"/>
  <c r="I31" i="63" s="1"/>
  <c r="I40" i="63" s="1"/>
  <c r="I49" i="63" s="1"/>
  <c r="D14" i="63"/>
  <c r="E14" i="63"/>
  <c r="G14" i="63"/>
  <c r="H14" i="63"/>
  <c r="I14" i="63"/>
  <c r="D15" i="63"/>
  <c r="E15" i="63"/>
  <c r="G15" i="63"/>
  <c r="H15" i="63"/>
  <c r="I15" i="63"/>
  <c r="I24" i="63" s="1"/>
  <c r="I33" i="63" s="1"/>
  <c r="I42" i="63" s="1"/>
  <c r="I51" i="63" s="1"/>
  <c r="D16" i="63"/>
  <c r="E16" i="63"/>
  <c r="F16" i="63"/>
  <c r="F25" i="63" s="1"/>
  <c r="F34" i="63" s="1"/>
  <c r="F43" i="63" s="1"/>
  <c r="F52" i="63" s="1"/>
  <c r="G16" i="63"/>
  <c r="H16" i="63"/>
  <c r="I16" i="63"/>
  <c r="D17" i="63"/>
  <c r="E17" i="63"/>
  <c r="F17" i="63"/>
  <c r="G17" i="63"/>
  <c r="H17" i="63"/>
  <c r="I17" i="63"/>
  <c r="I26" i="63" s="1"/>
  <c r="I35" i="63" s="1"/>
  <c r="I44" i="63" s="1"/>
  <c r="I53" i="63" s="1"/>
  <c r="D18" i="63"/>
  <c r="E18" i="63"/>
  <c r="F18" i="63"/>
  <c r="F27" i="63" s="1"/>
  <c r="F36" i="63" s="1"/>
  <c r="F45" i="63" s="1"/>
  <c r="F54" i="63" s="1"/>
  <c r="G18" i="63"/>
  <c r="H18" i="63"/>
  <c r="I18" i="63"/>
  <c r="D19" i="63"/>
  <c r="E19" i="63"/>
  <c r="F19" i="63"/>
  <c r="G19" i="63"/>
  <c r="H19" i="63"/>
  <c r="I19" i="63"/>
  <c r="I28" i="63" s="1"/>
  <c r="I37" i="63" s="1"/>
  <c r="I46" i="63" s="1"/>
  <c r="I55" i="63" s="1"/>
  <c r="D20" i="63"/>
  <c r="E20" i="63"/>
  <c r="F20" i="63"/>
  <c r="F29" i="63" s="1"/>
  <c r="F38" i="63" s="1"/>
  <c r="F47" i="63" s="1"/>
  <c r="G20" i="63"/>
  <c r="H20" i="63"/>
  <c r="I20" i="63"/>
  <c r="D21" i="63"/>
  <c r="E21" i="63"/>
  <c r="G21" i="63"/>
  <c r="H21" i="63"/>
  <c r="I21" i="63"/>
  <c r="I30" i="63" s="1"/>
  <c r="I39" i="63" s="1"/>
  <c r="I48" i="63" s="1"/>
  <c r="D22" i="63"/>
  <c r="E22" i="63"/>
  <c r="G22" i="63"/>
  <c r="G31" i="63" s="1"/>
  <c r="G40" i="63" s="1"/>
  <c r="G49" i="63" s="1"/>
  <c r="H22" i="63"/>
  <c r="D23" i="63"/>
  <c r="E23" i="63"/>
  <c r="G23" i="63"/>
  <c r="H23" i="63"/>
  <c r="I23" i="63"/>
  <c r="I32" i="63" s="1"/>
  <c r="I41" i="63" s="1"/>
  <c r="I50" i="63" s="1"/>
  <c r="D24" i="63"/>
  <c r="E24" i="63"/>
  <c r="G24" i="63"/>
  <c r="G33" i="63" s="1"/>
  <c r="G42" i="63" s="1"/>
  <c r="G51" i="63" s="1"/>
  <c r="H24" i="63"/>
  <c r="D25" i="63"/>
  <c r="E25" i="63"/>
  <c r="G25" i="63"/>
  <c r="H25" i="63"/>
  <c r="I25" i="63"/>
  <c r="I34" i="63" s="1"/>
  <c r="I43" i="63" s="1"/>
  <c r="I52" i="63" s="1"/>
  <c r="D26" i="63"/>
  <c r="E26" i="63"/>
  <c r="F26" i="63"/>
  <c r="F35" i="63" s="1"/>
  <c r="F44" i="63" s="1"/>
  <c r="F53" i="63" s="1"/>
  <c r="G26" i="63"/>
  <c r="G35" i="63" s="1"/>
  <c r="G44" i="63" s="1"/>
  <c r="G53" i="63" s="1"/>
  <c r="H26" i="63"/>
  <c r="D27" i="63"/>
  <c r="E27" i="63"/>
  <c r="G27" i="63"/>
  <c r="H27" i="63"/>
  <c r="I27" i="63"/>
  <c r="I36" i="63" s="1"/>
  <c r="I45" i="63" s="1"/>
  <c r="I54" i="63" s="1"/>
  <c r="D28" i="63"/>
  <c r="E28" i="63"/>
  <c r="F28" i="63"/>
  <c r="F37" i="63" s="1"/>
  <c r="F46" i="63" s="1"/>
  <c r="F55" i="63" s="1"/>
  <c r="G28" i="63"/>
  <c r="G37" i="63" s="1"/>
  <c r="G46" i="63" s="1"/>
  <c r="G55" i="63" s="1"/>
  <c r="H28" i="63"/>
  <c r="D29" i="63"/>
  <c r="E29" i="63"/>
  <c r="G29" i="63"/>
  <c r="H29" i="63"/>
  <c r="I29" i="63"/>
  <c r="I38" i="63" s="1"/>
  <c r="I47" i="63" s="1"/>
  <c r="D30" i="63"/>
  <c r="E30" i="63"/>
  <c r="G30" i="63"/>
  <c r="G39" i="63" s="1"/>
  <c r="G48" i="63" s="1"/>
  <c r="H30" i="63"/>
  <c r="D31" i="63"/>
  <c r="E31" i="63"/>
  <c r="H31" i="63"/>
  <c r="D32" i="63"/>
  <c r="E32" i="63"/>
  <c r="G32" i="63"/>
  <c r="G41" i="63" s="1"/>
  <c r="G50" i="63" s="1"/>
  <c r="H32" i="63"/>
  <c r="D33" i="63"/>
  <c r="E33" i="63"/>
  <c r="H33" i="63"/>
  <c r="D34" i="63"/>
  <c r="E34" i="63"/>
  <c r="G34" i="63"/>
  <c r="G43" i="63" s="1"/>
  <c r="G52" i="63" s="1"/>
  <c r="H34" i="63"/>
  <c r="D35" i="63"/>
  <c r="E35" i="63"/>
  <c r="H35" i="63"/>
  <c r="D36" i="63"/>
  <c r="E36" i="63"/>
  <c r="G36" i="63"/>
  <c r="G45" i="63" s="1"/>
  <c r="G54" i="63" s="1"/>
  <c r="H36" i="63"/>
  <c r="D37" i="63"/>
  <c r="E37" i="63"/>
  <c r="H37" i="63"/>
  <c r="D38" i="63"/>
  <c r="E38" i="63"/>
  <c r="G38" i="63"/>
  <c r="G47" i="63" s="1"/>
  <c r="H38" i="63"/>
  <c r="D39" i="63"/>
  <c r="E39" i="63"/>
  <c r="H39" i="63"/>
  <c r="D40" i="63"/>
  <c r="E40" i="63"/>
  <c r="H40" i="63"/>
  <c r="D41" i="63"/>
  <c r="E41" i="63"/>
  <c r="H41" i="63"/>
  <c r="D42" i="63"/>
  <c r="E42" i="63"/>
  <c r="H42" i="63"/>
  <c r="D43" i="63"/>
  <c r="E43" i="63"/>
  <c r="H43" i="63"/>
  <c r="D44" i="63"/>
  <c r="E44" i="63"/>
  <c r="H44" i="63"/>
  <c r="D45" i="63"/>
  <c r="E45" i="63"/>
  <c r="H45" i="63"/>
  <c r="D46" i="63"/>
  <c r="E46" i="63"/>
  <c r="H46" i="63"/>
  <c r="D47" i="63"/>
  <c r="E47" i="63"/>
  <c r="H47" i="63"/>
  <c r="D48" i="63"/>
  <c r="E48" i="63"/>
  <c r="H48" i="63"/>
  <c r="D49" i="63"/>
  <c r="E49" i="63"/>
  <c r="H49" i="63"/>
  <c r="D50" i="63"/>
  <c r="E50" i="63"/>
  <c r="H50" i="63"/>
  <c r="D51" i="63"/>
  <c r="E51" i="63"/>
  <c r="H51" i="63"/>
  <c r="D52" i="63"/>
  <c r="E52" i="63"/>
  <c r="H52" i="63"/>
  <c r="D53" i="63"/>
  <c r="E53" i="63"/>
  <c r="H53" i="63"/>
  <c r="D54" i="63"/>
  <c r="E54" i="63"/>
  <c r="H54" i="63"/>
  <c r="D55" i="63"/>
  <c r="E55" i="63"/>
  <c r="H55" i="63"/>
  <c r="E11" i="63"/>
  <c r="F11" i="63"/>
  <c r="G11" i="63"/>
  <c r="H11" i="63"/>
  <c r="I11" i="63"/>
  <c r="D11" i="63"/>
  <c r="A227" i="66" l="1"/>
  <c r="H227" i="66" s="1"/>
  <c r="B227" i="66"/>
  <c r="B275" i="66" s="1"/>
  <c r="A228" i="66"/>
  <c r="A276" i="66" s="1"/>
  <c r="B228" i="66"/>
  <c r="B276" i="66" s="1"/>
  <c r="H179" i="66"/>
  <c r="H180" i="66"/>
  <c r="B83" i="66"/>
  <c r="B131" i="66" s="1"/>
  <c r="B84" i="66"/>
  <c r="B132" i="66" s="1"/>
  <c r="A83" i="66"/>
  <c r="H83" i="66" s="1"/>
  <c r="A84" i="66"/>
  <c r="A132" i="66" s="1"/>
  <c r="H35" i="66"/>
  <c r="H36" i="66"/>
  <c r="A473" i="58"/>
  <c r="B473" i="58"/>
  <c r="C473" i="58"/>
  <c r="D473" i="58"/>
  <c r="F473" i="58"/>
  <c r="A474" i="58"/>
  <c r="B474" i="58"/>
  <c r="C474" i="58"/>
  <c r="D474" i="58"/>
  <c r="F474" i="58"/>
  <c r="A475" i="58"/>
  <c r="B475" i="58"/>
  <c r="C475" i="58"/>
  <c r="D475" i="58"/>
  <c r="F475" i="58"/>
  <c r="A473" i="37"/>
  <c r="A473" i="41" s="1"/>
  <c r="B473" i="37"/>
  <c r="B473" i="41" s="1"/>
  <c r="C473" i="37"/>
  <c r="C473" i="41" s="1"/>
  <c r="D473" i="37"/>
  <c r="D473" i="41" s="1"/>
  <c r="F473" i="37"/>
  <c r="F473" i="41" s="1"/>
  <c r="A474" i="37"/>
  <c r="B474" i="37"/>
  <c r="B474" i="41" s="1"/>
  <c r="C474" i="37"/>
  <c r="C474" i="41" s="1"/>
  <c r="D474" i="37"/>
  <c r="D474" i="41" s="1"/>
  <c r="F474" i="37"/>
  <c r="F474" i="41" s="1"/>
  <c r="A475" i="37"/>
  <c r="B475" i="37"/>
  <c r="B475" i="41" s="1"/>
  <c r="C475" i="37"/>
  <c r="C475" i="41" s="1"/>
  <c r="D475" i="37"/>
  <c r="D475" i="41" s="1"/>
  <c r="F475" i="37"/>
  <c r="F475" i="41" s="1"/>
  <c r="A465" i="58"/>
  <c r="B465" i="58"/>
  <c r="C465" i="58"/>
  <c r="D465" i="58"/>
  <c r="F465" i="58"/>
  <c r="A466" i="58"/>
  <c r="B466" i="58"/>
  <c r="C466" i="58"/>
  <c r="D466" i="58"/>
  <c r="F466" i="58"/>
  <c r="A465" i="37"/>
  <c r="A465" i="41" s="1"/>
  <c r="B465" i="37"/>
  <c r="B465" i="41" s="1"/>
  <c r="C465" i="37"/>
  <c r="C465" i="41" s="1"/>
  <c r="D465" i="37"/>
  <c r="D465" i="41" s="1"/>
  <c r="F465" i="37"/>
  <c r="A466" i="37"/>
  <c r="A466" i="41" s="1"/>
  <c r="B466" i="37"/>
  <c r="B466" i="41" s="1"/>
  <c r="C466" i="37"/>
  <c r="C466" i="41" s="1"/>
  <c r="D466" i="37"/>
  <c r="D466" i="41" s="1"/>
  <c r="F466" i="37"/>
  <c r="F466" i="41" s="1"/>
  <c r="A275" i="66" l="1"/>
  <c r="H275" i="66" s="1"/>
  <c r="A475" i="41"/>
  <c r="A474" i="41"/>
  <c r="H276" i="66"/>
  <c r="H228" i="66"/>
  <c r="H84" i="66"/>
  <c r="A131" i="66"/>
  <c r="H132" i="66"/>
  <c r="F465" i="41"/>
  <c r="H131" i="66" l="1"/>
  <c r="C5" i="9" l="1"/>
  <c r="K5" i="9"/>
  <c r="L5" i="9"/>
  <c r="K7" i="9"/>
  <c r="L7" i="9"/>
  <c r="K9" i="9"/>
  <c r="L9" i="9"/>
  <c r="A437" i="58" l="1"/>
  <c r="B437" i="58"/>
  <c r="C437" i="58"/>
  <c r="D437" i="58"/>
  <c r="F437" i="58"/>
  <c r="A438" i="58"/>
  <c r="B438" i="58"/>
  <c r="C438" i="58"/>
  <c r="D438" i="58"/>
  <c r="F438" i="58"/>
  <c r="A439" i="58"/>
  <c r="B439" i="58"/>
  <c r="C439" i="58"/>
  <c r="D439" i="58"/>
  <c r="F439" i="58"/>
  <c r="A437" i="37"/>
  <c r="A437" i="41" s="1"/>
  <c r="B437" i="37"/>
  <c r="B437" i="41" s="1"/>
  <c r="C437" i="37"/>
  <c r="C437" i="41" s="1"/>
  <c r="D437" i="37"/>
  <c r="D437" i="41" s="1"/>
  <c r="F437" i="37"/>
  <c r="F437" i="41" s="1"/>
  <c r="A438" i="37"/>
  <c r="A438" i="41" s="1"/>
  <c r="B438" i="37"/>
  <c r="B438" i="41" s="1"/>
  <c r="C438" i="37"/>
  <c r="C438" i="41" s="1"/>
  <c r="D438" i="37"/>
  <c r="D438" i="41" s="1"/>
  <c r="F438" i="37"/>
  <c r="F438" i="41" s="1"/>
  <c r="A439" i="37"/>
  <c r="A439" i="41" s="1"/>
  <c r="B439" i="37"/>
  <c r="B439" i="41" s="1"/>
  <c r="C439" i="37"/>
  <c r="C439" i="41" s="1"/>
  <c r="D439" i="37"/>
  <c r="D439" i="41" s="1"/>
  <c r="F439" i="37"/>
  <c r="F439" i="41" s="1"/>
  <c r="N19" i="39" l="1"/>
  <c r="N18" i="39"/>
  <c r="A406" i="58"/>
  <c r="B406" i="58"/>
  <c r="C406" i="58"/>
  <c r="D406" i="58"/>
  <c r="F406" i="58"/>
  <c r="A406" i="37"/>
  <c r="B406" i="37"/>
  <c r="B406" i="41" s="1"/>
  <c r="C406" i="37"/>
  <c r="C406" i="41" s="1"/>
  <c r="D406" i="37"/>
  <c r="D406" i="41" s="1"/>
  <c r="F406" i="37"/>
  <c r="F406" i="41" s="1"/>
  <c r="A6" i="37"/>
  <c r="A6" i="41" s="1"/>
  <c r="B6" i="37"/>
  <c r="B6" i="41" s="1"/>
  <c r="C6" i="37"/>
  <c r="C6" i="41" s="1"/>
  <c r="D6" i="37"/>
  <c r="D6" i="41" s="1"/>
  <c r="F6" i="37"/>
  <c r="F6" i="41" s="1"/>
  <c r="A6" i="58"/>
  <c r="B6" i="58"/>
  <c r="C6" i="58"/>
  <c r="D6" i="58"/>
  <c r="F6" i="58"/>
  <c r="A406" i="41" l="1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4" i="66"/>
  <c r="H165" i="66"/>
  <c r="H166" i="66"/>
  <c r="H167" i="66"/>
  <c r="H168" i="66"/>
  <c r="H169" i="66"/>
  <c r="H170" i="66"/>
  <c r="H171" i="66"/>
  <c r="H172" i="66"/>
  <c r="H173" i="66"/>
  <c r="H174" i="66"/>
  <c r="H175" i="66"/>
  <c r="H176" i="66"/>
  <c r="H177" i="66"/>
  <c r="H178" i="66"/>
  <c r="H181" i="66"/>
  <c r="H182" i="66"/>
  <c r="H183" i="66"/>
  <c r="H184" i="66"/>
  <c r="H185" i="66"/>
  <c r="H186" i="66"/>
  <c r="H187" i="66"/>
  <c r="H188" i="66"/>
  <c r="H189" i="66"/>
  <c r="H190" i="66"/>
  <c r="H191" i="66"/>
  <c r="H192" i="66"/>
  <c r="H193" i="66"/>
  <c r="H194" i="66"/>
  <c r="A4" i="58" l="1"/>
  <c r="D4" i="58"/>
  <c r="B4" i="58"/>
  <c r="C4" i="58"/>
  <c r="D20" i="1" a="1"/>
  <c r="D20" i="1" s="1"/>
  <c r="D269" i="38" s="1"/>
  <c r="B3" i="35"/>
  <c r="F3" i="35" s="1"/>
  <c r="B5" i="20"/>
  <c r="D6" i="1" a="1"/>
  <c r="D6" i="1" s="1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D7" i="1" a="1"/>
  <c r="D7" i="1" s="1"/>
  <c r="D8" i="1" a="1"/>
  <c r="D8" i="1" s="1"/>
  <c r="D18" i="1" a="1"/>
  <c r="D18" i="1" s="1"/>
  <c r="D19" i="1" a="1"/>
  <c r="D19" i="1" s="1"/>
  <c r="D68" i="38" s="1"/>
  <c r="C22" i="17"/>
  <c r="D22" i="17" s="1"/>
  <c r="E22" i="17" s="1"/>
  <c r="C23" i="17"/>
  <c r="D23" i="17" s="1"/>
  <c r="E23" i="17" s="1"/>
  <c r="D12" i="1" a="1"/>
  <c r="D12" i="1" s="1"/>
  <c r="I6" i="9" s="1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" i="35"/>
  <c r="F4" i="35" s="1"/>
  <c r="B5" i="35"/>
  <c r="F5" i="35" s="1"/>
  <c r="B6" i="35"/>
  <c r="F6" i="35" s="1"/>
  <c r="B7" i="35"/>
  <c r="B8" i="35"/>
  <c r="F8" i="35" s="1"/>
  <c r="B9" i="35"/>
  <c r="F9" i="35" s="1"/>
  <c r="B10" i="35"/>
  <c r="F10" i="35" s="1"/>
  <c r="B11" i="35"/>
  <c r="F11" i="35" s="1"/>
  <c r="B12" i="35"/>
  <c r="F12" i="35" s="1"/>
  <c r="B13" i="35"/>
  <c r="F13" i="35" s="1"/>
  <c r="B14" i="35"/>
  <c r="F14" i="35" s="1"/>
  <c r="B15" i="35"/>
  <c r="F15" i="35" s="1"/>
  <c r="B16" i="35"/>
  <c r="F16" i="35" s="1"/>
  <c r="B17" i="35"/>
  <c r="F17" i="35" s="1"/>
  <c r="B18" i="35"/>
  <c r="F18" i="35" s="1"/>
  <c r="B19" i="35"/>
  <c r="F19" i="35" s="1"/>
  <c r="B20" i="35"/>
  <c r="F20" i="35" s="1"/>
  <c r="B21" i="35"/>
  <c r="F21" i="35" s="1"/>
  <c r="B22" i="35"/>
  <c r="F22" i="35" s="1"/>
  <c r="B23" i="35"/>
  <c r="F23" i="35" s="1"/>
  <c r="B24" i="35"/>
  <c r="F24" i="35" s="1"/>
  <c r="B25" i="35"/>
  <c r="F25" i="35" s="1"/>
  <c r="B26" i="35"/>
  <c r="F26" i="35" s="1"/>
  <c r="B27" i="35"/>
  <c r="F27" i="35" s="1"/>
  <c r="B28" i="35"/>
  <c r="F28" i="35" s="1"/>
  <c r="B29" i="35"/>
  <c r="F29" i="35" s="1"/>
  <c r="B30" i="35"/>
  <c r="F30" i="35" s="1"/>
  <c r="B31" i="35"/>
  <c r="F31" i="35" s="1"/>
  <c r="B32" i="35"/>
  <c r="F32" i="35" s="1"/>
  <c r="B33" i="35"/>
  <c r="F33" i="35" s="1"/>
  <c r="B34" i="35"/>
  <c r="F34" i="35" s="1"/>
  <c r="B35" i="35"/>
  <c r="F35" i="35" s="1"/>
  <c r="B36" i="35"/>
  <c r="F36" i="35" s="1"/>
  <c r="B37" i="35"/>
  <c r="F37" i="35" s="1"/>
  <c r="B38" i="35"/>
  <c r="F38" i="35" s="1"/>
  <c r="B39" i="35"/>
  <c r="F39" i="35" s="1"/>
  <c r="B40" i="35"/>
  <c r="F40" i="35" s="1"/>
  <c r="B41" i="35"/>
  <c r="F41" i="35" s="1"/>
  <c r="B42" i="35"/>
  <c r="F42" i="35" s="1"/>
  <c r="B43" i="35"/>
  <c r="F43" i="35" s="1"/>
  <c r="B44" i="35"/>
  <c r="F44" i="35" s="1"/>
  <c r="B45" i="35"/>
  <c r="F45" i="35" s="1"/>
  <c r="B46" i="35"/>
  <c r="F46" i="35" s="1"/>
  <c r="B47" i="35"/>
  <c r="F47" i="35" s="1"/>
  <c r="B48" i="35"/>
  <c r="F48" i="35" s="1"/>
  <c r="B49" i="35"/>
  <c r="F49" i="35" s="1"/>
  <c r="B50" i="35"/>
  <c r="F50" i="35" s="1"/>
  <c r="B51" i="35"/>
  <c r="F51" i="35" s="1"/>
  <c r="B52" i="35"/>
  <c r="F52" i="35" s="1"/>
  <c r="B53" i="35"/>
  <c r="F53" i="35" s="1"/>
  <c r="B54" i="35"/>
  <c r="F54" i="35" s="1"/>
  <c r="B55" i="35"/>
  <c r="F55" i="35" s="1"/>
  <c r="B56" i="35"/>
  <c r="F56" i="35" s="1"/>
  <c r="B57" i="35"/>
  <c r="F57" i="35" s="1"/>
  <c r="B58" i="35"/>
  <c r="F58" i="35" s="1"/>
  <c r="B59" i="35"/>
  <c r="F59" i="35" s="1"/>
  <c r="B60" i="35"/>
  <c r="F60" i="35" s="1"/>
  <c r="B61" i="35"/>
  <c r="F61" i="35" s="1"/>
  <c r="B62" i="35"/>
  <c r="F62" i="35" s="1"/>
  <c r="B63" i="35"/>
  <c r="F63" i="35" s="1"/>
  <c r="B64" i="35"/>
  <c r="F64" i="35" s="1"/>
  <c r="B65" i="35"/>
  <c r="F65" i="35" s="1"/>
  <c r="B66" i="35"/>
  <c r="F66" i="35" s="1"/>
  <c r="B67" i="35"/>
  <c r="F67" i="35" s="1"/>
  <c r="B68" i="35"/>
  <c r="F68" i="35" s="1"/>
  <c r="B69" i="35"/>
  <c r="F69" i="35" s="1"/>
  <c r="B70" i="35"/>
  <c r="F70" i="35" s="1"/>
  <c r="B71" i="35"/>
  <c r="F71" i="35" s="1"/>
  <c r="B72" i="35"/>
  <c r="F72" i="35" s="1"/>
  <c r="B73" i="35"/>
  <c r="F73" i="35" s="1"/>
  <c r="B74" i="35"/>
  <c r="F74" i="35" s="1"/>
  <c r="B75" i="35"/>
  <c r="F75" i="35" s="1"/>
  <c r="B76" i="35"/>
  <c r="F76" i="35" s="1"/>
  <c r="B77" i="35"/>
  <c r="F77" i="35" s="1"/>
  <c r="B78" i="35"/>
  <c r="F78" i="35" s="1"/>
  <c r="B79" i="35"/>
  <c r="F79" i="35" s="1"/>
  <c r="B80" i="35"/>
  <c r="F80" i="35" s="1"/>
  <c r="B81" i="35"/>
  <c r="F81" i="35" s="1"/>
  <c r="B82" i="35"/>
  <c r="F82" i="35" s="1"/>
  <c r="B83" i="35"/>
  <c r="F83" i="35" s="1"/>
  <c r="B84" i="35"/>
  <c r="F84" i="35" s="1"/>
  <c r="B85" i="35"/>
  <c r="F85" i="35" s="1"/>
  <c r="B86" i="35"/>
  <c r="F86" i="35" s="1"/>
  <c r="B87" i="35"/>
  <c r="F87" i="35" s="1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88" i="35"/>
  <c r="F88" i="35" s="1"/>
  <c r="B89" i="35"/>
  <c r="F89" i="35" s="1"/>
  <c r="B90" i="35"/>
  <c r="F90" i="35" s="1"/>
  <c r="B91" i="35"/>
  <c r="F91" i="35" s="1"/>
  <c r="B92" i="35"/>
  <c r="F92" i="35" s="1"/>
  <c r="B93" i="35"/>
  <c r="F93" i="35" s="1"/>
  <c r="B94" i="35"/>
  <c r="F94" i="35" s="1"/>
  <c r="B95" i="35"/>
  <c r="F95" i="35" s="1"/>
  <c r="B96" i="35"/>
  <c r="F96" i="35" s="1"/>
  <c r="B97" i="35"/>
  <c r="F97" i="35" s="1"/>
  <c r="B98" i="35"/>
  <c r="F98" i="35" s="1"/>
  <c r="B99" i="35"/>
  <c r="F99" i="35" s="1"/>
  <c r="B100" i="35"/>
  <c r="F100" i="35" s="1"/>
  <c r="B101" i="35"/>
  <c r="F101" i="35" s="1"/>
  <c r="B102" i="35"/>
  <c r="F102" i="35" s="1"/>
  <c r="B103" i="35"/>
  <c r="F103" i="35" s="1"/>
  <c r="B104" i="35"/>
  <c r="F104" i="35" s="1"/>
  <c r="B105" i="35"/>
  <c r="F105" i="35" s="1"/>
  <c r="B106" i="35"/>
  <c r="F106" i="35" s="1"/>
  <c r="B107" i="35"/>
  <c r="B108" i="35"/>
  <c r="F108" i="35" s="1"/>
  <c r="B109" i="35"/>
  <c r="F109" i="35" s="1"/>
  <c r="B110" i="35"/>
  <c r="F110" i="35" s="1"/>
  <c r="B111" i="35"/>
  <c r="F111" i="35" s="1"/>
  <c r="B112" i="35"/>
  <c r="F112" i="35" s="1"/>
  <c r="B113" i="35"/>
  <c r="F113" i="35" s="1"/>
  <c r="B114" i="35"/>
  <c r="F114" i="35" s="1"/>
  <c r="B115" i="35"/>
  <c r="F115" i="35" s="1"/>
  <c r="B116" i="35"/>
  <c r="F116" i="35" s="1"/>
  <c r="B117" i="35"/>
  <c r="F117" i="35" s="1"/>
  <c r="B118" i="35"/>
  <c r="F118" i="35" s="1"/>
  <c r="B119" i="35"/>
  <c r="F119" i="35" s="1"/>
  <c r="B120" i="35"/>
  <c r="F120" i="35" s="1"/>
  <c r="B121" i="35"/>
  <c r="F121" i="35" s="1"/>
  <c r="B122" i="35"/>
  <c r="F122" i="35" s="1"/>
  <c r="B123" i="35"/>
  <c r="F123" i="35" s="1"/>
  <c r="B124" i="35"/>
  <c r="F124" i="35" s="1"/>
  <c r="B125" i="35"/>
  <c r="F125" i="35" s="1"/>
  <c r="B126" i="35"/>
  <c r="F126" i="35" s="1"/>
  <c r="B127" i="35"/>
  <c r="F127" i="35" s="1"/>
  <c r="B128" i="35"/>
  <c r="F128" i="35" s="1"/>
  <c r="B129" i="35"/>
  <c r="F129" i="35" s="1"/>
  <c r="B130" i="35"/>
  <c r="F130" i="35" s="1"/>
  <c r="B131" i="35"/>
  <c r="F131" i="35" s="1"/>
  <c r="B132" i="35"/>
  <c r="F132" i="35" s="1"/>
  <c r="B133" i="35"/>
  <c r="F133" i="35" s="1"/>
  <c r="B134" i="35"/>
  <c r="F134" i="35" s="1"/>
  <c r="B135" i="35"/>
  <c r="F135" i="35" s="1"/>
  <c r="B136" i="35"/>
  <c r="F136" i="35" s="1"/>
  <c r="B137" i="35"/>
  <c r="F137" i="35" s="1"/>
  <c r="B138" i="35"/>
  <c r="F138" i="35" s="1"/>
  <c r="B139" i="35"/>
  <c r="F139" i="35" s="1"/>
  <c r="B140" i="35"/>
  <c r="F140" i="35" s="1"/>
  <c r="B141" i="35"/>
  <c r="F141" i="35" s="1"/>
  <c r="B142" i="35"/>
  <c r="F142" i="35" s="1"/>
  <c r="B143" i="35"/>
  <c r="F143" i="35" s="1"/>
  <c r="B144" i="35"/>
  <c r="F144" i="35" s="1"/>
  <c r="B145" i="35"/>
  <c r="F145" i="35" s="1"/>
  <c r="B146" i="35"/>
  <c r="F146" i="35" s="1"/>
  <c r="B147" i="35"/>
  <c r="F147" i="35" s="1"/>
  <c r="B148" i="35"/>
  <c r="F148" i="35" s="1"/>
  <c r="B149" i="35"/>
  <c r="F149" i="35" s="1"/>
  <c r="B150" i="35"/>
  <c r="F150" i="35" s="1"/>
  <c r="B151" i="35"/>
  <c r="F151" i="35" s="1"/>
  <c r="B152" i="35"/>
  <c r="F152" i="35" s="1"/>
  <c r="B153" i="35"/>
  <c r="F153" i="35" s="1"/>
  <c r="B154" i="35"/>
  <c r="F154" i="35" s="1"/>
  <c r="B155" i="35"/>
  <c r="F155" i="35" s="1"/>
  <c r="B156" i="35"/>
  <c r="F156" i="35" s="1"/>
  <c r="B157" i="35"/>
  <c r="F157" i="35" s="1"/>
  <c r="B158" i="35"/>
  <c r="F158" i="35" s="1"/>
  <c r="B159" i="35"/>
  <c r="F159" i="35" s="1"/>
  <c r="B160" i="35"/>
  <c r="F160" i="35" s="1"/>
  <c r="B161" i="35"/>
  <c r="F161" i="35" s="1"/>
  <c r="B162" i="35"/>
  <c r="F162" i="35" s="1"/>
  <c r="B163" i="35"/>
  <c r="F163" i="35" s="1"/>
  <c r="B164" i="35"/>
  <c r="F164" i="35" s="1"/>
  <c r="B165" i="35"/>
  <c r="F165" i="35" s="1"/>
  <c r="B166" i="35"/>
  <c r="F166" i="35" s="1"/>
  <c r="B167" i="35"/>
  <c r="F167" i="35" s="1"/>
  <c r="B168" i="35"/>
  <c r="F168" i="35" s="1"/>
  <c r="B169" i="35"/>
  <c r="F169" i="35" s="1"/>
  <c r="B170" i="35"/>
  <c r="F170" i="35" s="1"/>
  <c r="F23" i="20"/>
  <c r="C23" i="20" s="1"/>
  <c r="P2" i="18" s="1"/>
  <c r="F50" i="20"/>
  <c r="C50" i="20" s="1"/>
  <c r="P20" i="18" s="1"/>
  <c r="F24" i="20"/>
  <c r="C24" i="20" s="1"/>
  <c r="F51" i="20"/>
  <c r="C51" i="20" s="1"/>
  <c r="P21" i="18" s="1"/>
  <c r="F25" i="20"/>
  <c r="C25" i="20" s="1"/>
  <c r="F52" i="20"/>
  <c r="C52" i="20" s="1"/>
  <c r="P22" i="18" s="1"/>
  <c r="I183" i="35"/>
  <c r="I184" i="35"/>
  <c r="D13" i="1" a="1"/>
  <c r="D13" i="1" s="1"/>
  <c r="F4" i="58"/>
  <c r="A4" i="37"/>
  <c r="A4" i="41" s="1"/>
  <c r="D4" i="37"/>
  <c r="D4" i="41" s="1"/>
  <c r="B4" i="37"/>
  <c r="B4" i="41" s="1"/>
  <c r="C4" i="37"/>
  <c r="C4" i="41" s="1"/>
  <c r="F4" i="37"/>
  <c r="F4" i="41" s="1"/>
  <c r="F3" i="58"/>
  <c r="F5" i="58"/>
  <c r="F7" i="58"/>
  <c r="F8" i="58"/>
  <c r="A3" i="58"/>
  <c r="D3" i="58"/>
  <c r="B3" i="58"/>
  <c r="C3" i="58"/>
  <c r="A5" i="58"/>
  <c r="D5" i="58"/>
  <c r="B5" i="58"/>
  <c r="C5" i="58"/>
  <c r="A7" i="58"/>
  <c r="D7" i="58"/>
  <c r="B7" i="58"/>
  <c r="C7" i="58"/>
  <c r="A8" i="58"/>
  <c r="D8" i="58"/>
  <c r="B8" i="58"/>
  <c r="C8" i="58"/>
  <c r="A9" i="58"/>
  <c r="D9" i="58"/>
  <c r="B9" i="58"/>
  <c r="C9" i="58"/>
  <c r="F9" i="58"/>
  <c r="A10" i="58"/>
  <c r="D10" i="58"/>
  <c r="B10" i="58"/>
  <c r="C10" i="58"/>
  <c r="F10" i="58"/>
  <c r="A11" i="58"/>
  <c r="D11" i="58"/>
  <c r="B11" i="58"/>
  <c r="C11" i="58"/>
  <c r="F11" i="58"/>
  <c r="A12" i="58"/>
  <c r="D12" i="58"/>
  <c r="B12" i="58"/>
  <c r="C12" i="58"/>
  <c r="F12" i="58"/>
  <c r="A13" i="58"/>
  <c r="D13" i="58"/>
  <c r="B13" i="58"/>
  <c r="C13" i="58"/>
  <c r="F13" i="58"/>
  <c r="A14" i="58"/>
  <c r="D14" i="58"/>
  <c r="B14" i="58"/>
  <c r="C14" i="58"/>
  <c r="F14" i="58"/>
  <c r="A15" i="58"/>
  <c r="D15" i="58"/>
  <c r="B15" i="58"/>
  <c r="C15" i="58"/>
  <c r="F15" i="58"/>
  <c r="A16" i="58"/>
  <c r="D16" i="58"/>
  <c r="B16" i="58"/>
  <c r="C16" i="58"/>
  <c r="F16" i="58"/>
  <c r="A17" i="58"/>
  <c r="D17" i="58"/>
  <c r="B17" i="58"/>
  <c r="C17" i="58"/>
  <c r="F17" i="58"/>
  <c r="A18" i="58"/>
  <c r="D18" i="58"/>
  <c r="B18" i="58"/>
  <c r="C18" i="58"/>
  <c r="F18" i="58"/>
  <c r="A19" i="58"/>
  <c r="D19" i="58"/>
  <c r="B19" i="58"/>
  <c r="C19" i="58"/>
  <c r="F19" i="58"/>
  <c r="A20" i="58"/>
  <c r="D20" i="58"/>
  <c r="B20" i="58"/>
  <c r="C20" i="58"/>
  <c r="F20" i="58"/>
  <c r="A21" i="58"/>
  <c r="D21" i="58"/>
  <c r="B21" i="58"/>
  <c r="C21" i="58"/>
  <c r="F21" i="58"/>
  <c r="A22" i="58"/>
  <c r="D22" i="58"/>
  <c r="B22" i="58"/>
  <c r="C22" i="58"/>
  <c r="F22" i="58"/>
  <c r="A23" i="58"/>
  <c r="D23" i="58"/>
  <c r="B23" i="58"/>
  <c r="C23" i="58"/>
  <c r="F23" i="58"/>
  <c r="A24" i="58"/>
  <c r="D24" i="58"/>
  <c r="B24" i="58"/>
  <c r="C24" i="58"/>
  <c r="F24" i="58"/>
  <c r="A25" i="58"/>
  <c r="D25" i="58"/>
  <c r="B25" i="58"/>
  <c r="C25" i="58"/>
  <c r="F25" i="58"/>
  <c r="A26" i="58"/>
  <c r="D26" i="58"/>
  <c r="B26" i="58"/>
  <c r="C26" i="58"/>
  <c r="F26" i="58"/>
  <c r="A27" i="58"/>
  <c r="D27" i="58"/>
  <c r="B27" i="58"/>
  <c r="C27" i="58"/>
  <c r="F27" i="58"/>
  <c r="A28" i="58"/>
  <c r="D28" i="58"/>
  <c r="B28" i="58"/>
  <c r="C28" i="58"/>
  <c r="F28" i="58"/>
  <c r="A29" i="58"/>
  <c r="D29" i="58"/>
  <c r="B29" i="58"/>
  <c r="C29" i="58"/>
  <c r="F29" i="58"/>
  <c r="A30" i="58"/>
  <c r="D30" i="58"/>
  <c r="B30" i="58"/>
  <c r="C30" i="58"/>
  <c r="F30" i="58"/>
  <c r="A31" i="58"/>
  <c r="D31" i="58"/>
  <c r="B31" i="58"/>
  <c r="C31" i="58"/>
  <c r="F31" i="58"/>
  <c r="A32" i="58"/>
  <c r="D32" i="58"/>
  <c r="B32" i="58"/>
  <c r="C32" i="58"/>
  <c r="F32" i="58"/>
  <c r="A33" i="58"/>
  <c r="D33" i="58"/>
  <c r="B33" i="58"/>
  <c r="C33" i="58"/>
  <c r="F33" i="58"/>
  <c r="A34" i="58"/>
  <c r="D34" i="58"/>
  <c r="B34" i="58"/>
  <c r="C34" i="58"/>
  <c r="F34" i="58"/>
  <c r="A35" i="58"/>
  <c r="D35" i="58"/>
  <c r="B35" i="58"/>
  <c r="C35" i="58"/>
  <c r="F35" i="58"/>
  <c r="A36" i="58"/>
  <c r="D36" i="58"/>
  <c r="B36" i="58"/>
  <c r="C36" i="58"/>
  <c r="F36" i="58"/>
  <c r="A37" i="58"/>
  <c r="D37" i="58"/>
  <c r="B37" i="58"/>
  <c r="C37" i="58"/>
  <c r="F37" i="58"/>
  <c r="A38" i="58"/>
  <c r="D38" i="58"/>
  <c r="B38" i="58"/>
  <c r="C38" i="58"/>
  <c r="F38" i="58"/>
  <c r="A39" i="58"/>
  <c r="D39" i="58"/>
  <c r="B39" i="58"/>
  <c r="C39" i="58"/>
  <c r="F39" i="58"/>
  <c r="A40" i="58"/>
  <c r="D40" i="58"/>
  <c r="B40" i="58"/>
  <c r="C40" i="58"/>
  <c r="F40" i="58"/>
  <c r="A41" i="58"/>
  <c r="D41" i="58"/>
  <c r="B41" i="58"/>
  <c r="C41" i="58"/>
  <c r="F41" i="58"/>
  <c r="A42" i="58"/>
  <c r="D42" i="58"/>
  <c r="B42" i="58"/>
  <c r="C42" i="58"/>
  <c r="F42" i="58"/>
  <c r="A43" i="58"/>
  <c r="D43" i="58"/>
  <c r="B43" i="58"/>
  <c r="C43" i="58"/>
  <c r="F43" i="58"/>
  <c r="A44" i="58"/>
  <c r="D44" i="58"/>
  <c r="B44" i="58"/>
  <c r="C44" i="58"/>
  <c r="F44" i="58"/>
  <c r="A45" i="58"/>
  <c r="D45" i="58"/>
  <c r="B45" i="58"/>
  <c r="C45" i="58"/>
  <c r="F45" i="58"/>
  <c r="A46" i="58"/>
  <c r="D46" i="58"/>
  <c r="B46" i="58"/>
  <c r="C46" i="58"/>
  <c r="F46" i="58"/>
  <c r="A47" i="58"/>
  <c r="D47" i="58"/>
  <c r="B47" i="58"/>
  <c r="C47" i="58"/>
  <c r="F47" i="58"/>
  <c r="A48" i="58"/>
  <c r="D48" i="58"/>
  <c r="B48" i="58"/>
  <c r="C48" i="58"/>
  <c r="F48" i="58"/>
  <c r="A49" i="58"/>
  <c r="D49" i="58"/>
  <c r="B49" i="58"/>
  <c r="C49" i="58"/>
  <c r="F49" i="58"/>
  <c r="A50" i="58"/>
  <c r="D50" i="58"/>
  <c r="B50" i="58"/>
  <c r="C50" i="58"/>
  <c r="F50" i="58"/>
  <c r="A51" i="58"/>
  <c r="D51" i="58"/>
  <c r="B51" i="58"/>
  <c r="C51" i="58"/>
  <c r="F51" i="58"/>
  <c r="A52" i="58"/>
  <c r="D52" i="58"/>
  <c r="B52" i="58"/>
  <c r="C52" i="58"/>
  <c r="F52" i="58"/>
  <c r="A53" i="58"/>
  <c r="D53" i="58"/>
  <c r="B53" i="58"/>
  <c r="C53" i="58"/>
  <c r="F53" i="58"/>
  <c r="A54" i="58"/>
  <c r="D54" i="58"/>
  <c r="B54" i="58"/>
  <c r="C54" i="58"/>
  <c r="F54" i="58"/>
  <c r="A55" i="58"/>
  <c r="D55" i="58"/>
  <c r="B55" i="58"/>
  <c r="C55" i="58"/>
  <c r="F55" i="58"/>
  <c r="A56" i="58"/>
  <c r="D56" i="58"/>
  <c r="B56" i="58"/>
  <c r="C56" i="58"/>
  <c r="F56" i="58"/>
  <c r="A57" i="58"/>
  <c r="D57" i="58"/>
  <c r="B57" i="58"/>
  <c r="C57" i="58"/>
  <c r="F57" i="58"/>
  <c r="A58" i="58"/>
  <c r="D58" i="58"/>
  <c r="B58" i="58"/>
  <c r="C58" i="58"/>
  <c r="F58" i="58"/>
  <c r="A59" i="58"/>
  <c r="D59" i="58"/>
  <c r="B59" i="58"/>
  <c r="C59" i="58"/>
  <c r="F59" i="58"/>
  <c r="A60" i="58"/>
  <c r="D60" i="58"/>
  <c r="B60" i="58"/>
  <c r="C60" i="58"/>
  <c r="F60" i="58"/>
  <c r="A61" i="58"/>
  <c r="D61" i="58"/>
  <c r="B61" i="58"/>
  <c r="C61" i="58"/>
  <c r="F61" i="58"/>
  <c r="A62" i="58"/>
  <c r="D62" i="58"/>
  <c r="B62" i="58"/>
  <c r="C62" i="58"/>
  <c r="F62" i="58"/>
  <c r="A63" i="58"/>
  <c r="D63" i="58"/>
  <c r="B63" i="58"/>
  <c r="C63" i="58"/>
  <c r="F63" i="58"/>
  <c r="A64" i="58"/>
  <c r="D64" i="58"/>
  <c r="B64" i="58"/>
  <c r="C64" i="58"/>
  <c r="F64" i="58"/>
  <c r="A65" i="58"/>
  <c r="D65" i="58"/>
  <c r="B65" i="58"/>
  <c r="C65" i="58"/>
  <c r="F65" i="58"/>
  <c r="A66" i="58"/>
  <c r="D66" i="58"/>
  <c r="B66" i="58"/>
  <c r="C66" i="58"/>
  <c r="F66" i="58"/>
  <c r="A67" i="58"/>
  <c r="D67" i="58"/>
  <c r="B67" i="58"/>
  <c r="C67" i="58"/>
  <c r="F67" i="58"/>
  <c r="A68" i="58"/>
  <c r="D68" i="58"/>
  <c r="B68" i="58"/>
  <c r="C68" i="58"/>
  <c r="F68" i="58"/>
  <c r="A69" i="58"/>
  <c r="D69" i="58"/>
  <c r="B69" i="58"/>
  <c r="C69" i="58"/>
  <c r="F69" i="58"/>
  <c r="A70" i="58"/>
  <c r="D70" i="58"/>
  <c r="B70" i="58"/>
  <c r="C70" i="58"/>
  <c r="F70" i="58"/>
  <c r="A71" i="58"/>
  <c r="D71" i="58"/>
  <c r="B71" i="58"/>
  <c r="C71" i="58"/>
  <c r="F71" i="58"/>
  <c r="A72" i="58"/>
  <c r="D72" i="58"/>
  <c r="B72" i="58"/>
  <c r="C72" i="58"/>
  <c r="F72" i="58"/>
  <c r="A73" i="58"/>
  <c r="D73" i="58"/>
  <c r="B73" i="58"/>
  <c r="C73" i="58"/>
  <c r="F73" i="58"/>
  <c r="A74" i="58"/>
  <c r="D74" i="58"/>
  <c r="B74" i="58"/>
  <c r="C74" i="58"/>
  <c r="F74" i="58"/>
  <c r="A75" i="58"/>
  <c r="D75" i="58"/>
  <c r="B75" i="58"/>
  <c r="C75" i="58"/>
  <c r="F75" i="58"/>
  <c r="A76" i="58"/>
  <c r="D76" i="58"/>
  <c r="B76" i="58"/>
  <c r="C76" i="58"/>
  <c r="F76" i="58"/>
  <c r="A77" i="58"/>
  <c r="D77" i="58"/>
  <c r="B77" i="58"/>
  <c r="C77" i="58"/>
  <c r="F77" i="58"/>
  <c r="A78" i="58"/>
  <c r="D78" i="58"/>
  <c r="B78" i="58"/>
  <c r="C78" i="58"/>
  <c r="F78" i="58"/>
  <c r="A79" i="58"/>
  <c r="D79" i="58"/>
  <c r="B79" i="58"/>
  <c r="C79" i="58"/>
  <c r="F79" i="58"/>
  <c r="A80" i="58"/>
  <c r="D80" i="58"/>
  <c r="B80" i="58"/>
  <c r="C80" i="58"/>
  <c r="F80" i="58"/>
  <c r="A81" i="58"/>
  <c r="D81" i="58"/>
  <c r="B81" i="58"/>
  <c r="C81" i="58"/>
  <c r="F81" i="58"/>
  <c r="A82" i="58"/>
  <c r="D82" i="58"/>
  <c r="B82" i="58"/>
  <c r="C82" i="58"/>
  <c r="F82" i="58"/>
  <c r="A83" i="58"/>
  <c r="D83" i="58"/>
  <c r="B83" i="58"/>
  <c r="C83" i="58"/>
  <c r="F83" i="58"/>
  <c r="A84" i="58"/>
  <c r="D84" i="58"/>
  <c r="B84" i="58"/>
  <c r="C84" i="58"/>
  <c r="F84" i="58"/>
  <c r="A85" i="58"/>
  <c r="D85" i="58"/>
  <c r="B85" i="58"/>
  <c r="C85" i="58"/>
  <c r="F85" i="58"/>
  <c r="A86" i="58"/>
  <c r="D86" i="58"/>
  <c r="B86" i="58"/>
  <c r="C86" i="58"/>
  <c r="F86" i="58"/>
  <c r="A87" i="58"/>
  <c r="D87" i="58"/>
  <c r="B87" i="58"/>
  <c r="C87" i="58"/>
  <c r="F87" i="58"/>
  <c r="A88" i="58"/>
  <c r="D88" i="58"/>
  <c r="B88" i="58"/>
  <c r="C88" i="58"/>
  <c r="F88" i="58"/>
  <c r="A89" i="58"/>
  <c r="D89" i="58"/>
  <c r="B89" i="58"/>
  <c r="C89" i="58"/>
  <c r="F89" i="58"/>
  <c r="A90" i="58"/>
  <c r="D90" i="58"/>
  <c r="B90" i="58"/>
  <c r="C90" i="58"/>
  <c r="F90" i="58"/>
  <c r="A91" i="58"/>
  <c r="D91" i="58"/>
  <c r="B91" i="58"/>
  <c r="C91" i="58"/>
  <c r="F91" i="58"/>
  <c r="A92" i="58"/>
  <c r="D92" i="58"/>
  <c r="B92" i="58"/>
  <c r="C92" i="58"/>
  <c r="F92" i="58"/>
  <c r="A93" i="58"/>
  <c r="D93" i="58"/>
  <c r="B93" i="58"/>
  <c r="C93" i="58"/>
  <c r="F93" i="58"/>
  <c r="A94" i="58"/>
  <c r="D94" i="58"/>
  <c r="B94" i="58"/>
  <c r="C94" i="58"/>
  <c r="F94" i="58"/>
  <c r="A95" i="58"/>
  <c r="D95" i="58"/>
  <c r="B95" i="58"/>
  <c r="C95" i="58"/>
  <c r="F95" i="58"/>
  <c r="A96" i="58"/>
  <c r="D96" i="58"/>
  <c r="B96" i="58"/>
  <c r="C96" i="58"/>
  <c r="F96" i="58"/>
  <c r="A97" i="58"/>
  <c r="D97" i="58"/>
  <c r="B97" i="58"/>
  <c r="C97" i="58"/>
  <c r="F97" i="58"/>
  <c r="A98" i="58"/>
  <c r="D98" i="58"/>
  <c r="B98" i="58"/>
  <c r="C98" i="58"/>
  <c r="F98" i="58"/>
  <c r="A99" i="58"/>
  <c r="D99" i="58"/>
  <c r="B99" i="58"/>
  <c r="C99" i="58"/>
  <c r="F99" i="58"/>
  <c r="A100" i="58"/>
  <c r="D100" i="58"/>
  <c r="B100" i="58"/>
  <c r="C100" i="58"/>
  <c r="F100" i="58"/>
  <c r="A101" i="58"/>
  <c r="D101" i="58"/>
  <c r="B101" i="58"/>
  <c r="C101" i="58"/>
  <c r="F101" i="58"/>
  <c r="A102" i="58"/>
  <c r="D102" i="58"/>
  <c r="B102" i="58"/>
  <c r="C102" i="58"/>
  <c r="F102" i="58"/>
  <c r="A103" i="58"/>
  <c r="D103" i="58"/>
  <c r="B103" i="58"/>
  <c r="C103" i="58"/>
  <c r="F103" i="58"/>
  <c r="A104" i="58"/>
  <c r="D104" i="58"/>
  <c r="B104" i="58"/>
  <c r="C104" i="58"/>
  <c r="F104" i="58"/>
  <c r="A105" i="58"/>
  <c r="D105" i="58"/>
  <c r="B105" i="58"/>
  <c r="C105" i="58"/>
  <c r="F105" i="58"/>
  <c r="A106" i="58"/>
  <c r="D106" i="58"/>
  <c r="B106" i="58"/>
  <c r="C106" i="58"/>
  <c r="F106" i="58"/>
  <c r="A107" i="58"/>
  <c r="D107" i="58"/>
  <c r="B107" i="58"/>
  <c r="C107" i="58"/>
  <c r="F107" i="58"/>
  <c r="A108" i="58"/>
  <c r="D108" i="58"/>
  <c r="B108" i="58"/>
  <c r="C108" i="58"/>
  <c r="F108" i="58"/>
  <c r="A109" i="58"/>
  <c r="D109" i="58"/>
  <c r="B109" i="58"/>
  <c r="C109" i="58"/>
  <c r="F109" i="58"/>
  <c r="A110" i="58"/>
  <c r="D110" i="58"/>
  <c r="B110" i="58"/>
  <c r="C110" i="58"/>
  <c r="F110" i="58"/>
  <c r="A111" i="58"/>
  <c r="D111" i="58"/>
  <c r="B111" i="58"/>
  <c r="C111" i="58"/>
  <c r="F111" i="58"/>
  <c r="A112" i="58"/>
  <c r="D112" i="58"/>
  <c r="B112" i="58"/>
  <c r="C112" i="58"/>
  <c r="F112" i="58"/>
  <c r="A113" i="58"/>
  <c r="D113" i="58"/>
  <c r="B113" i="58"/>
  <c r="C113" i="58"/>
  <c r="F113" i="58"/>
  <c r="A114" i="58"/>
  <c r="D114" i="58"/>
  <c r="B114" i="58"/>
  <c r="C114" i="58"/>
  <c r="F114" i="58"/>
  <c r="A115" i="58"/>
  <c r="D115" i="58"/>
  <c r="B115" i="58"/>
  <c r="C115" i="58"/>
  <c r="F115" i="58"/>
  <c r="A116" i="58"/>
  <c r="D116" i="58"/>
  <c r="B116" i="58"/>
  <c r="C116" i="58"/>
  <c r="F116" i="58"/>
  <c r="A117" i="58"/>
  <c r="D117" i="58"/>
  <c r="B117" i="58"/>
  <c r="C117" i="58"/>
  <c r="F117" i="58"/>
  <c r="A118" i="58"/>
  <c r="D118" i="58"/>
  <c r="B118" i="58"/>
  <c r="C118" i="58"/>
  <c r="F118" i="58"/>
  <c r="A119" i="58"/>
  <c r="D119" i="58"/>
  <c r="B119" i="58"/>
  <c r="C119" i="58"/>
  <c r="F119" i="58"/>
  <c r="A120" i="58"/>
  <c r="D120" i="58"/>
  <c r="B120" i="58"/>
  <c r="F120" i="58"/>
  <c r="A121" i="58"/>
  <c r="D121" i="58"/>
  <c r="B121" i="58"/>
  <c r="F121" i="58"/>
  <c r="A122" i="58"/>
  <c r="D122" i="58"/>
  <c r="B122" i="58"/>
  <c r="F122" i="58"/>
  <c r="A123" i="58"/>
  <c r="D123" i="58"/>
  <c r="B123" i="58"/>
  <c r="F123" i="58"/>
  <c r="A124" i="58"/>
  <c r="D124" i="58"/>
  <c r="B124" i="58"/>
  <c r="F124" i="58"/>
  <c r="A125" i="58"/>
  <c r="D125" i="58"/>
  <c r="B125" i="58"/>
  <c r="F125" i="58"/>
  <c r="A126" i="58"/>
  <c r="D126" i="58"/>
  <c r="B126" i="58"/>
  <c r="F126" i="58"/>
  <c r="A127" i="58"/>
  <c r="D127" i="58"/>
  <c r="B127" i="58"/>
  <c r="F127" i="58"/>
  <c r="A128" i="58"/>
  <c r="D128" i="58"/>
  <c r="B128" i="58"/>
  <c r="F128" i="58"/>
  <c r="A129" i="58"/>
  <c r="D129" i="58"/>
  <c r="B129" i="58"/>
  <c r="F129" i="58"/>
  <c r="A130" i="58"/>
  <c r="D130" i="58"/>
  <c r="B130" i="58"/>
  <c r="F130" i="58"/>
  <c r="A131" i="58"/>
  <c r="D131" i="58"/>
  <c r="B131" i="58"/>
  <c r="F131" i="58"/>
  <c r="A132" i="58"/>
  <c r="D132" i="58"/>
  <c r="B132" i="58"/>
  <c r="F132" i="58"/>
  <c r="A133" i="58"/>
  <c r="D133" i="58"/>
  <c r="B133" i="58"/>
  <c r="F133" i="58"/>
  <c r="A134" i="58"/>
  <c r="D134" i="58"/>
  <c r="B134" i="58"/>
  <c r="F134" i="58"/>
  <c r="A135" i="58"/>
  <c r="D135" i="58"/>
  <c r="B135" i="58"/>
  <c r="F135" i="58"/>
  <c r="A136" i="58"/>
  <c r="D136" i="58"/>
  <c r="B136" i="58"/>
  <c r="F136" i="58"/>
  <c r="A137" i="58"/>
  <c r="D137" i="58"/>
  <c r="B137" i="58"/>
  <c r="F137" i="58"/>
  <c r="A138" i="58"/>
  <c r="D138" i="58"/>
  <c r="B138" i="58"/>
  <c r="F138" i="58"/>
  <c r="A139" i="58"/>
  <c r="D139" i="58"/>
  <c r="B139" i="58"/>
  <c r="F139" i="58"/>
  <c r="A140" i="58"/>
  <c r="D140" i="58"/>
  <c r="B140" i="58"/>
  <c r="F140" i="58"/>
  <c r="A141" i="58"/>
  <c r="D141" i="58"/>
  <c r="B141" i="58"/>
  <c r="F141" i="58"/>
  <c r="A142" i="58"/>
  <c r="D142" i="58"/>
  <c r="B142" i="58"/>
  <c r="F142" i="58"/>
  <c r="A143" i="58"/>
  <c r="D143" i="58"/>
  <c r="B143" i="58"/>
  <c r="F143" i="58"/>
  <c r="A144" i="58"/>
  <c r="D144" i="58"/>
  <c r="B144" i="58"/>
  <c r="F144" i="58"/>
  <c r="A145" i="58"/>
  <c r="D145" i="58"/>
  <c r="B145" i="58"/>
  <c r="F145" i="58"/>
  <c r="A146" i="58"/>
  <c r="D146" i="58"/>
  <c r="B146" i="58"/>
  <c r="F146" i="58"/>
  <c r="A147" i="58"/>
  <c r="D147" i="58"/>
  <c r="B147" i="58"/>
  <c r="F147" i="58"/>
  <c r="A148" i="58"/>
  <c r="D148" i="58"/>
  <c r="B148" i="58"/>
  <c r="F148" i="58"/>
  <c r="A149" i="58"/>
  <c r="D149" i="58"/>
  <c r="B149" i="58"/>
  <c r="F149" i="58"/>
  <c r="A150" i="58"/>
  <c r="D150" i="58"/>
  <c r="B150" i="58"/>
  <c r="F150" i="58"/>
  <c r="A151" i="58"/>
  <c r="D151" i="58"/>
  <c r="B151" i="58"/>
  <c r="F151" i="58"/>
  <c r="A152" i="58"/>
  <c r="D152" i="58"/>
  <c r="B152" i="58"/>
  <c r="F152" i="58"/>
  <c r="A153" i="58"/>
  <c r="D153" i="58"/>
  <c r="B153" i="58"/>
  <c r="F153" i="58"/>
  <c r="A154" i="58"/>
  <c r="D154" i="58"/>
  <c r="B154" i="58"/>
  <c r="F154" i="58"/>
  <c r="A155" i="58"/>
  <c r="D155" i="58"/>
  <c r="B155" i="58"/>
  <c r="F155" i="58"/>
  <c r="A156" i="58"/>
  <c r="D156" i="58"/>
  <c r="B156" i="58"/>
  <c r="F156" i="58"/>
  <c r="A157" i="58"/>
  <c r="D157" i="58"/>
  <c r="B157" i="58"/>
  <c r="F157" i="58"/>
  <c r="A158" i="58"/>
  <c r="D158" i="58"/>
  <c r="B158" i="58"/>
  <c r="F158" i="58"/>
  <c r="A159" i="58"/>
  <c r="D159" i="58"/>
  <c r="B159" i="58"/>
  <c r="F159" i="58"/>
  <c r="A160" i="58"/>
  <c r="D160" i="58"/>
  <c r="B160" i="58"/>
  <c r="F160" i="58"/>
  <c r="A161" i="58"/>
  <c r="D161" i="58"/>
  <c r="B161" i="58"/>
  <c r="F161" i="58"/>
  <c r="A162" i="58"/>
  <c r="D162" i="58"/>
  <c r="B162" i="58"/>
  <c r="C162" i="58"/>
  <c r="F162" i="58"/>
  <c r="A163" i="58"/>
  <c r="D163" i="58"/>
  <c r="B163" i="58"/>
  <c r="C163" i="58"/>
  <c r="F163" i="58"/>
  <c r="A164" i="58"/>
  <c r="D164" i="58"/>
  <c r="B164" i="58"/>
  <c r="C164" i="58"/>
  <c r="F164" i="58"/>
  <c r="A165" i="58"/>
  <c r="D165" i="58"/>
  <c r="B165" i="58"/>
  <c r="C165" i="58"/>
  <c r="F165" i="58"/>
  <c r="A166" i="58"/>
  <c r="D166" i="58"/>
  <c r="B166" i="58"/>
  <c r="C166" i="58"/>
  <c r="F166" i="58"/>
  <c r="A167" i="58"/>
  <c r="D167" i="58"/>
  <c r="B167" i="58"/>
  <c r="C167" i="58"/>
  <c r="F167" i="58"/>
  <c r="A168" i="58"/>
  <c r="D168" i="58"/>
  <c r="B168" i="58"/>
  <c r="F168" i="58"/>
  <c r="A169" i="58"/>
  <c r="D169" i="58"/>
  <c r="B169" i="58"/>
  <c r="F169" i="58"/>
  <c r="A170" i="58"/>
  <c r="D170" i="58"/>
  <c r="B170" i="58"/>
  <c r="F170" i="58"/>
  <c r="A171" i="58"/>
  <c r="D171" i="58"/>
  <c r="B171" i="58"/>
  <c r="F171" i="58"/>
  <c r="A172" i="58"/>
  <c r="D172" i="58"/>
  <c r="B172" i="58"/>
  <c r="F172" i="58"/>
  <c r="A173" i="58"/>
  <c r="D173" i="58"/>
  <c r="B173" i="58"/>
  <c r="F173" i="58"/>
  <c r="A174" i="58"/>
  <c r="D174" i="58"/>
  <c r="B174" i="58"/>
  <c r="F174" i="58"/>
  <c r="A175" i="58"/>
  <c r="D175" i="58"/>
  <c r="B175" i="58"/>
  <c r="F175" i="58"/>
  <c r="A176" i="58"/>
  <c r="D176" i="58"/>
  <c r="B176" i="58"/>
  <c r="F176" i="58"/>
  <c r="A177" i="58"/>
  <c r="D177" i="58"/>
  <c r="B177" i="58"/>
  <c r="F177" i="58"/>
  <c r="A178" i="58"/>
  <c r="D178" i="58"/>
  <c r="B178" i="58"/>
  <c r="F178" i="58"/>
  <c r="A179" i="58"/>
  <c r="D179" i="58"/>
  <c r="B179" i="58"/>
  <c r="F179" i="58"/>
  <c r="A180" i="58"/>
  <c r="D180" i="58"/>
  <c r="B180" i="58"/>
  <c r="F180" i="58"/>
  <c r="A181" i="58"/>
  <c r="D181" i="58"/>
  <c r="B181" i="58"/>
  <c r="F181" i="58"/>
  <c r="A182" i="58"/>
  <c r="D182" i="58"/>
  <c r="B182" i="58"/>
  <c r="F182" i="58"/>
  <c r="A183" i="58"/>
  <c r="D183" i="58"/>
  <c r="B183" i="58"/>
  <c r="F183" i="58"/>
  <c r="A184" i="58"/>
  <c r="D184" i="58"/>
  <c r="B184" i="58"/>
  <c r="F184" i="58"/>
  <c r="A185" i="58"/>
  <c r="D185" i="58"/>
  <c r="B185" i="58"/>
  <c r="F185" i="58"/>
  <c r="A186" i="58"/>
  <c r="D186" i="58"/>
  <c r="B186" i="58"/>
  <c r="F186" i="58"/>
  <c r="A187" i="58"/>
  <c r="D187" i="58"/>
  <c r="B187" i="58"/>
  <c r="F187" i="58"/>
  <c r="A188" i="58"/>
  <c r="D188" i="58"/>
  <c r="B188" i="58"/>
  <c r="F188" i="58"/>
  <c r="A189" i="58"/>
  <c r="D189" i="58"/>
  <c r="B189" i="58"/>
  <c r="F189" i="58"/>
  <c r="A190" i="58"/>
  <c r="D190" i="58"/>
  <c r="B190" i="58"/>
  <c r="F190" i="58"/>
  <c r="A191" i="58"/>
  <c r="D191" i="58"/>
  <c r="B191" i="58"/>
  <c r="F191" i="58"/>
  <c r="A192" i="58"/>
  <c r="D192" i="58"/>
  <c r="B192" i="58"/>
  <c r="F192" i="58"/>
  <c r="A193" i="58"/>
  <c r="D193" i="58"/>
  <c r="B193" i="58"/>
  <c r="F193" i="58"/>
  <c r="A194" i="58"/>
  <c r="D194" i="58"/>
  <c r="B194" i="58"/>
  <c r="F194" i="58"/>
  <c r="A195" i="58"/>
  <c r="D195" i="58"/>
  <c r="B195" i="58"/>
  <c r="F195" i="58"/>
  <c r="A196" i="58"/>
  <c r="D196" i="58"/>
  <c r="B196" i="58"/>
  <c r="F196" i="58"/>
  <c r="A197" i="58"/>
  <c r="D197" i="58"/>
  <c r="B197" i="58"/>
  <c r="F197" i="58"/>
  <c r="A198" i="58"/>
  <c r="D198" i="58"/>
  <c r="B198" i="58"/>
  <c r="F198" i="58"/>
  <c r="A199" i="58"/>
  <c r="D199" i="58"/>
  <c r="B199" i="58"/>
  <c r="F199" i="58"/>
  <c r="A200" i="58"/>
  <c r="D200" i="58"/>
  <c r="B200" i="58"/>
  <c r="F200" i="58"/>
  <c r="A201" i="58"/>
  <c r="D201" i="58"/>
  <c r="B201" i="58"/>
  <c r="F201" i="58"/>
  <c r="A202" i="58"/>
  <c r="D202" i="58"/>
  <c r="B202" i="58"/>
  <c r="F202" i="58"/>
  <c r="A203" i="58"/>
  <c r="D203" i="58"/>
  <c r="B203" i="58"/>
  <c r="F203" i="58"/>
  <c r="A204" i="58"/>
  <c r="D204" i="58"/>
  <c r="B204" i="58"/>
  <c r="F204" i="58"/>
  <c r="A205" i="58"/>
  <c r="D205" i="58"/>
  <c r="B205" i="58"/>
  <c r="F205" i="58"/>
  <c r="A206" i="58"/>
  <c r="D206" i="58"/>
  <c r="B206" i="58"/>
  <c r="F206" i="58"/>
  <c r="A207" i="58"/>
  <c r="D207" i="58"/>
  <c r="B207" i="58"/>
  <c r="F207" i="58"/>
  <c r="A208" i="58"/>
  <c r="D208" i="58"/>
  <c r="B208" i="58"/>
  <c r="F208" i="58"/>
  <c r="A209" i="58"/>
  <c r="D209" i="58"/>
  <c r="B209" i="58"/>
  <c r="F209" i="58"/>
  <c r="A210" i="58"/>
  <c r="D210" i="58"/>
  <c r="B210" i="58"/>
  <c r="F210" i="58"/>
  <c r="A211" i="58"/>
  <c r="D211" i="58"/>
  <c r="B211" i="58"/>
  <c r="F211" i="58"/>
  <c r="A212" i="58"/>
  <c r="D212" i="58"/>
  <c r="B212" i="58"/>
  <c r="F212" i="58"/>
  <c r="A213" i="58"/>
  <c r="D213" i="58"/>
  <c r="B213" i="58"/>
  <c r="F213" i="58"/>
  <c r="A214" i="58"/>
  <c r="D214" i="58"/>
  <c r="B214" i="58"/>
  <c r="F214" i="58"/>
  <c r="A215" i="58"/>
  <c r="D215" i="58"/>
  <c r="B215" i="58"/>
  <c r="F215" i="58"/>
  <c r="A216" i="58"/>
  <c r="D216" i="58"/>
  <c r="B216" i="58"/>
  <c r="F216" i="58"/>
  <c r="A217" i="58"/>
  <c r="D217" i="58"/>
  <c r="B217" i="58"/>
  <c r="F217" i="58"/>
  <c r="A218" i="58"/>
  <c r="D218" i="58"/>
  <c r="B218" i="58"/>
  <c r="F218" i="58"/>
  <c r="A219" i="58"/>
  <c r="D219" i="58"/>
  <c r="B219" i="58"/>
  <c r="F219" i="58"/>
  <c r="A220" i="58"/>
  <c r="D220" i="58"/>
  <c r="B220" i="58"/>
  <c r="F220" i="58"/>
  <c r="A221" i="58"/>
  <c r="D221" i="58"/>
  <c r="B221" i="58"/>
  <c r="F221" i="58"/>
  <c r="A222" i="58"/>
  <c r="D222" i="58"/>
  <c r="B222" i="58"/>
  <c r="F222" i="58"/>
  <c r="A223" i="58"/>
  <c r="D223" i="58"/>
  <c r="B223" i="58"/>
  <c r="F223" i="58"/>
  <c r="A224" i="58"/>
  <c r="D224" i="58"/>
  <c r="B224" i="58"/>
  <c r="F224" i="58"/>
  <c r="A225" i="58"/>
  <c r="D225" i="58"/>
  <c r="B225" i="58"/>
  <c r="F225" i="58"/>
  <c r="A226" i="58"/>
  <c r="D226" i="58"/>
  <c r="B226" i="58"/>
  <c r="F226" i="58"/>
  <c r="A227" i="58"/>
  <c r="D227" i="58"/>
  <c r="B227" i="58"/>
  <c r="F227" i="58"/>
  <c r="A228" i="58"/>
  <c r="D228" i="58"/>
  <c r="B228" i="58"/>
  <c r="F228" i="58"/>
  <c r="A229" i="58"/>
  <c r="D229" i="58"/>
  <c r="B229" i="58"/>
  <c r="F229" i="58"/>
  <c r="A230" i="58"/>
  <c r="D230" i="58"/>
  <c r="B230" i="58"/>
  <c r="F230" i="58"/>
  <c r="A231" i="58"/>
  <c r="D231" i="58"/>
  <c r="B231" i="58"/>
  <c r="F231" i="58"/>
  <c r="A232" i="58"/>
  <c r="D232" i="58"/>
  <c r="B232" i="58"/>
  <c r="F232" i="58"/>
  <c r="A233" i="58"/>
  <c r="D233" i="58"/>
  <c r="B233" i="58"/>
  <c r="F233" i="58"/>
  <c r="A234" i="58"/>
  <c r="D234" i="58"/>
  <c r="B234" i="58"/>
  <c r="F234" i="58"/>
  <c r="A235" i="58"/>
  <c r="D235" i="58"/>
  <c r="B235" i="58"/>
  <c r="F235" i="58"/>
  <c r="A236" i="58"/>
  <c r="D236" i="58"/>
  <c r="B236" i="58"/>
  <c r="F236" i="58"/>
  <c r="A237" i="58"/>
  <c r="D237" i="58"/>
  <c r="B237" i="58"/>
  <c r="F237" i="58"/>
  <c r="A238" i="58"/>
  <c r="D238" i="58"/>
  <c r="B238" i="58"/>
  <c r="F238" i="58"/>
  <c r="A239" i="58"/>
  <c r="D239" i="58"/>
  <c r="B239" i="58"/>
  <c r="F239" i="58"/>
  <c r="A240" i="58"/>
  <c r="D240" i="58"/>
  <c r="B240" i="58"/>
  <c r="F240" i="58"/>
  <c r="A241" i="58"/>
  <c r="D241" i="58"/>
  <c r="B241" i="58"/>
  <c r="F241" i="58"/>
  <c r="A242" i="58"/>
  <c r="D242" i="58"/>
  <c r="B242" i="58"/>
  <c r="F242" i="58"/>
  <c r="A243" i="58"/>
  <c r="D243" i="58"/>
  <c r="B243" i="58"/>
  <c r="F243" i="58"/>
  <c r="A244" i="58"/>
  <c r="D244" i="58"/>
  <c r="B244" i="58"/>
  <c r="F244" i="58"/>
  <c r="A245" i="58"/>
  <c r="D245" i="58"/>
  <c r="B245" i="58"/>
  <c r="F245" i="58"/>
  <c r="A246" i="58"/>
  <c r="D246" i="58"/>
  <c r="B246" i="58"/>
  <c r="F246" i="58"/>
  <c r="A247" i="58"/>
  <c r="D247" i="58"/>
  <c r="B247" i="58"/>
  <c r="F247" i="58"/>
  <c r="A248" i="58"/>
  <c r="D248" i="58"/>
  <c r="B248" i="58"/>
  <c r="F248" i="58"/>
  <c r="A249" i="58"/>
  <c r="D249" i="58"/>
  <c r="B249" i="58"/>
  <c r="F249" i="58"/>
  <c r="A250" i="58"/>
  <c r="D250" i="58"/>
  <c r="B250" i="58"/>
  <c r="F250" i="58"/>
  <c r="A251" i="58"/>
  <c r="D251" i="58"/>
  <c r="B251" i="58"/>
  <c r="F251" i="58"/>
  <c r="A252" i="58"/>
  <c r="D252" i="58"/>
  <c r="B252" i="58"/>
  <c r="F252" i="58"/>
  <c r="A253" i="58"/>
  <c r="D253" i="58"/>
  <c r="B253" i="58"/>
  <c r="F253" i="58"/>
  <c r="A254" i="58"/>
  <c r="D254" i="58"/>
  <c r="B254" i="58"/>
  <c r="F254" i="58"/>
  <c r="A255" i="58"/>
  <c r="D255" i="58"/>
  <c r="B255" i="58"/>
  <c r="F255" i="58"/>
  <c r="A256" i="58"/>
  <c r="D256" i="58"/>
  <c r="B256" i="58"/>
  <c r="F256" i="58"/>
  <c r="A257" i="58"/>
  <c r="D257" i="58"/>
  <c r="B257" i="58"/>
  <c r="F257" i="58"/>
  <c r="A258" i="58"/>
  <c r="D258" i="58"/>
  <c r="B258" i="58"/>
  <c r="F258" i="58"/>
  <c r="A259" i="58"/>
  <c r="D259" i="58"/>
  <c r="B259" i="58"/>
  <c r="F259" i="58"/>
  <c r="A260" i="58"/>
  <c r="D260" i="58"/>
  <c r="B260" i="58"/>
  <c r="F260" i="58"/>
  <c r="A261" i="58"/>
  <c r="D261" i="58"/>
  <c r="B261" i="58"/>
  <c r="F261" i="58"/>
  <c r="A262" i="58"/>
  <c r="D262" i="58"/>
  <c r="B262" i="58"/>
  <c r="F262" i="58"/>
  <c r="A263" i="58"/>
  <c r="D263" i="58"/>
  <c r="B263" i="58"/>
  <c r="F263" i="58"/>
  <c r="A264" i="58"/>
  <c r="D264" i="58"/>
  <c r="B264" i="58"/>
  <c r="F264" i="58"/>
  <c r="A265" i="58"/>
  <c r="D265" i="58"/>
  <c r="B265" i="58"/>
  <c r="F265" i="58"/>
  <c r="A266" i="58"/>
  <c r="D266" i="58"/>
  <c r="B266" i="58"/>
  <c r="F266" i="58"/>
  <c r="A267" i="58"/>
  <c r="D267" i="58"/>
  <c r="B267" i="58"/>
  <c r="F267" i="58"/>
  <c r="A268" i="58"/>
  <c r="D268" i="58"/>
  <c r="B268" i="58"/>
  <c r="F268" i="58"/>
  <c r="A269" i="58"/>
  <c r="D269" i="58"/>
  <c r="B269" i="58"/>
  <c r="F269" i="58"/>
  <c r="A270" i="58"/>
  <c r="D270" i="58"/>
  <c r="B270" i="58"/>
  <c r="F270" i="58"/>
  <c r="A271" i="58"/>
  <c r="D271" i="58"/>
  <c r="B271" i="58"/>
  <c r="F271" i="58"/>
  <c r="A272" i="58"/>
  <c r="D272" i="58"/>
  <c r="B272" i="58"/>
  <c r="F272" i="58"/>
  <c r="A273" i="58"/>
  <c r="D273" i="58"/>
  <c r="B273" i="58"/>
  <c r="F273" i="58"/>
  <c r="A274" i="58"/>
  <c r="D274" i="58"/>
  <c r="B274" i="58"/>
  <c r="F274" i="58"/>
  <c r="A275" i="58"/>
  <c r="D275" i="58"/>
  <c r="B275" i="58"/>
  <c r="F275" i="58"/>
  <c r="A276" i="58"/>
  <c r="D276" i="58"/>
  <c r="B276" i="58"/>
  <c r="F276" i="58"/>
  <c r="A277" i="58"/>
  <c r="D277" i="58"/>
  <c r="B277" i="58"/>
  <c r="F277" i="58"/>
  <c r="A278" i="58"/>
  <c r="D278" i="58"/>
  <c r="B278" i="58"/>
  <c r="F278" i="58"/>
  <c r="A279" i="58"/>
  <c r="D279" i="58"/>
  <c r="B279" i="58"/>
  <c r="F279" i="58"/>
  <c r="A280" i="58"/>
  <c r="D280" i="58"/>
  <c r="B280" i="58"/>
  <c r="F280" i="58"/>
  <c r="A281" i="58"/>
  <c r="D281" i="58"/>
  <c r="B281" i="58"/>
  <c r="F281" i="58"/>
  <c r="A282" i="58"/>
  <c r="D282" i="58"/>
  <c r="B282" i="58"/>
  <c r="F282" i="58"/>
  <c r="A283" i="58"/>
  <c r="D283" i="58"/>
  <c r="B283" i="58"/>
  <c r="F283" i="58"/>
  <c r="A284" i="58"/>
  <c r="D284" i="58"/>
  <c r="B284" i="58"/>
  <c r="F284" i="58"/>
  <c r="A285" i="58"/>
  <c r="D285" i="58"/>
  <c r="B285" i="58"/>
  <c r="F285" i="58"/>
  <c r="A286" i="58"/>
  <c r="D286" i="58"/>
  <c r="B286" i="58"/>
  <c r="F286" i="58"/>
  <c r="A287" i="58"/>
  <c r="D287" i="58"/>
  <c r="B287" i="58"/>
  <c r="F287" i="58"/>
  <c r="A288" i="58"/>
  <c r="D288" i="58"/>
  <c r="B288" i="58"/>
  <c r="F288" i="58"/>
  <c r="A289" i="58"/>
  <c r="D289" i="58"/>
  <c r="B289" i="58"/>
  <c r="F289" i="58"/>
  <c r="A290" i="58"/>
  <c r="D290" i="58"/>
  <c r="B290" i="58"/>
  <c r="F290" i="58"/>
  <c r="A291" i="58"/>
  <c r="D291" i="58"/>
  <c r="B291" i="58"/>
  <c r="F291" i="58"/>
  <c r="A292" i="58"/>
  <c r="D292" i="58"/>
  <c r="B292" i="58"/>
  <c r="F292" i="58"/>
  <c r="A293" i="58"/>
  <c r="D293" i="58"/>
  <c r="B293" i="58"/>
  <c r="F293" i="58"/>
  <c r="A294" i="58"/>
  <c r="D294" i="58"/>
  <c r="B294" i="58"/>
  <c r="F294" i="58"/>
  <c r="A295" i="58"/>
  <c r="D295" i="58"/>
  <c r="B295" i="58"/>
  <c r="F295" i="58"/>
  <c r="A296" i="58"/>
  <c r="D296" i="58"/>
  <c r="B296" i="58"/>
  <c r="F296" i="58"/>
  <c r="A297" i="58"/>
  <c r="D297" i="58"/>
  <c r="B297" i="58"/>
  <c r="F297" i="58"/>
  <c r="A298" i="58"/>
  <c r="D298" i="58"/>
  <c r="B298" i="58"/>
  <c r="F298" i="58"/>
  <c r="A299" i="58"/>
  <c r="D299" i="58"/>
  <c r="B299" i="58"/>
  <c r="F299" i="58"/>
  <c r="A300" i="58"/>
  <c r="D300" i="58"/>
  <c r="B300" i="58"/>
  <c r="F300" i="58"/>
  <c r="A301" i="58"/>
  <c r="D301" i="58"/>
  <c r="B301" i="58"/>
  <c r="F301" i="58"/>
  <c r="A302" i="58"/>
  <c r="D302" i="58"/>
  <c r="B302" i="58"/>
  <c r="F302" i="58"/>
  <c r="A303" i="58"/>
  <c r="D303" i="58"/>
  <c r="B303" i="58"/>
  <c r="F303" i="58"/>
  <c r="A304" i="58"/>
  <c r="D304" i="58"/>
  <c r="B304" i="58"/>
  <c r="F304" i="58"/>
  <c r="A305" i="58"/>
  <c r="D305" i="58"/>
  <c r="B305" i="58"/>
  <c r="F305" i="58"/>
  <c r="A306" i="58"/>
  <c r="D306" i="58"/>
  <c r="B306" i="58"/>
  <c r="F306" i="58"/>
  <c r="A307" i="58"/>
  <c r="D307" i="58"/>
  <c r="B307" i="58"/>
  <c r="F307" i="58"/>
  <c r="A308" i="58"/>
  <c r="D308" i="58"/>
  <c r="B308" i="58"/>
  <c r="F308" i="58"/>
  <c r="A309" i="58"/>
  <c r="D309" i="58"/>
  <c r="B309" i="58"/>
  <c r="F309" i="58"/>
  <c r="A310" i="58"/>
  <c r="D310" i="58"/>
  <c r="B310" i="58"/>
  <c r="F310" i="58"/>
  <c r="A311" i="58"/>
  <c r="D311" i="58"/>
  <c r="B311" i="58"/>
  <c r="F311" i="58"/>
  <c r="A312" i="58"/>
  <c r="D312" i="58"/>
  <c r="B312" i="58"/>
  <c r="F312" i="58"/>
  <c r="A313" i="58"/>
  <c r="D313" i="58"/>
  <c r="B313" i="58"/>
  <c r="F313" i="58"/>
  <c r="A314" i="58"/>
  <c r="D314" i="58"/>
  <c r="B314" i="58"/>
  <c r="F314" i="58"/>
  <c r="A315" i="58"/>
  <c r="D315" i="58"/>
  <c r="B315" i="58"/>
  <c r="F315" i="58"/>
  <c r="A316" i="58"/>
  <c r="D316" i="58"/>
  <c r="B316" i="58"/>
  <c r="F316" i="58"/>
  <c r="A317" i="58"/>
  <c r="D317" i="58"/>
  <c r="B317" i="58"/>
  <c r="F317" i="58"/>
  <c r="A318" i="58"/>
  <c r="D318" i="58"/>
  <c r="B318" i="58"/>
  <c r="F318" i="58"/>
  <c r="A319" i="58"/>
  <c r="D319" i="58"/>
  <c r="B319" i="58"/>
  <c r="F319" i="58"/>
  <c r="A320" i="58"/>
  <c r="D320" i="58"/>
  <c r="B320" i="58"/>
  <c r="F320" i="58"/>
  <c r="A321" i="58"/>
  <c r="D321" i="58"/>
  <c r="B321" i="58"/>
  <c r="F321" i="58"/>
  <c r="A322" i="58"/>
  <c r="D322" i="58"/>
  <c r="B322" i="58"/>
  <c r="F322" i="58"/>
  <c r="A323" i="58"/>
  <c r="D323" i="58"/>
  <c r="B323" i="58"/>
  <c r="F323" i="58"/>
  <c r="A324" i="58"/>
  <c r="D324" i="58"/>
  <c r="B324" i="58"/>
  <c r="F324" i="58"/>
  <c r="A325" i="58"/>
  <c r="D325" i="58"/>
  <c r="B325" i="58"/>
  <c r="F325" i="58"/>
  <c r="A326" i="58"/>
  <c r="D326" i="58"/>
  <c r="B326" i="58"/>
  <c r="F326" i="58"/>
  <c r="A327" i="58"/>
  <c r="D327" i="58"/>
  <c r="B327" i="58"/>
  <c r="F327" i="58"/>
  <c r="A328" i="58"/>
  <c r="D328" i="58"/>
  <c r="B328" i="58"/>
  <c r="F328" i="58"/>
  <c r="A329" i="58"/>
  <c r="D329" i="58"/>
  <c r="B329" i="58"/>
  <c r="F329" i="58"/>
  <c r="A330" i="58"/>
  <c r="D330" i="58"/>
  <c r="B330" i="58"/>
  <c r="F330" i="58"/>
  <c r="A331" i="58"/>
  <c r="D331" i="58"/>
  <c r="B331" i="58"/>
  <c r="F331" i="58"/>
  <c r="A332" i="58"/>
  <c r="D332" i="58"/>
  <c r="B332" i="58"/>
  <c r="F332" i="58"/>
  <c r="A333" i="58"/>
  <c r="D333" i="58"/>
  <c r="B333" i="58"/>
  <c r="F333" i="58"/>
  <c r="A334" i="58"/>
  <c r="D334" i="58"/>
  <c r="B334" i="58"/>
  <c r="F334" i="58"/>
  <c r="A335" i="58"/>
  <c r="D335" i="58"/>
  <c r="B335" i="58"/>
  <c r="F335" i="58"/>
  <c r="A336" i="58"/>
  <c r="D336" i="58"/>
  <c r="B336" i="58"/>
  <c r="F336" i="58"/>
  <c r="A337" i="58"/>
  <c r="D337" i="58"/>
  <c r="B337" i="58"/>
  <c r="F337" i="58"/>
  <c r="A338" i="58"/>
  <c r="D338" i="58"/>
  <c r="B338" i="58"/>
  <c r="F338" i="58"/>
  <c r="A339" i="58"/>
  <c r="D339" i="58"/>
  <c r="B339" i="58"/>
  <c r="F339" i="58"/>
  <c r="A340" i="58"/>
  <c r="D340" i="58"/>
  <c r="B340" i="58"/>
  <c r="F340" i="58"/>
  <c r="A341" i="58"/>
  <c r="D341" i="58"/>
  <c r="B341" i="58"/>
  <c r="F341" i="58"/>
  <c r="A342" i="58"/>
  <c r="D342" i="58"/>
  <c r="B342" i="58"/>
  <c r="F342" i="58"/>
  <c r="A343" i="58"/>
  <c r="D343" i="58"/>
  <c r="B343" i="58"/>
  <c r="F343" i="58"/>
  <c r="A344" i="58"/>
  <c r="D344" i="58"/>
  <c r="B344" i="58"/>
  <c r="F344" i="58"/>
  <c r="A345" i="58"/>
  <c r="D345" i="58"/>
  <c r="B345" i="58"/>
  <c r="F345" i="58"/>
  <c r="A346" i="58"/>
  <c r="D346" i="58"/>
  <c r="B346" i="58"/>
  <c r="F346" i="58"/>
  <c r="A347" i="58"/>
  <c r="D347" i="58"/>
  <c r="B347" i="58"/>
  <c r="F347" i="58"/>
  <c r="A348" i="58"/>
  <c r="D348" i="58"/>
  <c r="B348" i="58"/>
  <c r="F348" i="58"/>
  <c r="A349" i="58"/>
  <c r="D349" i="58"/>
  <c r="B349" i="58"/>
  <c r="F349" i="58"/>
  <c r="A350" i="58"/>
  <c r="D350" i="58"/>
  <c r="B350" i="58"/>
  <c r="F350" i="58"/>
  <c r="A351" i="58"/>
  <c r="D351" i="58"/>
  <c r="B351" i="58"/>
  <c r="F351" i="58"/>
  <c r="A352" i="58"/>
  <c r="D352" i="58"/>
  <c r="B352" i="58"/>
  <c r="F352" i="58"/>
  <c r="A353" i="58"/>
  <c r="D353" i="58"/>
  <c r="B353" i="58"/>
  <c r="F353" i="58"/>
  <c r="A354" i="58"/>
  <c r="D354" i="58"/>
  <c r="B354" i="58"/>
  <c r="F354" i="58"/>
  <c r="A355" i="58"/>
  <c r="D355" i="58"/>
  <c r="B355" i="58"/>
  <c r="F355" i="58"/>
  <c r="A356" i="58"/>
  <c r="D356" i="58"/>
  <c r="B356" i="58"/>
  <c r="F356" i="58"/>
  <c r="A357" i="58"/>
  <c r="D357" i="58"/>
  <c r="B357" i="58"/>
  <c r="F357" i="58"/>
  <c r="A358" i="58"/>
  <c r="D358" i="58"/>
  <c r="B358" i="58"/>
  <c r="F358" i="58"/>
  <c r="A359" i="58"/>
  <c r="D359" i="58"/>
  <c r="B359" i="58"/>
  <c r="F359" i="58"/>
  <c r="A360" i="58"/>
  <c r="D360" i="58"/>
  <c r="B360" i="58"/>
  <c r="F360" i="58"/>
  <c r="A361" i="58"/>
  <c r="D361" i="58"/>
  <c r="B361" i="58"/>
  <c r="F361" i="58"/>
  <c r="A362" i="58"/>
  <c r="D362" i="58"/>
  <c r="B362" i="58"/>
  <c r="F362" i="58"/>
  <c r="A363" i="58"/>
  <c r="D363" i="58"/>
  <c r="B363" i="58"/>
  <c r="F363" i="58"/>
  <c r="A364" i="58"/>
  <c r="D364" i="58"/>
  <c r="B364" i="58"/>
  <c r="F364" i="58"/>
  <c r="A365" i="58"/>
  <c r="D365" i="58"/>
  <c r="B365" i="58"/>
  <c r="F365" i="58"/>
  <c r="A366" i="58"/>
  <c r="D366" i="58"/>
  <c r="B366" i="58"/>
  <c r="F366" i="58"/>
  <c r="A367" i="58"/>
  <c r="D367" i="58"/>
  <c r="B367" i="58"/>
  <c r="F367" i="58"/>
  <c r="A368" i="58"/>
  <c r="D368" i="58"/>
  <c r="B368" i="58"/>
  <c r="F368" i="58"/>
  <c r="A369" i="58"/>
  <c r="D369" i="58"/>
  <c r="B369" i="58"/>
  <c r="F369" i="58"/>
  <c r="A370" i="58"/>
  <c r="D370" i="58"/>
  <c r="B370" i="58"/>
  <c r="F370" i="58"/>
  <c r="A371" i="58"/>
  <c r="D371" i="58"/>
  <c r="B371" i="58"/>
  <c r="F371" i="58"/>
  <c r="A372" i="58"/>
  <c r="D372" i="58"/>
  <c r="B372" i="58"/>
  <c r="F372" i="58"/>
  <c r="A373" i="58"/>
  <c r="D373" i="58"/>
  <c r="B373" i="58"/>
  <c r="F373" i="58"/>
  <c r="A374" i="58"/>
  <c r="D374" i="58"/>
  <c r="B374" i="58"/>
  <c r="F374" i="58"/>
  <c r="A375" i="58"/>
  <c r="D375" i="58"/>
  <c r="B375" i="58"/>
  <c r="F375" i="58"/>
  <c r="A376" i="58"/>
  <c r="D376" i="58"/>
  <c r="B376" i="58"/>
  <c r="F376" i="58"/>
  <c r="A377" i="58"/>
  <c r="D377" i="58"/>
  <c r="B377" i="58"/>
  <c r="F377" i="58"/>
  <c r="A378" i="58"/>
  <c r="D378" i="58"/>
  <c r="B378" i="58"/>
  <c r="F378" i="58"/>
  <c r="A379" i="58"/>
  <c r="D379" i="58"/>
  <c r="B379" i="58"/>
  <c r="F379" i="58"/>
  <c r="A380" i="58"/>
  <c r="D380" i="58"/>
  <c r="B380" i="58"/>
  <c r="F380" i="58"/>
  <c r="A381" i="58"/>
  <c r="D381" i="58"/>
  <c r="B381" i="58"/>
  <c r="F381" i="58"/>
  <c r="A382" i="58"/>
  <c r="D382" i="58"/>
  <c r="B382" i="58"/>
  <c r="F382" i="58"/>
  <c r="A383" i="58"/>
  <c r="D383" i="58"/>
  <c r="B383" i="58"/>
  <c r="F383" i="58"/>
  <c r="A384" i="58"/>
  <c r="D384" i="58"/>
  <c r="B384" i="58"/>
  <c r="F384" i="58"/>
  <c r="A385" i="58"/>
  <c r="D385" i="58"/>
  <c r="B385" i="58"/>
  <c r="F385" i="58"/>
  <c r="A386" i="58"/>
  <c r="D386" i="58"/>
  <c r="B386" i="58"/>
  <c r="F386" i="58"/>
  <c r="A387" i="58"/>
  <c r="D387" i="58"/>
  <c r="B387" i="58"/>
  <c r="F387" i="58"/>
  <c r="A388" i="58"/>
  <c r="D388" i="58"/>
  <c r="B388" i="58"/>
  <c r="F388" i="58"/>
  <c r="A389" i="58"/>
  <c r="D389" i="58"/>
  <c r="B389" i="58"/>
  <c r="F389" i="58"/>
  <c r="A390" i="58"/>
  <c r="D390" i="58"/>
  <c r="B390" i="58"/>
  <c r="F390" i="58"/>
  <c r="A391" i="58"/>
  <c r="D391" i="58"/>
  <c r="B391" i="58"/>
  <c r="F391" i="58"/>
  <c r="A392" i="58"/>
  <c r="D392" i="58"/>
  <c r="B392" i="58"/>
  <c r="F392" i="58"/>
  <c r="A393" i="58"/>
  <c r="D393" i="58"/>
  <c r="B393" i="58"/>
  <c r="F393" i="58"/>
  <c r="A394" i="58"/>
  <c r="D394" i="58"/>
  <c r="B394" i="58"/>
  <c r="F394" i="58"/>
  <c r="A395" i="58"/>
  <c r="D395" i="58"/>
  <c r="B395" i="58"/>
  <c r="F395" i="58"/>
  <c r="A396" i="58"/>
  <c r="D396" i="58"/>
  <c r="B396" i="58"/>
  <c r="F396" i="58"/>
  <c r="A397" i="58"/>
  <c r="D397" i="58"/>
  <c r="B397" i="58"/>
  <c r="F397" i="58"/>
  <c r="A398" i="58"/>
  <c r="D398" i="58"/>
  <c r="B398" i="58"/>
  <c r="F398" i="58"/>
  <c r="A399" i="58"/>
  <c r="D399" i="58"/>
  <c r="B399" i="58"/>
  <c r="F399" i="58"/>
  <c r="A400" i="58"/>
  <c r="D400" i="58"/>
  <c r="B400" i="58"/>
  <c r="F400" i="58"/>
  <c r="A401" i="58"/>
  <c r="D401" i="58"/>
  <c r="B401" i="58"/>
  <c r="F401" i="58"/>
  <c r="A402" i="58"/>
  <c r="D402" i="58"/>
  <c r="F1" i="58"/>
  <c r="F2" i="58"/>
  <c r="F403" i="58"/>
  <c r="F404" i="58"/>
  <c r="F405" i="58"/>
  <c r="F407" i="58"/>
  <c r="F408" i="58"/>
  <c r="F409" i="58"/>
  <c r="F410" i="58"/>
  <c r="F411" i="58"/>
  <c r="F412" i="58"/>
  <c r="F413" i="58"/>
  <c r="F414" i="58"/>
  <c r="F415" i="58"/>
  <c r="F416" i="58"/>
  <c r="F417" i="58"/>
  <c r="F418" i="58"/>
  <c r="F419" i="58"/>
  <c r="F420" i="58"/>
  <c r="F421" i="58"/>
  <c r="F422" i="58"/>
  <c r="F423" i="58"/>
  <c r="F424" i="58"/>
  <c r="F425" i="58"/>
  <c r="F426" i="58"/>
  <c r="F427" i="58"/>
  <c r="F428" i="58"/>
  <c r="F429" i="58"/>
  <c r="F430" i="58"/>
  <c r="F431" i="58"/>
  <c r="F432" i="58"/>
  <c r="F433" i="58"/>
  <c r="F434" i="58"/>
  <c r="F435" i="58"/>
  <c r="F436" i="58"/>
  <c r="F440" i="58"/>
  <c r="F441" i="58"/>
  <c r="F442" i="58"/>
  <c r="F443" i="58"/>
  <c r="F444" i="58"/>
  <c r="F445" i="58"/>
  <c r="F446" i="58"/>
  <c r="F447" i="58"/>
  <c r="F448" i="58"/>
  <c r="F449" i="58"/>
  <c r="F450" i="58"/>
  <c r="F451" i="58"/>
  <c r="F452" i="58"/>
  <c r="F453" i="58"/>
  <c r="F454" i="58"/>
  <c r="F455" i="58"/>
  <c r="F456" i="58"/>
  <c r="F457" i="58"/>
  <c r="F458" i="58"/>
  <c r="F459" i="58"/>
  <c r="F460" i="58"/>
  <c r="F461" i="58"/>
  <c r="F462" i="58"/>
  <c r="F463" i="58"/>
  <c r="F464" i="58"/>
  <c r="F467" i="58"/>
  <c r="F468" i="58"/>
  <c r="F469" i="58"/>
  <c r="F470" i="58"/>
  <c r="F471" i="58"/>
  <c r="F472" i="58"/>
  <c r="A403" i="58"/>
  <c r="D403" i="58"/>
  <c r="F402" i="58"/>
  <c r="C403" i="58"/>
  <c r="A404" i="58"/>
  <c r="D404" i="58"/>
  <c r="C404" i="58"/>
  <c r="A405" i="58"/>
  <c r="D405" i="58"/>
  <c r="C405" i="58"/>
  <c r="A407" i="58"/>
  <c r="D407" i="58"/>
  <c r="C407" i="58"/>
  <c r="A408" i="58"/>
  <c r="D408" i="58"/>
  <c r="C408" i="58"/>
  <c r="A409" i="58"/>
  <c r="D409" i="58"/>
  <c r="C409" i="58"/>
  <c r="A410" i="58"/>
  <c r="D410" i="58"/>
  <c r="C410" i="58"/>
  <c r="A411" i="58"/>
  <c r="D411" i="58"/>
  <c r="C411" i="58"/>
  <c r="A412" i="58"/>
  <c r="D412" i="58"/>
  <c r="C412" i="58"/>
  <c r="A413" i="58"/>
  <c r="D413" i="58"/>
  <c r="C413" i="58"/>
  <c r="A414" i="58"/>
  <c r="D414" i="58"/>
  <c r="C414" i="58"/>
  <c r="A415" i="58"/>
  <c r="D415" i="58"/>
  <c r="C415" i="58"/>
  <c r="A416" i="58"/>
  <c r="D416" i="58"/>
  <c r="C416" i="58"/>
  <c r="A417" i="58"/>
  <c r="D417" i="58"/>
  <c r="C417" i="58"/>
  <c r="D418" i="58"/>
  <c r="C204" i="38"/>
  <c r="C219" i="38" s="1"/>
  <c r="C234" i="38" s="1"/>
  <c r="C249" i="38" s="1"/>
  <c r="C264" i="38" s="1"/>
  <c r="D62" i="38"/>
  <c r="D67" i="38"/>
  <c r="F3" i="37"/>
  <c r="F5" i="37"/>
  <c r="F5" i="41" s="1"/>
  <c r="F7" i="37"/>
  <c r="F7" i="41" s="1"/>
  <c r="F8" i="37"/>
  <c r="A3" i="37"/>
  <c r="A3" i="41" s="1"/>
  <c r="D3" i="37"/>
  <c r="D3" i="41" s="1"/>
  <c r="B3" i="37"/>
  <c r="B3" i="41" s="1"/>
  <c r="C3" i="37"/>
  <c r="C3" i="41" s="1"/>
  <c r="G183" i="35"/>
  <c r="G184" i="35"/>
  <c r="A5" i="37"/>
  <c r="A5" i="41" s="1"/>
  <c r="D5" i="37"/>
  <c r="D5" i="41" s="1"/>
  <c r="B5" i="37"/>
  <c r="B5" i="41" s="1"/>
  <c r="C5" i="37"/>
  <c r="C5" i="41" s="1"/>
  <c r="A7" i="37"/>
  <c r="A7" i="41" s="1"/>
  <c r="D7" i="37"/>
  <c r="D7" i="41" s="1"/>
  <c r="B7" i="37"/>
  <c r="B7" i="41" s="1"/>
  <c r="C7" i="37"/>
  <c r="C7" i="41" s="1"/>
  <c r="A8" i="37"/>
  <c r="A8" i="41" s="1"/>
  <c r="D8" i="37"/>
  <c r="D8" i="41" s="1"/>
  <c r="B8" i="37"/>
  <c r="B8" i="41" s="1"/>
  <c r="C8" i="37"/>
  <c r="C8" i="41" s="1"/>
  <c r="A9" i="37"/>
  <c r="A9" i="41" s="1"/>
  <c r="D9" i="37"/>
  <c r="D9" i="41" s="1"/>
  <c r="B9" i="37"/>
  <c r="B9" i="41" s="1"/>
  <c r="C9" i="37"/>
  <c r="C9" i="41" s="1"/>
  <c r="F9" i="37"/>
  <c r="F9" i="41" s="1"/>
  <c r="A10" i="37"/>
  <c r="A10" i="41" s="1"/>
  <c r="D10" i="37"/>
  <c r="D10" i="41" s="1"/>
  <c r="B10" i="37"/>
  <c r="B10" i="41" s="1"/>
  <c r="C10" i="37"/>
  <c r="C10" i="41" s="1"/>
  <c r="F10" i="37"/>
  <c r="F10" i="41" s="1"/>
  <c r="A11" i="37"/>
  <c r="A11" i="41" s="1"/>
  <c r="D11" i="37"/>
  <c r="D11" i="41" s="1"/>
  <c r="B11" i="37"/>
  <c r="B11" i="41" s="1"/>
  <c r="C11" i="37"/>
  <c r="C11" i="41" s="1"/>
  <c r="F11" i="37"/>
  <c r="F11" i="41" s="1"/>
  <c r="A12" i="37"/>
  <c r="A12" i="41" s="1"/>
  <c r="D12" i="37"/>
  <c r="D12" i="41" s="1"/>
  <c r="B12" i="37"/>
  <c r="B12" i="41" s="1"/>
  <c r="C12" i="37"/>
  <c r="C12" i="41" s="1"/>
  <c r="F12" i="37"/>
  <c r="F12" i="41" s="1"/>
  <c r="A13" i="37"/>
  <c r="A13" i="41" s="1"/>
  <c r="D13" i="37"/>
  <c r="D13" i="41" s="1"/>
  <c r="B13" i="37"/>
  <c r="B13" i="41" s="1"/>
  <c r="C13" i="37"/>
  <c r="C13" i="41" s="1"/>
  <c r="F13" i="37"/>
  <c r="F13" i="41" s="1"/>
  <c r="A14" i="37"/>
  <c r="A14" i="41" s="1"/>
  <c r="D14" i="37"/>
  <c r="D14" i="41" s="1"/>
  <c r="B14" i="37"/>
  <c r="B14" i="41" s="1"/>
  <c r="C14" i="37"/>
  <c r="C14" i="41" s="1"/>
  <c r="F14" i="37"/>
  <c r="F14" i="41" s="1"/>
  <c r="A15" i="37"/>
  <c r="A15" i="41" s="1"/>
  <c r="D15" i="37"/>
  <c r="D15" i="41" s="1"/>
  <c r="B15" i="37"/>
  <c r="B15" i="41" s="1"/>
  <c r="C15" i="37"/>
  <c r="C15" i="41" s="1"/>
  <c r="F15" i="37"/>
  <c r="F15" i="41" s="1"/>
  <c r="A16" i="37"/>
  <c r="A16" i="41" s="1"/>
  <c r="D16" i="37"/>
  <c r="D16" i="41" s="1"/>
  <c r="B16" i="37"/>
  <c r="B16" i="41" s="1"/>
  <c r="C16" i="37"/>
  <c r="C16" i="41" s="1"/>
  <c r="F16" i="37"/>
  <c r="F16" i="41" s="1"/>
  <c r="A17" i="37"/>
  <c r="A17" i="41" s="1"/>
  <c r="D17" i="37"/>
  <c r="D17" i="41" s="1"/>
  <c r="B17" i="37"/>
  <c r="B17" i="41" s="1"/>
  <c r="C17" i="37"/>
  <c r="C17" i="41" s="1"/>
  <c r="F17" i="37"/>
  <c r="F17" i="41" s="1"/>
  <c r="A18" i="37"/>
  <c r="A18" i="41" s="1"/>
  <c r="D18" i="37"/>
  <c r="D18" i="41" s="1"/>
  <c r="B18" i="37"/>
  <c r="B18" i="41" s="1"/>
  <c r="C18" i="37"/>
  <c r="C18" i="41" s="1"/>
  <c r="F18" i="37"/>
  <c r="F18" i="41" s="1"/>
  <c r="A19" i="37"/>
  <c r="A19" i="41" s="1"/>
  <c r="D19" i="37"/>
  <c r="D19" i="41" s="1"/>
  <c r="B19" i="37"/>
  <c r="B19" i="41" s="1"/>
  <c r="C19" i="37"/>
  <c r="C19" i="41" s="1"/>
  <c r="F19" i="37"/>
  <c r="F19" i="41" s="1"/>
  <c r="A20" i="37"/>
  <c r="A20" i="41" s="1"/>
  <c r="D20" i="37"/>
  <c r="D20" i="41" s="1"/>
  <c r="B20" i="37"/>
  <c r="B20" i="41" s="1"/>
  <c r="C20" i="37"/>
  <c r="C20" i="41" s="1"/>
  <c r="F20" i="37"/>
  <c r="F20" i="41" s="1"/>
  <c r="A21" i="37"/>
  <c r="A21" i="41" s="1"/>
  <c r="D21" i="37"/>
  <c r="D21" i="41" s="1"/>
  <c r="B21" i="37"/>
  <c r="B21" i="41" s="1"/>
  <c r="C21" i="37"/>
  <c r="C21" i="41" s="1"/>
  <c r="F21" i="37"/>
  <c r="F21" i="41" s="1"/>
  <c r="A22" i="37"/>
  <c r="A22" i="41" s="1"/>
  <c r="D22" i="37"/>
  <c r="D22" i="41" s="1"/>
  <c r="B22" i="37"/>
  <c r="B22" i="41" s="1"/>
  <c r="C22" i="37"/>
  <c r="C22" i="41" s="1"/>
  <c r="F22" i="37"/>
  <c r="F22" i="41" s="1"/>
  <c r="A23" i="37"/>
  <c r="A23" i="41" s="1"/>
  <c r="D23" i="37"/>
  <c r="D23" i="41" s="1"/>
  <c r="B23" i="37"/>
  <c r="B23" i="41" s="1"/>
  <c r="C23" i="37"/>
  <c r="C23" i="41" s="1"/>
  <c r="F23" i="37"/>
  <c r="F23" i="41" s="1"/>
  <c r="A24" i="37"/>
  <c r="A24" i="41" s="1"/>
  <c r="D24" i="37"/>
  <c r="D24" i="41" s="1"/>
  <c r="B24" i="37"/>
  <c r="B24" i="41" s="1"/>
  <c r="C24" i="37"/>
  <c r="C24" i="41" s="1"/>
  <c r="F24" i="37"/>
  <c r="F24" i="41" s="1"/>
  <c r="A25" i="37"/>
  <c r="A25" i="41" s="1"/>
  <c r="D25" i="37"/>
  <c r="D25" i="41" s="1"/>
  <c r="B25" i="37"/>
  <c r="B25" i="41" s="1"/>
  <c r="C25" i="37"/>
  <c r="C25" i="41" s="1"/>
  <c r="F25" i="37"/>
  <c r="F25" i="41" s="1"/>
  <c r="A26" i="37"/>
  <c r="A26" i="41" s="1"/>
  <c r="D26" i="37"/>
  <c r="D26" i="41" s="1"/>
  <c r="B26" i="37"/>
  <c r="B26" i="41" s="1"/>
  <c r="C26" i="37"/>
  <c r="C26" i="41" s="1"/>
  <c r="F26" i="37"/>
  <c r="F26" i="41" s="1"/>
  <c r="A27" i="37"/>
  <c r="A27" i="41" s="1"/>
  <c r="D27" i="37"/>
  <c r="D27" i="41" s="1"/>
  <c r="B27" i="37"/>
  <c r="B27" i="41" s="1"/>
  <c r="C27" i="37"/>
  <c r="C27" i="41" s="1"/>
  <c r="F27" i="37"/>
  <c r="F27" i="41" s="1"/>
  <c r="A28" i="37"/>
  <c r="A28" i="41" s="1"/>
  <c r="D28" i="37"/>
  <c r="D28" i="41" s="1"/>
  <c r="B28" i="37"/>
  <c r="B28" i="41" s="1"/>
  <c r="C28" i="37"/>
  <c r="C28" i="41" s="1"/>
  <c r="F28" i="37"/>
  <c r="F28" i="41" s="1"/>
  <c r="A29" i="37"/>
  <c r="A29" i="41" s="1"/>
  <c r="D29" i="37"/>
  <c r="D29" i="41" s="1"/>
  <c r="B29" i="37"/>
  <c r="B29" i="41" s="1"/>
  <c r="C29" i="37"/>
  <c r="C29" i="41" s="1"/>
  <c r="F29" i="37"/>
  <c r="F29" i="41" s="1"/>
  <c r="A30" i="37"/>
  <c r="A30" i="41" s="1"/>
  <c r="D30" i="37"/>
  <c r="D30" i="41" s="1"/>
  <c r="B30" i="37"/>
  <c r="B30" i="41" s="1"/>
  <c r="C30" i="37"/>
  <c r="C30" i="41" s="1"/>
  <c r="F30" i="37"/>
  <c r="F30" i="41" s="1"/>
  <c r="A31" i="37"/>
  <c r="A31" i="41" s="1"/>
  <c r="D31" i="37"/>
  <c r="D31" i="41" s="1"/>
  <c r="B31" i="37"/>
  <c r="B31" i="41" s="1"/>
  <c r="C31" i="37"/>
  <c r="C31" i="41" s="1"/>
  <c r="F31" i="37"/>
  <c r="F31" i="41" s="1"/>
  <c r="A32" i="37"/>
  <c r="A32" i="41" s="1"/>
  <c r="D32" i="37"/>
  <c r="D32" i="41" s="1"/>
  <c r="B32" i="37"/>
  <c r="B32" i="41" s="1"/>
  <c r="C32" i="37"/>
  <c r="C32" i="41" s="1"/>
  <c r="F32" i="37"/>
  <c r="F32" i="41" s="1"/>
  <c r="A33" i="37"/>
  <c r="A33" i="41" s="1"/>
  <c r="D33" i="37"/>
  <c r="D33" i="41" s="1"/>
  <c r="B33" i="37"/>
  <c r="B33" i="41" s="1"/>
  <c r="C33" i="37"/>
  <c r="C33" i="41" s="1"/>
  <c r="F33" i="37"/>
  <c r="F33" i="41" s="1"/>
  <c r="A34" i="37"/>
  <c r="A34" i="41" s="1"/>
  <c r="D34" i="37"/>
  <c r="D34" i="41" s="1"/>
  <c r="B34" i="37"/>
  <c r="B34" i="41" s="1"/>
  <c r="C34" i="37"/>
  <c r="C34" i="41" s="1"/>
  <c r="F34" i="37"/>
  <c r="F34" i="41" s="1"/>
  <c r="A35" i="37"/>
  <c r="A35" i="41" s="1"/>
  <c r="D35" i="37"/>
  <c r="D35" i="41" s="1"/>
  <c r="B35" i="37"/>
  <c r="B35" i="41" s="1"/>
  <c r="C35" i="37"/>
  <c r="C35" i="41" s="1"/>
  <c r="F35" i="37"/>
  <c r="F35" i="41" s="1"/>
  <c r="A36" i="37"/>
  <c r="A36" i="41" s="1"/>
  <c r="D36" i="37"/>
  <c r="D36" i="41" s="1"/>
  <c r="B36" i="37"/>
  <c r="B36" i="41" s="1"/>
  <c r="C36" i="37"/>
  <c r="C36" i="41" s="1"/>
  <c r="F36" i="37"/>
  <c r="F36" i="41" s="1"/>
  <c r="A37" i="37"/>
  <c r="A37" i="41" s="1"/>
  <c r="D37" i="37"/>
  <c r="D37" i="41" s="1"/>
  <c r="B37" i="37"/>
  <c r="B37" i="41" s="1"/>
  <c r="C37" i="37"/>
  <c r="C37" i="41" s="1"/>
  <c r="F37" i="37"/>
  <c r="F37" i="41" s="1"/>
  <c r="A38" i="37"/>
  <c r="A38" i="41" s="1"/>
  <c r="D38" i="37"/>
  <c r="D38" i="41" s="1"/>
  <c r="B38" i="37"/>
  <c r="B38" i="41" s="1"/>
  <c r="C38" i="37"/>
  <c r="C38" i="41" s="1"/>
  <c r="F38" i="37"/>
  <c r="F38" i="41" s="1"/>
  <c r="A39" i="37"/>
  <c r="A39" i="41" s="1"/>
  <c r="D39" i="37"/>
  <c r="D39" i="41" s="1"/>
  <c r="B39" i="37"/>
  <c r="B39" i="41" s="1"/>
  <c r="C39" i="37"/>
  <c r="C39" i="41" s="1"/>
  <c r="F39" i="37"/>
  <c r="F39" i="41" s="1"/>
  <c r="A40" i="37"/>
  <c r="A40" i="41" s="1"/>
  <c r="D40" i="37"/>
  <c r="D40" i="41" s="1"/>
  <c r="B40" i="37"/>
  <c r="B40" i="41" s="1"/>
  <c r="C40" i="37"/>
  <c r="C40" i="41" s="1"/>
  <c r="F40" i="37"/>
  <c r="F40" i="41" s="1"/>
  <c r="A41" i="37"/>
  <c r="A41" i="41" s="1"/>
  <c r="D41" i="37"/>
  <c r="D41" i="41" s="1"/>
  <c r="B41" i="37"/>
  <c r="B41" i="41" s="1"/>
  <c r="C41" i="37"/>
  <c r="C41" i="41" s="1"/>
  <c r="F41" i="37"/>
  <c r="F41" i="41" s="1"/>
  <c r="A42" i="37"/>
  <c r="A42" i="41" s="1"/>
  <c r="D42" i="37"/>
  <c r="D42" i="41" s="1"/>
  <c r="B42" i="37"/>
  <c r="B42" i="41" s="1"/>
  <c r="C42" i="37"/>
  <c r="C42" i="41" s="1"/>
  <c r="F42" i="37"/>
  <c r="F42" i="41" s="1"/>
  <c r="A43" i="37"/>
  <c r="A43" i="41" s="1"/>
  <c r="D43" i="37"/>
  <c r="D43" i="41" s="1"/>
  <c r="B43" i="37"/>
  <c r="B43" i="41" s="1"/>
  <c r="C43" i="37"/>
  <c r="C43" i="41" s="1"/>
  <c r="F43" i="37"/>
  <c r="F43" i="41" s="1"/>
  <c r="A44" i="37"/>
  <c r="A44" i="41" s="1"/>
  <c r="D44" i="37"/>
  <c r="D44" i="41" s="1"/>
  <c r="B44" i="37"/>
  <c r="B44" i="41" s="1"/>
  <c r="C44" i="37"/>
  <c r="C44" i="41" s="1"/>
  <c r="F44" i="37"/>
  <c r="F44" i="41" s="1"/>
  <c r="A45" i="37"/>
  <c r="A45" i="41" s="1"/>
  <c r="D45" i="37"/>
  <c r="D45" i="41" s="1"/>
  <c r="B45" i="37"/>
  <c r="B45" i="41" s="1"/>
  <c r="C45" i="37"/>
  <c r="C45" i="41" s="1"/>
  <c r="F45" i="37"/>
  <c r="F45" i="41" s="1"/>
  <c r="A46" i="37"/>
  <c r="A46" i="41" s="1"/>
  <c r="D46" i="37"/>
  <c r="D46" i="41" s="1"/>
  <c r="B46" i="37"/>
  <c r="B46" i="41" s="1"/>
  <c r="C46" i="37"/>
  <c r="C46" i="41" s="1"/>
  <c r="F46" i="37"/>
  <c r="F46" i="41" s="1"/>
  <c r="A47" i="37"/>
  <c r="A47" i="41" s="1"/>
  <c r="D47" i="37"/>
  <c r="D47" i="41" s="1"/>
  <c r="B47" i="37"/>
  <c r="B47" i="41" s="1"/>
  <c r="C47" i="37"/>
  <c r="C47" i="41" s="1"/>
  <c r="F47" i="37"/>
  <c r="F47" i="41" s="1"/>
  <c r="A48" i="37"/>
  <c r="A48" i="41" s="1"/>
  <c r="D48" i="37"/>
  <c r="D48" i="41" s="1"/>
  <c r="B48" i="37"/>
  <c r="B48" i="41" s="1"/>
  <c r="C48" i="37"/>
  <c r="C48" i="41" s="1"/>
  <c r="F48" i="37"/>
  <c r="F48" i="41" s="1"/>
  <c r="A49" i="37"/>
  <c r="A49" i="41" s="1"/>
  <c r="D49" i="37"/>
  <c r="D49" i="41" s="1"/>
  <c r="B49" i="37"/>
  <c r="B49" i="41" s="1"/>
  <c r="C49" i="37"/>
  <c r="C49" i="41" s="1"/>
  <c r="F49" i="37"/>
  <c r="F49" i="41" s="1"/>
  <c r="A50" i="37"/>
  <c r="A50" i="41" s="1"/>
  <c r="D50" i="37"/>
  <c r="D50" i="41" s="1"/>
  <c r="B50" i="37"/>
  <c r="B50" i="41" s="1"/>
  <c r="C50" i="37"/>
  <c r="C50" i="41" s="1"/>
  <c r="F50" i="37"/>
  <c r="F50" i="41" s="1"/>
  <c r="A51" i="37"/>
  <c r="A51" i="41" s="1"/>
  <c r="D51" i="37"/>
  <c r="D51" i="41" s="1"/>
  <c r="B51" i="37"/>
  <c r="B51" i="41" s="1"/>
  <c r="C51" i="37"/>
  <c r="C51" i="41" s="1"/>
  <c r="F51" i="37"/>
  <c r="F51" i="41" s="1"/>
  <c r="A52" i="37"/>
  <c r="A52" i="41" s="1"/>
  <c r="D52" i="37"/>
  <c r="D52" i="41" s="1"/>
  <c r="B52" i="37"/>
  <c r="B52" i="41" s="1"/>
  <c r="C52" i="37"/>
  <c r="C52" i="41" s="1"/>
  <c r="F52" i="37"/>
  <c r="F52" i="41" s="1"/>
  <c r="A53" i="37"/>
  <c r="A53" i="41" s="1"/>
  <c r="D53" i="37"/>
  <c r="D53" i="41" s="1"/>
  <c r="B53" i="37"/>
  <c r="B53" i="41" s="1"/>
  <c r="C53" i="37"/>
  <c r="C53" i="41" s="1"/>
  <c r="F53" i="37"/>
  <c r="F53" i="41" s="1"/>
  <c r="A54" i="37"/>
  <c r="A54" i="41" s="1"/>
  <c r="D54" i="37"/>
  <c r="D54" i="41" s="1"/>
  <c r="B54" i="37"/>
  <c r="B54" i="41" s="1"/>
  <c r="C54" i="37"/>
  <c r="C54" i="41" s="1"/>
  <c r="F54" i="37"/>
  <c r="F54" i="41" s="1"/>
  <c r="A55" i="37"/>
  <c r="A55" i="41" s="1"/>
  <c r="D55" i="37"/>
  <c r="D55" i="41" s="1"/>
  <c r="B55" i="37"/>
  <c r="B55" i="41" s="1"/>
  <c r="C55" i="37"/>
  <c r="C55" i="41" s="1"/>
  <c r="F55" i="37"/>
  <c r="F55" i="41" s="1"/>
  <c r="A56" i="37"/>
  <c r="A56" i="41" s="1"/>
  <c r="D56" i="37"/>
  <c r="D56" i="41" s="1"/>
  <c r="B56" i="37"/>
  <c r="B56" i="41" s="1"/>
  <c r="C56" i="37"/>
  <c r="C56" i="41" s="1"/>
  <c r="F56" i="37"/>
  <c r="F56" i="41" s="1"/>
  <c r="A57" i="37"/>
  <c r="A57" i="41" s="1"/>
  <c r="D57" i="37"/>
  <c r="D57" i="41" s="1"/>
  <c r="B57" i="37"/>
  <c r="B57" i="41" s="1"/>
  <c r="C57" i="37"/>
  <c r="C57" i="41" s="1"/>
  <c r="F57" i="37"/>
  <c r="F57" i="41" s="1"/>
  <c r="A58" i="37"/>
  <c r="A58" i="41" s="1"/>
  <c r="D58" i="37"/>
  <c r="D58" i="41" s="1"/>
  <c r="B58" i="37"/>
  <c r="B58" i="41" s="1"/>
  <c r="C58" i="37"/>
  <c r="C58" i="41" s="1"/>
  <c r="F58" i="37"/>
  <c r="F58" i="41" s="1"/>
  <c r="A59" i="37"/>
  <c r="A59" i="41" s="1"/>
  <c r="D59" i="37"/>
  <c r="D59" i="41" s="1"/>
  <c r="B59" i="37"/>
  <c r="B59" i="41" s="1"/>
  <c r="C59" i="37"/>
  <c r="C59" i="41" s="1"/>
  <c r="F59" i="37"/>
  <c r="F59" i="41" s="1"/>
  <c r="A60" i="37"/>
  <c r="A60" i="41" s="1"/>
  <c r="D60" i="37"/>
  <c r="D60" i="41" s="1"/>
  <c r="B60" i="37"/>
  <c r="B60" i="41" s="1"/>
  <c r="C60" i="37"/>
  <c r="C60" i="41" s="1"/>
  <c r="F60" i="37"/>
  <c r="F60" i="41" s="1"/>
  <c r="A61" i="37"/>
  <c r="A61" i="41" s="1"/>
  <c r="D61" i="37"/>
  <c r="D61" i="41" s="1"/>
  <c r="B61" i="37"/>
  <c r="B61" i="41" s="1"/>
  <c r="C61" i="37"/>
  <c r="C61" i="41" s="1"/>
  <c r="F61" i="37"/>
  <c r="F61" i="41" s="1"/>
  <c r="A62" i="37"/>
  <c r="A62" i="41" s="1"/>
  <c r="D62" i="37"/>
  <c r="D62" i="41" s="1"/>
  <c r="B62" i="37"/>
  <c r="B62" i="41" s="1"/>
  <c r="C62" i="37"/>
  <c r="C62" i="41" s="1"/>
  <c r="F62" i="37"/>
  <c r="F62" i="41" s="1"/>
  <c r="A63" i="37"/>
  <c r="A63" i="41" s="1"/>
  <c r="D63" i="37"/>
  <c r="D63" i="41" s="1"/>
  <c r="B63" i="37"/>
  <c r="B63" i="41" s="1"/>
  <c r="C63" i="37"/>
  <c r="C63" i="41" s="1"/>
  <c r="F63" i="37"/>
  <c r="F63" i="41" s="1"/>
  <c r="A64" i="37"/>
  <c r="A64" i="41" s="1"/>
  <c r="D64" i="37"/>
  <c r="D64" i="41" s="1"/>
  <c r="B64" i="37"/>
  <c r="B64" i="41" s="1"/>
  <c r="C64" i="37"/>
  <c r="C64" i="41" s="1"/>
  <c r="F64" i="37"/>
  <c r="F64" i="41" s="1"/>
  <c r="A65" i="37"/>
  <c r="A65" i="41" s="1"/>
  <c r="D65" i="37"/>
  <c r="D65" i="41" s="1"/>
  <c r="B65" i="37"/>
  <c r="B65" i="41" s="1"/>
  <c r="C65" i="37"/>
  <c r="C65" i="41" s="1"/>
  <c r="F65" i="37"/>
  <c r="F65" i="41" s="1"/>
  <c r="A66" i="37"/>
  <c r="A66" i="41" s="1"/>
  <c r="D66" i="37"/>
  <c r="D66" i="41" s="1"/>
  <c r="B66" i="37"/>
  <c r="B66" i="41" s="1"/>
  <c r="C66" i="37"/>
  <c r="C66" i="41" s="1"/>
  <c r="F66" i="37"/>
  <c r="F66" i="41" s="1"/>
  <c r="A67" i="37"/>
  <c r="A67" i="41" s="1"/>
  <c r="D67" i="37"/>
  <c r="D67" i="41" s="1"/>
  <c r="B67" i="37"/>
  <c r="B67" i="41" s="1"/>
  <c r="C67" i="37"/>
  <c r="C67" i="41" s="1"/>
  <c r="F67" i="37"/>
  <c r="F67" i="41" s="1"/>
  <c r="A68" i="37"/>
  <c r="A68" i="41" s="1"/>
  <c r="D68" i="37"/>
  <c r="D68" i="41" s="1"/>
  <c r="B68" i="37"/>
  <c r="B68" i="41" s="1"/>
  <c r="C68" i="37"/>
  <c r="C68" i="41" s="1"/>
  <c r="F68" i="37"/>
  <c r="F68" i="41" s="1"/>
  <c r="A69" i="37"/>
  <c r="A69" i="41" s="1"/>
  <c r="D69" i="37"/>
  <c r="D69" i="41" s="1"/>
  <c r="B69" i="37"/>
  <c r="B69" i="41" s="1"/>
  <c r="C69" i="37"/>
  <c r="C69" i="41" s="1"/>
  <c r="F69" i="37"/>
  <c r="F69" i="41" s="1"/>
  <c r="A70" i="37"/>
  <c r="A70" i="41" s="1"/>
  <c r="D70" i="37"/>
  <c r="D70" i="41" s="1"/>
  <c r="B70" i="37"/>
  <c r="B70" i="41" s="1"/>
  <c r="C70" i="37"/>
  <c r="C70" i="41" s="1"/>
  <c r="F70" i="37"/>
  <c r="F70" i="41" s="1"/>
  <c r="A71" i="37"/>
  <c r="A71" i="41" s="1"/>
  <c r="D71" i="37"/>
  <c r="D71" i="41" s="1"/>
  <c r="B71" i="37"/>
  <c r="B71" i="41" s="1"/>
  <c r="C71" i="37"/>
  <c r="C71" i="41" s="1"/>
  <c r="F71" i="37"/>
  <c r="F71" i="41" s="1"/>
  <c r="A72" i="37"/>
  <c r="A72" i="41" s="1"/>
  <c r="D72" i="37"/>
  <c r="D72" i="41" s="1"/>
  <c r="B72" i="37"/>
  <c r="B72" i="41" s="1"/>
  <c r="C72" i="37"/>
  <c r="C72" i="41" s="1"/>
  <c r="F72" i="37"/>
  <c r="F72" i="41" s="1"/>
  <c r="A73" i="37"/>
  <c r="A73" i="41" s="1"/>
  <c r="D73" i="37"/>
  <c r="D73" i="41" s="1"/>
  <c r="B73" i="37"/>
  <c r="B73" i="41" s="1"/>
  <c r="C73" i="37"/>
  <c r="C73" i="41" s="1"/>
  <c r="F73" i="37"/>
  <c r="F73" i="41" s="1"/>
  <c r="A74" i="37"/>
  <c r="A74" i="41" s="1"/>
  <c r="D74" i="37"/>
  <c r="D74" i="41" s="1"/>
  <c r="B74" i="37"/>
  <c r="B74" i="41" s="1"/>
  <c r="C74" i="37"/>
  <c r="C74" i="41" s="1"/>
  <c r="F74" i="37"/>
  <c r="F74" i="41" s="1"/>
  <c r="A75" i="37"/>
  <c r="A75" i="41" s="1"/>
  <c r="D75" i="37"/>
  <c r="D75" i="41" s="1"/>
  <c r="B75" i="37"/>
  <c r="B75" i="41" s="1"/>
  <c r="C75" i="37"/>
  <c r="C75" i="41" s="1"/>
  <c r="F75" i="37"/>
  <c r="F75" i="41" s="1"/>
  <c r="A76" i="37"/>
  <c r="A76" i="41" s="1"/>
  <c r="D76" i="37"/>
  <c r="D76" i="41" s="1"/>
  <c r="B76" i="37"/>
  <c r="B76" i="41" s="1"/>
  <c r="C76" i="37"/>
  <c r="C76" i="41" s="1"/>
  <c r="F76" i="37"/>
  <c r="F76" i="41" s="1"/>
  <c r="A77" i="37"/>
  <c r="A77" i="41" s="1"/>
  <c r="D77" i="37"/>
  <c r="D77" i="41" s="1"/>
  <c r="B77" i="37"/>
  <c r="B77" i="41" s="1"/>
  <c r="C77" i="37"/>
  <c r="C77" i="41" s="1"/>
  <c r="F77" i="37"/>
  <c r="F77" i="41" s="1"/>
  <c r="A78" i="37"/>
  <c r="A78" i="41" s="1"/>
  <c r="D78" i="37"/>
  <c r="D78" i="41" s="1"/>
  <c r="B78" i="37"/>
  <c r="B78" i="41" s="1"/>
  <c r="C78" i="37"/>
  <c r="C78" i="41" s="1"/>
  <c r="F78" i="37"/>
  <c r="F78" i="41" s="1"/>
  <c r="A79" i="37"/>
  <c r="A79" i="41" s="1"/>
  <c r="D79" i="37"/>
  <c r="D79" i="41" s="1"/>
  <c r="B79" i="37"/>
  <c r="B79" i="41" s="1"/>
  <c r="C79" i="37"/>
  <c r="C79" i="41" s="1"/>
  <c r="F79" i="37"/>
  <c r="F79" i="41" s="1"/>
  <c r="A80" i="37"/>
  <c r="A80" i="41" s="1"/>
  <c r="D80" i="37"/>
  <c r="D80" i="41" s="1"/>
  <c r="B80" i="37"/>
  <c r="B80" i="41" s="1"/>
  <c r="C80" i="37"/>
  <c r="C80" i="41" s="1"/>
  <c r="F80" i="37"/>
  <c r="F80" i="41" s="1"/>
  <c r="A81" i="37"/>
  <c r="A81" i="41" s="1"/>
  <c r="D81" i="37"/>
  <c r="D81" i="41" s="1"/>
  <c r="B81" i="37"/>
  <c r="B81" i="41" s="1"/>
  <c r="C81" i="37"/>
  <c r="C81" i="41" s="1"/>
  <c r="F81" i="37"/>
  <c r="F81" i="41" s="1"/>
  <c r="A82" i="37"/>
  <c r="A82" i="41" s="1"/>
  <c r="D82" i="37"/>
  <c r="D82" i="41" s="1"/>
  <c r="B82" i="37"/>
  <c r="B82" i="41" s="1"/>
  <c r="C82" i="37"/>
  <c r="C82" i="41" s="1"/>
  <c r="F82" i="37"/>
  <c r="F82" i="41" s="1"/>
  <c r="A83" i="37"/>
  <c r="A83" i="41" s="1"/>
  <c r="D83" i="37"/>
  <c r="D83" i="41" s="1"/>
  <c r="B83" i="37"/>
  <c r="B83" i="41" s="1"/>
  <c r="C83" i="37"/>
  <c r="C83" i="41" s="1"/>
  <c r="F83" i="37"/>
  <c r="F83" i="41" s="1"/>
  <c r="A84" i="37"/>
  <c r="A84" i="41" s="1"/>
  <c r="D84" i="37"/>
  <c r="D84" i="41" s="1"/>
  <c r="B84" i="37"/>
  <c r="B84" i="41" s="1"/>
  <c r="C84" i="37"/>
  <c r="C84" i="41" s="1"/>
  <c r="F84" i="37"/>
  <c r="F84" i="41" s="1"/>
  <c r="A85" i="37"/>
  <c r="A85" i="41" s="1"/>
  <c r="D85" i="37"/>
  <c r="D85" i="41" s="1"/>
  <c r="B85" i="37"/>
  <c r="B85" i="41" s="1"/>
  <c r="C85" i="37"/>
  <c r="C85" i="41" s="1"/>
  <c r="F85" i="37"/>
  <c r="F85" i="41" s="1"/>
  <c r="A86" i="37"/>
  <c r="A86" i="41" s="1"/>
  <c r="D86" i="37"/>
  <c r="D86" i="41" s="1"/>
  <c r="B86" i="37"/>
  <c r="B86" i="41" s="1"/>
  <c r="C86" i="37"/>
  <c r="C86" i="41" s="1"/>
  <c r="F86" i="37"/>
  <c r="F86" i="41" s="1"/>
  <c r="A87" i="37"/>
  <c r="A87" i="41" s="1"/>
  <c r="D87" i="37"/>
  <c r="D87" i="41" s="1"/>
  <c r="B87" i="37"/>
  <c r="B87" i="41" s="1"/>
  <c r="C87" i="37"/>
  <c r="C87" i="41" s="1"/>
  <c r="F87" i="37"/>
  <c r="F87" i="41" s="1"/>
  <c r="A88" i="37"/>
  <c r="A88" i="41" s="1"/>
  <c r="D88" i="37"/>
  <c r="D88" i="41" s="1"/>
  <c r="B88" i="37"/>
  <c r="B88" i="41" s="1"/>
  <c r="C88" i="37"/>
  <c r="C88" i="41" s="1"/>
  <c r="F88" i="37"/>
  <c r="F88" i="41" s="1"/>
  <c r="A89" i="37"/>
  <c r="A89" i="41" s="1"/>
  <c r="D89" i="37"/>
  <c r="D89" i="41" s="1"/>
  <c r="B89" i="37"/>
  <c r="B89" i="41" s="1"/>
  <c r="C89" i="37"/>
  <c r="C89" i="41" s="1"/>
  <c r="F89" i="37"/>
  <c r="F89" i="41" s="1"/>
  <c r="A90" i="37"/>
  <c r="A90" i="41" s="1"/>
  <c r="D90" i="37"/>
  <c r="D90" i="41" s="1"/>
  <c r="B90" i="37"/>
  <c r="B90" i="41" s="1"/>
  <c r="C90" i="37"/>
  <c r="C90" i="41" s="1"/>
  <c r="F90" i="37"/>
  <c r="F90" i="41" s="1"/>
  <c r="A91" i="37"/>
  <c r="A91" i="41" s="1"/>
  <c r="D91" i="37"/>
  <c r="D91" i="41" s="1"/>
  <c r="B91" i="37"/>
  <c r="B91" i="41" s="1"/>
  <c r="C91" i="37"/>
  <c r="C91" i="41" s="1"/>
  <c r="F91" i="37"/>
  <c r="F91" i="41" s="1"/>
  <c r="A92" i="37"/>
  <c r="A92" i="41" s="1"/>
  <c r="D92" i="37"/>
  <c r="D92" i="41" s="1"/>
  <c r="B92" i="37"/>
  <c r="B92" i="41" s="1"/>
  <c r="C92" i="37"/>
  <c r="C92" i="41" s="1"/>
  <c r="F92" i="37"/>
  <c r="F92" i="41" s="1"/>
  <c r="A93" i="37"/>
  <c r="A93" i="41" s="1"/>
  <c r="D93" i="37"/>
  <c r="D93" i="41" s="1"/>
  <c r="B93" i="37"/>
  <c r="B93" i="41" s="1"/>
  <c r="C93" i="37"/>
  <c r="C93" i="41" s="1"/>
  <c r="F93" i="37"/>
  <c r="F93" i="41" s="1"/>
  <c r="A94" i="37"/>
  <c r="A94" i="41" s="1"/>
  <c r="D94" i="37"/>
  <c r="D94" i="41" s="1"/>
  <c r="B94" i="37"/>
  <c r="B94" i="41" s="1"/>
  <c r="C94" i="37"/>
  <c r="C94" i="41" s="1"/>
  <c r="F94" i="37"/>
  <c r="F94" i="41" s="1"/>
  <c r="A95" i="37"/>
  <c r="A95" i="41" s="1"/>
  <c r="D95" i="37"/>
  <c r="D95" i="41" s="1"/>
  <c r="B95" i="37"/>
  <c r="B95" i="41" s="1"/>
  <c r="C95" i="37"/>
  <c r="C95" i="41" s="1"/>
  <c r="F95" i="37"/>
  <c r="F95" i="41" s="1"/>
  <c r="A96" i="37"/>
  <c r="A96" i="41" s="1"/>
  <c r="D96" i="37"/>
  <c r="D96" i="41" s="1"/>
  <c r="B96" i="37"/>
  <c r="B96" i="41" s="1"/>
  <c r="C96" i="37"/>
  <c r="C96" i="41" s="1"/>
  <c r="F96" i="37"/>
  <c r="F96" i="41" s="1"/>
  <c r="A97" i="37"/>
  <c r="A97" i="41" s="1"/>
  <c r="D97" i="37"/>
  <c r="D97" i="41" s="1"/>
  <c r="B97" i="37"/>
  <c r="B97" i="41" s="1"/>
  <c r="C97" i="37"/>
  <c r="C97" i="41" s="1"/>
  <c r="F97" i="37"/>
  <c r="F97" i="41" s="1"/>
  <c r="A98" i="37"/>
  <c r="A98" i="41" s="1"/>
  <c r="D98" i="37"/>
  <c r="D98" i="41" s="1"/>
  <c r="B98" i="37"/>
  <c r="B98" i="41" s="1"/>
  <c r="C98" i="37"/>
  <c r="C98" i="41" s="1"/>
  <c r="F98" i="37"/>
  <c r="F98" i="41" s="1"/>
  <c r="A99" i="37"/>
  <c r="A99" i="41" s="1"/>
  <c r="D99" i="37"/>
  <c r="D99" i="41" s="1"/>
  <c r="B99" i="37"/>
  <c r="B99" i="41" s="1"/>
  <c r="C99" i="37"/>
  <c r="C99" i="41" s="1"/>
  <c r="F99" i="37"/>
  <c r="F99" i="41" s="1"/>
  <c r="A100" i="37"/>
  <c r="A100" i="41" s="1"/>
  <c r="D100" i="37"/>
  <c r="D100" i="41" s="1"/>
  <c r="B100" i="37"/>
  <c r="B100" i="41" s="1"/>
  <c r="C100" i="37"/>
  <c r="C100" i="41" s="1"/>
  <c r="F100" i="37"/>
  <c r="F100" i="41" s="1"/>
  <c r="A101" i="37"/>
  <c r="A101" i="41" s="1"/>
  <c r="D101" i="37"/>
  <c r="D101" i="41" s="1"/>
  <c r="B101" i="37"/>
  <c r="B101" i="41" s="1"/>
  <c r="C101" i="37"/>
  <c r="C101" i="41" s="1"/>
  <c r="F101" i="37"/>
  <c r="F101" i="41" s="1"/>
  <c r="A102" i="37"/>
  <c r="A102" i="41" s="1"/>
  <c r="D102" i="37"/>
  <c r="D102" i="41" s="1"/>
  <c r="B102" i="37"/>
  <c r="B102" i="41" s="1"/>
  <c r="C102" i="37"/>
  <c r="C102" i="41" s="1"/>
  <c r="F102" i="37"/>
  <c r="F102" i="41" s="1"/>
  <c r="A103" i="37"/>
  <c r="A103" i="41" s="1"/>
  <c r="D103" i="37"/>
  <c r="D103" i="41" s="1"/>
  <c r="B103" i="37"/>
  <c r="B103" i="41" s="1"/>
  <c r="C103" i="37"/>
  <c r="C103" i="41" s="1"/>
  <c r="F103" i="37"/>
  <c r="F103" i="41" s="1"/>
  <c r="A104" i="37"/>
  <c r="A104" i="41" s="1"/>
  <c r="D104" i="37"/>
  <c r="D104" i="41" s="1"/>
  <c r="B104" i="37"/>
  <c r="B104" i="41" s="1"/>
  <c r="C104" i="37"/>
  <c r="C104" i="41" s="1"/>
  <c r="F104" i="37"/>
  <c r="F104" i="41" s="1"/>
  <c r="A105" i="37"/>
  <c r="A105" i="41" s="1"/>
  <c r="D105" i="37"/>
  <c r="D105" i="41" s="1"/>
  <c r="B105" i="37"/>
  <c r="B105" i="41" s="1"/>
  <c r="C105" i="37"/>
  <c r="C105" i="41" s="1"/>
  <c r="F105" i="37"/>
  <c r="F105" i="41" s="1"/>
  <c r="A106" i="37"/>
  <c r="A106" i="41" s="1"/>
  <c r="D106" i="37"/>
  <c r="D106" i="41" s="1"/>
  <c r="B106" i="37"/>
  <c r="B106" i="41" s="1"/>
  <c r="C106" i="37"/>
  <c r="C106" i="41" s="1"/>
  <c r="F106" i="37"/>
  <c r="F106" i="41" s="1"/>
  <c r="A107" i="37"/>
  <c r="A107" i="41" s="1"/>
  <c r="D107" i="37"/>
  <c r="D107" i="41" s="1"/>
  <c r="B107" i="37"/>
  <c r="B107" i="41" s="1"/>
  <c r="C107" i="37"/>
  <c r="C107" i="41" s="1"/>
  <c r="F107" i="37"/>
  <c r="F107" i="41" s="1"/>
  <c r="A108" i="37"/>
  <c r="A108" i="41" s="1"/>
  <c r="D108" i="37"/>
  <c r="D108" i="41" s="1"/>
  <c r="B108" i="37"/>
  <c r="B108" i="41" s="1"/>
  <c r="C108" i="37"/>
  <c r="C108" i="41" s="1"/>
  <c r="F108" i="37"/>
  <c r="F108" i="41" s="1"/>
  <c r="A109" i="37"/>
  <c r="A109" i="41" s="1"/>
  <c r="D109" i="37"/>
  <c r="D109" i="41" s="1"/>
  <c r="B109" i="37"/>
  <c r="B109" i="41" s="1"/>
  <c r="C109" i="37"/>
  <c r="C109" i="41" s="1"/>
  <c r="F109" i="37"/>
  <c r="F109" i="41" s="1"/>
  <c r="A110" i="37"/>
  <c r="A110" i="41" s="1"/>
  <c r="D110" i="37"/>
  <c r="D110" i="41" s="1"/>
  <c r="B110" i="37"/>
  <c r="B110" i="41" s="1"/>
  <c r="C110" i="37"/>
  <c r="C110" i="41" s="1"/>
  <c r="F110" i="37"/>
  <c r="F110" i="41" s="1"/>
  <c r="A111" i="37"/>
  <c r="A111" i="41" s="1"/>
  <c r="D111" i="37"/>
  <c r="D111" i="41" s="1"/>
  <c r="B111" i="37"/>
  <c r="B111" i="41" s="1"/>
  <c r="C111" i="37"/>
  <c r="C111" i="41" s="1"/>
  <c r="F111" i="37"/>
  <c r="F111" i="41" s="1"/>
  <c r="A112" i="37"/>
  <c r="A112" i="41" s="1"/>
  <c r="D112" i="37"/>
  <c r="D112" i="41" s="1"/>
  <c r="B112" i="37"/>
  <c r="B112" i="41" s="1"/>
  <c r="C112" i="37"/>
  <c r="C112" i="41" s="1"/>
  <c r="F112" i="37"/>
  <c r="F112" i="41" s="1"/>
  <c r="A113" i="37"/>
  <c r="A113" i="41" s="1"/>
  <c r="D113" i="37"/>
  <c r="D113" i="41" s="1"/>
  <c r="B113" i="37"/>
  <c r="B113" i="41" s="1"/>
  <c r="C113" i="37"/>
  <c r="C113" i="41" s="1"/>
  <c r="F113" i="37"/>
  <c r="F113" i="41" s="1"/>
  <c r="A114" i="37"/>
  <c r="A114" i="41" s="1"/>
  <c r="D114" i="37"/>
  <c r="D114" i="41" s="1"/>
  <c r="B114" i="37"/>
  <c r="B114" i="41" s="1"/>
  <c r="C114" i="37"/>
  <c r="C114" i="41" s="1"/>
  <c r="F114" i="37"/>
  <c r="F114" i="41" s="1"/>
  <c r="A115" i="37"/>
  <c r="A115" i="41" s="1"/>
  <c r="D115" i="37"/>
  <c r="D115" i="41" s="1"/>
  <c r="B115" i="37"/>
  <c r="B115" i="41" s="1"/>
  <c r="C115" i="37"/>
  <c r="C115" i="41" s="1"/>
  <c r="F115" i="37"/>
  <c r="F115" i="41" s="1"/>
  <c r="A116" i="37"/>
  <c r="A116" i="41" s="1"/>
  <c r="D116" i="37"/>
  <c r="D116" i="41" s="1"/>
  <c r="B116" i="37"/>
  <c r="B116" i="41" s="1"/>
  <c r="C116" i="37"/>
  <c r="C116" i="41" s="1"/>
  <c r="F116" i="37"/>
  <c r="F116" i="41" s="1"/>
  <c r="A117" i="37"/>
  <c r="A117" i="41" s="1"/>
  <c r="D117" i="37"/>
  <c r="D117" i="41" s="1"/>
  <c r="B117" i="37"/>
  <c r="B117" i="41" s="1"/>
  <c r="C117" i="37"/>
  <c r="C117" i="41" s="1"/>
  <c r="F117" i="37"/>
  <c r="F117" i="41" s="1"/>
  <c r="A118" i="37"/>
  <c r="A118" i="41" s="1"/>
  <c r="D118" i="37"/>
  <c r="D118" i="41" s="1"/>
  <c r="B118" i="37"/>
  <c r="B118" i="41" s="1"/>
  <c r="C118" i="37"/>
  <c r="C118" i="41" s="1"/>
  <c r="F118" i="37"/>
  <c r="F118" i="41" s="1"/>
  <c r="A119" i="37"/>
  <c r="A119" i="41" s="1"/>
  <c r="D119" i="37"/>
  <c r="D119" i="41" s="1"/>
  <c r="B119" i="37"/>
  <c r="B119" i="41" s="1"/>
  <c r="C119" i="37"/>
  <c r="C119" i="41" s="1"/>
  <c r="F119" i="37"/>
  <c r="F119" i="41" s="1"/>
  <c r="A120" i="37"/>
  <c r="A120" i="41" s="1"/>
  <c r="D120" i="37"/>
  <c r="D120" i="41" s="1"/>
  <c r="B120" i="37"/>
  <c r="B120" i="41" s="1"/>
  <c r="F120" i="37"/>
  <c r="F120" i="41" s="1"/>
  <c r="A121" i="37"/>
  <c r="A121" i="41" s="1"/>
  <c r="D121" i="37"/>
  <c r="D121" i="41" s="1"/>
  <c r="B121" i="37"/>
  <c r="B121" i="41" s="1"/>
  <c r="F121" i="37"/>
  <c r="F121" i="41" s="1"/>
  <c r="A122" i="37"/>
  <c r="A122" i="41" s="1"/>
  <c r="D122" i="37"/>
  <c r="D122" i="41" s="1"/>
  <c r="B122" i="37"/>
  <c r="B122" i="41" s="1"/>
  <c r="F122" i="37"/>
  <c r="F122" i="41" s="1"/>
  <c r="A123" i="37"/>
  <c r="A123" i="41" s="1"/>
  <c r="D123" i="37"/>
  <c r="D123" i="41" s="1"/>
  <c r="B123" i="37"/>
  <c r="B123" i="41" s="1"/>
  <c r="F123" i="37"/>
  <c r="F123" i="41" s="1"/>
  <c r="A124" i="37"/>
  <c r="A124" i="41" s="1"/>
  <c r="D124" i="37"/>
  <c r="D124" i="41" s="1"/>
  <c r="B124" i="37"/>
  <c r="B124" i="41" s="1"/>
  <c r="F124" i="37"/>
  <c r="F124" i="41" s="1"/>
  <c r="A125" i="37"/>
  <c r="A125" i="41" s="1"/>
  <c r="D125" i="37"/>
  <c r="D125" i="41" s="1"/>
  <c r="B125" i="37"/>
  <c r="B125" i="41" s="1"/>
  <c r="F125" i="37"/>
  <c r="F125" i="41" s="1"/>
  <c r="A126" i="37"/>
  <c r="A126" i="41" s="1"/>
  <c r="D126" i="37"/>
  <c r="D126" i="41" s="1"/>
  <c r="B126" i="37"/>
  <c r="B126" i="41" s="1"/>
  <c r="F126" i="37"/>
  <c r="F126" i="41" s="1"/>
  <c r="A127" i="37"/>
  <c r="A127" i="41" s="1"/>
  <c r="D127" i="37"/>
  <c r="D127" i="41" s="1"/>
  <c r="B127" i="37"/>
  <c r="B127" i="41" s="1"/>
  <c r="F127" i="37"/>
  <c r="F127" i="41" s="1"/>
  <c r="A128" i="37"/>
  <c r="A128" i="41" s="1"/>
  <c r="D128" i="37"/>
  <c r="D128" i="41" s="1"/>
  <c r="B128" i="37"/>
  <c r="B128" i="41" s="1"/>
  <c r="F128" i="37"/>
  <c r="F128" i="41" s="1"/>
  <c r="A129" i="37"/>
  <c r="A129" i="41" s="1"/>
  <c r="D129" i="37"/>
  <c r="D129" i="41" s="1"/>
  <c r="B129" i="37"/>
  <c r="B129" i="41" s="1"/>
  <c r="F129" i="37"/>
  <c r="F129" i="41" s="1"/>
  <c r="A130" i="37"/>
  <c r="A130" i="41" s="1"/>
  <c r="D130" i="37"/>
  <c r="D130" i="41" s="1"/>
  <c r="B130" i="37"/>
  <c r="B130" i="41" s="1"/>
  <c r="F130" i="37"/>
  <c r="F130" i="41" s="1"/>
  <c r="A131" i="37"/>
  <c r="A131" i="41" s="1"/>
  <c r="D131" i="37"/>
  <c r="D131" i="41" s="1"/>
  <c r="B131" i="37"/>
  <c r="B131" i="41" s="1"/>
  <c r="F131" i="37"/>
  <c r="F131" i="41" s="1"/>
  <c r="A132" i="37"/>
  <c r="A132" i="41" s="1"/>
  <c r="D132" i="37"/>
  <c r="D132" i="41" s="1"/>
  <c r="B132" i="37"/>
  <c r="B132" i="41" s="1"/>
  <c r="F132" i="37"/>
  <c r="F132" i="41" s="1"/>
  <c r="A133" i="37"/>
  <c r="A133" i="41" s="1"/>
  <c r="D133" i="37"/>
  <c r="D133" i="41" s="1"/>
  <c r="B133" i="37"/>
  <c r="B133" i="41" s="1"/>
  <c r="F133" i="37"/>
  <c r="F133" i="41" s="1"/>
  <c r="A134" i="37"/>
  <c r="A134" i="41" s="1"/>
  <c r="D134" i="37"/>
  <c r="D134" i="41" s="1"/>
  <c r="B134" i="37"/>
  <c r="B134" i="41" s="1"/>
  <c r="F134" i="37"/>
  <c r="F134" i="41" s="1"/>
  <c r="A135" i="37"/>
  <c r="A135" i="41" s="1"/>
  <c r="D135" i="37"/>
  <c r="D135" i="41" s="1"/>
  <c r="B135" i="37"/>
  <c r="B135" i="41" s="1"/>
  <c r="F135" i="37"/>
  <c r="F135" i="41" s="1"/>
  <c r="A136" i="37"/>
  <c r="A136" i="41" s="1"/>
  <c r="D136" i="37"/>
  <c r="D136" i="41" s="1"/>
  <c r="B136" i="37"/>
  <c r="B136" i="41" s="1"/>
  <c r="F136" i="37"/>
  <c r="F136" i="41" s="1"/>
  <c r="A137" i="37"/>
  <c r="A137" i="41" s="1"/>
  <c r="D137" i="37"/>
  <c r="D137" i="41" s="1"/>
  <c r="B137" i="37"/>
  <c r="B137" i="41" s="1"/>
  <c r="F137" i="37"/>
  <c r="F137" i="41" s="1"/>
  <c r="A138" i="37"/>
  <c r="A138" i="41" s="1"/>
  <c r="D138" i="37"/>
  <c r="D138" i="41" s="1"/>
  <c r="B138" i="37"/>
  <c r="B138" i="41" s="1"/>
  <c r="F138" i="37"/>
  <c r="F138" i="41" s="1"/>
  <c r="A139" i="37"/>
  <c r="A139" i="41" s="1"/>
  <c r="D139" i="37"/>
  <c r="D139" i="41" s="1"/>
  <c r="B139" i="37"/>
  <c r="B139" i="41" s="1"/>
  <c r="F139" i="37"/>
  <c r="F139" i="41" s="1"/>
  <c r="A140" i="37"/>
  <c r="A140" i="41" s="1"/>
  <c r="D140" i="37"/>
  <c r="D140" i="41" s="1"/>
  <c r="B140" i="37"/>
  <c r="B140" i="41" s="1"/>
  <c r="F140" i="37"/>
  <c r="F140" i="41" s="1"/>
  <c r="A141" i="37"/>
  <c r="A141" i="41" s="1"/>
  <c r="D141" i="37"/>
  <c r="D141" i="41" s="1"/>
  <c r="B141" i="37"/>
  <c r="B141" i="41" s="1"/>
  <c r="F141" i="37"/>
  <c r="F141" i="41" s="1"/>
  <c r="A142" i="37"/>
  <c r="A142" i="41" s="1"/>
  <c r="D142" i="37"/>
  <c r="D142" i="41" s="1"/>
  <c r="B142" i="37"/>
  <c r="B142" i="41" s="1"/>
  <c r="F142" i="37"/>
  <c r="F142" i="41" s="1"/>
  <c r="A143" i="37"/>
  <c r="A143" i="41" s="1"/>
  <c r="D143" i="37"/>
  <c r="D143" i="41" s="1"/>
  <c r="B143" i="37"/>
  <c r="B143" i="41" s="1"/>
  <c r="F143" i="37"/>
  <c r="F143" i="41" s="1"/>
  <c r="A144" i="37"/>
  <c r="A144" i="41" s="1"/>
  <c r="D144" i="37"/>
  <c r="D144" i="41" s="1"/>
  <c r="B144" i="37"/>
  <c r="B144" i="41" s="1"/>
  <c r="F144" i="37"/>
  <c r="F144" i="41" s="1"/>
  <c r="A145" i="37"/>
  <c r="A145" i="41" s="1"/>
  <c r="D145" i="37"/>
  <c r="D145" i="41" s="1"/>
  <c r="B145" i="37"/>
  <c r="B145" i="41" s="1"/>
  <c r="F145" i="37"/>
  <c r="F145" i="41" s="1"/>
  <c r="A146" i="37"/>
  <c r="A146" i="41" s="1"/>
  <c r="D146" i="37"/>
  <c r="D146" i="41" s="1"/>
  <c r="B146" i="37"/>
  <c r="B146" i="41" s="1"/>
  <c r="F146" i="37"/>
  <c r="F146" i="41" s="1"/>
  <c r="A147" i="37"/>
  <c r="A147" i="41" s="1"/>
  <c r="D147" i="37"/>
  <c r="D147" i="41" s="1"/>
  <c r="B147" i="37"/>
  <c r="B147" i="41" s="1"/>
  <c r="F147" i="37"/>
  <c r="F147" i="41" s="1"/>
  <c r="A148" i="37"/>
  <c r="A148" i="41" s="1"/>
  <c r="D148" i="37"/>
  <c r="D148" i="41" s="1"/>
  <c r="B148" i="37"/>
  <c r="B148" i="41" s="1"/>
  <c r="F148" i="37"/>
  <c r="F148" i="41" s="1"/>
  <c r="A149" i="37"/>
  <c r="A149" i="41" s="1"/>
  <c r="D149" i="37"/>
  <c r="D149" i="41" s="1"/>
  <c r="B149" i="37"/>
  <c r="B149" i="41" s="1"/>
  <c r="F149" i="37"/>
  <c r="F149" i="41" s="1"/>
  <c r="A150" i="37"/>
  <c r="A150" i="41" s="1"/>
  <c r="D150" i="37"/>
  <c r="D150" i="41" s="1"/>
  <c r="B150" i="37"/>
  <c r="B150" i="41" s="1"/>
  <c r="F150" i="37"/>
  <c r="F150" i="41" s="1"/>
  <c r="A151" i="37"/>
  <c r="A151" i="41" s="1"/>
  <c r="D151" i="37"/>
  <c r="D151" i="41" s="1"/>
  <c r="B151" i="37"/>
  <c r="B151" i="41" s="1"/>
  <c r="F151" i="37"/>
  <c r="F151" i="41" s="1"/>
  <c r="A152" i="37"/>
  <c r="A152" i="41" s="1"/>
  <c r="D152" i="37"/>
  <c r="D152" i="41" s="1"/>
  <c r="B152" i="37"/>
  <c r="B152" i="41" s="1"/>
  <c r="F152" i="37"/>
  <c r="F152" i="41" s="1"/>
  <c r="A153" i="37"/>
  <c r="A153" i="41" s="1"/>
  <c r="D153" i="37"/>
  <c r="D153" i="41" s="1"/>
  <c r="B153" i="37"/>
  <c r="B153" i="41" s="1"/>
  <c r="F153" i="37"/>
  <c r="F153" i="41" s="1"/>
  <c r="A154" i="37"/>
  <c r="A154" i="41" s="1"/>
  <c r="D154" i="37"/>
  <c r="D154" i="41" s="1"/>
  <c r="B154" i="37"/>
  <c r="B154" i="41" s="1"/>
  <c r="F154" i="37"/>
  <c r="F154" i="41" s="1"/>
  <c r="A155" i="37"/>
  <c r="A155" i="41" s="1"/>
  <c r="D155" i="37"/>
  <c r="D155" i="41" s="1"/>
  <c r="B155" i="37"/>
  <c r="B155" i="41" s="1"/>
  <c r="F155" i="37"/>
  <c r="F155" i="41" s="1"/>
  <c r="A156" i="37"/>
  <c r="A156" i="41" s="1"/>
  <c r="D156" i="37"/>
  <c r="D156" i="41" s="1"/>
  <c r="B156" i="37"/>
  <c r="B156" i="41" s="1"/>
  <c r="F156" i="37"/>
  <c r="F156" i="41" s="1"/>
  <c r="A157" i="37"/>
  <c r="A157" i="41" s="1"/>
  <c r="D157" i="37"/>
  <c r="D157" i="41" s="1"/>
  <c r="B157" i="37"/>
  <c r="B157" i="41" s="1"/>
  <c r="F157" i="37"/>
  <c r="F157" i="41" s="1"/>
  <c r="A158" i="37"/>
  <c r="A158" i="41" s="1"/>
  <c r="D158" i="37"/>
  <c r="D158" i="41" s="1"/>
  <c r="B158" i="37"/>
  <c r="B158" i="41" s="1"/>
  <c r="F158" i="37"/>
  <c r="F158" i="41" s="1"/>
  <c r="A159" i="37"/>
  <c r="A159" i="41" s="1"/>
  <c r="D159" i="37"/>
  <c r="D159" i="41" s="1"/>
  <c r="B159" i="37"/>
  <c r="B159" i="41" s="1"/>
  <c r="F159" i="37"/>
  <c r="F159" i="41" s="1"/>
  <c r="A160" i="37"/>
  <c r="A160" i="41" s="1"/>
  <c r="D160" i="37"/>
  <c r="D160" i="41" s="1"/>
  <c r="B160" i="37"/>
  <c r="B160" i="41" s="1"/>
  <c r="F160" i="37"/>
  <c r="F160" i="41" s="1"/>
  <c r="A161" i="37"/>
  <c r="A161" i="41" s="1"/>
  <c r="D161" i="37"/>
  <c r="D161" i="41" s="1"/>
  <c r="B161" i="37"/>
  <c r="B161" i="41" s="1"/>
  <c r="F161" i="37"/>
  <c r="F161" i="41" s="1"/>
  <c r="A162" i="37"/>
  <c r="A162" i="41" s="1"/>
  <c r="D162" i="37"/>
  <c r="D162" i="41" s="1"/>
  <c r="B162" i="37"/>
  <c r="B162" i="41" s="1"/>
  <c r="C162" i="37"/>
  <c r="C162" i="41" s="1"/>
  <c r="F162" i="37"/>
  <c r="F162" i="41" s="1"/>
  <c r="A163" i="37"/>
  <c r="A163" i="41" s="1"/>
  <c r="D163" i="37"/>
  <c r="D163" i="41" s="1"/>
  <c r="B163" i="37"/>
  <c r="B163" i="41" s="1"/>
  <c r="C163" i="37"/>
  <c r="C163" i="41" s="1"/>
  <c r="F163" i="37"/>
  <c r="F163" i="41" s="1"/>
  <c r="A164" i="37"/>
  <c r="A164" i="41" s="1"/>
  <c r="D164" i="37"/>
  <c r="D164" i="41" s="1"/>
  <c r="B164" i="37"/>
  <c r="B164" i="41" s="1"/>
  <c r="C164" i="37"/>
  <c r="C164" i="41" s="1"/>
  <c r="F164" i="37"/>
  <c r="F164" i="41" s="1"/>
  <c r="A165" i="37"/>
  <c r="A165" i="41" s="1"/>
  <c r="D165" i="37"/>
  <c r="D165" i="41" s="1"/>
  <c r="B165" i="37"/>
  <c r="B165" i="41" s="1"/>
  <c r="C165" i="37"/>
  <c r="C165" i="41" s="1"/>
  <c r="F165" i="37"/>
  <c r="F165" i="41" s="1"/>
  <c r="A166" i="37"/>
  <c r="A166" i="41" s="1"/>
  <c r="D166" i="37"/>
  <c r="D166" i="41" s="1"/>
  <c r="B166" i="37"/>
  <c r="B166" i="41" s="1"/>
  <c r="C166" i="37"/>
  <c r="C166" i="41" s="1"/>
  <c r="F166" i="37"/>
  <c r="F166" i="41" s="1"/>
  <c r="A167" i="37"/>
  <c r="A167" i="41" s="1"/>
  <c r="D167" i="37"/>
  <c r="D167" i="41" s="1"/>
  <c r="B167" i="37"/>
  <c r="B167" i="41" s="1"/>
  <c r="C167" i="37"/>
  <c r="C167" i="41" s="1"/>
  <c r="F167" i="37"/>
  <c r="F167" i="41" s="1"/>
  <c r="A168" i="37"/>
  <c r="A168" i="41" s="1"/>
  <c r="D168" i="37"/>
  <c r="D168" i="41" s="1"/>
  <c r="B168" i="37"/>
  <c r="B168" i="41" s="1"/>
  <c r="F168" i="37"/>
  <c r="F168" i="41" s="1"/>
  <c r="A169" i="37"/>
  <c r="A169" i="41" s="1"/>
  <c r="D169" i="37"/>
  <c r="D169" i="41" s="1"/>
  <c r="B169" i="37"/>
  <c r="B169" i="41" s="1"/>
  <c r="F169" i="37"/>
  <c r="F169" i="41" s="1"/>
  <c r="A170" i="37"/>
  <c r="A170" i="41" s="1"/>
  <c r="D170" i="37"/>
  <c r="D170" i="41" s="1"/>
  <c r="B170" i="37"/>
  <c r="B170" i="41" s="1"/>
  <c r="F170" i="37"/>
  <c r="F170" i="41" s="1"/>
  <c r="A171" i="37"/>
  <c r="A171" i="41" s="1"/>
  <c r="D171" i="37"/>
  <c r="D171" i="41" s="1"/>
  <c r="B171" i="37"/>
  <c r="B171" i="41" s="1"/>
  <c r="F171" i="37"/>
  <c r="F171" i="41" s="1"/>
  <c r="A172" i="37"/>
  <c r="A172" i="41" s="1"/>
  <c r="D172" i="37"/>
  <c r="D172" i="41" s="1"/>
  <c r="B172" i="37"/>
  <c r="B172" i="41" s="1"/>
  <c r="F172" i="37"/>
  <c r="F172" i="41" s="1"/>
  <c r="A173" i="37"/>
  <c r="A173" i="41" s="1"/>
  <c r="D173" i="37"/>
  <c r="D173" i="41" s="1"/>
  <c r="B173" i="37"/>
  <c r="B173" i="41" s="1"/>
  <c r="F173" i="37"/>
  <c r="F173" i="41" s="1"/>
  <c r="A174" i="37"/>
  <c r="A174" i="41" s="1"/>
  <c r="D174" i="37"/>
  <c r="D174" i="41" s="1"/>
  <c r="B174" i="37"/>
  <c r="B174" i="41" s="1"/>
  <c r="F174" i="37"/>
  <c r="F174" i="41" s="1"/>
  <c r="A175" i="37"/>
  <c r="A175" i="41" s="1"/>
  <c r="D175" i="37"/>
  <c r="D175" i="41" s="1"/>
  <c r="B175" i="37"/>
  <c r="B175" i="41" s="1"/>
  <c r="F175" i="37"/>
  <c r="F175" i="41" s="1"/>
  <c r="A176" i="37"/>
  <c r="A176" i="41" s="1"/>
  <c r="D176" i="37"/>
  <c r="D176" i="41" s="1"/>
  <c r="B176" i="37"/>
  <c r="B176" i="41" s="1"/>
  <c r="F176" i="37"/>
  <c r="F176" i="41" s="1"/>
  <c r="A177" i="37"/>
  <c r="A177" i="41" s="1"/>
  <c r="D177" i="37"/>
  <c r="D177" i="41" s="1"/>
  <c r="B177" i="37"/>
  <c r="B177" i="41" s="1"/>
  <c r="F177" i="37"/>
  <c r="F177" i="41" s="1"/>
  <c r="A178" i="37"/>
  <c r="A178" i="41" s="1"/>
  <c r="D178" i="37"/>
  <c r="D178" i="41" s="1"/>
  <c r="B178" i="37"/>
  <c r="B178" i="41" s="1"/>
  <c r="F178" i="37"/>
  <c r="F178" i="41" s="1"/>
  <c r="A179" i="37"/>
  <c r="A179" i="41" s="1"/>
  <c r="D179" i="37"/>
  <c r="D179" i="41" s="1"/>
  <c r="B179" i="37"/>
  <c r="B179" i="41" s="1"/>
  <c r="F179" i="37"/>
  <c r="F179" i="41" s="1"/>
  <c r="A180" i="37"/>
  <c r="A180" i="41" s="1"/>
  <c r="D180" i="37"/>
  <c r="D180" i="41" s="1"/>
  <c r="B180" i="37"/>
  <c r="B180" i="41" s="1"/>
  <c r="F180" i="37"/>
  <c r="F180" i="41" s="1"/>
  <c r="A181" i="37"/>
  <c r="A181" i="41" s="1"/>
  <c r="D181" i="37"/>
  <c r="D181" i="41" s="1"/>
  <c r="B181" i="37"/>
  <c r="B181" i="41" s="1"/>
  <c r="F181" i="37"/>
  <c r="F181" i="41" s="1"/>
  <c r="A182" i="37"/>
  <c r="A182" i="41" s="1"/>
  <c r="D182" i="37"/>
  <c r="D182" i="41" s="1"/>
  <c r="B182" i="37"/>
  <c r="B182" i="41" s="1"/>
  <c r="F182" i="37"/>
  <c r="F182" i="41" s="1"/>
  <c r="A183" i="37"/>
  <c r="A183" i="41" s="1"/>
  <c r="D183" i="37"/>
  <c r="D183" i="41" s="1"/>
  <c r="B183" i="37"/>
  <c r="B183" i="41" s="1"/>
  <c r="F183" i="37"/>
  <c r="F183" i="41" s="1"/>
  <c r="A184" i="37"/>
  <c r="A184" i="41" s="1"/>
  <c r="D184" i="37"/>
  <c r="D184" i="41" s="1"/>
  <c r="B184" i="37"/>
  <c r="B184" i="41" s="1"/>
  <c r="F184" i="37"/>
  <c r="F184" i="41" s="1"/>
  <c r="A185" i="37"/>
  <c r="A185" i="41" s="1"/>
  <c r="D185" i="37"/>
  <c r="D185" i="41" s="1"/>
  <c r="B185" i="37"/>
  <c r="B185" i="41" s="1"/>
  <c r="F185" i="37"/>
  <c r="F185" i="41" s="1"/>
  <c r="A186" i="37"/>
  <c r="A186" i="41" s="1"/>
  <c r="D186" i="37"/>
  <c r="D186" i="41" s="1"/>
  <c r="B186" i="37"/>
  <c r="B186" i="41" s="1"/>
  <c r="F186" i="37"/>
  <c r="F186" i="41" s="1"/>
  <c r="A187" i="37"/>
  <c r="A187" i="41" s="1"/>
  <c r="D187" i="37"/>
  <c r="D187" i="41" s="1"/>
  <c r="B187" i="37"/>
  <c r="B187" i="41" s="1"/>
  <c r="F187" i="37"/>
  <c r="F187" i="41" s="1"/>
  <c r="A188" i="37"/>
  <c r="A188" i="41" s="1"/>
  <c r="D188" i="37"/>
  <c r="D188" i="41" s="1"/>
  <c r="B188" i="37"/>
  <c r="B188" i="41" s="1"/>
  <c r="F188" i="37"/>
  <c r="F188" i="41" s="1"/>
  <c r="A189" i="37"/>
  <c r="A189" i="41" s="1"/>
  <c r="D189" i="37"/>
  <c r="D189" i="41" s="1"/>
  <c r="B189" i="37"/>
  <c r="B189" i="41" s="1"/>
  <c r="F189" i="37"/>
  <c r="F189" i="41" s="1"/>
  <c r="A190" i="37"/>
  <c r="A190" i="41" s="1"/>
  <c r="D190" i="37"/>
  <c r="D190" i="41" s="1"/>
  <c r="B190" i="37"/>
  <c r="B190" i="41" s="1"/>
  <c r="F190" i="37"/>
  <c r="F190" i="41" s="1"/>
  <c r="A191" i="37"/>
  <c r="A191" i="41" s="1"/>
  <c r="D191" i="37"/>
  <c r="D191" i="41" s="1"/>
  <c r="B191" i="37"/>
  <c r="B191" i="41" s="1"/>
  <c r="F191" i="37"/>
  <c r="F191" i="41" s="1"/>
  <c r="A192" i="37"/>
  <c r="A192" i="41" s="1"/>
  <c r="D192" i="37"/>
  <c r="D192" i="41" s="1"/>
  <c r="B192" i="37"/>
  <c r="B192" i="41" s="1"/>
  <c r="F192" i="37"/>
  <c r="F192" i="41" s="1"/>
  <c r="A193" i="37"/>
  <c r="A193" i="41" s="1"/>
  <c r="D193" i="37"/>
  <c r="D193" i="41" s="1"/>
  <c r="B193" i="37"/>
  <c r="B193" i="41" s="1"/>
  <c r="F193" i="37"/>
  <c r="F193" i="41" s="1"/>
  <c r="A194" i="37"/>
  <c r="A194" i="41" s="1"/>
  <c r="D194" i="37"/>
  <c r="D194" i="41" s="1"/>
  <c r="B194" i="37"/>
  <c r="B194" i="41" s="1"/>
  <c r="F194" i="37"/>
  <c r="F194" i="41" s="1"/>
  <c r="A195" i="37"/>
  <c r="A195" i="41" s="1"/>
  <c r="D195" i="37"/>
  <c r="D195" i="41" s="1"/>
  <c r="B195" i="37"/>
  <c r="B195" i="41" s="1"/>
  <c r="F195" i="37"/>
  <c r="F195" i="41" s="1"/>
  <c r="A196" i="37"/>
  <c r="A196" i="41" s="1"/>
  <c r="D196" i="37"/>
  <c r="D196" i="41" s="1"/>
  <c r="B196" i="37"/>
  <c r="B196" i="41" s="1"/>
  <c r="F196" i="37"/>
  <c r="F196" i="41" s="1"/>
  <c r="A197" i="37"/>
  <c r="A197" i="41" s="1"/>
  <c r="D197" i="37"/>
  <c r="D197" i="41" s="1"/>
  <c r="B197" i="37"/>
  <c r="B197" i="41" s="1"/>
  <c r="F197" i="37"/>
  <c r="F197" i="41" s="1"/>
  <c r="A198" i="37"/>
  <c r="A198" i="41" s="1"/>
  <c r="D198" i="37"/>
  <c r="D198" i="41" s="1"/>
  <c r="B198" i="37"/>
  <c r="B198" i="41" s="1"/>
  <c r="F198" i="37"/>
  <c r="F198" i="41" s="1"/>
  <c r="A199" i="37"/>
  <c r="A199" i="41" s="1"/>
  <c r="D199" i="37"/>
  <c r="D199" i="41" s="1"/>
  <c r="B199" i="37"/>
  <c r="B199" i="41" s="1"/>
  <c r="F199" i="37"/>
  <c r="F199" i="41" s="1"/>
  <c r="A200" i="37"/>
  <c r="A200" i="41" s="1"/>
  <c r="D200" i="37"/>
  <c r="D200" i="41" s="1"/>
  <c r="B200" i="37"/>
  <c r="B200" i="41" s="1"/>
  <c r="F200" i="37"/>
  <c r="F200" i="41" s="1"/>
  <c r="A201" i="37"/>
  <c r="A201" i="41" s="1"/>
  <c r="D201" i="37"/>
  <c r="D201" i="41" s="1"/>
  <c r="B201" i="37"/>
  <c r="B201" i="41" s="1"/>
  <c r="F201" i="37"/>
  <c r="F201" i="41" s="1"/>
  <c r="A202" i="37"/>
  <c r="A202" i="41" s="1"/>
  <c r="D202" i="37"/>
  <c r="D202" i="41" s="1"/>
  <c r="B202" i="37"/>
  <c r="B202" i="41" s="1"/>
  <c r="F202" i="37"/>
  <c r="F202" i="41" s="1"/>
  <c r="A203" i="37"/>
  <c r="A203" i="41" s="1"/>
  <c r="D203" i="37"/>
  <c r="D203" i="41" s="1"/>
  <c r="B203" i="37"/>
  <c r="B203" i="41" s="1"/>
  <c r="F203" i="37"/>
  <c r="F203" i="41" s="1"/>
  <c r="A204" i="37"/>
  <c r="A204" i="41" s="1"/>
  <c r="D204" i="37"/>
  <c r="D204" i="41" s="1"/>
  <c r="B204" i="37"/>
  <c r="B204" i="41" s="1"/>
  <c r="F204" i="37"/>
  <c r="F204" i="41" s="1"/>
  <c r="A205" i="37"/>
  <c r="A205" i="41" s="1"/>
  <c r="D205" i="37"/>
  <c r="D205" i="41" s="1"/>
  <c r="B205" i="37"/>
  <c r="B205" i="41" s="1"/>
  <c r="F205" i="37"/>
  <c r="F205" i="41" s="1"/>
  <c r="A206" i="37"/>
  <c r="A206" i="41" s="1"/>
  <c r="D206" i="37"/>
  <c r="D206" i="41" s="1"/>
  <c r="B206" i="37"/>
  <c r="B206" i="41" s="1"/>
  <c r="F206" i="37"/>
  <c r="F206" i="41" s="1"/>
  <c r="A207" i="37"/>
  <c r="A207" i="41" s="1"/>
  <c r="D207" i="37"/>
  <c r="D207" i="41" s="1"/>
  <c r="B207" i="37"/>
  <c r="B207" i="41" s="1"/>
  <c r="F207" i="37"/>
  <c r="F207" i="41" s="1"/>
  <c r="A208" i="37"/>
  <c r="A208" i="41" s="1"/>
  <c r="D208" i="37"/>
  <c r="D208" i="41" s="1"/>
  <c r="B208" i="37"/>
  <c r="B208" i="41" s="1"/>
  <c r="F208" i="37"/>
  <c r="F208" i="41" s="1"/>
  <c r="A209" i="37"/>
  <c r="A209" i="41" s="1"/>
  <c r="D209" i="37"/>
  <c r="D209" i="41" s="1"/>
  <c r="B209" i="37"/>
  <c r="B209" i="41" s="1"/>
  <c r="F209" i="37"/>
  <c r="F209" i="41" s="1"/>
  <c r="A210" i="37"/>
  <c r="A210" i="41" s="1"/>
  <c r="D210" i="37"/>
  <c r="D210" i="41" s="1"/>
  <c r="B210" i="37"/>
  <c r="B210" i="41" s="1"/>
  <c r="F210" i="37"/>
  <c r="F210" i="41" s="1"/>
  <c r="A211" i="37"/>
  <c r="A211" i="41" s="1"/>
  <c r="D211" i="37"/>
  <c r="D211" i="41" s="1"/>
  <c r="B211" i="37"/>
  <c r="B211" i="41" s="1"/>
  <c r="F211" i="37"/>
  <c r="F211" i="41" s="1"/>
  <c r="A212" i="37"/>
  <c r="A212" i="41" s="1"/>
  <c r="D212" i="37"/>
  <c r="D212" i="41" s="1"/>
  <c r="B212" i="37"/>
  <c r="B212" i="41" s="1"/>
  <c r="F212" i="37"/>
  <c r="F212" i="41" s="1"/>
  <c r="A213" i="37"/>
  <c r="A213" i="41" s="1"/>
  <c r="D213" i="37"/>
  <c r="D213" i="41" s="1"/>
  <c r="B213" i="37"/>
  <c r="B213" i="41" s="1"/>
  <c r="F213" i="37"/>
  <c r="F213" i="41" s="1"/>
  <c r="A214" i="37"/>
  <c r="A214" i="41" s="1"/>
  <c r="D214" i="37"/>
  <c r="D214" i="41" s="1"/>
  <c r="B214" i="37"/>
  <c r="B214" i="41" s="1"/>
  <c r="F214" i="37"/>
  <c r="F214" i="41" s="1"/>
  <c r="A215" i="37"/>
  <c r="A215" i="41" s="1"/>
  <c r="D215" i="37"/>
  <c r="D215" i="41" s="1"/>
  <c r="B215" i="37"/>
  <c r="B215" i="41" s="1"/>
  <c r="F215" i="37"/>
  <c r="F215" i="41" s="1"/>
  <c r="A216" i="37"/>
  <c r="A216" i="41" s="1"/>
  <c r="D216" i="37"/>
  <c r="D216" i="41" s="1"/>
  <c r="B216" i="37"/>
  <c r="B216" i="41" s="1"/>
  <c r="F216" i="37"/>
  <c r="F216" i="41" s="1"/>
  <c r="A217" i="37"/>
  <c r="A217" i="41" s="1"/>
  <c r="D217" i="37"/>
  <c r="D217" i="41" s="1"/>
  <c r="B217" i="37"/>
  <c r="B217" i="41" s="1"/>
  <c r="F217" i="37"/>
  <c r="F217" i="41" s="1"/>
  <c r="A218" i="37"/>
  <c r="A218" i="41" s="1"/>
  <c r="D218" i="37"/>
  <c r="D218" i="41" s="1"/>
  <c r="B218" i="37"/>
  <c r="B218" i="41" s="1"/>
  <c r="F218" i="37"/>
  <c r="F218" i="41" s="1"/>
  <c r="A219" i="37"/>
  <c r="A219" i="41" s="1"/>
  <c r="D219" i="37"/>
  <c r="D219" i="41" s="1"/>
  <c r="B219" i="37"/>
  <c r="B219" i="41" s="1"/>
  <c r="F219" i="37"/>
  <c r="F219" i="41" s="1"/>
  <c r="A220" i="37"/>
  <c r="A220" i="41" s="1"/>
  <c r="D220" i="37"/>
  <c r="D220" i="41" s="1"/>
  <c r="B220" i="37"/>
  <c r="B220" i="41" s="1"/>
  <c r="F220" i="37"/>
  <c r="F220" i="41" s="1"/>
  <c r="A221" i="37"/>
  <c r="A221" i="41" s="1"/>
  <c r="D221" i="37"/>
  <c r="D221" i="41" s="1"/>
  <c r="B221" i="37"/>
  <c r="B221" i="41" s="1"/>
  <c r="F221" i="37"/>
  <c r="F221" i="41" s="1"/>
  <c r="A222" i="37"/>
  <c r="A222" i="41" s="1"/>
  <c r="D222" i="37"/>
  <c r="D222" i="41" s="1"/>
  <c r="B222" i="37"/>
  <c r="B222" i="41" s="1"/>
  <c r="F222" i="37"/>
  <c r="F222" i="41" s="1"/>
  <c r="A223" i="37"/>
  <c r="A223" i="41" s="1"/>
  <c r="D223" i="37"/>
  <c r="D223" i="41" s="1"/>
  <c r="B223" i="37"/>
  <c r="B223" i="41" s="1"/>
  <c r="F223" i="37"/>
  <c r="F223" i="41" s="1"/>
  <c r="A224" i="37"/>
  <c r="A224" i="41" s="1"/>
  <c r="D224" i="37"/>
  <c r="D224" i="41" s="1"/>
  <c r="B224" i="37"/>
  <c r="B224" i="41" s="1"/>
  <c r="F224" i="37"/>
  <c r="F224" i="41" s="1"/>
  <c r="A225" i="37"/>
  <c r="A225" i="41" s="1"/>
  <c r="D225" i="37"/>
  <c r="D225" i="41" s="1"/>
  <c r="B225" i="37"/>
  <c r="B225" i="41" s="1"/>
  <c r="F225" i="37"/>
  <c r="F225" i="41" s="1"/>
  <c r="A226" i="37"/>
  <c r="A226" i="41" s="1"/>
  <c r="D226" i="37"/>
  <c r="D226" i="41" s="1"/>
  <c r="B226" i="37"/>
  <c r="B226" i="41" s="1"/>
  <c r="F226" i="37"/>
  <c r="F226" i="41" s="1"/>
  <c r="A227" i="37"/>
  <c r="A227" i="41" s="1"/>
  <c r="D227" i="37"/>
  <c r="D227" i="41" s="1"/>
  <c r="B227" i="37"/>
  <c r="B227" i="41" s="1"/>
  <c r="F227" i="37"/>
  <c r="F227" i="41" s="1"/>
  <c r="A228" i="37"/>
  <c r="A228" i="41" s="1"/>
  <c r="D228" i="37"/>
  <c r="D228" i="41" s="1"/>
  <c r="B228" i="37"/>
  <c r="B228" i="41" s="1"/>
  <c r="F228" i="37"/>
  <c r="F228" i="41" s="1"/>
  <c r="A229" i="37"/>
  <c r="A229" i="41" s="1"/>
  <c r="D229" i="37"/>
  <c r="D229" i="41" s="1"/>
  <c r="B229" i="37"/>
  <c r="B229" i="41" s="1"/>
  <c r="F229" i="37"/>
  <c r="F229" i="41" s="1"/>
  <c r="A230" i="37"/>
  <c r="A230" i="41" s="1"/>
  <c r="D230" i="37"/>
  <c r="D230" i="41" s="1"/>
  <c r="B230" i="37"/>
  <c r="B230" i="41" s="1"/>
  <c r="F230" i="37"/>
  <c r="F230" i="41" s="1"/>
  <c r="A231" i="37"/>
  <c r="A231" i="41" s="1"/>
  <c r="D231" i="37"/>
  <c r="D231" i="41" s="1"/>
  <c r="B231" i="37"/>
  <c r="B231" i="41" s="1"/>
  <c r="F231" i="37"/>
  <c r="F231" i="41" s="1"/>
  <c r="A232" i="37"/>
  <c r="A232" i="41" s="1"/>
  <c r="D232" i="37"/>
  <c r="D232" i="41" s="1"/>
  <c r="B232" i="37"/>
  <c r="B232" i="41" s="1"/>
  <c r="F232" i="37"/>
  <c r="F232" i="41" s="1"/>
  <c r="A233" i="37"/>
  <c r="A233" i="41" s="1"/>
  <c r="D233" i="37"/>
  <c r="D233" i="41" s="1"/>
  <c r="B233" i="37"/>
  <c r="B233" i="41" s="1"/>
  <c r="F233" i="37"/>
  <c r="F233" i="41" s="1"/>
  <c r="A234" i="37"/>
  <c r="A234" i="41" s="1"/>
  <c r="D234" i="37"/>
  <c r="D234" i="41" s="1"/>
  <c r="B234" i="37"/>
  <c r="B234" i="41" s="1"/>
  <c r="F234" i="37"/>
  <c r="F234" i="41" s="1"/>
  <c r="A235" i="37"/>
  <c r="A235" i="41" s="1"/>
  <c r="D235" i="37"/>
  <c r="D235" i="41" s="1"/>
  <c r="B235" i="37"/>
  <c r="B235" i="41" s="1"/>
  <c r="F235" i="37"/>
  <c r="F235" i="41" s="1"/>
  <c r="A236" i="37"/>
  <c r="A236" i="41" s="1"/>
  <c r="D236" i="37"/>
  <c r="D236" i="41" s="1"/>
  <c r="B236" i="37"/>
  <c r="B236" i="41" s="1"/>
  <c r="F236" i="37"/>
  <c r="F236" i="41" s="1"/>
  <c r="A237" i="37"/>
  <c r="A237" i="41" s="1"/>
  <c r="D237" i="37"/>
  <c r="D237" i="41" s="1"/>
  <c r="B237" i="37"/>
  <c r="B237" i="41" s="1"/>
  <c r="F237" i="37"/>
  <c r="F237" i="41" s="1"/>
  <c r="A238" i="37"/>
  <c r="A238" i="41" s="1"/>
  <c r="D238" i="37"/>
  <c r="D238" i="41" s="1"/>
  <c r="B238" i="37"/>
  <c r="B238" i="41" s="1"/>
  <c r="F238" i="37"/>
  <c r="F238" i="41" s="1"/>
  <c r="A239" i="37"/>
  <c r="A239" i="41" s="1"/>
  <c r="D239" i="37"/>
  <c r="D239" i="41" s="1"/>
  <c r="B239" i="37"/>
  <c r="B239" i="41" s="1"/>
  <c r="F239" i="37"/>
  <c r="F239" i="41" s="1"/>
  <c r="A240" i="37"/>
  <c r="A240" i="41" s="1"/>
  <c r="D240" i="37"/>
  <c r="D240" i="41" s="1"/>
  <c r="B240" i="37"/>
  <c r="B240" i="41" s="1"/>
  <c r="F240" i="37"/>
  <c r="F240" i="41" s="1"/>
  <c r="A241" i="37"/>
  <c r="A241" i="41" s="1"/>
  <c r="D241" i="37"/>
  <c r="D241" i="41" s="1"/>
  <c r="B241" i="37"/>
  <c r="B241" i="41" s="1"/>
  <c r="F241" i="37"/>
  <c r="F241" i="41" s="1"/>
  <c r="A242" i="37"/>
  <c r="A242" i="41" s="1"/>
  <c r="D242" i="37"/>
  <c r="D242" i="41" s="1"/>
  <c r="B242" i="37"/>
  <c r="B242" i="41" s="1"/>
  <c r="F242" i="37"/>
  <c r="F242" i="41" s="1"/>
  <c r="A243" i="37"/>
  <c r="A243" i="41" s="1"/>
  <c r="D243" i="37"/>
  <c r="D243" i="41" s="1"/>
  <c r="B243" i="37"/>
  <c r="B243" i="41" s="1"/>
  <c r="F243" i="37"/>
  <c r="F243" i="41" s="1"/>
  <c r="A244" i="37"/>
  <c r="A244" i="41" s="1"/>
  <c r="D244" i="37"/>
  <c r="D244" i="41" s="1"/>
  <c r="B244" i="37"/>
  <c r="B244" i="41" s="1"/>
  <c r="F244" i="37"/>
  <c r="F244" i="41" s="1"/>
  <c r="A245" i="37"/>
  <c r="A245" i="41" s="1"/>
  <c r="D245" i="37"/>
  <c r="D245" i="41" s="1"/>
  <c r="B245" i="37"/>
  <c r="B245" i="41" s="1"/>
  <c r="F245" i="37"/>
  <c r="F245" i="41" s="1"/>
  <c r="A246" i="37"/>
  <c r="A246" i="41" s="1"/>
  <c r="D246" i="37"/>
  <c r="D246" i="41" s="1"/>
  <c r="B246" i="37"/>
  <c r="B246" i="41" s="1"/>
  <c r="F246" i="37"/>
  <c r="F246" i="41" s="1"/>
  <c r="A247" i="37"/>
  <c r="A247" i="41" s="1"/>
  <c r="D247" i="37"/>
  <c r="D247" i="41" s="1"/>
  <c r="B247" i="37"/>
  <c r="B247" i="41" s="1"/>
  <c r="F247" i="37"/>
  <c r="F247" i="41" s="1"/>
  <c r="A248" i="37"/>
  <c r="A248" i="41" s="1"/>
  <c r="D248" i="37"/>
  <c r="D248" i="41" s="1"/>
  <c r="B248" i="37"/>
  <c r="B248" i="41" s="1"/>
  <c r="F248" i="37"/>
  <c r="F248" i="41" s="1"/>
  <c r="A249" i="37"/>
  <c r="A249" i="41" s="1"/>
  <c r="D249" i="37"/>
  <c r="D249" i="41" s="1"/>
  <c r="B249" i="37"/>
  <c r="B249" i="41" s="1"/>
  <c r="F249" i="37"/>
  <c r="F249" i="41" s="1"/>
  <c r="A250" i="37"/>
  <c r="A250" i="41" s="1"/>
  <c r="D250" i="37"/>
  <c r="D250" i="41" s="1"/>
  <c r="B250" i="37"/>
  <c r="B250" i="41" s="1"/>
  <c r="F250" i="37"/>
  <c r="F250" i="41" s="1"/>
  <c r="A251" i="37"/>
  <c r="A251" i="41" s="1"/>
  <c r="D251" i="37"/>
  <c r="D251" i="41" s="1"/>
  <c r="B251" i="37"/>
  <c r="B251" i="41" s="1"/>
  <c r="F251" i="37"/>
  <c r="F251" i="41" s="1"/>
  <c r="A252" i="37"/>
  <c r="A252" i="41" s="1"/>
  <c r="D252" i="37"/>
  <c r="D252" i="41" s="1"/>
  <c r="B252" i="37"/>
  <c r="B252" i="41" s="1"/>
  <c r="F252" i="37"/>
  <c r="F252" i="41" s="1"/>
  <c r="A253" i="37"/>
  <c r="A253" i="41" s="1"/>
  <c r="D253" i="37"/>
  <c r="D253" i="41" s="1"/>
  <c r="B253" i="37"/>
  <c r="B253" i="41" s="1"/>
  <c r="F253" i="37"/>
  <c r="F253" i="41" s="1"/>
  <c r="A254" i="37"/>
  <c r="A254" i="41" s="1"/>
  <c r="D254" i="37"/>
  <c r="D254" i="41" s="1"/>
  <c r="B254" i="37"/>
  <c r="B254" i="41" s="1"/>
  <c r="F254" i="37"/>
  <c r="F254" i="41" s="1"/>
  <c r="A255" i="37"/>
  <c r="A255" i="41" s="1"/>
  <c r="D255" i="37"/>
  <c r="D255" i="41" s="1"/>
  <c r="B255" i="37"/>
  <c r="B255" i="41" s="1"/>
  <c r="F255" i="37"/>
  <c r="F255" i="41" s="1"/>
  <c r="A256" i="37"/>
  <c r="A256" i="41" s="1"/>
  <c r="D256" i="37"/>
  <c r="D256" i="41" s="1"/>
  <c r="B256" i="37"/>
  <c r="B256" i="41" s="1"/>
  <c r="F256" i="37"/>
  <c r="F256" i="41" s="1"/>
  <c r="A257" i="37"/>
  <c r="A257" i="41" s="1"/>
  <c r="D257" i="37"/>
  <c r="D257" i="41" s="1"/>
  <c r="B257" i="37"/>
  <c r="B257" i="41" s="1"/>
  <c r="F257" i="37"/>
  <c r="F257" i="41" s="1"/>
  <c r="A258" i="37"/>
  <c r="A258" i="41" s="1"/>
  <c r="D258" i="37"/>
  <c r="D258" i="41" s="1"/>
  <c r="B258" i="37"/>
  <c r="B258" i="41" s="1"/>
  <c r="F258" i="37"/>
  <c r="F258" i="41" s="1"/>
  <c r="A259" i="37"/>
  <c r="A259" i="41" s="1"/>
  <c r="D259" i="37"/>
  <c r="D259" i="41" s="1"/>
  <c r="B259" i="37"/>
  <c r="B259" i="41" s="1"/>
  <c r="F259" i="37"/>
  <c r="F259" i="41" s="1"/>
  <c r="A260" i="37"/>
  <c r="A260" i="41" s="1"/>
  <c r="D260" i="37"/>
  <c r="D260" i="41" s="1"/>
  <c r="B260" i="37"/>
  <c r="B260" i="41" s="1"/>
  <c r="F260" i="37"/>
  <c r="F260" i="41" s="1"/>
  <c r="A261" i="37"/>
  <c r="A261" i="41" s="1"/>
  <c r="D261" i="37"/>
  <c r="D261" i="41" s="1"/>
  <c r="B261" i="37"/>
  <c r="B261" i="41" s="1"/>
  <c r="F261" i="37"/>
  <c r="F261" i="41" s="1"/>
  <c r="A262" i="37"/>
  <c r="A262" i="41" s="1"/>
  <c r="D262" i="37"/>
  <c r="D262" i="41" s="1"/>
  <c r="B262" i="37"/>
  <c r="B262" i="41" s="1"/>
  <c r="F262" i="37"/>
  <c r="F262" i="41" s="1"/>
  <c r="A263" i="37"/>
  <c r="A263" i="41" s="1"/>
  <c r="D263" i="37"/>
  <c r="D263" i="41" s="1"/>
  <c r="B263" i="37"/>
  <c r="B263" i="41" s="1"/>
  <c r="F263" i="37"/>
  <c r="F263" i="41" s="1"/>
  <c r="A264" i="37"/>
  <c r="A264" i="41" s="1"/>
  <c r="D264" i="37"/>
  <c r="D264" i="41" s="1"/>
  <c r="B264" i="37"/>
  <c r="B264" i="41" s="1"/>
  <c r="F264" i="37"/>
  <c r="F264" i="41" s="1"/>
  <c r="A265" i="37"/>
  <c r="A265" i="41" s="1"/>
  <c r="D265" i="37"/>
  <c r="D265" i="41" s="1"/>
  <c r="B265" i="37"/>
  <c r="B265" i="41" s="1"/>
  <c r="F265" i="37"/>
  <c r="F265" i="41" s="1"/>
  <c r="A266" i="37"/>
  <c r="A266" i="41" s="1"/>
  <c r="D266" i="37"/>
  <c r="D266" i="41" s="1"/>
  <c r="B266" i="37"/>
  <c r="B266" i="41" s="1"/>
  <c r="F266" i="37"/>
  <c r="F266" i="41" s="1"/>
  <c r="A267" i="37"/>
  <c r="A267" i="41" s="1"/>
  <c r="D267" i="37"/>
  <c r="D267" i="41" s="1"/>
  <c r="B267" i="37"/>
  <c r="B267" i="41" s="1"/>
  <c r="F267" i="37"/>
  <c r="F267" i="41" s="1"/>
  <c r="A268" i="37"/>
  <c r="A268" i="41" s="1"/>
  <c r="D268" i="37"/>
  <c r="D268" i="41" s="1"/>
  <c r="B268" i="37"/>
  <c r="B268" i="41" s="1"/>
  <c r="F268" i="37"/>
  <c r="F268" i="41" s="1"/>
  <c r="A269" i="37"/>
  <c r="A269" i="41" s="1"/>
  <c r="D269" i="37"/>
  <c r="D269" i="41" s="1"/>
  <c r="B269" i="37"/>
  <c r="B269" i="41" s="1"/>
  <c r="F269" i="37"/>
  <c r="F269" i="41" s="1"/>
  <c r="A270" i="37"/>
  <c r="A270" i="41" s="1"/>
  <c r="D270" i="37"/>
  <c r="D270" i="41" s="1"/>
  <c r="B270" i="37"/>
  <c r="B270" i="41" s="1"/>
  <c r="F270" i="37"/>
  <c r="F270" i="41" s="1"/>
  <c r="A271" i="37"/>
  <c r="A271" i="41" s="1"/>
  <c r="D271" i="37"/>
  <c r="D271" i="41" s="1"/>
  <c r="B271" i="37"/>
  <c r="B271" i="41" s="1"/>
  <c r="F271" i="37"/>
  <c r="F271" i="41" s="1"/>
  <c r="A272" i="37"/>
  <c r="A272" i="41" s="1"/>
  <c r="D272" i="37"/>
  <c r="D272" i="41" s="1"/>
  <c r="B272" i="37"/>
  <c r="B272" i="41" s="1"/>
  <c r="F272" i="37"/>
  <c r="F272" i="41" s="1"/>
  <c r="A273" i="37"/>
  <c r="A273" i="41" s="1"/>
  <c r="D273" i="37"/>
  <c r="D273" i="41" s="1"/>
  <c r="B273" i="37"/>
  <c r="B273" i="41" s="1"/>
  <c r="F273" i="37"/>
  <c r="F273" i="41" s="1"/>
  <c r="A274" i="37"/>
  <c r="A274" i="41" s="1"/>
  <c r="D274" i="37"/>
  <c r="D274" i="41" s="1"/>
  <c r="B274" i="37"/>
  <c r="B274" i="41" s="1"/>
  <c r="F274" i="37"/>
  <c r="F274" i="41" s="1"/>
  <c r="A275" i="37"/>
  <c r="A275" i="41" s="1"/>
  <c r="D275" i="37"/>
  <c r="D275" i="41" s="1"/>
  <c r="B275" i="37"/>
  <c r="B275" i="41" s="1"/>
  <c r="F275" i="37"/>
  <c r="F275" i="41" s="1"/>
  <c r="A276" i="37"/>
  <c r="A276" i="41" s="1"/>
  <c r="D276" i="37"/>
  <c r="D276" i="41" s="1"/>
  <c r="B276" i="37"/>
  <c r="B276" i="41" s="1"/>
  <c r="F276" i="37"/>
  <c r="F276" i="41" s="1"/>
  <c r="A277" i="37"/>
  <c r="A277" i="41" s="1"/>
  <c r="D277" i="37"/>
  <c r="D277" i="41" s="1"/>
  <c r="B277" i="37"/>
  <c r="B277" i="41" s="1"/>
  <c r="F277" i="37"/>
  <c r="F277" i="41" s="1"/>
  <c r="A278" i="37"/>
  <c r="A278" i="41" s="1"/>
  <c r="D278" i="37"/>
  <c r="D278" i="41" s="1"/>
  <c r="B278" i="37"/>
  <c r="B278" i="41" s="1"/>
  <c r="F278" i="37"/>
  <c r="F278" i="41" s="1"/>
  <c r="A279" i="37"/>
  <c r="A279" i="41" s="1"/>
  <c r="D279" i="37"/>
  <c r="D279" i="41" s="1"/>
  <c r="B279" i="37"/>
  <c r="B279" i="41" s="1"/>
  <c r="F279" i="37"/>
  <c r="F279" i="41" s="1"/>
  <c r="A280" i="37"/>
  <c r="A280" i="41" s="1"/>
  <c r="D280" i="37"/>
  <c r="D280" i="41" s="1"/>
  <c r="B280" i="37"/>
  <c r="B280" i="41" s="1"/>
  <c r="F280" i="37"/>
  <c r="F280" i="41" s="1"/>
  <c r="A281" i="37"/>
  <c r="A281" i="41" s="1"/>
  <c r="D281" i="37"/>
  <c r="D281" i="41" s="1"/>
  <c r="B281" i="37"/>
  <c r="B281" i="41" s="1"/>
  <c r="F281" i="37"/>
  <c r="F281" i="41" s="1"/>
  <c r="A282" i="37"/>
  <c r="A282" i="41" s="1"/>
  <c r="D282" i="37"/>
  <c r="D282" i="41" s="1"/>
  <c r="B282" i="37"/>
  <c r="B282" i="41" s="1"/>
  <c r="F282" i="37"/>
  <c r="F282" i="41" s="1"/>
  <c r="A283" i="37"/>
  <c r="A283" i="41" s="1"/>
  <c r="D283" i="37"/>
  <c r="D283" i="41" s="1"/>
  <c r="B283" i="37"/>
  <c r="B283" i="41" s="1"/>
  <c r="F283" i="37"/>
  <c r="F283" i="41" s="1"/>
  <c r="A284" i="37"/>
  <c r="A284" i="41" s="1"/>
  <c r="D284" i="37"/>
  <c r="D284" i="41" s="1"/>
  <c r="B284" i="37"/>
  <c r="B284" i="41" s="1"/>
  <c r="F284" i="37"/>
  <c r="F284" i="41" s="1"/>
  <c r="A285" i="37"/>
  <c r="A285" i="41" s="1"/>
  <c r="D285" i="37"/>
  <c r="D285" i="41" s="1"/>
  <c r="B285" i="37"/>
  <c r="B285" i="41" s="1"/>
  <c r="F285" i="37"/>
  <c r="F285" i="41" s="1"/>
  <c r="A286" i="37"/>
  <c r="A286" i="41" s="1"/>
  <c r="D286" i="37"/>
  <c r="D286" i="41" s="1"/>
  <c r="B286" i="37"/>
  <c r="B286" i="41" s="1"/>
  <c r="F286" i="37"/>
  <c r="F286" i="41" s="1"/>
  <c r="A287" i="37"/>
  <c r="A287" i="41" s="1"/>
  <c r="D287" i="37"/>
  <c r="D287" i="41" s="1"/>
  <c r="B287" i="37"/>
  <c r="B287" i="41" s="1"/>
  <c r="F287" i="37"/>
  <c r="F287" i="41" s="1"/>
  <c r="A288" i="37"/>
  <c r="A288" i="41" s="1"/>
  <c r="D288" i="37"/>
  <c r="D288" i="41" s="1"/>
  <c r="B288" i="37"/>
  <c r="B288" i="41" s="1"/>
  <c r="F288" i="37"/>
  <c r="F288" i="41" s="1"/>
  <c r="A289" i="37"/>
  <c r="A289" i="41" s="1"/>
  <c r="D289" i="37"/>
  <c r="D289" i="41" s="1"/>
  <c r="B289" i="37"/>
  <c r="B289" i="41" s="1"/>
  <c r="F289" i="37"/>
  <c r="F289" i="41" s="1"/>
  <c r="A290" i="37"/>
  <c r="A290" i="41" s="1"/>
  <c r="D290" i="37"/>
  <c r="D290" i="41" s="1"/>
  <c r="B290" i="37"/>
  <c r="B290" i="41" s="1"/>
  <c r="F290" i="37"/>
  <c r="F290" i="41" s="1"/>
  <c r="A291" i="37"/>
  <c r="A291" i="41" s="1"/>
  <c r="D291" i="37"/>
  <c r="D291" i="41" s="1"/>
  <c r="B291" i="37"/>
  <c r="B291" i="41" s="1"/>
  <c r="F291" i="37"/>
  <c r="F291" i="41" s="1"/>
  <c r="A292" i="37"/>
  <c r="A292" i="41" s="1"/>
  <c r="D292" i="37"/>
  <c r="D292" i="41" s="1"/>
  <c r="B292" i="37"/>
  <c r="B292" i="41" s="1"/>
  <c r="F292" i="37"/>
  <c r="F292" i="41" s="1"/>
  <c r="A293" i="37"/>
  <c r="A293" i="41" s="1"/>
  <c r="D293" i="37"/>
  <c r="D293" i="41" s="1"/>
  <c r="B293" i="37"/>
  <c r="B293" i="41" s="1"/>
  <c r="F293" i="37"/>
  <c r="F293" i="41" s="1"/>
  <c r="A294" i="37"/>
  <c r="A294" i="41" s="1"/>
  <c r="D294" i="37"/>
  <c r="D294" i="41" s="1"/>
  <c r="B294" i="37"/>
  <c r="B294" i="41" s="1"/>
  <c r="F294" i="37"/>
  <c r="F294" i="41" s="1"/>
  <c r="A295" i="37"/>
  <c r="A295" i="41" s="1"/>
  <c r="D295" i="37"/>
  <c r="D295" i="41" s="1"/>
  <c r="B295" i="37"/>
  <c r="B295" i="41" s="1"/>
  <c r="F295" i="37"/>
  <c r="F295" i="41" s="1"/>
  <c r="A296" i="37"/>
  <c r="A296" i="41" s="1"/>
  <c r="D296" i="37"/>
  <c r="D296" i="41" s="1"/>
  <c r="B296" i="37"/>
  <c r="B296" i="41" s="1"/>
  <c r="F296" i="37"/>
  <c r="F296" i="41" s="1"/>
  <c r="A297" i="37"/>
  <c r="A297" i="41" s="1"/>
  <c r="D297" i="37"/>
  <c r="D297" i="41" s="1"/>
  <c r="B297" i="37"/>
  <c r="B297" i="41" s="1"/>
  <c r="F297" i="37"/>
  <c r="F297" i="41" s="1"/>
  <c r="A298" i="37"/>
  <c r="A298" i="41" s="1"/>
  <c r="D298" i="37"/>
  <c r="D298" i="41" s="1"/>
  <c r="B298" i="37"/>
  <c r="B298" i="41" s="1"/>
  <c r="F298" i="37"/>
  <c r="F298" i="41" s="1"/>
  <c r="A299" i="37"/>
  <c r="A299" i="41" s="1"/>
  <c r="D299" i="37"/>
  <c r="D299" i="41" s="1"/>
  <c r="B299" i="37"/>
  <c r="B299" i="41" s="1"/>
  <c r="F299" i="37"/>
  <c r="F299" i="41" s="1"/>
  <c r="A300" i="37"/>
  <c r="A300" i="41" s="1"/>
  <c r="D300" i="37"/>
  <c r="D300" i="41" s="1"/>
  <c r="B300" i="37"/>
  <c r="B300" i="41" s="1"/>
  <c r="F300" i="37"/>
  <c r="F300" i="41" s="1"/>
  <c r="A301" i="37"/>
  <c r="A301" i="41" s="1"/>
  <c r="D301" i="37"/>
  <c r="D301" i="41" s="1"/>
  <c r="B301" i="37"/>
  <c r="B301" i="41" s="1"/>
  <c r="F301" i="37"/>
  <c r="F301" i="41" s="1"/>
  <c r="A302" i="37"/>
  <c r="A302" i="41" s="1"/>
  <c r="D302" i="37"/>
  <c r="D302" i="41" s="1"/>
  <c r="B302" i="37"/>
  <c r="B302" i="41" s="1"/>
  <c r="F302" i="37"/>
  <c r="F302" i="41" s="1"/>
  <c r="A303" i="37"/>
  <c r="A303" i="41" s="1"/>
  <c r="D303" i="37"/>
  <c r="D303" i="41" s="1"/>
  <c r="B303" i="37"/>
  <c r="B303" i="41" s="1"/>
  <c r="F303" i="37"/>
  <c r="F303" i="41" s="1"/>
  <c r="A304" i="37"/>
  <c r="A304" i="41" s="1"/>
  <c r="D304" i="37"/>
  <c r="D304" i="41" s="1"/>
  <c r="B304" i="37"/>
  <c r="B304" i="41" s="1"/>
  <c r="F304" i="37"/>
  <c r="F304" i="41" s="1"/>
  <c r="A305" i="37"/>
  <c r="A305" i="41" s="1"/>
  <c r="D305" i="37"/>
  <c r="D305" i="41" s="1"/>
  <c r="B305" i="37"/>
  <c r="B305" i="41" s="1"/>
  <c r="F305" i="37"/>
  <c r="F305" i="41" s="1"/>
  <c r="A306" i="37"/>
  <c r="A306" i="41" s="1"/>
  <c r="D306" i="37"/>
  <c r="D306" i="41" s="1"/>
  <c r="B306" i="37"/>
  <c r="B306" i="41" s="1"/>
  <c r="F306" i="37"/>
  <c r="F306" i="41" s="1"/>
  <c r="A307" i="37"/>
  <c r="A307" i="41" s="1"/>
  <c r="D307" i="37"/>
  <c r="D307" i="41" s="1"/>
  <c r="B307" i="37"/>
  <c r="B307" i="41" s="1"/>
  <c r="F307" i="37"/>
  <c r="F307" i="41" s="1"/>
  <c r="A308" i="37"/>
  <c r="A308" i="41" s="1"/>
  <c r="D308" i="37"/>
  <c r="D308" i="41" s="1"/>
  <c r="B308" i="37"/>
  <c r="B308" i="41" s="1"/>
  <c r="F308" i="37"/>
  <c r="F308" i="41" s="1"/>
  <c r="A309" i="37"/>
  <c r="A309" i="41" s="1"/>
  <c r="D309" i="37"/>
  <c r="D309" i="41" s="1"/>
  <c r="B309" i="37"/>
  <c r="B309" i="41" s="1"/>
  <c r="F309" i="37"/>
  <c r="F309" i="41" s="1"/>
  <c r="A310" i="37"/>
  <c r="A310" i="41" s="1"/>
  <c r="D310" i="37"/>
  <c r="D310" i="41" s="1"/>
  <c r="B310" i="37"/>
  <c r="B310" i="41" s="1"/>
  <c r="F310" i="37"/>
  <c r="F310" i="41" s="1"/>
  <c r="A311" i="37"/>
  <c r="A311" i="41" s="1"/>
  <c r="D311" i="37"/>
  <c r="D311" i="41" s="1"/>
  <c r="B311" i="37"/>
  <c r="B311" i="41" s="1"/>
  <c r="F311" i="37"/>
  <c r="F311" i="41" s="1"/>
  <c r="A312" i="37"/>
  <c r="A312" i="41" s="1"/>
  <c r="D312" i="37"/>
  <c r="D312" i="41" s="1"/>
  <c r="B312" i="37"/>
  <c r="B312" i="41" s="1"/>
  <c r="F312" i="37"/>
  <c r="F312" i="41" s="1"/>
  <c r="A313" i="37"/>
  <c r="A313" i="41" s="1"/>
  <c r="D313" i="37"/>
  <c r="D313" i="41" s="1"/>
  <c r="B313" i="37"/>
  <c r="B313" i="41" s="1"/>
  <c r="F313" i="37"/>
  <c r="F313" i="41" s="1"/>
  <c r="A314" i="37"/>
  <c r="A314" i="41" s="1"/>
  <c r="D314" i="37"/>
  <c r="D314" i="41" s="1"/>
  <c r="B314" i="37"/>
  <c r="B314" i="41" s="1"/>
  <c r="F314" i="37"/>
  <c r="F314" i="41" s="1"/>
  <c r="A315" i="37"/>
  <c r="A315" i="41" s="1"/>
  <c r="D315" i="37"/>
  <c r="D315" i="41" s="1"/>
  <c r="B315" i="37"/>
  <c r="B315" i="41" s="1"/>
  <c r="F315" i="37"/>
  <c r="F315" i="41" s="1"/>
  <c r="A316" i="37"/>
  <c r="A316" i="41" s="1"/>
  <c r="D316" i="37"/>
  <c r="D316" i="41" s="1"/>
  <c r="B316" i="37"/>
  <c r="B316" i="41" s="1"/>
  <c r="F316" i="37"/>
  <c r="F316" i="41" s="1"/>
  <c r="A317" i="37"/>
  <c r="A317" i="41" s="1"/>
  <c r="D317" i="37"/>
  <c r="D317" i="41" s="1"/>
  <c r="B317" i="37"/>
  <c r="B317" i="41" s="1"/>
  <c r="F317" i="37"/>
  <c r="F317" i="41" s="1"/>
  <c r="A318" i="37"/>
  <c r="A318" i="41" s="1"/>
  <c r="D318" i="37"/>
  <c r="D318" i="41" s="1"/>
  <c r="B318" i="37"/>
  <c r="B318" i="41" s="1"/>
  <c r="F318" i="37"/>
  <c r="F318" i="41" s="1"/>
  <c r="A319" i="37"/>
  <c r="A319" i="41" s="1"/>
  <c r="D319" i="37"/>
  <c r="D319" i="41" s="1"/>
  <c r="B319" i="37"/>
  <c r="B319" i="41" s="1"/>
  <c r="F319" i="37"/>
  <c r="F319" i="41" s="1"/>
  <c r="A320" i="37"/>
  <c r="A320" i="41" s="1"/>
  <c r="D320" i="37"/>
  <c r="D320" i="41" s="1"/>
  <c r="B320" i="37"/>
  <c r="B320" i="41" s="1"/>
  <c r="F320" i="37"/>
  <c r="F320" i="41" s="1"/>
  <c r="A321" i="37"/>
  <c r="A321" i="41" s="1"/>
  <c r="D321" i="37"/>
  <c r="D321" i="41" s="1"/>
  <c r="B321" i="37"/>
  <c r="B321" i="41" s="1"/>
  <c r="F321" i="37"/>
  <c r="F321" i="41" s="1"/>
  <c r="A322" i="37"/>
  <c r="A322" i="41" s="1"/>
  <c r="D322" i="37"/>
  <c r="D322" i="41" s="1"/>
  <c r="B322" i="37"/>
  <c r="B322" i="41" s="1"/>
  <c r="F322" i="37"/>
  <c r="F322" i="41" s="1"/>
  <c r="A323" i="37"/>
  <c r="A323" i="41" s="1"/>
  <c r="D323" i="37"/>
  <c r="D323" i="41" s="1"/>
  <c r="B323" i="37"/>
  <c r="B323" i="41" s="1"/>
  <c r="F323" i="37"/>
  <c r="F323" i="41" s="1"/>
  <c r="A324" i="37"/>
  <c r="A324" i="41" s="1"/>
  <c r="D324" i="37"/>
  <c r="D324" i="41" s="1"/>
  <c r="B324" i="37"/>
  <c r="B324" i="41" s="1"/>
  <c r="F324" i="37"/>
  <c r="F324" i="41" s="1"/>
  <c r="A325" i="37"/>
  <c r="A325" i="41" s="1"/>
  <c r="D325" i="37"/>
  <c r="D325" i="41" s="1"/>
  <c r="B325" i="37"/>
  <c r="B325" i="41" s="1"/>
  <c r="F325" i="37"/>
  <c r="F325" i="41" s="1"/>
  <c r="A326" i="37"/>
  <c r="A326" i="41" s="1"/>
  <c r="D326" i="37"/>
  <c r="D326" i="41" s="1"/>
  <c r="B326" i="37"/>
  <c r="B326" i="41" s="1"/>
  <c r="F326" i="37"/>
  <c r="F326" i="41" s="1"/>
  <c r="A327" i="37"/>
  <c r="A327" i="41" s="1"/>
  <c r="D327" i="37"/>
  <c r="D327" i="41" s="1"/>
  <c r="B327" i="37"/>
  <c r="B327" i="41" s="1"/>
  <c r="F327" i="37"/>
  <c r="F327" i="41" s="1"/>
  <c r="A328" i="37"/>
  <c r="A328" i="41" s="1"/>
  <c r="D328" i="37"/>
  <c r="D328" i="41" s="1"/>
  <c r="B328" i="37"/>
  <c r="B328" i="41" s="1"/>
  <c r="F328" i="37"/>
  <c r="F328" i="41" s="1"/>
  <c r="A329" i="37"/>
  <c r="A329" i="41" s="1"/>
  <c r="D329" i="37"/>
  <c r="D329" i="41" s="1"/>
  <c r="B329" i="37"/>
  <c r="B329" i="41" s="1"/>
  <c r="F329" i="37"/>
  <c r="F329" i="41" s="1"/>
  <c r="A330" i="37"/>
  <c r="A330" i="41" s="1"/>
  <c r="D330" i="37"/>
  <c r="D330" i="41" s="1"/>
  <c r="B330" i="37"/>
  <c r="B330" i="41" s="1"/>
  <c r="F330" i="37"/>
  <c r="F330" i="41" s="1"/>
  <c r="A331" i="37"/>
  <c r="A331" i="41" s="1"/>
  <c r="D331" i="37"/>
  <c r="D331" i="41" s="1"/>
  <c r="B331" i="37"/>
  <c r="B331" i="41" s="1"/>
  <c r="F331" i="37"/>
  <c r="F331" i="41" s="1"/>
  <c r="A332" i="37"/>
  <c r="A332" i="41" s="1"/>
  <c r="D332" i="37"/>
  <c r="D332" i="41" s="1"/>
  <c r="B332" i="37"/>
  <c r="B332" i="41" s="1"/>
  <c r="F332" i="37"/>
  <c r="F332" i="41" s="1"/>
  <c r="A333" i="37"/>
  <c r="A333" i="41" s="1"/>
  <c r="D333" i="37"/>
  <c r="D333" i="41" s="1"/>
  <c r="B333" i="37"/>
  <c r="B333" i="41" s="1"/>
  <c r="F333" i="37"/>
  <c r="F333" i="41" s="1"/>
  <c r="A334" i="37"/>
  <c r="A334" i="41" s="1"/>
  <c r="D334" i="37"/>
  <c r="D334" i="41" s="1"/>
  <c r="B334" i="37"/>
  <c r="B334" i="41" s="1"/>
  <c r="F334" i="37"/>
  <c r="F334" i="41" s="1"/>
  <c r="A335" i="37"/>
  <c r="A335" i="41" s="1"/>
  <c r="D335" i="37"/>
  <c r="D335" i="41" s="1"/>
  <c r="B335" i="37"/>
  <c r="B335" i="41" s="1"/>
  <c r="F335" i="37"/>
  <c r="F335" i="41" s="1"/>
  <c r="A336" i="37"/>
  <c r="A336" i="41" s="1"/>
  <c r="D336" i="37"/>
  <c r="D336" i="41" s="1"/>
  <c r="B336" i="37"/>
  <c r="B336" i="41" s="1"/>
  <c r="F336" i="37"/>
  <c r="F336" i="41" s="1"/>
  <c r="A337" i="37"/>
  <c r="A337" i="41" s="1"/>
  <c r="D337" i="37"/>
  <c r="D337" i="41" s="1"/>
  <c r="B337" i="37"/>
  <c r="B337" i="41" s="1"/>
  <c r="F337" i="37"/>
  <c r="F337" i="41" s="1"/>
  <c r="A338" i="37"/>
  <c r="A338" i="41" s="1"/>
  <c r="D338" i="37"/>
  <c r="D338" i="41" s="1"/>
  <c r="B338" i="37"/>
  <c r="B338" i="41" s="1"/>
  <c r="F338" i="37"/>
  <c r="F338" i="41" s="1"/>
  <c r="A339" i="37"/>
  <c r="A339" i="41" s="1"/>
  <c r="D339" i="37"/>
  <c r="D339" i="41" s="1"/>
  <c r="B339" i="37"/>
  <c r="B339" i="41" s="1"/>
  <c r="F339" i="37"/>
  <c r="F339" i="41" s="1"/>
  <c r="A340" i="37"/>
  <c r="A340" i="41" s="1"/>
  <c r="D340" i="37"/>
  <c r="D340" i="41" s="1"/>
  <c r="B340" i="37"/>
  <c r="B340" i="41" s="1"/>
  <c r="F340" i="37"/>
  <c r="F340" i="41" s="1"/>
  <c r="A341" i="37"/>
  <c r="A341" i="41" s="1"/>
  <c r="D341" i="37"/>
  <c r="D341" i="41" s="1"/>
  <c r="B341" i="37"/>
  <c r="B341" i="41" s="1"/>
  <c r="F341" i="37"/>
  <c r="F341" i="41" s="1"/>
  <c r="A342" i="37"/>
  <c r="A342" i="41" s="1"/>
  <c r="D342" i="37"/>
  <c r="D342" i="41" s="1"/>
  <c r="B342" i="37"/>
  <c r="B342" i="41" s="1"/>
  <c r="F342" i="37"/>
  <c r="F342" i="41" s="1"/>
  <c r="A343" i="37"/>
  <c r="A343" i="41" s="1"/>
  <c r="D343" i="37"/>
  <c r="D343" i="41" s="1"/>
  <c r="B343" i="37"/>
  <c r="B343" i="41" s="1"/>
  <c r="F343" i="37"/>
  <c r="F343" i="41" s="1"/>
  <c r="A344" i="37"/>
  <c r="A344" i="41" s="1"/>
  <c r="D344" i="37"/>
  <c r="D344" i="41" s="1"/>
  <c r="B344" i="37"/>
  <c r="B344" i="41" s="1"/>
  <c r="F344" i="37"/>
  <c r="F344" i="41" s="1"/>
  <c r="A345" i="37"/>
  <c r="A345" i="41" s="1"/>
  <c r="D345" i="37"/>
  <c r="D345" i="41" s="1"/>
  <c r="B345" i="37"/>
  <c r="B345" i="41" s="1"/>
  <c r="F345" i="37"/>
  <c r="F345" i="41" s="1"/>
  <c r="A346" i="37"/>
  <c r="A346" i="41" s="1"/>
  <c r="D346" i="37"/>
  <c r="D346" i="41" s="1"/>
  <c r="B346" i="37"/>
  <c r="B346" i="41" s="1"/>
  <c r="F346" i="37"/>
  <c r="F346" i="41" s="1"/>
  <c r="A347" i="37"/>
  <c r="A347" i="41" s="1"/>
  <c r="D347" i="37"/>
  <c r="D347" i="41" s="1"/>
  <c r="B347" i="37"/>
  <c r="B347" i="41" s="1"/>
  <c r="F347" i="37"/>
  <c r="F347" i="41" s="1"/>
  <c r="A348" i="37"/>
  <c r="A348" i="41" s="1"/>
  <c r="D348" i="37"/>
  <c r="D348" i="41" s="1"/>
  <c r="B348" i="37"/>
  <c r="B348" i="41" s="1"/>
  <c r="F348" i="37"/>
  <c r="F348" i="41" s="1"/>
  <c r="A349" i="37"/>
  <c r="A349" i="41" s="1"/>
  <c r="D349" i="37"/>
  <c r="D349" i="41" s="1"/>
  <c r="B349" i="37"/>
  <c r="B349" i="41" s="1"/>
  <c r="F349" i="37"/>
  <c r="F349" i="41" s="1"/>
  <c r="A350" i="37"/>
  <c r="A350" i="41" s="1"/>
  <c r="D350" i="37"/>
  <c r="D350" i="41" s="1"/>
  <c r="B350" i="37"/>
  <c r="B350" i="41" s="1"/>
  <c r="F350" i="37"/>
  <c r="F350" i="41" s="1"/>
  <c r="A351" i="37"/>
  <c r="A351" i="41" s="1"/>
  <c r="D351" i="37"/>
  <c r="D351" i="41" s="1"/>
  <c r="B351" i="37"/>
  <c r="B351" i="41" s="1"/>
  <c r="F351" i="37"/>
  <c r="F351" i="41" s="1"/>
  <c r="A352" i="37"/>
  <c r="A352" i="41" s="1"/>
  <c r="D352" i="37"/>
  <c r="D352" i="41" s="1"/>
  <c r="B352" i="37"/>
  <c r="B352" i="41" s="1"/>
  <c r="F352" i="37"/>
  <c r="F352" i="41" s="1"/>
  <c r="A353" i="37"/>
  <c r="A353" i="41" s="1"/>
  <c r="D353" i="37"/>
  <c r="D353" i="41" s="1"/>
  <c r="B353" i="37"/>
  <c r="B353" i="41" s="1"/>
  <c r="F353" i="37"/>
  <c r="F353" i="41" s="1"/>
  <c r="A354" i="37"/>
  <c r="A354" i="41" s="1"/>
  <c r="D354" i="37"/>
  <c r="D354" i="41" s="1"/>
  <c r="B354" i="37"/>
  <c r="B354" i="41" s="1"/>
  <c r="F354" i="37"/>
  <c r="F354" i="41" s="1"/>
  <c r="A355" i="37"/>
  <c r="A355" i="41" s="1"/>
  <c r="D355" i="37"/>
  <c r="D355" i="41" s="1"/>
  <c r="B355" i="37"/>
  <c r="B355" i="41" s="1"/>
  <c r="F355" i="37"/>
  <c r="F355" i="41" s="1"/>
  <c r="A356" i="37"/>
  <c r="A356" i="41" s="1"/>
  <c r="D356" i="37"/>
  <c r="D356" i="41" s="1"/>
  <c r="B356" i="37"/>
  <c r="B356" i="41" s="1"/>
  <c r="F356" i="37"/>
  <c r="F356" i="41" s="1"/>
  <c r="A357" i="37"/>
  <c r="A357" i="41" s="1"/>
  <c r="D357" i="37"/>
  <c r="D357" i="41" s="1"/>
  <c r="B357" i="37"/>
  <c r="B357" i="41" s="1"/>
  <c r="F357" i="37"/>
  <c r="F357" i="41" s="1"/>
  <c r="A358" i="37"/>
  <c r="A358" i="41" s="1"/>
  <c r="D358" i="37"/>
  <c r="D358" i="41" s="1"/>
  <c r="B358" i="37"/>
  <c r="B358" i="41" s="1"/>
  <c r="F358" i="37"/>
  <c r="F358" i="41" s="1"/>
  <c r="A359" i="37"/>
  <c r="A359" i="41" s="1"/>
  <c r="D359" i="37"/>
  <c r="D359" i="41" s="1"/>
  <c r="B359" i="37"/>
  <c r="B359" i="41" s="1"/>
  <c r="F359" i="37"/>
  <c r="F359" i="41" s="1"/>
  <c r="A360" i="37"/>
  <c r="A360" i="41" s="1"/>
  <c r="D360" i="37"/>
  <c r="D360" i="41" s="1"/>
  <c r="B360" i="37"/>
  <c r="B360" i="41" s="1"/>
  <c r="F360" i="37"/>
  <c r="F360" i="41" s="1"/>
  <c r="A361" i="37"/>
  <c r="A361" i="41" s="1"/>
  <c r="D361" i="37"/>
  <c r="D361" i="41" s="1"/>
  <c r="B361" i="37"/>
  <c r="B361" i="41" s="1"/>
  <c r="F361" i="37"/>
  <c r="F361" i="41" s="1"/>
  <c r="A362" i="37"/>
  <c r="A362" i="41" s="1"/>
  <c r="D362" i="37"/>
  <c r="D362" i="41" s="1"/>
  <c r="B362" i="37"/>
  <c r="B362" i="41" s="1"/>
  <c r="F362" i="37"/>
  <c r="F362" i="41" s="1"/>
  <c r="A363" i="37"/>
  <c r="A363" i="41" s="1"/>
  <c r="D363" i="37"/>
  <c r="D363" i="41" s="1"/>
  <c r="B363" i="37"/>
  <c r="B363" i="41" s="1"/>
  <c r="F363" i="37"/>
  <c r="F363" i="41" s="1"/>
  <c r="A364" i="37"/>
  <c r="A364" i="41" s="1"/>
  <c r="D364" i="37"/>
  <c r="D364" i="41" s="1"/>
  <c r="B364" i="37"/>
  <c r="B364" i="41" s="1"/>
  <c r="F364" i="37"/>
  <c r="F364" i="41" s="1"/>
  <c r="A365" i="37"/>
  <c r="A365" i="41" s="1"/>
  <c r="D365" i="37"/>
  <c r="D365" i="41" s="1"/>
  <c r="B365" i="37"/>
  <c r="B365" i="41" s="1"/>
  <c r="F365" i="37"/>
  <c r="F365" i="41" s="1"/>
  <c r="A366" i="37"/>
  <c r="A366" i="41" s="1"/>
  <c r="D366" i="37"/>
  <c r="D366" i="41" s="1"/>
  <c r="B366" i="37"/>
  <c r="B366" i="41" s="1"/>
  <c r="F366" i="37"/>
  <c r="F366" i="41" s="1"/>
  <c r="A367" i="37"/>
  <c r="A367" i="41" s="1"/>
  <c r="D367" i="37"/>
  <c r="D367" i="41" s="1"/>
  <c r="B367" i="37"/>
  <c r="B367" i="41" s="1"/>
  <c r="F367" i="37"/>
  <c r="F367" i="41" s="1"/>
  <c r="A368" i="37"/>
  <c r="A368" i="41" s="1"/>
  <c r="D368" i="37"/>
  <c r="D368" i="41" s="1"/>
  <c r="B368" i="37"/>
  <c r="B368" i="41" s="1"/>
  <c r="F368" i="37"/>
  <c r="F368" i="41" s="1"/>
  <c r="A369" i="37"/>
  <c r="A369" i="41" s="1"/>
  <c r="D369" i="37"/>
  <c r="D369" i="41" s="1"/>
  <c r="B369" i="37"/>
  <c r="B369" i="41" s="1"/>
  <c r="F369" i="37"/>
  <c r="F369" i="41" s="1"/>
  <c r="A370" i="37"/>
  <c r="A370" i="41" s="1"/>
  <c r="D370" i="37"/>
  <c r="D370" i="41" s="1"/>
  <c r="B370" i="37"/>
  <c r="B370" i="41" s="1"/>
  <c r="F370" i="37"/>
  <c r="F370" i="41" s="1"/>
  <c r="A371" i="37"/>
  <c r="A371" i="41" s="1"/>
  <c r="D371" i="37"/>
  <c r="D371" i="41" s="1"/>
  <c r="B371" i="37"/>
  <c r="B371" i="41" s="1"/>
  <c r="F371" i="37"/>
  <c r="F371" i="41" s="1"/>
  <c r="A372" i="37"/>
  <c r="A372" i="41" s="1"/>
  <c r="D372" i="37"/>
  <c r="D372" i="41" s="1"/>
  <c r="B372" i="37"/>
  <c r="B372" i="41" s="1"/>
  <c r="F372" i="37"/>
  <c r="F372" i="41" s="1"/>
  <c r="A373" i="37"/>
  <c r="A373" i="41" s="1"/>
  <c r="D373" i="37"/>
  <c r="D373" i="41" s="1"/>
  <c r="B373" i="37"/>
  <c r="B373" i="41" s="1"/>
  <c r="F373" i="37"/>
  <c r="F373" i="41" s="1"/>
  <c r="A374" i="37"/>
  <c r="A374" i="41" s="1"/>
  <c r="D374" i="37"/>
  <c r="D374" i="41" s="1"/>
  <c r="B374" i="37"/>
  <c r="B374" i="41" s="1"/>
  <c r="F374" i="37"/>
  <c r="F374" i="41" s="1"/>
  <c r="A375" i="37"/>
  <c r="A375" i="41" s="1"/>
  <c r="D375" i="37"/>
  <c r="D375" i="41" s="1"/>
  <c r="B375" i="37"/>
  <c r="B375" i="41" s="1"/>
  <c r="F375" i="37"/>
  <c r="F375" i="41" s="1"/>
  <c r="A376" i="37"/>
  <c r="A376" i="41" s="1"/>
  <c r="D376" i="37"/>
  <c r="D376" i="41" s="1"/>
  <c r="B376" i="37"/>
  <c r="B376" i="41" s="1"/>
  <c r="F376" i="37"/>
  <c r="F376" i="41" s="1"/>
  <c r="A377" i="37"/>
  <c r="A377" i="41" s="1"/>
  <c r="D377" i="37"/>
  <c r="D377" i="41" s="1"/>
  <c r="B377" i="37"/>
  <c r="B377" i="41" s="1"/>
  <c r="F377" i="37"/>
  <c r="F377" i="41" s="1"/>
  <c r="A378" i="37"/>
  <c r="A378" i="41" s="1"/>
  <c r="D378" i="37"/>
  <c r="D378" i="41" s="1"/>
  <c r="B378" i="37"/>
  <c r="B378" i="41" s="1"/>
  <c r="F378" i="37"/>
  <c r="F378" i="41" s="1"/>
  <c r="A379" i="37"/>
  <c r="A379" i="41" s="1"/>
  <c r="D379" i="37"/>
  <c r="D379" i="41" s="1"/>
  <c r="B379" i="37"/>
  <c r="B379" i="41" s="1"/>
  <c r="F379" i="37"/>
  <c r="F379" i="41" s="1"/>
  <c r="A380" i="37"/>
  <c r="A380" i="41" s="1"/>
  <c r="D380" i="37"/>
  <c r="D380" i="41" s="1"/>
  <c r="B380" i="37"/>
  <c r="B380" i="41" s="1"/>
  <c r="F380" i="37"/>
  <c r="F380" i="41" s="1"/>
  <c r="A381" i="37"/>
  <c r="A381" i="41" s="1"/>
  <c r="D381" i="37"/>
  <c r="D381" i="41" s="1"/>
  <c r="B381" i="37"/>
  <c r="B381" i="41" s="1"/>
  <c r="F381" i="37"/>
  <c r="F381" i="41" s="1"/>
  <c r="A382" i="37"/>
  <c r="A382" i="41" s="1"/>
  <c r="D382" i="37"/>
  <c r="D382" i="41" s="1"/>
  <c r="B382" i="37"/>
  <c r="B382" i="41" s="1"/>
  <c r="F382" i="37"/>
  <c r="F382" i="41" s="1"/>
  <c r="A383" i="37"/>
  <c r="A383" i="41" s="1"/>
  <c r="D383" i="37"/>
  <c r="D383" i="41" s="1"/>
  <c r="B383" i="37"/>
  <c r="B383" i="41" s="1"/>
  <c r="F383" i="37"/>
  <c r="F383" i="41" s="1"/>
  <c r="A384" i="37"/>
  <c r="A384" i="41" s="1"/>
  <c r="D384" i="37"/>
  <c r="D384" i="41" s="1"/>
  <c r="B384" i="37"/>
  <c r="B384" i="41" s="1"/>
  <c r="F384" i="37"/>
  <c r="F384" i="41" s="1"/>
  <c r="A385" i="37"/>
  <c r="A385" i="41" s="1"/>
  <c r="D385" i="37"/>
  <c r="D385" i="41" s="1"/>
  <c r="B385" i="37"/>
  <c r="B385" i="41" s="1"/>
  <c r="F385" i="37"/>
  <c r="F385" i="41" s="1"/>
  <c r="A386" i="37"/>
  <c r="A386" i="41" s="1"/>
  <c r="D386" i="37"/>
  <c r="D386" i="41" s="1"/>
  <c r="B386" i="37"/>
  <c r="B386" i="41" s="1"/>
  <c r="F386" i="37"/>
  <c r="F386" i="41" s="1"/>
  <c r="A387" i="37"/>
  <c r="A387" i="41" s="1"/>
  <c r="D387" i="37"/>
  <c r="D387" i="41" s="1"/>
  <c r="B387" i="37"/>
  <c r="B387" i="41" s="1"/>
  <c r="F387" i="37"/>
  <c r="F387" i="41" s="1"/>
  <c r="A388" i="37"/>
  <c r="A388" i="41" s="1"/>
  <c r="D388" i="37"/>
  <c r="D388" i="41" s="1"/>
  <c r="B388" i="37"/>
  <c r="B388" i="41" s="1"/>
  <c r="F388" i="37"/>
  <c r="F388" i="41" s="1"/>
  <c r="A389" i="37"/>
  <c r="A389" i="41" s="1"/>
  <c r="D389" i="37"/>
  <c r="D389" i="41" s="1"/>
  <c r="B389" i="37"/>
  <c r="B389" i="41" s="1"/>
  <c r="F389" i="37"/>
  <c r="F389" i="41" s="1"/>
  <c r="A390" i="37"/>
  <c r="A390" i="41" s="1"/>
  <c r="D390" i="37"/>
  <c r="D390" i="41" s="1"/>
  <c r="B390" i="37"/>
  <c r="B390" i="41" s="1"/>
  <c r="F390" i="37"/>
  <c r="F390" i="41" s="1"/>
  <c r="A391" i="37"/>
  <c r="A391" i="41" s="1"/>
  <c r="D391" i="37"/>
  <c r="D391" i="41" s="1"/>
  <c r="B391" i="37"/>
  <c r="B391" i="41" s="1"/>
  <c r="F391" i="37"/>
  <c r="F391" i="41" s="1"/>
  <c r="A392" i="37"/>
  <c r="A392" i="41" s="1"/>
  <c r="D392" i="37"/>
  <c r="D392" i="41" s="1"/>
  <c r="B392" i="37"/>
  <c r="B392" i="41" s="1"/>
  <c r="F392" i="37"/>
  <c r="F392" i="41" s="1"/>
  <c r="A393" i="37"/>
  <c r="A393" i="41" s="1"/>
  <c r="D393" i="37"/>
  <c r="D393" i="41" s="1"/>
  <c r="B393" i="37"/>
  <c r="B393" i="41" s="1"/>
  <c r="F393" i="37"/>
  <c r="F393" i="41" s="1"/>
  <c r="A394" i="37"/>
  <c r="A394" i="41" s="1"/>
  <c r="D394" i="37"/>
  <c r="D394" i="41" s="1"/>
  <c r="B394" i="37"/>
  <c r="B394" i="41" s="1"/>
  <c r="F394" i="37"/>
  <c r="F394" i="41" s="1"/>
  <c r="A395" i="37"/>
  <c r="A395" i="41" s="1"/>
  <c r="D395" i="37"/>
  <c r="D395" i="41" s="1"/>
  <c r="B395" i="37"/>
  <c r="B395" i="41" s="1"/>
  <c r="F395" i="37"/>
  <c r="F395" i="41" s="1"/>
  <c r="A396" i="37"/>
  <c r="A396" i="41" s="1"/>
  <c r="D396" i="37"/>
  <c r="D396" i="41" s="1"/>
  <c r="B396" i="37"/>
  <c r="B396" i="41" s="1"/>
  <c r="F396" i="37"/>
  <c r="F396" i="41" s="1"/>
  <c r="A397" i="37"/>
  <c r="A397" i="41" s="1"/>
  <c r="D397" i="37"/>
  <c r="D397" i="41" s="1"/>
  <c r="B397" i="37"/>
  <c r="B397" i="41" s="1"/>
  <c r="F397" i="37"/>
  <c r="F397" i="41" s="1"/>
  <c r="A398" i="37"/>
  <c r="A398" i="41" s="1"/>
  <c r="D398" i="37"/>
  <c r="D398" i="41" s="1"/>
  <c r="B398" i="37"/>
  <c r="B398" i="41" s="1"/>
  <c r="F398" i="37"/>
  <c r="F398" i="41" s="1"/>
  <c r="A399" i="37"/>
  <c r="A399" i="41" s="1"/>
  <c r="D399" i="37"/>
  <c r="D399" i="41" s="1"/>
  <c r="B399" i="37"/>
  <c r="B399" i="41" s="1"/>
  <c r="F399" i="37"/>
  <c r="F399" i="41" s="1"/>
  <c r="A400" i="37"/>
  <c r="A400" i="41" s="1"/>
  <c r="D400" i="37"/>
  <c r="D400" i="41" s="1"/>
  <c r="B400" i="37"/>
  <c r="B400" i="41" s="1"/>
  <c r="F400" i="37"/>
  <c r="F400" i="41" s="1"/>
  <c r="A401" i="37"/>
  <c r="A401" i="41" s="1"/>
  <c r="D401" i="37"/>
  <c r="D401" i="41" s="1"/>
  <c r="B401" i="37"/>
  <c r="B401" i="41" s="1"/>
  <c r="F401" i="37"/>
  <c r="F401" i="41" s="1"/>
  <c r="A402" i="37"/>
  <c r="A402" i="41" s="1"/>
  <c r="D402" i="37"/>
  <c r="D402" i="41" s="1"/>
  <c r="F1" i="37"/>
  <c r="F2" i="37"/>
  <c r="F2" i="41" s="1"/>
  <c r="F403" i="37"/>
  <c r="F403" i="41" s="1"/>
  <c r="F404" i="37"/>
  <c r="F404" i="41" s="1"/>
  <c r="F405" i="37"/>
  <c r="F405" i="41" s="1"/>
  <c r="F407" i="37"/>
  <c r="F407" i="41" s="1"/>
  <c r="F408" i="37"/>
  <c r="F408" i="41" s="1"/>
  <c r="F409" i="37"/>
  <c r="F409" i="41" s="1"/>
  <c r="F410" i="37"/>
  <c r="F410" i="41" s="1"/>
  <c r="F411" i="37"/>
  <c r="F411" i="41" s="1"/>
  <c r="F412" i="37"/>
  <c r="F412" i="41" s="1"/>
  <c r="F413" i="37"/>
  <c r="F413" i="41" s="1"/>
  <c r="F414" i="37"/>
  <c r="F414" i="41" s="1"/>
  <c r="F415" i="37"/>
  <c r="F415" i="41" s="1"/>
  <c r="F416" i="37"/>
  <c r="F416" i="41" s="1"/>
  <c r="F417" i="37"/>
  <c r="F417" i="41" s="1"/>
  <c r="F418" i="37"/>
  <c r="F418" i="41" s="1"/>
  <c r="F419" i="37"/>
  <c r="F419" i="41" s="1"/>
  <c r="F420" i="37"/>
  <c r="F420" i="41" s="1"/>
  <c r="F421" i="37"/>
  <c r="F421" i="41" s="1"/>
  <c r="F422" i="37"/>
  <c r="F422" i="41" s="1"/>
  <c r="F423" i="37"/>
  <c r="F423" i="41" s="1"/>
  <c r="F424" i="37"/>
  <c r="F424" i="41" s="1"/>
  <c r="F425" i="37"/>
  <c r="F425" i="41" s="1"/>
  <c r="F426" i="37"/>
  <c r="F426" i="41" s="1"/>
  <c r="F427" i="37"/>
  <c r="F427" i="41" s="1"/>
  <c r="F428" i="37"/>
  <c r="F428" i="41" s="1"/>
  <c r="F429" i="37"/>
  <c r="F429" i="41" s="1"/>
  <c r="F430" i="37"/>
  <c r="F430" i="41" s="1"/>
  <c r="F431" i="37"/>
  <c r="F431" i="41" s="1"/>
  <c r="F432" i="37"/>
  <c r="F432" i="41" s="1"/>
  <c r="F433" i="37"/>
  <c r="F433" i="41" s="1"/>
  <c r="F434" i="37"/>
  <c r="F434" i="41" s="1"/>
  <c r="F435" i="37"/>
  <c r="F435" i="41" s="1"/>
  <c r="F436" i="37"/>
  <c r="F436" i="41" s="1"/>
  <c r="F440" i="37"/>
  <c r="F440" i="41" s="1"/>
  <c r="F441" i="37"/>
  <c r="F441" i="41" s="1"/>
  <c r="F442" i="37"/>
  <c r="F442" i="41" s="1"/>
  <c r="F443" i="37"/>
  <c r="F443" i="41" s="1"/>
  <c r="F444" i="37"/>
  <c r="F444" i="41" s="1"/>
  <c r="F445" i="37"/>
  <c r="F445" i="41" s="1"/>
  <c r="F446" i="37"/>
  <c r="F446" i="41" s="1"/>
  <c r="F447" i="37"/>
  <c r="F447" i="41" s="1"/>
  <c r="F448" i="37"/>
  <c r="F448" i="41" s="1"/>
  <c r="F449" i="37"/>
  <c r="F449" i="41" s="1"/>
  <c r="F450" i="37"/>
  <c r="F450" i="41" s="1"/>
  <c r="F451" i="37"/>
  <c r="F451" i="41" s="1"/>
  <c r="F452" i="37"/>
  <c r="F452" i="41" s="1"/>
  <c r="F453" i="37"/>
  <c r="F453" i="41" s="1"/>
  <c r="F454" i="37"/>
  <c r="F454" i="41" s="1"/>
  <c r="F455" i="37"/>
  <c r="F455" i="41" s="1"/>
  <c r="F456" i="37"/>
  <c r="F456" i="41" s="1"/>
  <c r="F457" i="37"/>
  <c r="F457" i="41" s="1"/>
  <c r="F458" i="37"/>
  <c r="F458" i="41" s="1"/>
  <c r="F459" i="37"/>
  <c r="F459" i="41" s="1"/>
  <c r="F460" i="37"/>
  <c r="F460" i="41" s="1"/>
  <c r="F461" i="37"/>
  <c r="F461" i="41" s="1"/>
  <c r="F462" i="37"/>
  <c r="F462" i="41" s="1"/>
  <c r="F463" i="37"/>
  <c r="F463" i="41" s="1"/>
  <c r="F464" i="37"/>
  <c r="F464" i="41" s="1"/>
  <c r="F467" i="37"/>
  <c r="F467" i="41" s="1"/>
  <c r="F468" i="37"/>
  <c r="F468" i="41" s="1"/>
  <c r="F469" i="37"/>
  <c r="F469" i="41" s="1"/>
  <c r="F470" i="37"/>
  <c r="F470" i="41" s="1"/>
  <c r="F471" i="37"/>
  <c r="F471" i="41" s="1"/>
  <c r="F472" i="37"/>
  <c r="F472" i="41" s="1"/>
  <c r="A403" i="37"/>
  <c r="A403" i="41" s="1"/>
  <c r="D403" i="37"/>
  <c r="D403" i="41" s="1"/>
  <c r="F402" i="37"/>
  <c r="F402" i="41" s="1"/>
  <c r="C403" i="37"/>
  <c r="C403" i="41" s="1"/>
  <c r="A404" i="37"/>
  <c r="A404" i="41" s="1"/>
  <c r="D404" i="37"/>
  <c r="D404" i="41" s="1"/>
  <c r="C404" i="37"/>
  <c r="C404" i="41" s="1"/>
  <c r="A405" i="37"/>
  <c r="A405" i="41" s="1"/>
  <c r="D405" i="37"/>
  <c r="D405" i="41" s="1"/>
  <c r="C405" i="37"/>
  <c r="C405" i="41" s="1"/>
  <c r="A407" i="37"/>
  <c r="A407" i="41" s="1"/>
  <c r="D407" i="37"/>
  <c r="D407" i="41" s="1"/>
  <c r="C407" i="37"/>
  <c r="C407" i="41" s="1"/>
  <c r="A408" i="37"/>
  <c r="A408" i="41" s="1"/>
  <c r="D408" i="37"/>
  <c r="D408" i="41" s="1"/>
  <c r="C408" i="37"/>
  <c r="C408" i="41" s="1"/>
  <c r="A409" i="37"/>
  <c r="A409" i="41" s="1"/>
  <c r="D409" i="37"/>
  <c r="D409" i="41" s="1"/>
  <c r="C409" i="37"/>
  <c r="C409" i="41" s="1"/>
  <c r="A410" i="37"/>
  <c r="A410" i="41" s="1"/>
  <c r="D410" i="37"/>
  <c r="D410" i="41" s="1"/>
  <c r="C410" i="37"/>
  <c r="C410" i="41" s="1"/>
  <c r="A411" i="37"/>
  <c r="A411" i="41" s="1"/>
  <c r="D411" i="37"/>
  <c r="D411" i="41" s="1"/>
  <c r="C411" i="37"/>
  <c r="C411" i="41" s="1"/>
  <c r="A412" i="37"/>
  <c r="A412" i="41" s="1"/>
  <c r="D412" i="37"/>
  <c r="D412" i="41" s="1"/>
  <c r="C412" i="37"/>
  <c r="C412" i="41" s="1"/>
  <c r="A413" i="37"/>
  <c r="A413" i="41" s="1"/>
  <c r="D413" i="37"/>
  <c r="D413" i="41" s="1"/>
  <c r="C413" i="37"/>
  <c r="C413" i="41" s="1"/>
  <c r="A414" i="37"/>
  <c r="A414" i="41" s="1"/>
  <c r="D414" i="37"/>
  <c r="D414" i="41" s="1"/>
  <c r="C414" i="37"/>
  <c r="C414" i="41" s="1"/>
  <c r="A415" i="37"/>
  <c r="A415" i="41" s="1"/>
  <c r="D415" i="37"/>
  <c r="D415" i="41" s="1"/>
  <c r="C415" i="37"/>
  <c r="C415" i="41" s="1"/>
  <c r="A416" i="37"/>
  <c r="A416" i="41" s="1"/>
  <c r="D416" i="37"/>
  <c r="D416" i="41" s="1"/>
  <c r="C416" i="37"/>
  <c r="C416" i="41" s="1"/>
  <c r="A417" i="37"/>
  <c r="A417" i="41" s="1"/>
  <c r="D417" i="37"/>
  <c r="D417" i="41" s="1"/>
  <c r="C417" i="37"/>
  <c r="C417" i="41" s="1"/>
  <c r="D418" i="37"/>
  <c r="D418" i="41" s="1"/>
  <c r="A418" i="37"/>
  <c r="A418" i="41" s="1"/>
  <c r="A419" i="37"/>
  <c r="A419" i="41" s="1"/>
  <c r="D419" i="37"/>
  <c r="D419" i="41" s="1"/>
  <c r="A420" i="37"/>
  <c r="A420" i="41" s="1"/>
  <c r="A421" i="37"/>
  <c r="A421" i="41" s="1"/>
  <c r="A422" i="37"/>
  <c r="A422" i="41" s="1"/>
  <c r="D420" i="37"/>
  <c r="D420" i="41" s="1"/>
  <c r="A423" i="37"/>
  <c r="A423" i="41" s="1"/>
  <c r="A424" i="37"/>
  <c r="A424" i="41" s="1"/>
  <c r="A425" i="37"/>
  <c r="A425" i="41" s="1"/>
  <c r="D421" i="37"/>
  <c r="D421" i="41" s="1"/>
  <c r="A426" i="37"/>
  <c r="A426" i="41" s="1"/>
  <c r="A427" i="37"/>
  <c r="A427" i="41" s="1"/>
  <c r="A428" i="37"/>
  <c r="A428" i="41" s="1"/>
  <c r="D422" i="37"/>
  <c r="D422" i="41" s="1"/>
  <c r="C207" i="38"/>
  <c r="C222" i="38" s="1"/>
  <c r="C237" i="38" s="1"/>
  <c r="A429" i="37"/>
  <c r="A429" i="41" s="1"/>
  <c r="A430" i="37"/>
  <c r="A430" i="41" s="1"/>
  <c r="A431" i="37"/>
  <c r="A431" i="41" s="1"/>
  <c r="D423" i="37"/>
  <c r="D423" i="41" s="1"/>
  <c r="A432" i="37"/>
  <c r="A432" i="41" s="1"/>
  <c r="D424" i="37"/>
  <c r="D424" i="41" s="1"/>
  <c r="D425" i="37"/>
  <c r="D425" i="41" s="1"/>
  <c r="D426" i="37"/>
  <c r="D426" i="41" s="1"/>
  <c r="C211" i="38"/>
  <c r="C226" i="38" s="1"/>
  <c r="C241" i="38" s="1"/>
  <c r="D427" i="37"/>
  <c r="D427" i="41" s="1"/>
  <c r="C212" i="38"/>
  <c r="C227" i="38" s="1"/>
  <c r="C242" i="38" s="1"/>
  <c r="C257" i="38" s="1"/>
  <c r="C272" i="38" s="1"/>
  <c r="D428" i="37"/>
  <c r="D428" i="41" s="1"/>
  <c r="C213" i="38"/>
  <c r="C228" i="38" s="1"/>
  <c r="C243" i="38" s="1"/>
  <c r="C258" i="38" s="1"/>
  <c r="A470" i="37"/>
  <c r="A470" i="41" s="1"/>
  <c r="C470" i="37"/>
  <c r="C470" i="41" s="1"/>
  <c r="D429" i="37"/>
  <c r="D429" i="41" s="1"/>
  <c r="D430" i="37"/>
  <c r="D430" i="41" s="1"/>
  <c r="D431" i="37"/>
  <c r="D431" i="41" s="1"/>
  <c r="C216" i="38"/>
  <c r="C231" i="38" s="1"/>
  <c r="C246" i="38" s="1"/>
  <c r="C261" i="38" s="1"/>
  <c r="D432" i="37"/>
  <c r="D432" i="41" s="1"/>
  <c r="D433" i="37"/>
  <c r="D433" i="41" s="1"/>
  <c r="D434" i="37"/>
  <c r="D434" i="41" s="1"/>
  <c r="D435" i="37"/>
  <c r="D435" i="41" s="1"/>
  <c r="D436" i="37"/>
  <c r="D436" i="41" s="1"/>
  <c r="D440" i="37"/>
  <c r="D440" i="41" s="1"/>
  <c r="D440" i="58"/>
  <c r="D441" i="37"/>
  <c r="D441" i="41" s="1"/>
  <c r="D442" i="37"/>
  <c r="D442" i="41" s="1"/>
  <c r="D443" i="37"/>
  <c r="D443" i="41" s="1"/>
  <c r="D444" i="37"/>
  <c r="D444" i="41" s="1"/>
  <c r="D445" i="37"/>
  <c r="D445" i="41" s="1"/>
  <c r="D446" i="37"/>
  <c r="D446" i="41" s="1"/>
  <c r="D447" i="37"/>
  <c r="D447" i="41" s="1"/>
  <c r="D448" i="37"/>
  <c r="D448" i="41" s="1"/>
  <c r="D449" i="37"/>
  <c r="D449" i="41" s="1"/>
  <c r="D449" i="58"/>
  <c r="A470" i="58"/>
  <c r="C470" i="58"/>
  <c r="D103" i="38"/>
  <c r="D106" i="38"/>
  <c r="H183" i="35"/>
  <c r="C11" i="6"/>
  <c r="H184" i="35"/>
  <c r="H3" i="20"/>
  <c r="C402" i="37"/>
  <c r="C402" i="41" s="1"/>
  <c r="C402" i="58"/>
  <c r="D2" i="34"/>
  <c r="D204" i="38"/>
  <c r="D109" i="38"/>
  <c r="D206" i="38"/>
  <c r="D208" i="38"/>
  <c r="D116" i="38"/>
  <c r="D117" i="38"/>
  <c r="D212" i="38"/>
  <c r="D224" i="38"/>
  <c r="D450" i="37"/>
  <c r="D450" i="41" s="1"/>
  <c r="D450" i="58"/>
  <c r="D168" i="38"/>
  <c r="D451" i="37"/>
  <c r="D451" i="41" s="1"/>
  <c r="D453" i="37"/>
  <c r="D453" i="41" s="1"/>
  <c r="D454" i="37"/>
  <c r="D454" i="41" s="1"/>
  <c r="D455" i="37"/>
  <c r="D455" i="41" s="1"/>
  <c r="D455" i="58"/>
  <c r="D456" i="37"/>
  <c r="D456" i="41" s="1"/>
  <c r="A453" i="37"/>
  <c r="A453" i="41" s="1"/>
  <c r="A454" i="37"/>
  <c r="A454" i="41" s="1"/>
  <c r="A455" i="37"/>
  <c r="A455" i="41" s="1"/>
  <c r="A456" i="37"/>
  <c r="A456" i="41" s="1"/>
  <c r="D459" i="37"/>
  <c r="D459" i="41" s="1"/>
  <c r="A9" i="8"/>
  <c r="A17" i="8" s="1"/>
  <c r="D460" i="37"/>
  <c r="D460" i="41" s="1"/>
  <c r="A10" i="8"/>
  <c r="A18" i="8" s="1"/>
  <c r="A472" i="37"/>
  <c r="A472" i="41" s="1"/>
  <c r="D472" i="37"/>
  <c r="D472" i="41" s="1"/>
  <c r="C472" i="37"/>
  <c r="C472" i="41" s="1"/>
  <c r="A11" i="8"/>
  <c r="C280" i="38" s="1"/>
  <c r="C286" i="38" s="1"/>
  <c r="C292" i="38" s="1"/>
  <c r="A12" i="8"/>
  <c r="A5" i="53" s="1"/>
  <c r="A13" i="8"/>
  <c r="C282" i="38" s="1"/>
  <c r="C288" i="38" s="1"/>
  <c r="C294" i="38" s="1"/>
  <c r="C300" i="38" s="1"/>
  <c r="C306" i="38" s="1"/>
  <c r="C312" i="38" s="1"/>
  <c r="C318" i="38" s="1"/>
  <c r="C324" i="38" s="1"/>
  <c r="C330" i="38" s="1"/>
  <c r="C336" i="38" s="1"/>
  <c r="C342" i="38" s="1"/>
  <c r="C348" i="38" s="1"/>
  <c r="A14" i="8"/>
  <c r="D461" i="37"/>
  <c r="D461" i="41" s="1"/>
  <c r="A472" i="58"/>
  <c r="D472" i="58"/>
  <c r="C472" i="58"/>
  <c r="D462" i="37"/>
  <c r="D462" i="41" s="1"/>
  <c r="D463" i="37"/>
  <c r="D463" i="41" s="1"/>
  <c r="D464" i="37"/>
  <c r="D464" i="41" s="1"/>
  <c r="A468" i="37"/>
  <c r="A468" i="41" s="1"/>
  <c r="C468" i="37"/>
  <c r="C468" i="41" s="1"/>
  <c r="A468" i="58"/>
  <c r="C468" i="58"/>
  <c r="A469" i="37"/>
  <c r="A469" i="41" s="1"/>
  <c r="C469" i="37"/>
  <c r="C469" i="41" s="1"/>
  <c r="A469" i="58"/>
  <c r="C469" i="58"/>
  <c r="A471" i="37"/>
  <c r="A471" i="41" s="1"/>
  <c r="D471" i="37"/>
  <c r="D471" i="41" s="1"/>
  <c r="C471" i="37"/>
  <c r="C471" i="41" s="1"/>
  <c r="A471" i="58"/>
  <c r="D471" i="58"/>
  <c r="C471" i="58"/>
  <c r="L38" i="39"/>
  <c r="D156" i="38"/>
  <c r="D157" i="38"/>
  <c r="D158" i="38"/>
  <c r="D164" i="38"/>
  <c r="D167" i="38"/>
  <c r="D170" i="38"/>
  <c r="D185" i="38"/>
  <c r="D248" i="38"/>
  <c r="D250" i="38"/>
  <c r="D251" i="38"/>
  <c r="D255" i="38"/>
  <c r="D258" i="38"/>
  <c r="D261" i="38"/>
  <c r="D262" i="38"/>
  <c r="C16" i="53"/>
  <c r="C19" i="53"/>
  <c r="C22" i="53"/>
  <c r="C24" i="53"/>
  <c r="A433" i="37"/>
  <c r="A433" i="41" s="1"/>
  <c r="A434" i="37"/>
  <c r="A434" i="41" s="1"/>
  <c r="A435" i="37"/>
  <c r="A435" i="41" s="1"/>
  <c r="A436" i="37"/>
  <c r="A436" i="41" s="1"/>
  <c r="A440" i="37"/>
  <c r="A440" i="41" s="1"/>
  <c r="A441" i="37"/>
  <c r="A441" i="41" s="1"/>
  <c r="A442" i="37"/>
  <c r="A442" i="41" s="1"/>
  <c r="A443" i="37"/>
  <c r="A443" i="41" s="1"/>
  <c r="A444" i="37"/>
  <c r="A444" i="41" s="1"/>
  <c r="A445" i="37"/>
  <c r="A445" i="41" s="1"/>
  <c r="A446" i="37"/>
  <c r="A446" i="41" s="1"/>
  <c r="A447" i="37"/>
  <c r="A447" i="41" s="1"/>
  <c r="A448" i="37"/>
  <c r="A448" i="41" s="1"/>
  <c r="A449" i="37"/>
  <c r="A449" i="41" s="1"/>
  <c r="A450" i="37"/>
  <c r="A450" i="41" s="1"/>
  <c r="A451" i="37"/>
  <c r="A451" i="41" s="1"/>
  <c r="A452" i="37"/>
  <c r="A452" i="41" s="1"/>
  <c r="A457" i="37"/>
  <c r="A457" i="41" s="1"/>
  <c r="A458" i="37"/>
  <c r="A458" i="41" s="1"/>
  <c r="A459" i="37"/>
  <c r="A459" i="41" s="1"/>
  <c r="A460" i="37"/>
  <c r="A460" i="41" s="1"/>
  <c r="A461" i="37"/>
  <c r="A461" i="41" s="1"/>
  <c r="A462" i="37"/>
  <c r="A462" i="41" s="1"/>
  <c r="A463" i="37"/>
  <c r="A463" i="41" s="1"/>
  <c r="A464" i="37"/>
  <c r="A464" i="41" s="1"/>
  <c r="A467" i="37"/>
  <c r="A467" i="41" s="1"/>
  <c r="D303" i="38"/>
  <c r="D305" i="38"/>
  <c r="D306" i="38"/>
  <c r="D307" i="38"/>
  <c r="D311" i="38"/>
  <c r="D316" i="38"/>
  <c r="D318" i="38"/>
  <c r="D319" i="38"/>
  <c r="D323" i="38"/>
  <c r="D326" i="38"/>
  <c r="D452" i="37"/>
  <c r="D452" i="41" s="1"/>
  <c r="D457" i="37"/>
  <c r="D457" i="41" s="1"/>
  <c r="D458" i="37"/>
  <c r="D458" i="41" s="1"/>
  <c r="D467" i="37"/>
  <c r="D467" i="41" s="1"/>
  <c r="D468" i="37"/>
  <c r="D468" i="41" s="1"/>
  <c r="D469" i="37"/>
  <c r="D469" i="41" s="1"/>
  <c r="D470" i="37"/>
  <c r="D470" i="41" s="1"/>
  <c r="D357" i="38"/>
  <c r="D358" i="38"/>
  <c r="D359" i="38"/>
  <c r="D360" i="38"/>
  <c r="D453" i="58"/>
  <c r="D454" i="58"/>
  <c r="D456" i="58"/>
  <c r="A453" i="58"/>
  <c r="A454" i="58"/>
  <c r="A455" i="58"/>
  <c r="A456" i="58"/>
  <c r="D419" i="58"/>
  <c r="D420" i="58"/>
  <c r="D421" i="58"/>
  <c r="D422" i="58"/>
  <c r="D423" i="58"/>
  <c r="D424" i="58"/>
  <c r="D425" i="58"/>
  <c r="D426" i="58"/>
  <c r="D427" i="58"/>
  <c r="D428" i="58"/>
  <c r="D429" i="58"/>
  <c r="D430" i="58"/>
  <c r="D431" i="58"/>
  <c r="D432" i="58"/>
  <c r="D433" i="58"/>
  <c r="D434" i="58"/>
  <c r="D435" i="58"/>
  <c r="D436" i="58"/>
  <c r="D441" i="58"/>
  <c r="D442" i="58"/>
  <c r="D443" i="58"/>
  <c r="D444" i="58"/>
  <c r="D445" i="58"/>
  <c r="D446" i="58"/>
  <c r="D447" i="58"/>
  <c r="D448" i="58"/>
  <c r="D451" i="58"/>
  <c r="D459" i="58"/>
  <c r="D460" i="58"/>
  <c r="D461" i="58"/>
  <c r="D462" i="58"/>
  <c r="D463" i="58"/>
  <c r="D464" i="58"/>
  <c r="A418" i="58"/>
  <c r="A419" i="58"/>
  <c r="A420" i="58"/>
  <c r="A421" i="58"/>
  <c r="A422" i="58"/>
  <c r="A423" i="58"/>
  <c r="A424" i="58"/>
  <c r="A425" i="58"/>
  <c r="A426" i="58"/>
  <c r="A427" i="58"/>
  <c r="A428" i="58"/>
  <c r="A429" i="58"/>
  <c r="A430" i="58"/>
  <c r="A431" i="58"/>
  <c r="A432" i="58"/>
  <c r="A433" i="58"/>
  <c r="A434" i="58"/>
  <c r="A435" i="58"/>
  <c r="A436" i="58"/>
  <c r="A440" i="58"/>
  <c r="A441" i="58"/>
  <c r="A442" i="58"/>
  <c r="A443" i="58"/>
  <c r="A444" i="58"/>
  <c r="A445" i="58"/>
  <c r="A446" i="58"/>
  <c r="A447" i="58"/>
  <c r="A448" i="58"/>
  <c r="A449" i="58"/>
  <c r="A450" i="58"/>
  <c r="A451" i="58"/>
  <c r="A452" i="58"/>
  <c r="A457" i="58"/>
  <c r="A458" i="58"/>
  <c r="A459" i="58"/>
  <c r="A460" i="58"/>
  <c r="A461" i="58"/>
  <c r="A462" i="58"/>
  <c r="A463" i="58"/>
  <c r="A464" i="58"/>
  <c r="A467" i="58"/>
  <c r="D374" i="38"/>
  <c r="D375" i="38"/>
  <c r="D379" i="38"/>
  <c r="D396" i="38"/>
  <c r="Y1" i="20"/>
  <c r="F23" i="17"/>
  <c r="G23" i="17" s="1"/>
  <c r="H23" i="17" s="1"/>
  <c r="F22" i="17"/>
  <c r="G22" i="17" s="1"/>
  <c r="H22" i="17" s="1"/>
  <c r="C18" i="39"/>
  <c r="C19" i="39"/>
  <c r="A40" i="39"/>
  <c r="I40" i="39" s="1"/>
  <c r="N40" i="39" s="1"/>
  <c r="A41" i="39"/>
  <c r="I41" i="39" s="1"/>
  <c r="N41" i="39" s="1"/>
  <c r="A42" i="39"/>
  <c r="I42" i="39" s="1"/>
  <c r="N42" i="39" s="1"/>
  <c r="A43" i="39"/>
  <c r="I43" i="39" s="1"/>
  <c r="N43" i="39" s="1"/>
  <c r="A44" i="39"/>
  <c r="I44" i="39" s="1"/>
  <c r="N44" i="39" s="1"/>
  <c r="A45" i="39"/>
  <c r="I45" i="39" s="1"/>
  <c r="N45" i="39" s="1"/>
  <c r="A46" i="39"/>
  <c r="I46" i="39" s="1"/>
  <c r="N46" i="39" s="1"/>
  <c r="A47" i="39"/>
  <c r="I47" i="39" s="1"/>
  <c r="N47" i="39" s="1"/>
  <c r="A48" i="39"/>
  <c r="I48" i="39" s="1"/>
  <c r="N48" i="39" s="1"/>
  <c r="A49" i="39"/>
  <c r="I49" i="39" s="1"/>
  <c r="N49" i="39" s="1"/>
  <c r="A50" i="39"/>
  <c r="I50" i="39" s="1"/>
  <c r="N50" i="39" s="1"/>
  <c r="A51" i="39"/>
  <c r="I51" i="39" s="1"/>
  <c r="N51" i="39" s="1"/>
  <c r="A52" i="39"/>
  <c r="I52" i="39" s="1"/>
  <c r="N52" i="39" s="1"/>
  <c r="A53" i="39"/>
  <c r="I53" i="39" s="1"/>
  <c r="N53" i="39" s="1"/>
  <c r="A54" i="39"/>
  <c r="I54" i="39" s="1"/>
  <c r="N54" i="39" s="1"/>
  <c r="A55" i="39"/>
  <c r="I55" i="39" s="1"/>
  <c r="N55" i="39" s="1"/>
  <c r="A39" i="39"/>
  <c r="I39" i="39" s="1"/>
  <c r="N39" i="39" s="1"/>
  <c r="I18" i="39"/>
  <c r="O45" i="39" s="1"/>
  <c r="C2" i="38"/>
  <c r="C3" i="38"/>
  <c r="C4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202" i="38"/>
  <c r="C217" i="38" s="1"/>
  <c r="C232" i="38" s="1"/>
  <c r="C247" i="38" s="1"/>
  <c r="C262" i="38" s="1"/>
  <c r="C277" i="38" s="1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C109" i="38"/>
  <c r="C110" i="38"/>
  <c r="C111" i="38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20" i="39"/>
  <c r="N12" i="39"/>
  <c r="N13" i="39"/>
  <c r="N15" i="39"/>
  <c r="C21" i="39"/>
  <c r="N22" i="39"/>
  <c r="C23" i="39"/>
  <c r="C24" i="39"/>
  <c r="C25" i="39"/>
  <c r="C26" i="39"/>
  <c r="K53" i="39" s="1"/>
  <c r="C27" i="39"/>
  <c r="C28" i="39"/>
  <c r="I19" i="39"/>
  <c r="B20" i="6"/>
  <c r="B21" i="6"/>
  <c r="D21" i="6" s="1"/>
  <c r="C30" i="6"/>
  <c r="C17" i="6"/>
  <c r="C18" i="6"/>
  <c r="C19" i="6"/>
  <c r="C27" i="6"/>
  <c r="C28" i="6"/>
  <c r="C29" i="6"/>
  <c r="C13" i="6"/>
  <c r="D13" i="6" s="1"/>
  <c r="D30" i="6"/>
  <c r="D17" i="6"/>
  <c r="D18" i="6"/>
  <c r="D19" i="6"/>
  <c r="D27" i="6"/>
  <c r="D28" i="6"/>
  <c r="D29" i="6"/>
  <c r="C5" i="17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C51" i="17"/>
  <c r="D51" i="17" s="1"/>
  <c r="E51" i="17" s="1"/>
  <c r="D15" i="17"/>
  <c r="J1" i="58"/>
  <c r="I31" i="17"/>
  <c r="D470" i="58"/>
  <c r="D468" i="58"/>
  <c r="D469" i="58"/>
  <c r="D4" i="17"/>
  <c r="C16" i="8"/>
  <c r="C15" i="57"/>
  <c r="C16" i="57"/>
  <c r="C17" i="57"/>
  <c r="C18" i="57"/>
  <c r="C19" i="57"/>
  <c r="C20" i="57"/>
  <c r="C21" i="57"/>
  <c r="C22" i="57"/>
  <c r="C23" i="57"/>
  <c r="C24" i="57"/>
  <c r="C25" i="57"/>
  <c r="C26" i="57"/>
  <c r="C27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A51" i="66"/>
  <c r="D51" i="66"/>
  <c r="A52" i="66"/>
  <c r="A100" i="66" s="1"/>
  <c r="D52" i="66"/>
  <c r="D53" i="66"/>
  <c r="A53" i="66"/>
  <c r="A101" i="66" s="1"/>
  <c r="D197" i="66"/>
  <c r="A197" i="66"/>
  <c r="D54" i="66"/>
  <c r="A54" i="66"/>
  <c r="D198" i="66"/>
  <c r="A198" i="66"/>
  <c r="R198" i="66" s="1"/>
  <c r="A55" i="66"/>
  <c r="D55" i="66"/>
  <c r="D56" i="66"/>
  <c r="A56" i="66"/>
  <c r="D200" i="66"/>
  <c r="A200" i="66"/>
  <c r="A248" i="66" s="1"/>
  <c r="D57" i="66"/>
  <c r="A57" i="66"/>
  <c r="A105" i="66" s="1"/>
  <c r="D201" i="66"/>
  <c r="A201" i="66"/>
  <c r="A249" i="66" s="1"/>
  <c r="A58" i="66"/>
  <c r="A59" i="66"/>
  <c r="A60" i="66"/>
  <c r="A108" i="66" s="1"/>
  <c r="A61" i="66"/>
  <c r="H3" i="66"/>
  <c r="H4" i="66"/>
  <c r="H5" i="66"/>
  <c r="H8" i="66"/>
  <c r="H9" i="66"/>
  <c r="H10" i="66"/>
  <c r="H11" i="66"/>
  <c r="H12" i="66"/>
  <c r="H13" i="66"/>
  <c r="H14" i="66"/>
  <c r="H15" i="66"/>
  <c r="H16" i="66"/>
  <c r="H17" i="66"/>
  <c r="H18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D58" i="66"/>
  <c r="D59" i="66"/>
  <c r="D60" i="66"/>
  <c r="D61" i="66"/>
  <c r="D62" i="66"/>
  <c r="A62" i="66"/>
  <c r="D63" i="66"/>
  <c r="A63" i="66"/>
  <c r="D64" i="66"/>
  <c r="A64" i="66"/>
  <c r="D65" i="66"/>
  <c r="A65" i="66"/>
  <c r="A113" i="66" s="1"/>
  <c r="D66" i="66"/>
  <c r="A66" i="66"/>
  <c r="D67" i="66"/>
  <c r="A67" i="66"/>
  <c r="D68" i="66"/>
  <c r="A68" i="66"/>
  <c r="A116" i="66" s="1"/>
  <c r="D69" i="66"/>
  <c r="A69" i="66"/>
  <c r="D70" i="66"/>
  <c r="A70" i="66"/>
  <c r="D71" i="66"/>
  <c r="A71" i="66"/>
  <c r="A119" i="66" s="1"/>
  <c r="D72" i="66"/>
  <c r="A72" i="66"/>
  <c r="D73" i="66"/>
  <c r="A73" i="66"/>
  <c r="A121" i="66" s="1"/>
  <c r="D74" i="66"/>
  <c r="A74" i="66"/>
  <c r="D75" i="66"/>
  <c r="A75" i="66"/>
  <c r="D76" i="66"/>
  <c r="A76" i="66"/>
  <c r="A124" i="66" s="1"/>
  <c r="D77" i="66"/>
  <c r="A77" i="66"/>
  <c r="A125" i="66" s="1"/>
  <c r="D78" i="66"/>
  <c r="A78" i="66"/>
  <c r="D79" i="66"/>
  <c r="A79" i="66"/>
  <c r="D80" i="66"/>
  <c r="A80" i="66"/>
  <c r="D81" i="66"/>
  <c r="A81" i="66"/>
  <c r="A129" i="66" s="1"/>
  <c r="D82" i="66"/>
  <c r="A82" i="66"/>
  <c r="A130" i="66" s="1"/>
  <c r="D85" i="66"/>
  <c r="A85" i="66"/>
  <c r="A133" i="66" s="1"/>
  <c r="D86" i="66"/>
  <c r="A86" i="66"/>
  <c r="D87" i="66"/>
  <c r="A87" i="66"/>
  <c r="D88" i="66"/>
  <c r="A88" i="66"/>
  <c r="A136" i="66" s="1"/>
  <c r="D89" i="66"/>
  <c r="A89" i="66"/>
  <c r="D90" i="66"/>
  <c r="A90" i="66"/>
  <c r="A138" i="66" s="1"/>
  <c r="D91" i="66"/>
  <c r="A91" i="66"/>
  <c r="A139" i="66" s="1"/>
  <c r="D92" i="66"/>
  <c r="A92" i="66"/>
  <c r="D93" i="66"/>
  <c r="A93" i="66"/>
  <c r="D94" i="66"/>
  <c r="A94" i="66"/>
  <c r="D95" i="66"/>
  <c r="A95" i="66"/>
  <c r="A143" i="66" s="1"/>
  <c r="D96" i="66"/>
  <c r="A96" i="66"/>
  <c r="D97" i="66"/>
  <c r="A97" i="66"/>
  <c r="A145" i="66" s="1"/>
  <c r="D98" i="66"/>
  <c r="A98" i="66"/>
  <c r="A102" i="66"/>
  <c r="D117" i="66"/>
  <c r="D121" i="66"/>
  <c r="D195" i="66"/>
  <c r="A195" i="66"/>
  <c r="A243" i="66" s="1"/>
  <c r="D196" i="66"/>
  <c r="A196" i="66"/>
  <c r="A244" i="66" s="1"/>
  <c r="D199" i="66"/>
  <c r="A199" i="66"/>
  <c r="D202" i="66"/>
  <c r="A202" i="66"/>
  <c r="A250" i="66" s="1"/>
  <c r="D203" i="66"/>
  <c r="A203" i="66"/>
  <c r="D204" i="66"/>
  <c r="A204" i="66"/>
  <c r="A252" i="66" s="1"/>
  <c r="D205" i="66"/>
  <c r="A205" i="66"/>
  <c r="D206" i="66"/>
  <c r="A206" i="66"/>
  <c r="D207" i="66"/>
  <c r="A207" i="66"/>
  <c r="A255" i="66" s="1"/>
  <c r="D208" i="66"/>
  <c r="A208" i="66"/>
  <c r="A256" i="66" s="1"/>
  <c r="D209" i="66"/>
  <c r="A209" i="66"/>
  <c r="D210" i="66"/>
  <c r="A210" i="66"/>
  <c r="D211" i="66"/>
  <c r="A211" i="66"/>
  <c r="D212" i="66"/>
  <c r="A212" i="66"/>
  <c r="A260" i="66" s="1"/>
  <c r="D213" i="66"/>
  <c r="A213" i="66"/>
  <c r="D214" i="66"/>
  <c r="A214" i="66"/>
  <c r="D215" i="66"/>
  <c r="A215" i="66"/>
  <c r="D216" i="66"/>
  <c r="A216" i="66"/>
  <c r="D217" i="66"/>
  <c r="A217" i="66"/>
  <c r="D218" i="66"/>
  <c r="A218" i="66"/>
  <c r="A266" i="66" s="1"/>
  <c r="D219" i="66"/>
  <c r="A219" i="66"/>
  <c r="D220" i="66"/>
  <c r="A220" i="66"/>
  <c r="A268" i="66" s="1"/>
  <c r="D221" i="66"/>
  <c r="A221" i="66"/>
  <c r="D222" i="66"/>
  <c r="A222" i="66"/>
  <c r="D223" i="66"/>
  <c r="A223" i="66"/>
  <c r="A271" i="66" s="1"/>
  <c r="D224" i="66"/>
  <c r="A224" i="66"/>
  <c r="A272" i="66" s="1"/>
  <c r="D225" i="66"/>
  <c r="A225" i="66"/>
  <c r="D226" i="66"/>
  <c r="A226" i="66"/>
  <c r="D229" i="66"/>
  <c r="A229" i="66"/>
  <c r="D230" i="66"/>
  <c r="A230" i="66"/>
  <c r="D231" i="66"/>
  <c r="A231" i="66"/>
  <c r="D232" i="66"/>
  <c r="A232" i="66"/>
  <c r="A280" i="66" s="1"/>
  <c r="D233" i="66"/>
  <c r="A233" i="66"/>
  <c r="D234" i="66"/>
  <c r="A234" i="66"/>
  <c r="D235" i="66"/>
  <c r="A235" i="66"/>
  <c r="D236" i="66"/>
  <c r="A236" i="66"/>
  <c r="D237" i="66"/>
  <c r="A237" i="66"/>
  <c r="D238" i="66"/>
  <c r="A238" i="66"/>
  <c r="A286" i="66" s="1"/>
  <c r="D239" i="66"/>
  <c r="A239" i="66"/>
  <c r="D240" i="66"/>
  <c r="A240" i="66"/>
  <c r="D241" i="66"/>
  <c r="A241" i="66"/>
  <c r="D242" i="66"/>
  <c r="A242" i="66"/>
  <c r="D264" i="66"/>
  <c r="D268" i="66"/>
  <c r="R6" i="66"/>
  <c r="R54" i="66"/>
  <c r="R150" i="66"/>
  <c r="H6" i="66"/>
  <c r="H7" i="66"/>
  <c r="B242" i="66"/>
  <c r="B290" i="66" s="1"/>
  <c r="B241" i="66"/>
  <c r="B289" i="66" s="1"/>
  <c r="B240" i="66"/>
  <c r="B288" i="66" s="1"/>
  <c r="B239" i="66"/>
  <c r="B287" i="66" s="1"/>
  <c r="B238" i="66"/>
  <c r="B286" i="66" s="1"/>
  <c r="B237" i="66"/>
  <c r="B285" i="66" s="1"/>
  <c r="B236" i="66"/>
  <c r="B284" i="66" s="1"/>
  <c r="B235" i="66"/>
  <c r="B283" i="66" s="1"/>
  <c r="B234" i="66"/>
  <c r="B282" i="66" s="1"/>
  <c r="B64" i="66"/>
  <c r="B112" i="66" s="1"/>
  <c r="B208" i="66"/>
  <c r="B256" i="66" s="1"/>
  <c r="B77" i="66"/>
  <c r="B125" i="66" s="1"/>
  <c r="B221" i="66"/>
  <c r="B269" i="66" s="1"/>
  <c r="B89" i="66"/>
  <c r="B137" i="66" s="1"/>
  <c r="B233" i="66"/>
  <c r="B281" i="66" s="1"/>
  <c r="B232" i="66"/>
  <c r="B280" i="66" s="1"/>
  <c r="B231" i="66"/>
  <c r="B279" i="66" s="1"/>
  <c r="B230" i="66"/>
  <c r="B278" i="66" s="1"/>
  <c r="B229" i="66"/>
  <c r="B277" i="66" s="1"/>
  <c r="B226" i="66"/>
  <c r="B274" i="66" s="1"/>
  <c r="B225" i="66"/>
  <c r="B273" i="66" s="1"/>
  <c r="B224" i="66"/>
  <c r="B272" i="66" s="1"/>
  <c r="B223" i="66"/>
  <c r="B271" i="66" s="1"/>
  <c r="B222" i="66"/>
  <c r="B270" i="66" s="1"/>
  <c r="B220" i="66"/>
  <c r="B268" i="66" s="1"/>
  <c r="B219" i="66"/>
  <c r="B267" i="66" s="1"/>
  <c r="B218" i="66"/>
  <c r="B266" i="66" s="1"/>
  <c r="B217" i="66"/>
  <c r="B265" i="66" s="1"/>
  <c r="B216" i="66"/>
  <c r="B264" i="66" s="1"/>
  <c r="B215" i="66"/>
  <c r="B263" i="66" s="1"/>
  <c r="B214" i="66"/>
  <c r="B262" i="66" s="1"/>
  <c r="B213" i="66"/>
  <c r="B261" i="66" s="1"/>
  <c r="B212" i="66"/>
  <c r="B260" i="66" s="1"/>
  <c r="B211" i="66"/>
  <c r="B259" i="66" s="1"/>
  <c r="B210" i="66"/>
  <c r="B258" i="66" s="1"/>
  <c r="B209" i="66"/>
  <c r="B257" i="66" s="1"/>
  <c r="B207" i="66"/>
  <c r="B255" i="66" s="1"/>
  <c r="B206" i="66"/>
  <c r="B254" i="66" s="1"/>
  <c r="B205" i="66"/>
  <c r="B253" i="66" s="1"/>
  <c r="B204" i="66"/>
  <c r="B252" i="66" s="1"/>
  <c r="B203" i="66"/>
  <c r="B251" i="66" s="1"/>
  <c r="B202" i="66"/>
  <c r="B250" i="66" s="1"/>
  <c r="B201" i="66"/>
  <c r="B249" i="66" s="1"/>
  <c r="B200" i="66"/>
  <c r="B248" i="66" s="1"/>
  <c r="B199" i="66"/>
  <c r="B247" i="66" s="1"/>
  <c r="B198" i="66"/>
  <c r="B246" i="66" s="1"/>
  <c r="B197" i="66"/>
  <c r="B245" i="66" s="1"/>
  <c r="B196" i="66"/>
  <c r="B244" i="66" s="1"/>
  <c r="B195" i="66"/>
  <c r="B243" i="66" s="1"/>
  <c r="B98" i="66"/>
  <c r="B146" i="66" s="1"/>
  <c r="B97" i="66"/>
  <c r="B145" i="66" s="1"/>
  <c r="B96" i="66"/>
  <c r="B144" i="66" s="1"/>
  <c r="B95" i="66"/>
  <c r="B143" i="66" s="1"/>
  <c r="B94" i="66"/>
  <c r="B142" i="66" s="1"/>
  <c r="B93" i="66"/>
  <c r="B141" i="66" s="1"/>
  <c r="B92" i="66"/>
  <c r="B140" i="66" s="1"/>
  <c r="B91" i="66"/>
  <c r="B139" i="66" s="1"/>
  <c r="B90" i="66"/>
  <c r="B138" i="66" s="1"/>
  <c r="B88" i="66"/>
  <c r="B136" i="66" s="1"/>
  <c r="B87" i="66"/>
  <c r="B135" i="66" s="1"/>
  <c r="B86" i="66"/>
  <c r="B134" i="66" s="1"/>
  <c r="B85" i="66"/>
  <c r="B133" i="66" s="1"/>
  <c r="B82" i="66"/>
  <c r="B130" i="66" s="1"/>
  <c r="B81" i="66"/>
  <c r="B129" i="66" s="1"/>
  <c r="B80" i="66"/>
  <c r="B128" i="66" s="1"/>
  <c r="B79" i="66"/>
  <c r="B127" i="66" s="1"/>
  <c r="B78" i="66"/>
  <c r="B126" i="66" s="1"/>
  <c r="B76" i="66"/>
  <c r="B124" i="66" s="1"/>
  <c r="B75" i="66"/>
  <c r="B123" i="66" s="1"/>
  <c r="B74" i="66"/>
  <c r="B122" i="66" s="1"/>
  <c r="B73" i="66"/>
  <c r="B121" i="66" s="1"/>
  <c r="B72" i="66"/>
  <c r="B120" i="66" s="1"/>
  <c r="B71" i="66"/>
  <c r="B119" i="66" s="1"/>
  <c r="B70" i="66"/>
  <c r="B118" i="66" s="1"/>
  <c r="B69" i="66"/>
  <c r="B117" i="66" s="1"/>
  <c r="B68" i="66"/>
  <c r="B116" i="66" s="1"/>
  <c r="B67" i="66"/>
  <c r="B115" i="66" s="1"/>
  <c r="B66" i="66"/>
  <c r="B114" i="66" s="1"/>
  <c r="B65" i="66"/>
  <c r="B113" i="66" s="1"/>
  <c r="B63" i="66"/>
  <c r="B111" i="66" s="1"/>
  <c r="B62" i="66"/>
  <c r="B110" i="66" s="1"/>
  <c r="B61" i="66"/>
  <c r="B109" i="66" s="1"/>
  <c r="B60" i="66"/>
  <c r="B108" i="66" s="1"/>
  <c r="B59" i="66"/>
  <c r="B107" i="66" s="1"/>
  <c r="B58" i="66"/>
  <c r="B106" i="66" s="1"/>
  <c r="B57" i="66"/>
  <c r="B105" i="66" s="1"/>
  <c r="B56" i="66"/>
  <c r="B104" i="66" s="1"/>
  <c r="B55" i="66"/>
  <c r="B103" i="66" s="1"/>
  <c r="B54" i="66"/>
  <c r="B102" i="66" s="1"/>
  <c r="B53" i="66"/>
  <c r="B101" i="66" s="1"/>
  <c r="B52" i="66"/>
  <c r="B100" i="66" s="1"/>
  <c r="B51" i="66"/>
  <c r="B99" i="66" s="1"/>
  <c r="Q30" i="20"/>
  <c r="P30" i="20"/>
  <c r="O30" i="20"/>
  <c r="H30" i="20"/>
  <c r="G30" i="20"/>
  <c r="F30" i="20"/>
  <c r="G21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32" i="17"/>
  <c r="C45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32" i="17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2" i="18"/>
  <c r="B471" i="58"/>
  <c r="B472" i="58"/>
  <c r="B471" i="37"/>
  <c r="B471" i="41" s="1"/>
  <c r="B472" i="37"/>
  <c r="B472" i="41" s="1"/>
  <c r="I12" i="39"/>
  <c r="G39" i="39" s="1"/>
  <c r="I13" i="39"/>
  <c r="I14" i="39"/>
  <c r="O41" i="39" s="1"/>
  <c r="I15" i="39"/>
  <c r="G42" i="39" s="1"/>
  <c r="I16" i="39"/>
  <c r="I17" i="39"/>
  <c r="G44" i="39" s="1"/>
  <c r="I20" i="39"/>
  <c r="G47" i="39" s="1"/>
  <c r="I21" i="39"/>
  <c r="I22" i="39"/>
  <c r="O49" i="39" s="1"/>
  <c r="I23" i="39"/>
  <c r="I24" i="39"/>
  <c r="P24" i="39" s="1"/>
  <c r="Q24" i="39" s="1"/>
  <c r="I25" i="39"/>
  <c r="O52" i="39" s="1"/>
  <c r="I26" i="39"/>
  <c r="I27" i="39"/>
  <c r="I28" i="39"/>
  <c r="F44" i="39"/>
  <c r="B429" i="58"/>
  <c r="C429" i="58"/>
  <c r="B429" i="37"/>
  <c r="B429" i="41" s="1"/>
  <c r="C429" i="37"/>
  <c r="C429" i="41" s="1"/>
  <c r="H17" i="39"/>
  <c r="B449" i="58"/>
  <c r="C449" i="58"/>
  <c r="B449" i="37"/>
  <c r="B449" i="41" s="1"/>
  <c r="C449" i="37"/>
  <c r="C449" i="41" s="1"/>
  <c r="F6" i="6"/>
  <c r="F7" i="6"/>
  <c r="F5" i="6"/>
  <c r="B467" i="58"/>
  <c r="C467" i="58"/>
  <c r="D467" i="58"/>
  <c r="B468" i="58"/>
  <c r="B469" i="58"/>
  <c r="B470" i="58"/>
  <c r="B467" i="37"/>
  <c r="B467" i="41" s="1"/>
  <c r="C467" i="37"/>
  <c r="C467" i="41" s="1"/>
  <c r="B468" i="37"/>
  <c r="B468" i="41" s="1"/>
  <c r="B469" i="37"/>
  <c r="B469" i="41" s="1"/>
  <c r="B470" i="37"/>
  <c r="B470" i="41" s="1"/>
  <c r="E49" i="26"/>
  <c r="E50" i="26"/>
  <c r="E51" i="26"/>
  <c r="E52" i="26"/>
  <c r="E53" i="26"/>
  <c r="B49" i="26"/>
  <c r="B50" i="26"/>
  <c r="B51" i="26"/>
  <c r="B52" i="26"/>
  <c r="B53" i="26"/>
  <c r="D18" i="26"/>
  <c r="C18" i="26"/>
  <c r="O20" i="39"/>
  <c r="O23" i="39"/>
  <c r="O24" i="39"/>
  <c r="O26" i="39"/>
  <c r="O27" i="39"/>
  <c r="O28" i="39"/>
  <c r="C464" i="58"/>
  <c r="B464" i="58"/>
  <c r="C463" i="58"/>
  <c r="B463" i="58"/>
  <c r="C462" i="58"/>
  <c r="B462" i="58"/>
  <c r="C461" i="58"/>
  <c r="B461" i="58"/>
  <c r="C460" i="58"/>
  <c r="B460" i="58"/>
  <c r="C459" i="58"/>
  <c r="B459" i="58"/>
  <c r="D458" i="58"/>
  <c r="C458" i="58"/>
  <c r="B458" i="58"/>
  <c r="D457" i="58"/>
  <c r="C457" i="58"/>
  <c r="B457" i="58"/>
  <c r="C456" i="58"/>
  <c r="B456" i="58"/>
  <c r="C455" i="58"/>
  <c r="B455" i="58"/>
  <c r="C454" i="58"/>
  <c r="B454" i="58"/>
  <c r="C453" i="58"/>
  <c r="B453" i="58"/>
  <c r="D452" i="58"/>
  <c r="C452" i="58"/>
  <c r="B452" i="58"/>
  <c r="C451" i="58"/>
  <c r="B451" i="58"/>
  <c r="C450" i="58"/>
  <c r="B450" i="58"/>
  <c r="C448" i="58"/>
  <c r="B448" i="58"/>
  <c r="C447" i="58"/>
  <c r="B447" i="58"/>
  <c r="C446" i="58"/>
  <c r="B446" i="58"/>
  <c r="C445" i="58"/>
  <c r="B445" i="58"/>
  <c r="C444" i="58"/>
  <c r="B444" i="58"/>
  <c r="C443" i="58"/>
  <c r="B443" i="58"/>
  <c r="C442" i="58"/>
  <c r="B442" i="58"/>
  <c r="C441" i="58"/>
  <c r="B441" i="58"/>
  <c r="C440" i="58"/>
  <c r="B440" i="58"/>
  <c r="C436" i="58"/>
  <c r="B436" i="58"/>
  <c r="C435" i="58"/>
  <c r="B435" i="58"/>
  <c r="C434" i="58"/>
  <c r="B434" i="58"/>
  <c r="C433" i="58"/>
  <c r="B433" i="58"/>
  <c r="C432" i="58"/>
  <c r="B432" i="58"/>
  <c r="C431" i="58"/>
  <c r="B431" i="58"/>
  <c r="C430" i="58"/>
  <c r="B430" i="58"/>
  <c r="C428" i="58"/>
  <c r="B428" i="58"/>
  <c r="C427" i="58"/>
  <c r="B427" i="58"/>
  <c r="C426" i="58"/>
  <c r="B426" i="58"/>
  <c r="C425" i="58"/>
  <c r="B425" i="58"/>
  <c r="C424" i="58"/>
  <c r="B424" i="58"/>
  <c r="C423" i="58"/>
  <c r="B423" i="58"/>
  <c r="C422" i="58"/>
  <c r="B422" i="58"/>
  <c r="C421" i="58"/>
  <c r="B421" i="58"/>
  <c r="C420" i="58"/>
  <c r="B420" i="58"/>
  <c r="C419" i="58"/>
  <c r="B419" i="58"/>
  <c r="C418" i="58"/>
  <c r="B418" i="58"/>
  <c r="B417" i="58"/>
  <c r="B416" i="58"/>
  <c r="B415" i="58"/>
  <c r="B414" i="58"/>
  <c r="B413" i="58"/>
  <c r="B412" i="58"/>
  <c r="B411" i="58"/>
  <c r="B410" i="58"/>
  <c r="B409" i="58"/>
  <c r="B408" i="58"/>
  <c r="B407" i="58"/>
  <c r="B405" i="58"/>
  <c r="B404" i="58"/>
  <c r="B403" i="58"/>
  <c r="B402" i="58"/>
  <c r="U2" i="58"/>
  <c r="K2" i="58"/>
  <c r="G2" i="58"/>
  <c r="E2" i="58"/>
  <c r="D2" i="58"/>
  <c r="C2" i="58"/>
  <c r="B2" i="58"/>
  <c r="A2" i="58"/>
  <c r="U1" i="58"/>
  <c r="K1" i="58"/>
  <c r="I1" i="58"/>
  <c r="G1" i="58"/>
  <c r="E1" i="58"/>
  <c r="D1" i="58"/>
  <c r="C1" i="58"/>
  <c r="B1" i="58"/>
  <c r="B402" i="37"/>
  <c r="B402" i="41" s="1"/>
  <c r="B403" i="37"/>
  <c r="B403" i="41" s="1"/>
  <c r="B404" i="37"/>
  <c r="B404" i="41" s="1"/>
  <c r="B405" i="37"/>
  <c r="B405" i="41" s="1"/>
  <c r="B407" i="37"/>
  <c r="B407" i="41" s="1"/>
  <c r="B408" i="37"/>
  <c r="B408" i="41" s="1"/>
  <c r="B409" i="37"/>
  <c r="B409" i="41" s="1"/>
  <c r="B410" i="37"/>
  <c r="B410" i="41" s="1"/>
  <c r="B411" i="37"/>
  <c r="B411" i="41" s="1"/>
  <c r="B412" i="37"/>
  <c r="B412" i="41" s="1"/>
  <c r="B413" i="37"/>
  <c r="B413" i="41" s="1"/>
  <c r="B414" i="37"/>
  <c r="B414" i="41" s="1"/>
  <c r="B415" i="37"/>
  <c r="B415" i="41" s="1"/>
  <c r="B416" i="37"/>
  <c r="B416" i="41" s="1"/>
  <c r="B417" i="37"/>
  <c r="B417" i="41" s="1"/>
  <c r="B418" i="37"/>
  <c r="B418" i="41" s="1"/>
  <c r="C418" i="37"/>
  <c r="C418" i="41" s="1"/>
  <c r="B419" i="37"/>
  <c r="B419" i="41" s="1"/>
  <c r="C419" i="37"/>
  <c r="C419" i="41" s="1"/>
  <c r="B420" i="37"/>
  <c r="B420" i="41" s="1"/>
  <c r="C420" i="37"/>
  <c r="C420" i="41" s="1"/>
  <c r="B421" i="37"/>
  <c r="B421" i="41" s="1"/>
  <c r="C421" i="37"/>
  <c r="C421" i="41" s="1"/>
  <c r="B422" i="37"/>
  <c r="B422" i="41" s="1"/>
  <c r="C422" i="37"/>
  <c r="C422" i="41" s="1"/>
  <c r="B423" i="37"/>
  <c r="B423" i="41" s="1"/>
  <c r="C423" i="37"/>
  <c r="C423" i="41" s="1"/>
  <c r="B424" i="37"/>
  <c r="B424" i="41" s="1"/>
  <c r="C424" i="37"/>
  <c r="C424" i="41" s="1"/>
  <c r="B425" i="37"/>
  <c r="B425" i="41" s="1"/>
  <c r="C425" i="37"/>
  <c r="C425" i="41" s="1"/>
  <c r="B426" i="37"/>
  <c r="B426" i="41" s="1"/>
  <c r="C426" i="37"/>
  <c r="C426" i="41" s="1"/>
  <c r="B427" i="37"/>
  <c r="B427" i="41" s="1"/>
  <c r="C427" i="37"/>
  <c r="C427" i="41" s="1"/>
  <c r="B428" i="37"/>
  <c r="B428" i="41" s="1"/>
  <c r="C428" i="37"/>
  <c r="C428" i="41" s="1"/>
  <c r="B430" i="37"/>
  <c r="B430" i="41" s="1"/>
  <c r="C430" i="37"/>
  <c r="C430" i="41" s="1"/>
  <c r="B431" i="37"/>
  <c r="B431" i="41" s="1"/>
  <c r="C431" i="37"/>
  <c r="C431" i="41" s="1"/>
  <c r="B432" i="37"/>
  <c r="B432" i="41" s="1"/>
  <c r="C432" i="37"/>
  <c r="C432" i="41" s="1"/>
  <c r="B433" i="37"/>
  <c r="B433" i="41" s="1"/>
  <c r="C433" i="37"/>
  <c r="C433" i="41" s="1"/>
  <c r="B434" i="37"/>
  <c r="B434" i="41" s="1"/>
  <c r="C434" i="37"/>
  <c r="C434" i="41" s="1"/>
  <c r="B435" i="37"/>
  <c r="B435" i="41" s="1"/>
  <c r="C435" i="37"/>
  <c r="C435" i="41" s="1"/>
  <c r="B436" i="37"/>
  <c r="B436" i="41" s="1"/>
  <c r="C436" i="37"/>
  <c r="C436" i="41" s="1"/>
  <c r="B440" i="37"/>
  <c r="B440" i="41" s="1"/>
  <c r="C440" i="37"/>
  <c r="C440" i="41" s="1"/>
  <c r="B441" i="37"/>
  <c r="B441" i="41" s="1"/>
  <c r="C441" i="37"/>
  <c r="C441" i="41" s="1"/>
  <c r="B442" i="37"/>
  <c r="B442" i="41" s="1"/>
  <c r="C442" i="37"/>
  <c r="C442" i="41" s="1"/>
  <c r="B443" i="37"/>
  <c r="B443" i="41" s="1"/>
  <c r="C443" i="37"/>
  <c r="C443" i="41" s="1"/>
  <c r="B444" i="37"/>
  <c r="B444" i="41" s="1"/>
  <c r="C444" i="37"/>
  <c r="C444" i="41" s="1"/>
  <c r="B445" i="37"/>
  <c r="B445" i="41" s="1"/>
  <c r="C445" i="37"/>
  <c r="C445" i="41" s="1"/>
  <c r="B446" i="37"/>
  <c r="B446" i="41" s="1"/>
  <c r="C446" i="37"/>
  <c r="C446" i="41" s="1"/>
  <c r="B447" i="37"/>
  <c r="B447" i="41" s="1"/>
  <c r="C447" i="37"/>
  <c r="C447" i="41" s="1"/>
  <c r="B448" i="37"/>
  <c r="B448" i="41" s="1"/>
  <c r="C448" i="37"/>
  <c r="C448" i="41" s="1"/>
  <c r="B450" i="37"/>
  <c r="B450" i="41" s="1"/>
  <c r="C450" i="37"/>
  <c r="C450" i="41" s="1"/>
  <c r="B451" i="37"/>
  <c r="B451" i="41" s="1"/>
  <c r="C451" i="37"/>
  <c r="C451" i="41" s="1"/>
  <c r="B452" i="37"/>
  <c r="B452" i="41" s="1"/>
  <c r="C452" i="37"/>
  <c r="C452" i="41" s="1"/>
  <c r="B453" i="37"/>
  <c r="B453" i="41" s="1"/>
  <c r="C453" i="37"/>
  <c r="C453" i="41" s="1"/>
  <c r="B454" i="37"/>
  <c r="B454" i="41" s="1"/>
  <c r="C454" i="37"/>
  <c r="C454" i="41" s="1"/>
  <c r="B455" i="37"/>
  <c r="B455" i="41" s="1"/>
  <c r="C455" i="37"/>
  <c r="C455" i="41" s="1"/>
  <c r="B456" i="37"/>
  <c r="B456" i="41" s="1"/>
  <c r="C456" i="37"/>
  <c r="C456" i="41" s="1"/>
  <c r="B457" i="37"/>
  <c r="B457" i="41" s="1"/>
  <c r="C457" i="37"/>
  <c r="C457" i="41" s="1"/>
  <c r="B458" i="37"/>
  <c r="B458" i="41" s="1"/>
  <c r="C458" i="37"/>
  <c r="C458" i="41" s="1"/>
  <c r="B459" i="37"/>
  <c r="B459" i="41" s="1"/>
  <c r="C459" i="37"/>
  <c r="C459" i="41" s="1"/>
  <c r="B460" i="37"/>
  <c r="B460" i="41" s="1"/>
  <c r="C460" i="37"/>
  <c r="C460" i="41" s="1"/>
  <c r="B461" i="37"/>
  <c r="B461" i="41" s="1"/>
  <c r="C461" i="37"/>
  <c r="C461" i="41" s="1"/>
  <c r="B462" i="37"/>
  <c r="B462" i="41" s="1"/>
  <c r="C462" i="37"/>
  <c r="C462" i="41" s="1"/>
  <c r="B463" i="37"/>
  <c r="B463" i="41" s="1"/>
  <c r="C463" i="37"/>
  <c r="C463" i="41" s="1"/>
  <c r="B464" i="37"/>
  <c r="B464" i="41" s="1"/>
  <c r="C464" i="37"/>
  <c r="C464" i="41" s="1"/>
  <c r="B2" i="37"/>
  <c r="B2" i="41" s="1"/>
  <c r="C2" i="37"/>
  <c r="C2" i="41" s="1"/>
  <c r="D2" i="37"/>
  <c r="D2" i="41" s="1"/>
  <c r="E2" i="37"/>
  <c r="E2" i="41" s="1"/>
  <c r="G2" i="37"/>
  <c r="G2" i="41" s="1"/>
  <c r="A2" i="37"/>
  <c r="A2" i="41" s="1"/>
  <c r="D11" i="1" a="1"/>
  <c r="D11" i="1" s="1"/>
  <c r="D14" i="1" a="1"/>
  <c r="D14" i="1" s="1"/>
  <c r="I8" i="9" s="1"/>
  <c r="D15" i="1" a="1"/>
  <c r="D15" i="1" s="1"/>
  <c r="I9" i="9" s="1"/>
  <c r="F52" i="39"/>
  <c r="H25" i="39"/>
  <c r="H26" i="39"/>
  <c r="F53" i="39"/>
  <c r="F55" i="39"/>
  <c r="F54" i="39"/>
  <c r="F51" i="39"/>
  <c r="F50" i="39"/>
  <c r="F43" i="39"/>
  <c r="F48" i="39"/>
  <c r="F42" i="39"/>
  <c r="F41" i="39"/>
  <c r="H21" i="39"/>
  <c r="H19" i="39"/>
  <c r="H18" i="39"/>
  <c r="H20" i="39"/>
  <c r="H13" i="39"/>
  <c r="H14" i="39"/>
  <c r="H12" i="39"/>
  <c r="H16" i="39"/>
  <c r="H23" i="39"/>
  <c r="H24" i="39"/>
  <c r="H27" i="39"/>
  <c r="H28" i="39"/>
  <c r="H15" i="39"/>
  <c r="K2" i="41"/>
  <c r="R1" i="41"/>
  <c r="K1" i="41"/>
  <c r="J1" i="41"/>
  <c r="I1" i="41"/>
  <c r="G1" i="41"/>
  <c r="F1" i="41"/>
  <c r="E1" i="41"/>
  <c r="D1" i="41"/>
  <c r="C1" i="41"/>
  <c r="B1" i="41"/>
  <c r="U2" i="37"/>
  <c r="K2" i="37"/>
  <c r="U1" i="37"/>
  <c r="K1" i="37"/>
  <c r="J1" i="37"/>
  <c r="I1" i="37"/>
  <c r="G1" i="37"/>
  <c r="E1" i="37"/>
  <c r="D1" i="37"/>
  <c r="C1" i="37"/>
  <c r="B1" i="37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2" i="18"/>
  <c r="B311" i="18"/>
  <c r="B310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84" i="18"/>
  <c r="B70" i="18"/>
  <c r="B28" i="18"/>
  <c r="B42" i="18"/>
  <c r="B41" i="18"/>
  <c r="C4" i="6"/>
  <c r="I4" i="6"/>
  <c r="D50" i="17"/>
  <c r="AB2" i="39"/>
  <c r="D11" i="39"/>
  <c r="K11" i="39"/>
  <c r="G22" i="20"/>
  <c r="G49" i="20"/>
  <c r="D22" i="20"/>
  <c r="O3" i="20"/>
  <c r="F3" i="20"/>
  <c r="D49" i="20"/>
  <c r="G31" i="17"/>
  <c r="D31" i="17"/>
  <c r="D10" i="17"/>
  <c r="B85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43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E52" i="22"/>
  <c r="E57" i="22"/>
  <c r="E54" i="22"/>
  <c r="E59" i="22"/>
  <c r="E56" i="22"/>
  <c r="E61" i="22"/>
  <c r="E7" i="22"/>
  <c r="E12" i="22"/>
  <c r="E9" i="22"/>
  <c r="E14" i="22"/>
  <c r="E11" i="22"/>
  <c r="E16" i="22"/>
  <c r="D46" i="17"/>
  <c r="E46" i="17"/>
  <c r="G46" i="17"/>
  <c r="H46" i="17"/>
  <c r="F49" i="39"/>
  <c r="H22" i="39"/>
  <c r="C11" i="32"/>
  <c r="F47" i="26"/>
  <c r="C47" i="26"/>
  <c r="F11" i="32"/>
  <c r="D24" i="38" l="1"/>
  <c r="D20" i="38"/>
  <c r="D356" i="38"/>
  <c r="D317" i="38"/>
  <c r="C23" i="53"/>
  <c r="D249" i="38"/>
  <c r="D210" i="38"/>
  <c r="D314" i="38"/>
  <c r="C21" i="53"/>
  <c r="D215" i="38"/>
  <c r="D209" i="38"/>
  <c r="D107" i="38"/>
  <c r="D390" i="38"/>
  <c r="D304" i="38"/>
  <c r="D260" i="38"/>
  <c r="D159" i="38"/>
  <c r="D108" i="38"/>
  <c r="C21" i="6"/>
  <c r="C22" i="6"/>
  <c r="D26" i="6"/>
  <c r="D24" i="6"/>
  <c r="B25" i="6"/>
  <c r="C23" i="6"/>
  <c r="D278" i="66"/>
  <c r="D243" i="66"/>
  <c r="D129" i="66"/>
  <c r="D348" i="38"/>
  <c r="D43" i="38"/>
  <c r="D272" i="66"/>
  <c r="D125" i="66"/>
  <c r="D337" i="38"/>
  <c r="D230" i="38"/>
  <c r="D260" i="66"/>
  <c r="D113" i="66"/>
  <c r="C37" i="57"/>
  <c r="E4" i="17"/>
  <c r="D174" i="38"/>
  <c r="B26" i="63"/>
  <c r="D290" i="66"/>
  <c r="D256" i="66"/>
  <c r="D143" i="66"/>
  <c r="D109" i="66"/>
  <c r="C74" i="57"/>
  <c r="C36" i="57"/>
  <c r="D173" i="38"/>
  <c r="D47" i="26"/>
  <c r="J4" i="6"/>
  <c r="L11" i="39"/>
  <c r="D286" i="66"/>
  <c r="D252" i="66"/>
  <c r="D139" i="66"/>
  <c r="C73" i="57"/>
  <c r="G11" i="32"/>
  <c r="I3" i="20"/>
  <c r="D282" i="66"/>
  <c r="D135" i="66"/>
  <c r="D100" i="66"/>
  <c r="D349" i="38"/>
  <c r="A246" i="66"/>
  <c r="R246" i="66" s="1"/>
  <c r="H52" i="66"/>
  <c r="C98" i="66"/>
  <c r="O98" i="66" s="1"/>
  <c r="C92" i="66"/>
  <c r="C78" i="66"/>
  <c r="C66" i="66"/>
  <c r="O66" i="66" s="1"/>
  <c r="B34" i="63"/>
  <c r="B29" i="63"/>
  <c r="B7" i="63"/>
  <c r="B32" i="63"/>
  <c r="B4" i="63"/>
  <c r="B37" i="63"/>
  <c r="B30" i="63"/>
  <c r="B6" i="63"/>
  <c r="B8" i="63"/>
  <c r="B9" i="63"/>
  <c r="B3" i="63"/>
  <c r="B31" i="63"/>
  <c r="B10" i="63"/>
  <c r="B2" i="63"/>
  <c r="D411" i="38"/>
  <c r="B36" i="63"/>
  <c r="D410" i="38"/>
  <c r="B33" i="63"/>
  <c r="B5" i="63"/>
  <c r="B35" i="63"/>
  <c r="D405" i="38"/>
  <c r="D404" i="38"/>
  <c r="B55" i="63"/>
  <c r="B48" i="63"/>
  <c r="B54" i="63"/>
  <c r="B28" i="63"/>
  <c r="D414" i="38"/>
  <c r="B53" i="63"/>
  <c r="B47" i="63"/>
  <c r="B52" i="63"/>
  <c r="B51" i="63"/>
  <c r="B50" i="63"/>
  <c r="D409" i="38"/>
  <c r="D408" i="38"/>
  <c r="B49" i="63"/>
  <c r="D415" i="38"/>
  <c r="B11" i="63"/>
  <c r="B46" i="63"/>
  <c r="B45" i="63"/>
  <c r="B43" i="63"/>
  <c r="B12" i="63"/>
  <c r="B41" i="63"/>
  <c r="B14" i="63"/>
  <c r="B40" i="63"/>
  <c r="B15" i="63"/>
  <c r="D413" i="38"/>
  <c r="D407" i="38"/>
  <c r="D406" i="38"/>
  <c r="B44" i="63"/>
  <c r="B39" i="63"/>
  <c r="B16" i="63"/>
  <c r="D412" i="38"/>
  <c r="B38" i="63"/>
  <c r="B18" i="63"/>
  <c r="B17" i="63"/>
  <c r="B19" i="63"/>
  <c r="B42" i="63"/>
  <c r="B13" i="63"/>
  <c r="C55" i="66"/>
  <c r="O55" i="66" s="1"/>
  <c r="C96" i="66"/>
  <c r="C64" i="66"/>
  <c r="C235" i="66"/>
  <c r="C221" i="66"/>
  <c r="C215" i="66"/>
  <c r="O215" i="66" s="1"/>
  <c r="U215" i="66" s="1"/>
  <c r="C75" i="66"/>
  <c r="C54" i="66"/>
  <c r="C102" i="66"/>
  <c r="C80" i="66"/>
  <c r="O80" i="66" s="1"/>
  <c r="C74" i="66"/>
  <c r="O74" i="66" s="1"/>
  <c r="C239" i="66"/>
  <c r="C233" i="66"/>
  <c r="C225" i="66"/>
  <c r="O225" i="66" s="1"/>
  <c r="U225" i="66" s="1"/>
  <c r="C52" i="66"/>
  <c r="O52" i="66" s="1"/>
  <c r="C217" i="66"/>
  <c r="C93" i="66"/>
  <c r="B3" i="8"/>
  <c r="D179" i="66"/>
  <c r="D180" i="66"/>
  <c r="D35" i="66"/>
  <c r="D36" i="66"/>
  <c r="D401" i="38"/>
  <c r="D398" i="38"/>
  <c r="D3" i="8"/>
  <c r="D275" i="66"/>
  <c r="D276" i="66"/>
  <c r="D403" i="38"/>
  <c r="D131" i="66"/>
  <c r="D132" i="66"/>
  <c r="D400" i="38"/>
  <c r="C9" i="66"/>
  <c r="C21" i="66"/>
  <c r="O21" i="66" s="1"/>
  <c r="C33" i="66"/>
  <c r="O33" i="66" s="1"/>
  <c r="C45" i="66"/>
  <c r="C153" i="66"/>
  <c r="C165" i="66"/>
  <c r="O165" i="66" s="1"/>
  <c r="C177" i="66"/>
  <c r="O177" i="66" s="1"/>
  <c r="C191" i="66"/>
  <c r="C25" i="66"/>
  <c r="C3" i="66"/>
  <c r="O3" i="66" s="1"/>
  <c r="C179" i="66"/>
  <c r="C10" i="66"/>
  <c r="O10" i="66" s="1"/>
  <c r="C22" i="66"/>
  <c r="C34" i="66"/>
  <c r="C46" i="66"/>
  <c r="O46" i="66" s="1"/>
  <c r="C154" i="66"/>
  <c r="O154" i="66" s="1"/>
  <c r="C166" i="66"/>
  <c r="C178" i="66"/>
  <c r="C192" i="66"/>
  <c r="C37" i="66"/>
  <c r="O37" i="66" s="1"/>
  <c r="C169" i="66"/>
  <c r="C11" i="66"/>
  <c r="C23" i="66"/>
  <c r="O23" i="66" s="1"/>
  <c r="C35" i="66"/>
  <c r="C47" i="66"/>
  <c r="C155" i="66"/>
  <c r="C167" i="66"/>
  <c r="O167" i="66" s="1"/>
  <c r="C181" i="66"/>
  <c r="O181" i="66" s="1"/>
  <c r="U181" i="66" s="1"/>
  <c r="C193" i="66"/>
  <c r="C49" i="66"/>
  <c r="C183" i="66"/>
  <c r="O183" i="66" s="1"/>
  <c r="C12" i="66"/>
  <c r="O12" i="66" s="1"/>
  <c r="C24" i="66"/>
  <c r="O24" i="66" s="1"/>
  <c r="C36" i="66"/>
  <c r="C48" i="66"/>
  <c r="C156" i="66"/>
  <c r="C168" i="66"/>
  <c r="C182" i="66"/>
  <c r="O182" i="66" s="1"/>
  <c r="C194" i="66"/>
  <c r="O194" i="66" s="1"/>
  <c r="C13" i="66"/>
  <c r="O13" i="66" s="1"/>
  <c r="C157" i="66"/>
  <c r="O157" i="66" s="1"/>
  <c r="C180" i="66"/>
  <c r="C14" i="66"/>
  <c r="O14" i="66" s="1"/>
  <c r="C26" i="66"/>
  <c r="O26" i="66" s="1"/>
  <c r="C38" i="66"/>
  <c r="C50" i="66"/>
  <c r="O50" i="66" s="1"/>
  <c r="C158" i="66"/>
  <c r="O158" i="66" s="1"/>
  <c r="C170" i="66"/>
  <c r="O170" i="66" s="1"/>
  <c r="C184" i="66"/>
  <c r="C151" i="66"/>
  <c r="O151" i="66" s="1"/>
  <c r="U151" i="66" s="1"/>
  <c r="C44" i="66"/>
  <c r="C15" i="66"/>
  <c r="C27" i="66"/>
  <c r="C39" i="66"/>
  <c r="C147" i="66"/>
  <c r="O147" i="66" s="1"/>
  <c r="C159" i="66"/>
  <c r="C171" i="66"/>
  <c r="C185" i="66"/>
  <c r="C31" i="66"/>
  <c r="C20" i="66"/>
  <c r="C190" i="66"/>
  <c r="O190" i="66" s="1"/>
  <c r="C4" i="66"/>
  <c r="O4" i="66" s="1"/>
  <c r="C16" i="66"/>
  <c r="C28" i="66"/>
  <c r="O28" i="66" s="1"/>
  <c r="C40" i="66"/>
  <c r="C148" i="66"/>
  <c r="C160" i="66"/>
  <c r="C172" i="66"/>
  <c r="O172" i="66" s="1"/>
  <c r="C186" i="66"/>
  <c r="C43" i="66"/>
  <c r="O43" i="66" s="1"/>
  <c r="C189" i="66"/>
  <c r="C152" i="66"/>
  <c r="C227" i="66"/>
  <c r="C5" i="66"/>
  <c r="C17" i="66"/>
  <c r="O17" i="66" s="1"/>
  <c r="C29" i="66"/>
  <c r="C41" i="66"/>
  <c r="C149" i="66"/>
  <c r="C161" i="66"/>
  <c r="O161" i="66" s="1"/>
  <c r="C173" i="66"/>
  <c r="C187" i="66"/>
  <c r="O187" i="66" s="1"/>
  <c r="C19" i="66"/>
  <c r="C175" i="66"/>
  <c r="C32" i="66"/>
  <c r="O32" i="66" s="1"/>
  <c r="C176" i="66"/>
  <c r="C6" i="66"/>
  <c r="C18" i="66"/>
  <c r="O18" i="66" s="1"/>
  <c r="C30" i="66"/>
  <c r="O30" i="66" s="1"/>
  <c r="C42" i="66"/>
  <c r="O42" i="66" s="1"/>
  <c r="C150" i="66"/>
  <c r="C162" i="66"/>
  <c r="O162" i="66" s="1"/>
  <c r="C174" i="66"/>
  <c r="O174" i="66" s="1"/>
  <c r="C188" i="66"/>
  <c r="C163" i="66"/>
  <c r="C164" i="66"/>
  <c r="C7" i="66"/>
  <c r="O7" i="66" s="1"/>
  <c r="C8" i="66"/>
  <c r="C84" i="66"/>
  <c r="C275" i="66"/>
  <c r="C228" i="66"/>
  <c r="C83" i="66"/>
  <c r="C276" i="66"/>
  <c r="C132" i="66"/>
  <c r="C131" i="66"/>
  <c r="C3" i="8"/>
  <c r="D228" i="66"/>
  <c r="D402" i="38"/>
  <c r="D227" i="66"/>
  <c r="D83" i="66"/>
  <c r="D399" i="38"/>
  <c r="D84" i="66"/>
  <c r="A11" i="53"/>
  <c r="A17" i="53" s="1"/>
  <c r="H55" i="66"/>
  <c r="H51" i="66"/>
  <c r="A103" i="66"/>
  <c r="H103" i="66" s="1"/>
  <c r="A99" i="66"/>
  <c r="H99" i="66" s="1"/>
  <c r="H136" i="66"/>
  <c r="C136" i="66"/>
  <c r="H130" i="66"/>
  <c r="C130" i="66"/>
  <c r="H129" i="66"/>
  <c r="C129" i="66"/>
  <c r="O129" i="66" s="1"/>
  <c r="H256" i="66"/>
  <c r="C256" i="66"/>
  <c r="H72" i="66"/>
  <c r="C72" i="66"/>
  <c r="O72" i="66" s="1"/>
  <c r="H260" i="66"/>
  <c r="C260" i="66"/>
  <c r="H243" i="66"/>
  <c r="C243" i="66"/>
  <c r="O243" i="66" s="1"/>
  <c r="H237" i="66"/>
  <c r="C237" i="66"/>
  <c r="H231" i="66"/>
  <c r="C231" i="66"/>
  <c r="O231" i="66" s="1"/>
  <c r="H223" i="66"/>
  <c r="C223" i="66"/>
  <c r="A259" i="66"/>
  <c r="C259" i="66" s="1"/>
  <c r="C211" i="66"/>
  <c r="H195" i="66"/>
  <c r="C195" i="66"/>
  <c r="O195" i="66" s="1"/>
  <c r="H113" i="66"/>
  <c r="C113" i="66"/>
  <c r="O113" i="66" s="1"/>
  <c r="H60" i="66"/>
  <c r="C60" i="66"/>
  <c r="O60" i="66" s="1"/>
  <c r="A285" i="66"/>
  <c r="H97" i="66"/>
  <c r="C97" i="66"/>
  <c r="H91" i="66"/>
  <c r="C91" i="66"/>
  <c r="O91" i="66" s="1"/>
  <c r="H85" i="66"/>
  <c r="C85" i="66"/>
  <c r="O85" i="66" s="1"/>
  <c r="H77" i="66"/>
  <c r="C77" i="66"/>
  <c r="H71" i="66"/>
  <c r="C71" i="66"/>
  <c r="O71" i="66" s="1"/>
  <c r="H65" i="66"/>
  <c r="C65" i="66"/>
  <c r="O65" i="66" s="1"/>
  <c r="H59" i="66"/>
  <c r="C59" i="66"/>
  <c r="H198" i="66"/>
  <c r="C198" i="66"/>
  <c r="C51" i="66"/>
  <c r="O51" i="66" s="1"/>
  <c r="H205" i="66"/>
  <c r="C205" i="66"/>
  <c r="O205" i="66" s="1"/>
  <c r="H242" i="66"/>
  <c r="C242" i="66"/>
  <c r="O242" i="66" s="1"/>
  <c r="H236" i="66"/>
  <c r="C236" i="66"/>
  <c r="H230" i="66"/>
  <c r="C230" i="66"/>
  <c r="O230" i="66" s="1"/>
  <c r="H222" i="66"/>
  <c r="C222" i="66"/>
  <c r="O222" i="66" s="1"/>
  <c r="U222" i="66" s="1"/>
  <c r="H216" i="66"/>
  <c r="C216" i="66"/>
  <c r="O216" i="66" s="1"/>
  <c r="H210" i="66"/>
  <c r="C210" i="66"/>
  <c r="O210" i="66" s="1"/>
  <c r="U210" i="66" s="1"/>
  <c r="H204" i="66"/>
  <c r="C204" i="66"/>
  <c r="O204" i="66" s="1"/>
  <c r="H145" i="66"/>
  <c r="C145" i="66"/>
  <c r="H58" i="66"/>
  <c r="C58" i="66"/>
  <c r="O58" i="66" s="1"/>
  <c r="H280" i="66"/>
  <c r="C280" i="66"/>
  <c r="H143" i="66"/>
  <c r="C143" i="66"/>
  <c r="H125" i="66"/>
  <c r="C125" i="66"/>
  <c r="H108" i="66"/>
  <c r="C108" i="66"/>
  <c r="O108" i="66" s="1"/>
  <c r="U108" i="66" s="1"/>
  <c r="H90" i="66"/>
  <c r="C90" i="66"/>
  <c r="O90" i="66" s="1"/>
  <c r="H82" i="66"/>
  <c r="C82" i="66"/>
  <c r="H76" i="66"/>
  <c r="C76" i="66"/>
  <c r="O76" i="66" s="1"/>
  <c r="H70" i="66"/>
  <c r="C70" i="66"/>
  <c r="H201" i="66"/>
  <c r="C201" i="66"/>
  <c r="H54" i="66"/>
  <c r="H94" i="66"/>
  <c r="C94" i="66"/>
  <c r="O94" i="66" s="1"/>
  <c r="H255" i="66"/>
  <c r="C255" i="66"/>
  <c r="H241" i="66"/>
  <c r="C241" i="66"/>
  <c r="H209" i="66"/>
  <c r="C209" i="66"/>
  <c r="O209" i="66" s="1"/>
  <c r="H203" i="66"/>
  <c r="C203" i="66"/>
  <c r="H105" i="66"/>
  <c r="C105" i="66"/>
  <c r="H229" i="66"/>
  <c r="C229" i="66"/>
  <c r="O229" i="66" s="1"/>
  <c r="U229" i="66" s="1"/>
  <c r="H272" i="66"/>
  <c r="C272" i="66"/>
  <c r="O272" i="66" s="1"/>
  <c r="H252" i="66"/>
  <c r="C252" i="66"/>
  <c r="O252" i="66" s="1"/>
  <c r="H139" i="66"/>
  <c r="C139" i="66"/>
  <c r="O139" i="66" s="1"/>
  <c r="H124" i="66"/>
  <c r="C124" i="66"/>
  <c r="O124" i="66" s="1"/>
  <c r="H95" i="66"/>
  <c r="C95" i="66"/>
  <c r="H89" i="66"/>
  <c r="C89" i="66"/>
  <c r="H81" i="66"/>
  <c r="C81" i="66"/>
  <c r="O81" i="66" s="1"/>
  <c r="H69" i="66"/>
  <c r="C69" i="66"/>
  <c r="O69" i="66" s="1"/>
  <c r="H63" i="66"/>
  <c r="C63" i="66"/>
  <c r="H57" i="66"/>
  <c r="C57" i="66"/>
  <c r="H240" i="66"/>
  <c r="C240" i="66"/>
  <c r="H234" i="66"/>
  <c r="C234" i="66"/>
  <c r="O234" i="66" s="1"/>
  <c r="H226" i="66"/>
  <c r="C226" i="66"/>
  <c r="H220" i="66"/>
  <c r="C220" i="66"/>
  <c r="O220" i="66" s="1"/>
  <c r="H214" i="66"/>
  <c r="C214" i="66"/>
  <c r="H208" i="66"/>
  <c r="C208" i="66"/>
  <c r="H202" i="66"/>
  <c r="C202" i="66"/>
  <c r="O202" i="66" s="1"/>
  <c r="H121" i="66"/>
  <c r="C121" i="66"/>
  <c r="H197" i="66"/>
  <c r="C197" i="66"/>
  <c r="H271" i="66"/>
  <c r="C271" i="66"/>
  <c r="H138" i="66"/>
  <c r="C138" i="66"/>
  <c r="O138" i="66" s="1"/>
  <c r="H68" i="66"/>
  <c r="C68" i="66"/>
  <c r="A110" i="66"/>
  <c r="C62" i="66"/>
  <c r="O62" i="66" s="1"/>
  <c r="H200" i="66"/>
  <c r="C200" i="66"/>
  <c r="H219" i="66"/>
  <c r="C219" i="66"/>
  <c r="H213" i="66"/>
  <c r="C213" i="66"/>
  <c r="O213" i="66" s="1"/>
  <c r="H207" i="66"/>
  <c r="C207" i="66"/>
  <c r="H199" i="66"/>
  <c r="C199" i="66"/>
  <c r="O199" i="66" s="1"/>
  <c r="A137" i="66"/>
  <c r="H119" i="66"/>
  <c r="C119" i="66"/>
  <c r="H100" i="66"/>
  <c r="C100" i="66"/>
  <c r="O100" i="66" s="1"/>
  <c r="H53" i="66"/>
  <c r="C53" i="66"/>
  <c r="H87" i="66"/>
  <c r="C87" i="66"/>
  <c r="O87" i="66" s="1"/>
  <c r="H79" i="66"/>
  <c r="C79" i="66"/>
  <c r="H73" i="66"/>
  <c r="C73" i="66"/>
  <c r="A115" i="66"/>
  <c r="C115" i="66" s="1"/>
  <c r="C67" i="66"/>
  <c r="A104" i="66"/>
  <c r="C56" i="66"/>
  <c r="H250" i="66"/>
  <c r="C250" i="66"/>
  <c r="O250" i="66" s="1"/>
  <c r="H101" i="66"/>
  <c r="C101" i="66"/>
  <c r="H268" i="66"/>
  <c r="C268" i="66"/>
  <c r="O268" i="66" s="1"/>
  <c r="H249" i="66"/>
  <c r="C249" i="66"/>
  <c r="H248" i="66"/>
  <c r="C248" i="66"/>
  <c r="A118" i="66"/>
  <c r="H266" i="66"/>
  <c r="C266" i="66"/>
  <c r="O266" i="66" s="1"/>
  <c r="C246" i="66"/>
  <c r="H238" i="66"/>
  <c r="C238" i="66"/>
  <c r="O238" i="66" s="1"/>
  <c r="U238" i="66" s="1"/>
  <c r="H232" i="66"/>
  <c r="C232" i="66"/>
  <c r="H224" i="66"/>
  <c r="C224" i="66"/>
  <c r="O224" i="66" s="1"/>
  <c r="H218" i="66"/>
  <c r="C218" i="66"/>
  <c r="O218" i="66" s="1"/>
  <c r="H212" i="66"/>
  <c r="C212" i="66"/>
  <c r="H206" i="66"/>
  <c r="C206" i="66"/>
  <c r="O206" i="66" s="1"/>
  <c r="H196" i="66"/>
  <c r="C196" i="66"/>
  <c r="O196" i="66" s="1"/>
  <c r="H88" i="66"/>
  <c r="C88" i="66"/>
  <c r="H286" i="66"/>
  <c r="C286" i="66"/>
  <c r="O286" i="66" s="1"/>
  <c r="H244" i="66"/>
  <c r="C244" i="66"/>
  <c r="O244" i="66" s="1"/>
  <c r="H133" i="66"/>
  <c r="C133" i="66"/>
  <c r="O133" i="66" s="1"/>
  <c r="H116" i="66"/>
  <c r="C116" i="66"/>
  <c r="H61" i="66"/>
  <c r="C61" i="66"/>
  <c r="O61" i="66" s="1"/>
  <c r="H86" i="66"/>
  <c r="C86" i="66"/>
  <c r="O86" i="66" s="1"/>
  <c r="A278" i="66"/>
  <c r="A258" i="66"/>
  <c r="A282" i="66"/>
  <c r="A262" i="66"/>
  <c r="D4" i="38"/>
  <c r="J3" i="9"/>
  <c r="L3" i="9"/>
  <c r="K3" i="9"/>
  <c r="O4" i="9"/>
  <c r="L4" i="9"/>
  <c r="R4" i="9"/>
  <c r="B24" i="17"/>
  <c r="K4" i="9"/>
  <c r="N4" i="9"/>
  <c r="Q4" i="9"/>
  <c r="B74" i="22"/>
  <c r="I7" i="9"/>
  <c r="E317" i="18"/>
  <c r="P4" i="9"/>
  <c r="J4" i="9"/>
  <c r="M4" i="9"/>
  <c r="B62" i="22"/>
  <c r="I5" i="9"/>
  <c r="D31" i="38"/>
  <c r="R3" i="9"/>
  <c r="Q3" i="9"/>
  <c r="P3" i="9"/>
  <c r="D29" i="38"/>
  <c r="M3" i="9"/>
  <c r="O3" i="9"/>
  <c r="N3" i="9"/>
  <c r="F39" i="39"/>
  <c r="F45" i="39"/>
  <c r="D393" i="38"/>
  <c r="C2" i="39"/>
  <c r="D336" i="38"/>
  <c r="D315" i="38"/>
  <c r="C8" i="8"/>
  <c r="C20" i="53"/>
  <c r="D259" i="38"/>
  <c r="D231" i="38"/>
  <c r="D169" i="38"/>
  <c r="D155" i="38"/>
  <c r="D225" i="38"/>
  <c r="D115" i="38"/>
  <c r="D203" i="38"/>
  <c r="D104" i="38"/>
  <c r="D28" i="38"/>
  <c r="G20" i="26"/>
  <c r="D388" i="38"/>
  <c r="D325" i="38"/>
  <c r="D313" i="38"/>
  <c r="D302" i="38"/>
  <c r="C18" i="53"/>
  <c r="D257" i="38"/>
  <c r="D217" i="38"/>
  <c r="D166" i="38"/>
  <c r="D154" i="38"/>
  <c r="D219" i="38"/>
  <c r="D114" i="38"/>
  <c r="D161" i="38"/>
  <c r="D23" i="38"/>
  <c r="D387" i="38"/>
  <c r="D324" i="38"/>
  <c r="D312" i="38"/>
  <c r="C17" i="53"/>
  <c r="D256" i="38"/>
  <c r="D216" i="38"/>
  <c r="D165" i="38"/>
  <c r="E2" i="34"/>
  <c r="D207" i="38"/>
  <c r="Q3" i="20"/>
  <c r="D22" i="38"/>
  <c r="D378" i="38"/>
  <c r="D322" i="38"/>
  <c r="D310" i="38"/>
  <c r="C30" i="53"/>
  <c r="C15" i="53"/>
  <c r="D254" i="38"/>
  <c r="D214" i="38"/>
  <c r="D163" i="38"/>
  <c r="D119" i="38"/>
  <c r="D112" i="38"/>
  <c r="G3" i="20"/>
  <c r="D105" i="38"/>
  <c r="D377" i="38"/>
  <c r="D321" i="38"/>
  <c r="D309" i="38"/>
  <c r="C29" i="53"/>
  <c r="C14" i="53"/>
  <c r="D253" i="38"/>
  <c r="D213" i="38"/>
  <c r="D162" i="38"/>
  <c r="D211" i="38"/>
  <c r="D205" i="38"/>
  <c r="H2" i="35"/>
  <c r="D110" i="38"/>
  <c r="D70" i="38"/>
  <c r="D376" i="38"/>
  <c r="D361" i="38"/>
  <c r="D320" i="38"/>
  <c r="D308" i="38"/>
  <c r="C25" i="53"/>
  <c r="D270" i="38"/>
  <c r="D252" i="38"/>
  <c r="D186" i="38"/>
  <c r="D160" i="38"/>
  <c r="D118" i="38"/>
  <c r="D111" i="38"/>
  <c r="D69" i="38"/>
  <c r="D64" i="38"/>
  <c r="D21" i="38"/>
  <c r="N23" i="9"/>
  <c r="D61" i="38"/>
  <c r="D17" i="38"/>
  <c r="D60" i="38"/>
  <c r="C16" i="6"/>
  <c r="D32" i="38"/>
  <c r="D83" i="38"/>
  <c r="D71" i="38"/>
  <c r="E79" i="18"/>
  <c r="A283" i="66"/>
  <c r="H235" i="66"/>
  <c r="A263" i="66"/>
  <c r="H215" i="66"/>
  <c r="A126" i="66"/>
  <c r="H78" i="66"/>
  <c r="A284" i="66"/>
  <c r="A267" i="66"/>
  <c r="A142" i="66"/>
  <c r="A127" i="66"/>
  <c r="A146" i="66"/>
  <c r="H98" i="66"/>
  <c r="F47" i="39"/>
  <c r="A251" i="66"/>
  <c r="A109" i="66"/>
  <c r="A264" i="66"/>
  <c r="A269" i="66"/>
  <c r="H221" i="66"/>
  <c r="A140" i="66"/>
  <c r="H92" i="66"/>
  <c r="A114" i="66"/>
  <c r="H66" i="66"/>
  <c r="A287" i="66"/>
  <c r="H239" i="66"/>
  <c r="A281" i="66"/>
  <c r="H233" i="66"/>
  <c r="A273" i="66"/>
  <c r="H225" i="66"/>
  <c r="A144" i="66"/>
  <c r="H96" i="66"/>
  <c r="A112" i="66"/>
  <c r="H64" i="66"/>
  <c r="D25" i="6"/>
  <c r="O25" i="39"/>
  <c r="A123" i="66"/>
  <c r="H75" i="66"/>
  <c r="D23" i="6"/>
  <c r="C26" i="6"/>
  <c r="B24" i="6"/>
  <c r="A290" i="66"/>
  <c r="A277" i="66"/>
  <c r="A120" i="66"/>
  <c r="R102" i="66"/>
  <c r="H102" i="66"/>
  <c r="C25" i="6"/>
  <c r="B23" i="6"/>
  <c r="N29" i="39"/>
  <c r="A265" i="66"/>
  <c r="H217" i="66"/>
  <c r="A134" i="66"/>
  <c r="A128" i="66"/>
  <c r="H80" i="66"/>
  <c r="A122" i="66"/>
  <c r="H74" i="66"/>
  <c r="D20" i="6"/>
  <c r="C24" i="6"/>
  <c r="A289" i="66"/>
  <c r="A141" i="66"/>
  <c r="H93" i="66"/>
  <c r="H56" i="66"/>
  <c r="P11" i="18"/>
  <c r="D63" i="22"/>
  <c r="E70" i="18"/>
  <c r="E316" i="18"/>
  <c r="E319" i="18"/>
  <c r="F31" i="20"/>
  <c r="R23" i="9"/>
  <c r="B27" i="63"/>
  <c r="C2" i="9"/>
  <c r="C22" i="39"/>
  <c r="B64" i="22"/>
  <c r="P19" i="39"/>
  <c r="Q19" i="39" s="1"/>
  <c r="F3" i="41"/>
  <c r="E502" i="18"/>
  <c r="B23" i="17"/>
  <c r="B25" i="17"/>
  <c r="K34" i="9"/>
  <c r="B22" i="17"/>
  <c r="B26" i="17"/>
  <c r="B27" i="17"/>
  <c r="D59" i="38"/>
  <c r="D19" i="38"/>
  <c r="D84" i="38"/>
  <c r="D58" i="38"/>
  <c r="D18" i="38"/>
  <c r="O18" i="39"/>
  <c r="O19" i="39"/>
  <c r="A279" i="66"/>
  <c r="A261" i="66"/>
  <c r="H62" i="66"/>
  <c r="A107" i="66"/>
  <c r="O22" i="39"/>
  <c r="P28" i="39"/>
  <c r="Q28" i="39" s="1"/>
  <c r="A254" i="66"/>
  <c r="B22" i="6"/>
  <c r="C53" i="39"/>
  <c r="O21" i="39"/>
  <c r="A288" i="66"/>
  <c r="A270" i="66"/>
  <c r="A135" i="66"/>
  <c r="A117" i="66"/>
  <c r="F117" i="66" s="1"/>
  <c r="A106" i="66"/>
  <c r="C20" i="6"/>
  <c r="A253" i="66"/>
  <c r="A111" i="66"/>
  <c r="A247" i="66"/>
  <c r="F46" i="39"/>
  <c r="A274" i="66"/>
  <c r="A257" i="66"/>
  <c r="D22" i="6"/>
  <c r="A245" i="66"/>
  <c r="F40" i="39"/>
  <c r="D66" i="38"/>
  <c r="D26" i="38"/>
  <c r="E352" i="18"/>
  <c r="D63" i="38"/>
  <c r="D25" i="38"/>
  <c r="D84" i="22"/>
  <c r="X2" i="20"/>
  <c r="P29" i="18"/>
  <c r="X5" i="20"/>
  <c r="D11" i="32"/>
  <c r="Q33" i="9"/>
  <c r="AC2" i="39"/>
  <c r="D248" i="66"/>
  <c r="D105" i="66"/>
  <c r="C75" i="57"/>
  <c r="C38" i="57"/>
  <c r="D16" i="8"/>
  <c r="D391" i="38"/>
  <c r="D338" i="38"/>
  <c r="D327" i="38"/>
  <c r="C31" i="53"/>
  <c r="D271" i="38"/>
  <c r="D232" i="38"/>
  <c r="D187" i="38"/>
  <c r="D175" i="38"/>
  <c r="D134" i="38"/>
  <c r="D126" i="38"/>
  <c r="D85" i="38"/>
  <c r="D72" i="38"/>
  <c r="D33" i="38"/>
  <c r="B25" i="63"/>
  <c r="G47" i="26"/>
  <c r="R33" i="9"/>
  <c r="R30" i="20"/>
  <c r="D247" i="66"/>
  <c r="D104" i="66"/>
  <c r="C72" i="57"/>
  <c r="C35" i="57"/>
  <c r="D347" i="38"/>
  <c r="D335" i="38"/>
  <c r="C28" i="53"/>
  <c r="D268" i="38"/>
  <c r="D184" i="38"/>
  <c r="D172" i="38"/>
  <c r="D132" i="38"/>
  <c r="D218" i="38"/>
  <c r="D127" i="38"/>
  <c r="D82" i="38"/>
  <c r="D42" i="38"/>
  <c r="D16" i="6"/>
  <c r="B20" i="63"/>
  <c r="H49" i="20"/>
  <c r="S30" i="20"/>
  <c r="D259" i="66"/>
  <c r="D255" i="66"/>
  <c r="D251" i="66"/>
  <c r="D112" i="66"/>
  <c r="D108" i="66"/>
  <c r="D99" i="66"/>
  <c r="C71" i="57"/>
  <c r="C34" i="57"/>
  <c r="D385" i="38"/>
  <c r="D367" i="38"/>
  <c r="D346" i="38"/>
  <c r="D334" i="38"/>
  <c r="C27" i="53"/>
  <c r="D267" i="38"/>
  <c r="D229" i="38"/>
  <c r="D183" i="38"/>
  <c r="M38" i="39"/>
  <c r="D223" i="38"/>
  <c r="D122" i="38"/>
  <c r="D81" i="38"/>
  <c r="D41" i="38"/>
  <c r="D30" i="38"/>
  <c r="D11" i="6"/>
  <c r="B24" i="63"/>
  <c r="E50" i="17"/>
  <c r="H21" i="17"/>
  <c r="T30" i="20"/>
  <c r="D289" i="66"/>
  <c r="D285" i="66"/>
  <c r="D281" i="66"/>
  <c r="D277" i="66"/>
  <c r="D271" i="66"/>
  <c r="D267" i="66"/>
  <c r="D263" i="66"/>
  <c r="D246" i="66"/>
  <c r="D146" i="66"/>
  <c r="D142" i="66"/>
  <c r="D138" i="66"/>
  <c r="D134" i="66"/>
  <c r="D128" i="66"/>
  <c r="D124" i="66"/>
  <c r="D120" i="66"/>
  <c r="D116" i="66"/>
  <c r="C70" i="57"/>
  <c r="C33" i="57"/>
  <c r="Z1" i="20"/>
  <c r="D384" i="38"/>
  <c r="D366" i="38"/>
  <c r="D345" i="38"/>
  <c r="D333" i="38"/>
  <c r="C26" i="53"/>
  <c r="D266" i="38"/>
  <c r="D228" i="38"/>
  <c r="D182" i="38"/>
  <c r="D171" i="38"/>
  <c r="D131" i="38"/>
  <c r="D80" i="38"/>
  <c r="D40" i="38"/>
  <c r="E31" i="17"/>
  <c r="E22" i="20"/>
  <c r="D103" i="66"/>
  <c r="C69" i="57"/>
  <c r="C32" i="57"/>
  <c r="D383" i="38"/>
  <c r="D365" i="38"/>
  <c r="D344" i="38"/>
  <c r="D332" i="38"/>
  <c r="C37" i="53"/>
  <c r="D277" i="38"/>
  <c r="D265" i="38"/>
  <c r="D181" i="38"/>
  <c r="D222" i="38"/>
  <c r="D124" i="38"/>
  <c r="D79" i="38"/>
  <c r="D39" i="38"/>
  <c r="B23" i="63"/>
  <c r="H31" i="17"/>
  <c r="R3" i="20"/>
  <c r="D258" i="66"/>
  <c r="D254" i="66"/>
  <c r="D250" i="66"/>
  <c r="D115" i="66"/>
  <c r="D111" i="66"/>
  <c r="D107" i="66"/>
  <c r="C68" i="57"/>
  <c r="C31" i="57"/>
  <c r="D382" i="38"/>
  <c r="D364" i="38"/>
  <c r="D343" i="38"/>
  <c r="D331" i="38"/>
  <c r="C36" i="53"/>
  <c r="D276" i="38"/>
  <c r="D264" i="38"/>
  <c r="D180" i="38"/>
  <c r="D227" i="38"/>
  <c r="D130" i="38"/>
  <c r="D123" i="38"/>
  <c r="D78" i="38"/>
  <c r="D38" i="38"/>
  <c r="Q23" i="9"/>
  <c r="E49" i="20"/>
  <c r="D288" i="66"/>
  <c r="D284" i="66"/>
  <c r="D280" i="66"/>
  <c r="D274" i="66"/>
  <c r="D270" i="66"/>
  <c r="D266" i="66"/>
  <c r="D262" i="66"/>
  <c r="D245" i="66"/>
  <c r="D145" i="66"/>
  <c r="D141" i="66"/>
  <c r="D137" i="66"/>
  <c r="D133" i="66"/>
  <c r="D127" i="66"/>
  <c r="D123" i="66"/>
  <c r="D119" i="66"/>
  <c r="D102" i="66"/>
  <c r="C79" i="57"/>
  <c r="C67" i="57"/>
  <c r="C30" i="57"/>
  <c r="J31" i="17"/>
  <c r="D397" i="38"/>
  <c r="D381" i="38"/>
  <c r="D363" i="38"/>
  <c r="D342" i="38"/>
  <c r="D330" i="38"/>
  <c r="C35" i="53"/>
  <c r="D275" i="38"/>
  <c r="D263" i="38"/>
  <c r="D179" i="38"/>
  <c r="D136" i="38"/>
  <c r="D221" i="38"/>
  <c r="E38" i="39"/>
  <c r="D77" i="38"/>
  <c r="D37" i="38"/>
  <c r="P23" i="9"/>
  <c r="B22" i="63"/>
  <c r="H22" i="20"/>
  <c r="E11" i="39"/>
  <c r="P30" i="18"/>
  <c r="I30" i="20"/>
  <c r="D101" i="66"/>
  <c r="C78" i="57"/>
  <c r="C29" i="57"/>
  <c r="D380" i="38"/>
  <c r="D2" i="39"/>
  <c r="D341" i="38"/>
  <c r="D329" i="38"/>
  <c r="C34" i="53"/>
  <c r="D274" i="38"/>
  <c r="D178" i="38"/>
  <c r="D226" i="38"/>
  <c r="D129" i="38"/>
  <c r="D120" i="38"/>
  <c r="D76" i="38"/>
  <c r="D36" i="38"/>
  <c r="P33" i="9"/>
  <c r="J30" i="20"/>
  <c r="D257" i="66"/>
  <c r="D253" i="66"/>
  <c r="D114" i="66"/>
  <c r="D110" i="66"/>
  <c r="D106" i="66"/>
  <c r="C77" i="57"/>
  <c r="C40" i="57"/>
  <c r="C28" i="57"/>
  <c r="E15" i="17"/>
  <c r="D394" i="38"/>
  <c r="D362" i="38"/>
  <c r="D340" i="38"/>
  <c r="D328" i="38"/>
  <c r="C33" i="53"/>
  <c r="D273" i="38"/>
  <c r="D177" i="38"/>
  <c r="D220" i="38"/>
  <c r="D74" i="38"/>
  <c r="D35" i="38"/>
  <c r="E20" i="26"/>
  <c r="B21" i="63"/>
  <c r="D4" i="6"/>
  <c r="E10" i="17"/>
  <c r="K30" i="20"/>
  <c r="D287" i="66"/>
  <c r="D283" i="66"/>
  <c r="D279" i="66"/>
  <c r="D273" i="66"/>
  <c r="D269" i="66"/>
  <c r="D265" i="66"/>
  <c r="D261" i="66"/>
  <c r="D244" i="66"/>
  <c r="D144" i="66"/>
  <c r="D140" i="66"/>
  <c r="D136" i="66"/>
  <c r="D130" i="66"/>
  <c r="D126" i="66"/>
  <c r="D122" i="66"/>
  <c r="D118" i="66"/>
  <c r="D249" i="66"/>
  <c r="C76" i="57"/>
  <c r="C39" i="57"/>
  <c r="D339" i="38"/>
  <c r="D8" i="8"/>
  <c r="C32" i="53"/>
  <c r="D272" i="38"/>
  <c r="D176" i="38"/>
  <c r="D135" i="38"/>
  <c r="D128" i="38"/>
  <c r="D73" i="38"/>
  <c r="D34" i="38"/>
  <c r="D83" i="22"/>
  <c r="E341" i="18"/>
  <c r="E353" i="18"/>
  <c r="D7" i="22"/>
  <c r="E364" i="18"/>
  <c r="E365" i="18"/>
  <c r="E155" i="18"/>
  <c r="E413" i="18"/>
  <c r="E144" i="18"/>
  <c r="E143" i="18"/>
  <c r="E132" i="18"/>
  <c r="E131" i="18"/>
  <c r="D80" i="22"/>
  <c r="E67" i="18"/>
  <c r="E328" i="18"/>
  <c r="D81" i="22"/>
  <c r="E58" i="18"/>
  <c r="E329" i="18"/>
  <c r="D19" i="22"/>
  <c r="J34" i="9"/>
  <c r="C31" i="20"/>
  <c r="E57" i="18"/>
  <c r="E257" i="18"/>
  <c r="D20" i="22"/>
  <c r="E44" i="18"/>
  <c r="E267" i="18"/>
  <c r="D5" i="22"/>
  <c r="D21" i="22"/>
  <c r="E34" i="18"/>
  <c r="E269" i="18"/>
  <c r="D4" i="22"/>
  <c r="B29" i="22"/>
  <c r="E32" i="18"/>
  <c r="E270" i="18"/>
  <c r="D3" i="22"/>
  <c r="D32" i="22"/>
  <c r="E31" i="18"/>
  <c r="E283" i="18"/>
  <c r="D50" i="22"/>
  <c r="E11" i="18"/>
  <c r="E293" i="18"/>
  <c r="D51" i="22"/>
  <c r="E83" i="18"/>
  <c r="E8" i="18"/>
  <c r="E295" i="18"/>
  <c r="D62" i="22"/>
  <c r="E81" i="18"/>
  <c r="E303" i="18"/>
  <c r="P18" i="39"/>
  <c r="Q18" i="39" s="1"/>
  <c r="C15" i="17"/>
  <c r="E68" i="18"/>
  <c r="E35" i="18"/>
  <c r="E9" i="18"/>
  <c r="E259" i="18"/>
  <c r="E292" i="18"/>
  <c r="E318" i="18"/>
  <c r="D94" i="35"/>
  <c r="D51" i="35"/>
  <c r="E59" i="18"/>
  <c r="E33" i="18"/>
  <c r="E7" i="18"/>
  <c r="E268" i="18"/>
  <c r="E294" i="18"/>
  <c r="E327" i="18"/>
  <c r="E82" i="18"/>
  <c r="E56" i="18"/>
  <c r="E23" i="18"/>
  <c r="E271" i="18"/>
  <c r="E304" i="18"/>
  <c r="E330" i="18"/>
  <c r="O4" i="20"/>
  <c r="E55" i="18"/>
  <c r="E22" i="18"/>
  <c r="E279" i="18"/>
  <c r="E305" i="18"/>
  <c r="E331" i="18"/>
  <c r="M24" i="9"/>
  <c r="E80" i="18"/>
  <c r="E47" i="18"/>
  <c r="E21" i="18"/>
  <c r="E280" i="18"/>
  <c r="E306" i="18"/>
  <c r="E46" i="18"/>
  <c r="E20" i="18"/>
  <c r="E255" i="18"/>
  <c r="E281" i="18"/>
  <c r="E307" i="18"/>
  <c r="F4" i="20"/>
  <c r="E71" i="18"/>
  <c r="E45" i="18"/>
  <c r="E19" i="18"/>
  <c r="E256" i="18"/>
  <c r="E282" i="18"/>
  <c r="E315" i="18"/>
  <c r="E69" i="18"/>
  <c r="E43" i="18"/>
  <c r="E10" i="18"/>
  <c r="E258" i="18"/>
  <c r="E291" i="18"/>
  <c r="D19" i="35"/>
  <c r="E412" i="18"/>
  <c r="E340" i="18"/>
  <c r="E156" i="18"/>
  <c r="E401" i="18"/>
  <c r="E95" i="18"/>
  <c r="E167" i="18"/>
  <c r="E400" i="18"/>
  <c r="E96" i="18"/>
  <c r="E168" i="18"/>
  <c r="M4" i="20"/>
  <c r="E389" i="18"/>
  <c r="E107" i="18"/>
  <c r="P31" i="20"/>
  <c r="D67" i="22"/>
  <c r="E388" i="18"/>
  <c r="E108" i="18"/>
  <c r="E377" i="18"/>
  <c r="E119" i="18"/>
  <c r="E376" i="18"/>
  <c r="E120" i="18"/>
  <c r="D31" i="20"/>
  <c r="D15" i="35"/>
  <c r="D129" i="35"/>
  <c r="M34" i="9"/>
  <c r="E326" i="18"/>
  <c r="E314" i="18"/>
  <c r="E302" i="18"/>
  <c r="E290" i="18"/>
  <c r="E278" i="18"/>
  <c r="E266" i="18"/>
  <c r="E254" i="18"/>
  <c r="E12" i="18"/>
  <c r="E24" i="18"/>
  <c r="E36" i="18"/>
  <c r="E48" i="18"/>
  <c r="E60" i="18"/>
  <c r="E72" i="18"/>
  <c r="E84" i="18"/>
  <c r="I31" i="20"/>
  <c r="D79" i="22"/>
  <c r="D49" i="22"/>
  <c r="D18" i="22"/>
  <c r="D6" i="22"/>
  <c r="C4" i="20"/>
  <c r="E337" i="18"/>
  <c r="E325" i="18"/>
  <c r="E313" i="18"/>
  <c r="E301" i="18"/>
  <c r="E289" i="18"/>
  <c r="E277" i="18"/>
  <c r="E265" i="18"/>
  <c r="E13" i="18"/>
  <c r="E25" i="18"/>
  <c r="E37" i="18"/>
  <c r="E49" i="18"/>
  <c r="E61" i="18"/>
  <c r="E73" i="18"/>
  <c r="E85" i="18"/>
  <c r="L31" i="20"/>
  <c r="D78" i="22"/>
  <c r="D48" i="22"/>
  <c r="D17" i="22"/>
  <c r="D2" i="22"/>
  <c r="L4" i="20"/>
  <c r="E336" i="18"/>
  <c r="E324" i="18"/>
  <c r="E312" i="18"/>
  <c r="E300" i="18"/>
  <c r="E288" i="18"/>
  <c r="E276" i="18"/>
  <c r="E264" i="18"/>
  <c r="E14" i="18"/>
  <c r="E26" i="18"/>
  <c r="E38" i="18"/>
  <c r="E50" i="18"/>
  <c r="E62" i="18"/>
  <c r="E74" i="18"/>
  <c r="E2" i="18"/>
  <c r="D77" i="22"/>
  <c r="D47" i="22"/>
  <c r="E335" i="18"/>
  <c r="E323" i="18"/>
  <c r="E311" i="18"/>
  <c r="E299" i="18"/>
  <c r="E287" i="18"/>
  <c r="E275" i="18"/>
  <c r="E263" i="18"/>
  <c r="E3" i="18"/>
  <c r="E15" i="18"/>
  <c r="E27" i="18"/>
  <c r="E39" i="18"/>
  <c r="E51" i="18"/>
  <c r="E63" i="18"/>
  <c r="E75" i="18"/>
  <c r="J24" i="9"/>
  <c r="D36" i="22"/>
  <c r="D58" i="35"/>
  <c r="D142" i="35"/>
  <c r="E334" i="18"/>
  <c r="E322" i="18"/>
  <c r="E310" i="18"/>
  <c r="E298" i="18"/>
  <c r="E286" i="18"/>
  <c r="E274" i="18"/>
  <c r="E262" i="18"/>
  <c r="E4" i="18"/>
  <c r="E16" i="18"/>
  <c r="E28" i="18"/>
  <c r="E40" i="18"/>
  <c r="E52" i="18"/>
  <c r="E64" i="18"/>
  <c r="E76" i="18"/>
  <c r="F4" i="63"/>
  <c r="F13" i="63" s="1"/>
  <c r="F22" i="63" s="1"/>
  <c r="F31" i="63" s="1"/>
  <c r="F40" i="63" s="1"/>
  <c r="F49" i="63" s="1"/>
  <c r="O31" i="20"/>
  <c r="D66" i="22"/>
  <c r="D35" i="22"/>
  <c r="D90" i="35"/>
  <c r="D99" i="35"/>
  <c r="E333" i="18"/>
  <c r="E321" i="18"/>
  <c r="E309" i="18"/>
  <c r="E297" i="18"/>
  <c r="E285" i="18"/>
  <c r="E273" i="18"/>
  <c r="E261" i="18"/>
  <c r="E5" i="18"/>
  <c r="E17" i="18"/>
  <c r="E29" i="18"/>
  <c r="E41" i="18"/>
  <c r="E53" i="18"/>
  <c r="E65" i="18"/>
  <c r="E77" i="18"/>
  <c r="R31" i="20"/>
  <c r="D65" i="22"/>
  <c r="D34" i="22"/>
  <c r="D134" i="35"/>
  <c r="E332" i="18"/>
  <c r="E320" i="18"/>
  <c r="E308" i="18"/>
  <c r="E296" i="18"/>
  <c r="E284" i="18"/>
  <c r="E272" i="18"/>
  <c r="E260" i="18"/>
  <c r="E6" i="18"/>
  <c r="E18" i="18"/>
  <c r="E30" i="18"/>
  <c r="E42" i="18"/>
  <c r="E54" i="18"/>
  <c r="E66" i="18"/>
  <c r="E78" i="18"/>
  <c r="D64" i="22"/>
  <c r="D33" i="22"/>
  <c r="D91" i="35"/>
  <c r="D135" i="35"/>
  <c r="D82" i="22"/>
  <c r="E169" i="18"/>
  <c r="E157" i="18"/>
  <c r="E145" i="18"/>
  <c r="E133" i="18"/>
  <c r="E121" i="18"/>
  <c r="E109" i="18"/>
  <c r="E97" i="18"/>
  <c r="E339" i="18"/>
  <c r="E351" i="18"/>
  <c r="E363" i="18"/>
  <c r="E375" i="18"/>
  <c r="E387" i="18"/>
  <c r="E399" i="18"/>
  <c r="E411" i="18"/>
  <c r="D11" i="22"/>
  <c r="D52" i="22"/>
  <c r="D68" i="22"/>
  <c r="D85" i="22"/>
  <c r="E166" i="18"/>
  <c r="E154" i="18"/>
  <c r="E142" i="18"/>
  <c r="E130" i="18"/>
  <c r="E118" i="18"/>
  <c r="E106" i="18"/>
  <c r="E94" i="18"/>
  <c r="E342" i="18"/>
  <c r="E354" i="18"/>
  <c r="E366" i="18"/>
  <c r="E378" i="18"/>
  <c r="E390" i="18"/>
  <c r="E402" i="18"/>
  <c r="E414" i="18"/>
  <c r="D10" i="22"/>
  <c r="D53" i="22"/>
  <c r="D69" i="22"/>
  <c r="D86" i="22"/>
  <c r="M31" i="20"/>
  <c r="E165" i="18"/>
  <c r="E153" i="18"/>
  <c r="E141" i="18"/>
  <c r="E129" i="18"/>
  <c r="E117" i="18"/>
  <c r="E105" i="18"/>
  <c r="E93" i="18"/>
  <c r="E343" i="18"/>
  <c r="E355" i="18"/>
  <c r="E367" i="18"/>
  <c r="E379" i="18"/>
  <c r="E391" i="18"/>
  <c r="E403" i="18"/>
  <c r="E415" i="18"/>
  <c r="D9" i="22"/>
  <c r="D37" i="22"/>
  <c r="D54" i="22"/>
  <c r="D70" i="22"/>
  <c r="E164" i="18"/>
  <c r="E152" i="18"/>
  <c r="E140" i="18"/>
  <c r="E128" i="18"/>
  <c r="E116" i="18"/>
  <c r="E104" i="18"/>
  <c r="E92" i="18"/>
  <c r="E344" i="18"/>
  <c r="E356" i="18"/>
  <c r="E368" i="18"/>
  <c r="E380" i="18"/>
  <c r="E392" i="18"/>
  <c r="E404" i="18"/>
  <c r="E416" i="18"/>
  <c r="P4" i="20"/>
  <c r="D155" i="35"/>
  <c r="D8" i="22"/>
  <c r="D22" i="22"/>
  <c r="D38" i="22"/>
  <c r="D55" i="22"/>
  <c r="D71" i="22"/>
  <c r="E163" i="18"/>
  <c r="E151" i="18"/>
  <c r="E139" i="18"/>
  <c r="E127" i="18"/>
  <c r="E115" i="18"/>
  <c r="E103" i="18"/>
  <c r="E91" i="18"/>
  <c r="E345" i="18"/>
  <c r="E357" i="18"/>
  <c r="E369" i="18"/>
  <c r="E381" i="18"/>
  <c r="E393" i="18"/>
  <c r="E405" i="18"/>
  <c r="E417" i="18"/>
  <c r="F5" i="63"/>
  <c r="F14" i="63" s="1"/>
  <c r="F23" i="63" s="1"/>
  <c r="F32" i="63" s="1"/>
  <c r="F41" i="63" s="1"/>
  <c r="F50" i="63" s="1"/>
  <c r="D23" i="22"/>
  <c r="D39" i="22"/>
  <c r="D56" i="22"/>
  <c r="J31" i="20"/>
  <c r="E162" i="18"/>
  <c r="E150" i="18"/>
  <c r="E138" i="18"/>
  <c r="E126" i="18"/>
  <c r="E114" i="18"/>
  <c r="E102" i="18"/>
  <c r="E90" i="18"/>
  <c r="E346" i="18"/>
  <c r="E358" i="18"/>
  <c r="E370" i="18"/>
  <c r="E382" i="18"/>
  <c r="E394" i="18"/>
  <c r="E406" i="18"/>
  <c r="E418" i="18"/>
  <c r="D24" i="22"/>
  <c r="D40" i="22"/>
  <c r="E161" i="18"/>
  <c r="E149" i="18"/>
  <c r="E137" i="18"/>
  <c r="E125" i="18"/>
  <c r="E113" i="18"/>
  <c r="E101" i="18"/>
  <c r="E89" i="18"/>
  <c r="E347" i="18"/>
  <c r="E359" i="18"/>
  <c r="E371" i="18"/>
  <c r="E383" i="18"/>
  <c r="E395" i="18"/>
  <c r="E407" i="18"/>
  <c r="E419" i="18"/>
  <c r="D25" i="22"/>
  <c r="D41" i="22"/>
  <c r="K24" i="9"/>
  <c r="E160" i="18"/>
  <c r="E148" i="18"/>
  <c r="E136" i="18"/>
  <c r="E124" i="18"/>
  <c r="E112" i="18"/>
  <c r="E100" i="18"/>
  <c r="E88" i="18"/>
  <c r="E348" i="18"/>
  <c r="E360" i="18"/>
  <c r="E372" i="18"/>
  <c r="E384" i="18"/>
  <c r="E396" i="18"/>
  <c r="E408" i="18"/>
  <c r="E420" i="18"/>
  <c r="G4" i="20"/>
  <c r="D26" i="22"/>
  <c r="S31" i="20"/>
  <c r="G31" i="20"/>
  <c r="E159" i="18"/>
  <c r="E147" i="18"/>
  <c r="E135" i="18"/>
  <c r="E123" i="18"/>
  <c r="E111" i="18"/>
  <c r="E99" i="18"/>
  <c r="E87" i="18"/>
  <c r="E349" i="18"/>
  <c r="E361" i="18"/>
  <c r="E373" i="18"/>
  <c r="E385" i="18"/>
  <c r="E397" i="18"/>
  <c r="E409" i="18"/>
  <c r="E421" i="18"/>
  <c r="E86" i="18"/>
  <c r="E158" i="18"/>
  <c r="E146" i="18"/>
  <c r="E134" i="18"/>
  <c r="E122" i="18"/>
  <c r="E110" i="18"/>
  <c r="E98" i="18"/>
  <c r="E338" i="18"/>
  <c r="E350" i="18"/>
  <c r="E362" i="18"/>
  <c r="E374" i="18"/>
  <c r="E386" i="18"/>
  <c r="E398" i="18"/>
  <c r="E410" i="18"/>
  <c r="B4" i="6"/>
  <c r="D9" i="66"/>
  <c r="D40" i="66"/>
  <c r="E209" i="18"/>
  <c r="C13" i="53"/>
  <c r="D141" i="38"/>
  <c r="D199" i="38"/>
  <c r="D98" i="35"/>
  <c r="D50" i="35"/>
  <c r="D193" i="66"/>
  <c r="E462" i="18"/>
  <c r="D373" i="38"/>
  <c r="D140" i="38"/>
  <c r="D7" i="66"/>
  <c r="D166" i="66"/>
  <c r="C8" i="22"/>
  <c r="D372" i="38"/>
  <c r="D54" i="38"/>
  <c r="D30" i="20"/>
  <c r="C9" i="22"/>
  <c r="D91" i="38"/>
  <c r="D53" i="38"/>
  <c r="P31" i="18"/>
  <c r="D95" i="38"/>
  <c r="E30" i="20"/>
  <c r="C50" i="22"/>
  <c r="C48" i="57"/>
  <c r="D196" i="38"/>
  <c r="D89" i="38"/>
  <c r="D187" i="66"/>
  <c r="C51" i="22"/>
  <c r="C47" i="57"/>
  <c r="D11" i="35"/>
  <c r="D87" i="35"/>
  <c r="D54" i="35"/>
  <c r="R4" i="20"/>
  <c r="D39" i="66"/>
  <c r="D172" i="66"/>
  <c r="D38" i="66"/>
  <c r="D292" i="38"/>
  <c r="D244" i="38"/>
  <c r="D150" i="38"/>
  <c r="D24" i="66"/>
  <c r="C12" i="57"/>
  <c r="D354" i="38"/>
  <c r="D291" i="38"/>
  <c r="D243" i="38"/>
  <c r="D149" i="38"/>
  <c r="D5" i="38"/>
  <c r="C11" i="39"/>
  <c r="D30" i="22"/>
  <c r="D159" i="66"/>
  <c r="D23" i="66"/>
  <c r="C11" i="57"/>
  <c r="D353" i="38"/>
  <c r="D98" i="38"/>
  <c r="P12" i="18"/>
  <c r="X6" i="20"/>
  <c r="I25" i="9"/>
  <c r="J25" i="9" s="1"/>
  <c r="B87" i="22"/>
  <c r="B12" i="22"/>
  <c r="B22" i="22"/>
  <c r="D45" i="22"/>
  <c r="E221" i="18"/>
  <c r="E450" i="18"/>
  <c r="D6" i="38"/>
  <c r="D56" i="38"/>
  <c r="B11" i="6"/>
  <c r="D191" i="38"/>
  <c r="D193" i="38"/>
  <c r="D198" i="38"/>
  <c r="D139" i="38"/>
  <c r="D137" i="38"/>
  <c r="C4" i="53"/>
  <c r="D281" i="38"/>
  <c r="D152" i="38"/>
  <c r="D233" i="38"/>
  <c r="D245" i="38"/>
  <c r="B8" i="8"/>
  <c r="D350" i="38"/>
  <c r="D355" i="38"/>
  <c r="D389" i="38"/>
  <c r="C13" i="57"/>
  <c r="C49" i="57"/>
  <c r="C61" i="22"/>
  <c r="C49" i="22"/>
  <c r="C7" i="22"/>
  <c r="D184" i="66"/>
  <c r="D10" i="66"/>
  <c r="D25" i="66"/>
  <c r="D41" i="66"/>
  <c r="D154" i="66"/>
  <c r="D160" i="66"/>
  <c r="D181" i="66"/>
  <c r="D194" i="66"/>
  <c r="C30" i="20"/>
  <c r="B11" i="32"/>
  <c r="J33" i="9"/>
  <c r="F20" i="26"/>
  <c r="D7" i="38"/>
  <c r="D57" i="38"/>
  <c r="D93" i="38"/>
  <c r="K38" i="39"/>
  <c r="D101" i="38"/>
  <c r="D280" i="38"/>
  <c r="C11" i="53"/>
  <c r="D153" i="38"/>
  <c r="D234" i="38"/>
  <c r="D246" i="38"/>
  <c r="D293" i="38"/>
  <c r="B16" i="8"/>
  <c r="C14" i="57"/>
  <c r="C50" i="57"/>
  <c r="C60" i="22"/>
  <c r="C48" i="22"/>
  <c r="C6" i="22"/>
  <c r="D5" i="66"/>
  <c r="D11" i="66"/>
  <c r="D26" i="66"/>
  <c r="D42" i="66"/>
  <c r="D167" i="66"/>
  <c r="D173" i="66"/>
  <c r="D188" i="66"/>
  <c r="N30" i="20"/>
  <c r="M3" i="20"/>
  <c r="L3" i="20"/>
  <c r="C49" i="20"/>
  <c r="D8" i="38"/>
  <c r="D44" i="38"/>
  <c r="G2" i="35"/>
  <c r="G192" i="35" s="1"/>
  <c r="D87" i="38"/>
  <c r="D195" i="38"/>
  <c r="D201" i="38"/>
  <c r="D99" i="38"/>
  <c r="C5" i="53"/>
  <c r="C9" i="53"/>
  <c r="D146" i="38"/>
  <c r="D235" i="38"/>
  <c r="D247" i="38"/>
  <c r="D284" i="38"/>
  <c r="D294" i="38"/>
  <c r="D351" i="38"/>
  <c r="C3" i="57"/>
  <c r="C51" i="57"/>
  <c r="C59" i="22"/>
  <c r="C47" i="22"/>
  <c r="C5" i="22"/>
  <c r="D149" i="66"/>
  <c r="D12" i="66"/>
  <c r="D27" i="66"/>
  <c r="D43" i="66"/>
  <c r="D147" i="66"/>
  <c r="D155" i="66"/>
  <c r="D161" i="66"/>
  <c r="D182" i="66"/>
  <c r="M30" i="20"/>
  <c r="N3" i="20"/>
  <c r="C50" i="17"/>
  <c r="H4" i="6"/>
  <c r="B12" i="26"/>
  <c r="D9" i="38"/>
  <c r="D45" i="38"/>
  <c r="D90" i="38"/>
  <c r="D278" i="38"/>
  <c r="C10" i="53"/>
  <c r="D236" i="38"/>
  <c r="D285" i="38"/>
  <c r="D295" i="38"/>
  <c r="D352" i="38"/>
  <c r="D368" i="38"/>
  <c r="D392" i="38"/>
  <c r="C4" i="57"/>
  <c r="C52" i="57"/>
  <c r="C58" i="22"/>
  <c r="C16" i="22"/>
  <c r="C4" i="22"/>
  <c r="D8" i="66"/>
  <c r="D13" i="66"/>
  <c r="D28" i="66"/>
  <c r="D45" i="66"/>
  <c r="D153" i="66"/>
  <c r="D168" i="66"/>
  <c r="D174" i="66"/>
  <c r="D189" i="66"/>
  <c r="L30" i="20"/>
  <c r="D3" i="20"/>
  <c r="AA2" i="39"/>
  <c r="F49" i="20"/>
  <c r="E11" i="32"/>
  <c r="J23" i="9"/>
  <c r="D10" i="38"/>
  <c r="D46" i="38"/>
  <c r="D94" i="38"/>
  <c r="D144" i="38"/>
  <c r="B2" i="39"/>
  <c r="C2" i="53"/>
  <c r="C6" i="53"/>
  <c r="D237" i="38"/>
  <c r="D286" i="38"/>
  <c r="D296" i="38"/>
  <c r="C5" i="57"/>
  <c r="C41" i="57"/>
  <c r="C53" i="57"/>
  <c r="C57" i="22"/>
  <c r="C15" i="22"/>
  <c r="C3" i="22"/>
  <c r="D20" i="66"/>
  <c r="D14" i="66"/>
  <c r="D29" i="66"/>
  <c r="D46" i="66"/>
  <c r="D148" i="66"/>
  <c r="D156" i="66"/>
  <c r="D162" i="66"/>
  <c r="D183" i="66"/>
  <c r="E3" i="20"/>
  <c r="F22" i="20"/>
  <c r="K23" i="9"/>
  <c r="D11" i="38"/>
  <c r="D48" i="38"/>
  <c r="C38" i="39"/>
  <c r="D197" i="38"/>
  <c r="D238" i="38"/>
  <c r="D287" i="38"/>
  <c r="D297" i="38"/>
  <c r="D369" i="38"/>
  <c r="X1" i="20"/>
  <c r="C6" i="57"/>
  <c r="C42" i="57"/>
  <c r="C56" i="22"/>
  <c r="C14" i="22"/>
  <c r="C2" i="22"/>
  <c r="D22" i="66"/>
  <c r="D15" i="66"/>
  <c r="D30" i="66"/>
  <c r="D47" i="66"/>
  <c r="D169" i="66"/>
  <c r="D175" i="66"/>
  <c r="D190" i="66"/>
  <c r="C22" i="20"/>
  <c r="E47" i="26"/>
  <c r="L23" i="9"/>
  <c r="D12" i="38"/>
  <c r="D49" i="38"/>
  <c r="D190" i="38"/>
  <c r="D192" i="38"/>
  <c r="D92" i="38"/>
  <c r="D200" i="38"/>
  <c r="C7" i="53"/>
  <c r="D282" i="38"/>
  <c r="D239" i="38"/>
  <c r="D298" i="38"/>
  <c r="D395" i="38"/>
  <c r="C7" i="57"/>
  <c r="C43" i="57"/>
  <c r="C55" i="22"/>
  <c r="C13" i="22"/>
  <c r="D19" i="66"/>
  <c r="D44" i="66"/>
  <c r="D16" i="66"/>
  <c r="D31" i="66"/>
  <c r="D48" i="66"/>
  <c r="D157" i="66"/>
  <c r="D163" i="66"/>
  <c r="L33" i="9"/>
  <c r="D2" i="38"/>
  <c r="D13" i="38"/>
  <c r="D50" i="38"/>
  <c r="D188" i="38"/>
  <c r="D96" i="38"/>
  <c r="D102" i="38"/>
  <c r="D151" i="38"/>
  <c r="D279" i="38"/>
  <c r="D142" i="38"/>
  <c r="D240" i="38"/>
  <c r="D288" i="38"/>
  <c r="D299" i="38"/>
  <c r="D370" i="38"/>
  <c r="C8" i="57"/>
  <c r="C44" i="57"/>
  <c r="C2" i="57"/>
  <c r="C54" i="22"/>
  <c r="C12" i="22"/>
  <c r="D34" i="66"/>
  <c r="D3" i="66"/>
  <c r="D17" i="66"/>
  <c r="D32" i="66"/>
  <c r="D50" i="66"/>
  <c r="D150" i="66"/>
  <c r="D164" i="66"/>
  <c r="D170" i="66"/>
  <c r="D176" i="66"/>
  <c r="D185" i="66"/>
  <c r="D191" i="66"/>
  <c r="F21" i="17"/>
  <c r="K33" i="9"/>
  <c r="B16" i="6"/>
  <c r="D14" i="38"/>
  <c r="D51" i="38"/>
  <c r="C2" i="34"/>
  <c r="D194" i="38"/>
  <c r="D202" i="38"/>
  <c r="D100" i="38"/>
  <c r="C3" i="53"/>
  <c r="D145" i="38"/>
  <c r="D283" i="38"/>
  <c r="D147" i="38"/>
  <c r="D241" i="38"/>
  <c r="D289" i="38"/>
  <c r="D300" i="38"/>
  <c r="D371" i="38"/>
  <c r="C4" i="17"/>
  <c r="C9" i="57"/>
  <c r="C45" i="57"/>
  <c r="C53" i="22"/>
  <c r="C11" i="22"/>
  <c r="D49" i="66"/>
  <c r="D4" i="66"/>
  <c r="D18" i="66"/>
  <c r="D33" i="66"/>
  <c r="D151" i="66"/>
  <c r="D158" i="66"/>
  <c r="F31" i="17"/>
  <c r="C3" i="20"/>
  <c r="D3" i="38"/>
  <c r="D15" i="38"/>
  <c r="D52" i="38"/>
  <c r="D88" i="38"/>
  <c r="D138" i="38"/>
  <c r="D148" i="38"/>
  <c r="D242" i="38"/>
  <c r="C12" i="53"/>
  <c r="D290" i="38"/>
  <c r="D301" i="38"/>
  <c r="D386" i="38"/>
  <c r="C10" i="57"/>
  <c r="C46" i="57"/>
  <c r="C52" i="22"/>
  <c r="C10" i="22"/>
  <c r="D178" i="66"/>
  <c r="D6" i="66"/>
  <c r="D21" i="66"/>
  <c r="D37" i="66"/>
  <c r="D152" i="66"/>
  <c r="D165" i="66"/>
  <c r="D171" i="66"/>
  <c r="D177" i="66"/>
  <c r="D186" i="66"/>
  <c r="D192" i="66"/>
  <c r="C31" i="17"/>
  <c r="J11" i="39"/>
  <c r="B47" i="26"/>
  <c r="X4" i="20"/>
  <c r="P4" i="18"/>
  <c r="E208" i="18"/>
  <c r="E196" i="18"/>
  <c r="E475" i="18"/>
  <c r="P13" i="18"/>
  <c r="E463" i="18"/>
  <c r="E194" i="18"/>
  <c r="E476" i="18"/>
  <c r="X7" i="20"/>
  <c r="E182" i="18"/>
  <c r="E488" i="18"/>
  <c r="E248" i="18"/>
  <c r="E423" i="18"/>
  <c r="E501" i="18"/>
  <c r="D76" i="22"/>
  <c r="E247" i="18"/>
  <c r="E424" i="18"/>
  <c r="D35" i="35"/>
  <c r="E500" i="18"/>
  <c r="E487" i="18"/>
  <c r="E474" i="18"/>
  <c r="E461" i="18"/>
  <c r="E448" i="18"/>
  <c r="E435" i="18"/>
  <c r="E422" i="18"/>
  <c r="E184" i="18"/>
  <c r="E197" i="18"/>
  <c r="E210" i="18"/>
  <c r="E223" i="18"/>
  <c r="E236" i="18"/>
  <c r="E249" i="18"/>
  <c r="H31" i="20"/>
  <c r="T31" i="20"/>
  <c r="D89" i="22"/>
  <c r="D74" i="22"/>
  <c r="D60" i="22"/>
  <c r="D44" i="22"/>
  <c r="L24" i="9"/>
  <c r="D42" i="22"/>
  <c r="E499" i="18"/>
  <c r="E486" i="18"/>
  <c r="E473" i="18"/>
  <c r="E460" i="18"/>
  <c r="E447" i="18"/>
  <c r="E434" i="18"/>
  <c r="E172" i="18"/>
  <c r="E185" i="18"/>
  <c r="E198" i="18"/>
  <c r="E211" i="18"/>
  <c r="E224" i="18"/>
  <c r="E237" i="18"/>
  <c r="E250" i="18"/>
  <c r="D88" i="22"/>
  <c r="D28" i="22"/>
  <c r="D13" i="22"/>
  <c r="D59" i="22"/>
  <c r="H4" i="20"/>
  <c r="E498" i="18"/>
  <c r="E485" i="18"/>
  <c r="E472" i="18"/>
  <c r="E459" i="18"/>
  <c r="E446" i="18"/>
  <c r="E432" i="18"/>
  <c r="E173" i="18"/>
  <c r="E186" i="18"/>
  <c r="E199" i="18"/>
  <c r="E212" i="18"/>
  <c r="E225" i="18"/>
  <c r="E238" i="18"/>
  <c r="E251" i="18"/>
  <c r="D27" i="22"/>
  <c r="D73" i="22"/>
  <c r="E497" i="18"/>
  <c r="E484" i="18"/>
  <c r="E471" i="18"/>
  <c r="E458" i="18"/>
  <c r="E444" i="18"/>
  <c r="E431" i="18"/>
  <c r="E174" i="18"/>
  <c r="E187" i="18"/>
  <c r="E200" i="18"/>
  <c r="E213" i="18"/>
  <c r="E226" i="18"/>
  <c r="E239" i="18"/>
  <c r="E252" i="18"/>
  <c r="K31" i="20"/>
  <c r="D90" i="22"/>
  <c r="E4" i="20"/>
  <c r="E496" i="18"/>
  <c r="E483" i="18"/>
  <c r="E470" i="18"/>
  <c r="E456" i="18"/>
  <c r="E443" i="18"/>
  <c r="E430" i="18"/>
  <c r="E175" i="18"/>
  <c r="E188" i="18"/>
  <c r="E201" i="18"/>
  <c r="E214" i="18"/>
  <c r="E227" i="18"/>
  <c r="E240" i="18"/>
  <c r="E253" i="18"/>
  <c r="D29" i="22"/>
  <c r="E495" i="18"/>
  <c r="E482" i="18"/>
  <c r="E468" i="18"/>
  <c r="E455" i="18"/>
  <c r="E442" i="18"/>
  <c r="E429" i="18"/>
  <c r="E176" i="18"/>
  <c r="E189" i="18"/>
  <c r="E202" i="18"/>
  <c r="E215" i="18"/>
  <c r="E228" i="18"/>
  <c r="E241" i="18"/>
  <c r="E170" i="18"/>
  <c r="D57" i="22"/>
  <c r="E494" i="18"/>
  <c r="E480" i="18"/>
  <c r="E467" i="18"/>
  <c r="E454" i="18"/>
  <c r="E441" i="18"/>
  <c r="E428" i="18"/>
  <c r="E177" i="18"/>
  <c r="E190" i="18"/>
  <c r="E203" i="18"/>
  <c r="E216" i="18"/>
  <c r="E229" i="18"/>
  <c r="E242" i="18"/>
  <c r="N31" i="20"/>
  <c r="D43" i="22"/>
  <c r="D91" i="22"/>
  <c r="E492" i="18"/>
  <c r="E479" i="18"/>
  <c r="E466" i="18"/>
  <c r="E453" i="18"/>
  <c r="E440" i="18"/>
  <c r="E427" i="18"/>
  <c r="E178" i="18"/>
  <c r="E191" i="18"/>
  <c r="E204" i="18"/>
  <c r="E217" i="18"/>
  <c r="E230" i="18"/>
  <c r="E244" i="18"/>
  <c r="D14" i="22"/>
  <c r="D61" i="22"/>
  <c r="L34" i="9"/>
  <c r="F6" i="63"/>
  <c r="F15" i="63" s="1"/>
  <c r="F24" i="63" s="1"/>
  <c r="F33" i="63" s="1"/>
  <c r="F42" i="63" s="1"/>
  <c r="F51" i="63" s="1"/>
  <c r="E504" i="18"/>
  <c r="E491" i="18"/>
  <c r="E478" i="18"/>
  <c r="E465" i="18"/>
  <c r="E452" i="18"/>
  <c r="E439" i="18"/>
  <c r="E426" i="18"/>
  <c r="E179" i="18"/>
  <c r="E192" i="18"/>
  <c r="E205" i="18"/>
  <c r="E218" i="18"/>
  <c r="E232" i="18"/>
  <c r="E245" i="18"/>
  <c r="D16" i="22"/>
  <c r="D87" i="22"/>
  <c r="D31" i="22"/>
  <c r="E503" i="18"/>
  <c r="E490" i="18"/>
  <c r="E477" i="18"/>
  <c r="E464" i="18"/>
  <c r="E451" i="18"/>
  <c r="E438" i="18"/>
  <c r="E425" i="18"/>
  <c r="E180" i="18"/>
  <c r="E193" i="18"/>
  <c r="E206" i="18"/>
  <c r="E220" i="18"/>
  <c r="E233" i="18"/>
  <c r="E246" i="18"/>
  <c r="E31" i="20"/>
  <c r="Q31" i="20"/>
  <c r="D12" i="22"/>
  <c r="D15" i="22"/>
  <c r="D58" i="22"/>
  <c r="E181" i="18"/>
  <c r="D75" i="22"/>
  <c r="G40" i="39"/>
  <c r="O40" i="39"/>
  <c r="E235" i="18"/>
  <c r="E436" i="18"/>
  <c r="E489" i="18"/>
  <c r="D72" i="22"/>
  <c r="E234" i="18"/>
  <c r="E437" i="18"/>
  <c r="D46" i="22"/>
  <c r="E222" i="18"/>
  <c r="E449" i="18"/>
  <c r="F213" i="66"/>
  <c r="B2" i="22"/>
  <c r="G49" i="39"/>
  <c r="O55" i="39"/>
  <c r="D17" i="34"/>
  <c r="E17" i="34" s="1"/>
  <c r="O39" i="39"/>
  <c r="D46" i="35"/>
  <c r="A19" i="8"/>
  <c r="A4" i="53"/>
  <c r="D43" i="35"/>
  <c r="P22" i="39"/>
  <c r="Q22" i="39" s="1"/>
  <c r="X3" i="20"/>
  <c r="P3" i="18"/>
  <c r="B23" i="22"/>
  <c r="B68" i="22"/>
  <c r="B33" i="22"/>
  <c r="B43" i="22"/>
  <c r="B13" i="22"/>
  <c r="B8" i="22"/>
  <c r="B78" i="22"/>
  <c r="B3" i="22"/>
  <c r="B28" i="22"/>
  <c r="B88" i="22"/>
  <c r="B18" i="22"/>
  <c r="B38" i="22"/>
  <c r="B63" i="22"/>
  <c r="B73" i="22"/>
  <c r="B48" i="22"/>
  <c r="B83" i="22"/>
  <c r="B58" i="22"/>
  <c r="B53" i="22"/>
  <c r="O51" i="39"/>
  <c r="F63" i="66"/>
  <c r="F8" i="41"/>
  <c r="F96" i="66"/>
  <c r="F74" i="66"/>
  <c r="A21" i="8"/>
  <c r="C203" i="38"/>
  <c r="O44" i="39"/>
  <c r="F69" i="66"/>
  <c r="D72" i="35"/>
  <c r="D7" i="35"/>
  <c r="B76" i="22"/>
  <c r="B61" i="22"/>
  <c r="B16" i="22"/>
  <c r="B36" i="22"/>
  <c r="B41" i="22"/>
  <c r="B86" i="22"/>
  <c r="B51" i="22"/>
  <c r="O186" i="66"/>
  <c r="O156" i="66"/>
  <c r="O176" i="66"/>
  <c r="O168" i="66"/>
  <c r="O78" i="66"/>
  <c r="O39" i="66"/>
  <c r="O148" i="66"/>
  <c r="B7" i="22"/>
  <c r="B15" i="22"/>
  <c r="B25" i="22"/>
  <c r="B35" i="22"/>
  <c r="B90" i="22"/>
  <c r="I27" i="9"/>
  <c r="J27" i="9" s="1"/>
  <c r="I37" i="9"/>
  <c r="J37" i="9" s="1"/>
  <c r="B69" i="22"/>
  <c r="B59" i="22"/>
  <c r="B49" i="22"/>
  <c r="B79" i="22"/>
  <c r="B44" i="22"/>
  <c r="B19" i="22"/>
  <c r="B9" i="22"/>
  <c r="B52" i="22"/>
  <c r="B14" i="22"/>
  <c r="B70" i="22"/>
  <c r="B54" i="22"/>
  <c r="P21" i="39"/>
  <c r="Q21" i="39" s="1"/>
  <c r="O48" i="39"/>
  <c r="G48" i="39"/>
  <c r="B20" i="22"/>
  <c r="B89" i="22"/>
  <c r="B65" i="22"/>
  <c r="B24" i="22"/>
  <c r="B34" i="22"/>
  <c r="B60" i="22"/>
  <c r="B75" i="22"/>
  <c r="P26" i="39"/>
  <c r="Q26" i="39" s="1"/>
  <c r="O53" i="39"/>
  <c r="B77" i="22"/>
  <c r="B39" i="22"/>
  <c r="B4" i="22"/>
  <c r="B84" i="22"/>
  <c r="G55" i="39"/>
  <c r="C214" i="38"/>
  <c r="C229" i="38" s="1"/>
  <c r="C244" i="38" s="1"/>
  <c r="C259" i="38" s="1"/>
  <c r="P25" i="39"/>
  <c r="Q25" i="39" s="1"/>
  <c r="C206" i="38"/>
  <c r="C221" i="38" s="1"/>
  <c r="C236" i="38" s="1"/>
  <c r="C251" i="38" s="1"/>
  <c r="C266" i="38" s="1"/>
  <c r="G52" i="39"/>
  <c r="C209" i="38"/>
  <c r="C224" i="38" s="1"/>
  <c r="C239" i="38" s="1"/>
  <c r="O38" i="66"/>
  <c r="G46" i="39"/>
  <c r="O46" i="39"/>
  <c r="O42" i="39"/>
  <c r="C210" i="38"/>
  <c r="C225" i="38" s="1"/>
  <c r="C240" i="38" s="1"/>
  <c r="C255" i="38" s="1"/>
  <c r="C270" i="38" s="1"/>
  <c r="A7" i="53"/>
  <c r="A13" i="53" s="1"/>
  <c r="A19" i="53" s="1"/>
  <c r="A25" i="53" s="1"/>
  <c r="A31" i="53" s="1"/>
  <c r="A37" i="53" s="1"/>
  <c r="C283" i="38"/>
  <c r="C289" i="38" s="1"/>
  <c r="C295" i="38" s="1"/>
  <c r="C301" i="38" s="1"/>
  <c r="C307" i="38" s="1"/>
  <c r="C313" i="38" s="1"/>
  <c r="C319" i="38" s="1"/>
  <c r="C325" i="38" s="1"/>
  <c r="C331" i="38" s="1"/>
  <c r="C337" i="38" s="1"/>
  <c r="C343" i="38" s="1"/>
  <c r="C349" i="38" s="1"/>
  <c r="A22" i="8"/>
  <c r="Q4" i="20"/>
  <c r="D12" i="26"/>
  <c r="D125" i="35"/>
  <c r="D80" i="35"/>
  <c r="D47" i="38"/>
  <c r="D55" i="38"/>
  <c r="D86" i="38"/>
  <c r="D189" i="38"/>
  <c r="D97" i="38"/>
  <c r="C8" i="53"/>
  <c r="D143" i="38"/>
  <c r="D32" i="35"/>
  <c r="D40" i="35"/>
  <c r="D115" i="35"/>
  <c r="D158" i="35"/>
  <c r="D166" i="35"/>
  <c r="D75" i="35"/>
  <c r="D83" i="35"/>
  <c r="D116" i="35"/>
  <c r="D124" i="35"/>
  <c r="D159" i="35"/>
  <c r="D167" i="35"/>
  <c r="D20" i="26"/>
  <c r="D163" i="35"/>
  <c r="D79" i="35"/>
  <c r="D107" i="35"/>
  <c r="D106" i="35"/>
  <c r="D4" i="20"/>
  <c r="Q24" i="9"/>
  <c r="J4" i="20"/>
  <c r="D60" i="35"/>
  <c r="O24" i="9"/>
  <c r="A3" i="53"/>
  <c r="D162" i="35"/>
  <c r="D4" i="35"/>
  <c r="D12" i="35"/>
  <c r="D47" i="35"/>
  <c r="D55" i="35"/>
  <c r="D95" i="35"/>
  <c r="D130" i="35"/>
  <c r="D138" i="35"/>
  <c r="D131" i="35"/>
  <c r="D139" i="35"/>
  <c r="D8" i="35"/>
  <c r="D16" i="35"/>
  <c r="O119" i="66"/>
  <c r="D121" i="35"/>
  <c r="D31" i="35"/>
  <c r="C279" i="38"/>
  <c r="C285" i="38" s="1"/>
  <c r="C291" i="38" s="1"/>
  <c r="C297" i="38" s="1"/>
  <c r="C303" i="38" s="1"/>
  <c r="C309" i="38" s="1"/>
  <c r="D170" i="35"/>
  <c r="D76" i="35"/>
  <c r="D39" i="35"/>
  <c r="C8" i="17"/>
  <c r="D8" i="17" s="1"/>
  <c r="E8" i="17" s="1"/>
  <c r="D120" i="35"/>
  <c r="D84" i="35"/>
  <c r="T3" i="20"/>
  <c r="H20" i="26"/>
  <c r="D75" i="38"/>
  <c r="D121" i="38"/>
  <c r="D125" i="38"/>
  <c r="D133" i="38"/>
  <c r="A20" i="8"/>
  <c r="N4" i="20"/>
  <c r="D128" i="35"/>
  <c r="O235" i="66"/>
  <c r="U235" i="66" s="1"/>
  <c r="E243" i="18"/>
  <c r="E231" i="18"/>
  <c r="E219" i="18"/>
  <c r="E207" i="18"/>
  <c r="E195" i="18"/>
  <c r="E183" i="18"/>
  <c r="E171" i="18"/>
  <c r="E433" i="18"/>
  <c r="E445" i="18"/>
  <c r="E457" i="18"/>
  <c r="E469" i="18"/>
  <c r="E481" i="18"/>
  <c r="E493" i="18"/>
  <c r="E505" i="18"/>
  <c r="T4" i="20"/>
  <c r="D36" i="35"/>
  <c r="O34" i="9"/>
  <c r="D117" i="35"/>
  <c r="D44" i="35"/>
  <c r="D21" i="17"/>
  <c r="C12" i="26"/>
  <c r="D16" i="38"/>
  <c r="D27" i="38"/>
  <c r="D65" i="38"/>
  <c r="D38" i="39"/>
  <c r="P3" i="20"/>
  <c r="D113" i="38"/>
  <c r="B42" i="22"/>
  <c r="B32" i="22"/>
  <c r="O50" i="39"/>
  <c r="G50" i="39"/>
  <c r="P23" i="39"/>
  <c r="Q23" i="39" s="1"/>
  <c r="B27" i="22"/>
  <c r="B10" i="22"/>
  <c r="B91" i="22"/>
  <c r="B17" i="22"/>
  <c r="B57" i="22"/>
  <c r="B40" i="22"/>
  <c r="G41" i="39"/>
  <c r="B11" i="22"/>
  <c r="B31" i="22"/>
  <c r="B56" i="22"/>
  <c r="B81" i="22"/>
  <c r="B66" i="22"/>
  <c r="B6" i="22"/>
  <c r="B21" i="22"/>
  <c r="B46" i="22"/>
  <c r="I39" i="9"/>
  <c r="B71" i="22"/>
  <c r="I29" i="9"/>
  <c r="G54" i="39"/>
  <c r="P27" i="39"/>
  <c r="Q27" i="39" s="1"/>
  <c r="O54" i="39"/>
  <c r="P20" i="39"/>
  <c r="Q20" i="39" s="1"/>
  <c r="O47" i="39"/>
  <c r="I35" i="9"/>
  <c r="B85" i="22"/>
  <c r="B26" i="22"/>
  <c r="B67" i="22"/>
  <c r="B47" i="22"/>
  <c r="O43" i="39"/>
  <c r="G43" i="39"/>
  <c r="B72" i="22"/>
  <c r="B37" i="22"/>
  <c r="B82" i="22"/>
  <c r="I28" i="9"/>
  <c r="B80" i="22"/>
  <c r="B45" i="22"/>
  <c r="B55" i="22"/>
  <c r="B5" i="22"/>
  <c r="B30" i="22"/>
  <c r="I38" i="9"/>
  <c r="B50" i="22"/>
  <c r="G51" i="39"/>
  <c r="G53" i="39"/>
  <c r="F240" i="66"/>
  <c r="F218" i="66"/>
  <c r="F207" i="66"/>
  <c r="C252" i="38"/>
  <c r="C276" i="38"/>
  <c r="C256" i="38"/>
  <c r="C298" i="38"/>
  <c r="G45" i="39"/>
  <c r="C278" i="38"/>
  <c r="A2" i="53"/>
  <c r="C273" i="38"/>
  <c r="C281" i="38"/>
  <c r="A6" i="53"/>
  <c r="F107" i="35"/>
  <c r="D73" i="35"/>
  <c r="R34" i="9"/>
  <c r="K4" i="20"/>
  <c r="D77" i="35"/>
  <c r="D81" i="35"/>
  <c r="D85" i="35"/>
  <c r="D118" i="35"/>
  <c r="D122" i="35"/>
  <c r="D126" i="35"/>
  <c r="D160" i="35"/>
  <c r="D164" i="35"/>
  <c r="D168" i="35"/>
  <c r="D33" i="35"/>
  <c r="D37" i="35"/>
  <c r="D41" i="35"/>
  <c r="D157" i="35"/>
  <c r="R24" i="9"/>
  <c r="D74" i="35"/>
  <c r="D78" i="35"/>
  <c r="D82" i="35"/>
  <c r="D86" i="35"/>
  <c r="D119" i="35"/>
  <c r="D123" i="35"/>
  <c r="D127" i="35"/>
  <c r="D161" i="35"/>
  <c r="D165" i="35"/>
  <c r="D169" i="35"/>
  <c r="D34" i="35"/>
  <c r="D38" i="35"/>
  <c r="D42" i="35"/>
  <c r="D61" i="35"/>
  <c r="D65" i="35"/>
  <c r="D69" i="35"/>
  <c r="S4" i="20"/>
  <c r="D62" i="35"/>
  <c r="D66" i="35"/>
  <c r="D70" i="35"/>
  <c r="D101" i="35"/>
  <c r="Q34" i="9"/>
  <c r="D17" i="35"/>
  <c r="D21" i="35"/>
  <c r="D25" i="35"/>
  <c r="D29" i="35"/>
  <c r="D104" i="35"/>
  <c r="D108" i="35"/>
  <c r="D112" i="35"/>
  <c r="D145" i="35"/>
  <c r="D149" i="35"/>
  <c r="D153" i="35"/>
  <c r="D18" i="35"/>
  <c r="D22" i="35"/>
  <c r="D26" i="35"/>
  <c r="D30" i="35"/>
  <c r="D105" i="35"/>
  <c r="D109" i="35"/>
  <c r="D113" i="35"/>
  <c r="D146" i="35"/>
  <c r="D150" i="35"/>
  <c r="D154" i="35"/>
  <c r="N34" i="9"/>
  <c r="C7" i="17"/>
  <c r="D7" i="17" s="1"/>
  <c r="E7" i="17" s="1"/>
  <c r="D148" i="35"/>
  <c r="D71" i="35"/>
  <c r="D24" i="35"/>
  <c r="I26" i="9"/>
  <c r="I36" i="9"/>
  <c r="D111" i="35"/>
  <c r="I4" i="20"/>
  <c r="D88" i="35"/>
  <c r="D92" i="35"/>
  <c r="D96" i="35"/>
  <c r="D100" i="35"/>
  <c r="D132" i="35"/>
  <c r="D136" i="35"/>
  <c r="D140" i="35"/>
  <c r="D89" i="35"/>
  <c r="D93" i="35"/>
  <c r="D97" i="35"/>
  <c r="D133" i="35"/>
  <c r="D137" i="35"/>
  <c r="D141" i="35"/>
  <c r="P24" i="9"/>
  <c r="P34" i="9"/>
  <c r="D5" i="35"/>
  <c r="D9" i="35"/>
  <c r="D13" i="35"/>
  <c r="D45" i="35"/>
  <c r="D48" i="35"/>
  <c r="D52" i="35"/>
  <c r="D56" i="35"/>
  <c r="D3" i="35"/>
  <c r="D6" i="35"/>
  <c r="D10" i="35"/>
  <c r="D14" i="35"/>
  <c r="D49" i="35"/>
  <c r="D53" i="35"/>
  <c r="D57" i="35"/>
  <c r="D147" i="35"/>
  <c r="D64" i="35"/>
  <c r="D23" i="35"/>
  <c r="N24" i="9"/>
  <c r="D110" i="35"/>
  <c r="D152" i="35"/>
  <c r="D63" i="35"/>
  <c r="D28" i="35"/>
  <c r="E21" i="17"/>
  <c r="I2" i="35"/>
  <c r="S3" i="20"/>
  <c r="J3" i="20"/>
  <c r="K3" i="20"/>
  <c r="D2" i="9"/>
  <c r="F7" i="35"/>
  <c r="C6" i="17"/>
  <c r="D6" i="17" s="1"/>
  <c r="E6" i="17" s="1"/>
  <c r="D103" i="35"/>
  <c r="D151" i="35"/>
  <c r="D143" i="35"/>
  <c r="D68" i="35"/>
  <c r="D27" i="35"/>
  <c r="D114" i="35"/>
  <c r="D102" i="35"/>
  <c r="D59" i="35"/>
  <c r="M23" i="9"/>
  <c r="O23" i="9"/>
  <c r="D156" i="35"/>
  <c r="D144" i="35"/>
  <c r="D67" i="35"/>
  <c r="D20" i="35"/>
  <c r="C20" i="26"/>
  <c r="C21" i="17"/>
  <c r="C99" i="66" l="1"/>
  <c r="O99" i="66" s="1"/>
  <c r="U99" i="66" s="1"/>
  <c r="C103" i="66"/>
  <c r="O103" i="66" s="1"/>
  <c r="H246" i="66"/>
  <c r="B31" i="6"/>
  <c r="B12" i="6"/>
  <c r="D31" i="6"/>
  <c r="C31" i="6"/>
  <c r="C12" i="6"/>
  <c r="F266" i="66"/>
  <c r="F255" i="66"/>
  <c r="F261" i="66"/>
  <c r="F170" i="66"/>
  <c r="F26" i="66"/>
  <c r="C218" i="38"/>
  <c r="C233" i="38" s="1"/>
  <c r="C248" i="38" s="1"/>
  <c r="C263" i="38" s="1"/>
  <c r="D5" i="9"/>
  <c r="G32" i="26"/>
  <c r="H217" i="35" s="1"/>
  <c r="A10" i="53"/>
  <c r="A9" i="53"/>
  <c r="H257" i="66"/>
  <c r="C257" i="66"/>
  <c r="O257" i="66" s="1"/>
  <c r="U257" i="66" s="1"/>
  <c r="H270" i="66"/>
  <c r="C270" i="66"/>
  <c r="O270" i="66" s="1"/>
  <c r="U270" i="66" s="1"/>
  <c r="H279" i="66"/>
  <c r="C279" i="66"/>
  <c r="O279" i="66" s="1"/>
  <c r="H120" i="66"/>
  <c r="C120" i="66"/>
  <c r="O120" i="66" s="1"/>
  <c r="H112" i="66"/>
  <c r="C112" i="66"/>
  <c r="H267" i="66"/>
  <c r="C267" i="66"/>
  <c r="H258" i="66"/>
  <c r="C258" i="66"/>
  <c r="O258" i="66" s="1"/>
  <c r="U258" i="66" s="1"/>
  <c r="H118" i="66"/>
  <c r="C118" i="66"/>
  <c r="H104" i="66"/>
  <c r="C104" i="66"/>
  <c r="H261" i="66"/>
  <c r="C261" i="66"/>
  <c r="O261" i="66" s="1"/>
  <c r="U261" i="66" s="1"/>
  <c r="H114" i="66"/>
  <c r="C114" i="66"/>
  <c r="O114" i="66" s="1"/>
  <c r="U114" i="66" s="1"/>
  <c r="H282" i="66"/>
  <c r="C282" i="66"/>
  <c r="O282" i="66" s="1"/>
  <c r="U282" i="66" s="1"/>
  <c r="H274" i="66"/>
  <c r="C274" i="66"/>
  <c r="H288" i="66"/>
  <c r="C288" i="66"/>
  <c r="H122" i="66"/>
  <c r="C122" i="66"/>
  <c r="O122" i="66" s="1"/>
  <c r="U122" i="66" s="1"/>
  <c r="H277" i="66"/>
  <c r="C277" i="66"/>
  <c r="O277" i="66" s="1"/>
  <c r="U277" i="66" s="1"/>
  <c r="H140" i="66"/>
  <c r="C140" i="66"/>
  <c r="H284" i="66"/>
  <c r="C284" i="66"/>
  <c r="H278" i="66"/>
  <c r="C278" i="66"/>
  <c r="O278" i="66" s="1"/>
  <c r="H135" i="66"/>
  <c r="C135" i="66"/>
  <c r="O135" i="66" s="1"/>
  <c r="H142" i="66"/>
  <c r="C142" i="66"/>
  <c r="O142" i="66" s="1"/>
  <c r="U142" i="66" s="1"/>
  <c r="H262" i="66"/>
  <c r="C262" i="66"/>
  <c r="H290" i="66"/>
  <c r="C290" i="66"/>
  <c r="O290" i="66" s="1"/>
  <c r="U290" i="66" s="1"/>
  <c r="H144" i="66"/>
  <c r="C144" i="66"/>
  <c r="H128" i="66"/>
  <c r="C128" i="66"/>
  <c r="O128" i="66" s="1"/>
  <c r="U128" i="66" s="1"/>
  <c r="H269" i="66"/>
  <c r="C269" i="66"/>
  <c r="H126" i="66"/>
  <c r="C126" i="66"/>
  <c r="O126" i="66" s="1"/>
  <c r="U126" i="66" s="1"/>
  <c r="H137" i="66"/>
  <c r="C137" i="66"/>
  <c r="H110" i="66"/>
  <c r="C110" i="66"/>
  <c r="O110" i="66" s="1"/>
  <c r="U110" i="66" s="1"/>
  <c r="H247" i="66"/>
  <c r="C247" i="66"/>
  <c r="O247" i="66" s="1"/>
  <c r="U247" i="66" s="1"/>
  <c r="H134" i="66"/>
  <c r="C134" i="66"/>
  <c r="O134" i="66" s="1"/>
  <c r="H273" i="66"/>
  <c r="C273" i="66"/>
  <c r="O273" i="66" s="1"/>
  <c r="U273" i="66" s="1"/>
  <c r="H264" i="66"/>
  <c r="C264" i="66"/>
  <c r="O264" i="66" s="1"/>
  <c r="H111" i="66"/>
  <c r="C111" i="66"/>
  <c r="H254" i="66"/>
  <c r="C254" i="66"/>
  <c r="O254" i="66" s="1"/>
  <c r="U254" i="66" s="1"/>
  <c r="H109" i="66"/>
  <c r="C109" i="66"/>
  <c r="O109" i="66" s="1"/>
  <c r="U109" i="66" s="1"/>
  <c r="H263" i="66"/>
  <c r="C263" i="66"/>
  <c r="O263" i="66" s="1"/>
  <c r="U263" i="66" s="1"/>
  <c r="H253" i="66"/>
  <c r="C253" i="66"/>
  <c r="O253" i="66" s="1"/>
  <c r="U253" i="66" s="1"/>
  <c r="H265" i="66"/>
  <c r="C265" i="66"/>
  <c r="H281" i="66"/>
  <c r="C281" i="66"/>
  <c r="H251" i="66"/>
  <c r="C251" i="66"/>
  <c r="H285" i="66"/>
  <c r="C285" i="66"/>
  <c r="H123" i="66"/>
  <c r="C123" i="66"/>
  <c r="H283" i="66"/>
  <c r="C283" i="66"/>
  <c r="O283" i="66" s="1"/>
  <c r="U283" i="66" s="1"/>
  <c r="H107" i="66"/>
  <c r="C107" i="66"/>
  <c r="H141" i="66"/>
  <c r="C141" i="66"/>
  <c r="H287" i="66"/>
  <c r="C287" i="66"/>
  <c r="H106" i="66"/>
  <c r="C106" i="66"/>
  <c r="O106" i="66" s="1"/>
  <c r="U106" i="66" s="1"/>
  <c r="H289" i="66"/>
  <c r="C289" i="66"/>
  <c r="H146" i="66"/>
  <c r="C146" i="66"/>
  <c r="O146" i="66" s="1"/>
  <c r="U146" i="66" s="1"/>
  <c r="H245" i="66"/>
  <c r="C245" i="66"/>
  <c r="H117" i="66"/>
  <c r="C117" i="66"/>
  <c r="O117" i="66" s="1"/>
  <c r="U117" i="66" s="1"/>
  <c r="H127" i="66"/>
  <c r="C127" i="66"/>
  <c r="F144" i="66"/>
  <c r="F122" i="66"/>
  <c r="F288" i="66"/>
  <c r="J7" i="9"/>
  <c r="E20" i="38"/>
  <c r="D53" i="39"/>
  <c r="L53" i="39"/>
  <c r="E168" i="38" s="1"/>
  <c r="E16" i="38"/>
  <c r="G214" i="35"/>
  <c r="G225" i="35"/>
  <c r="G217" i="35"/>
  <c r="E33" i="38"/>
  <c r="G28" i="26"/>
  <c r="H213" i="35" s="1"/>
  <c r="G40" i="26"/>
  <c r="H225" i="35" s="1"/>
  <c r="G33" i="26"/>
  <c r="H218" i="35" s="1"/>
  <c r="D32" i="26"/>
  <c r="H196" i="35" s="1"/>
  <c r="D33" i="26"/>
  <c r="H197" i="35" s="1"/>
  <c r="D24" i="26"/>
  <c r="H188" i="35" s="1"/>
  <c r="D36" i="26"/>
  <c r="H200" i="35" s="1"/>
  <c r="D25" i="26"/>
  <c r="H189" i="35" s="1"/>
  <c r="D37" i="26"/>
  <c r="H201" i="35" s="1"/>
  <c r="D28" i="26"/>
  <c r="H192" i="35" s="1"/>
  <c r="D40" i="26"/>
  <c r="H204" i="35" s="1"/>
  <c r="D29" i="26"/>
  <c r="H193" i="35" s="1"/>
  <c r="D41" i="26"/>
  <c r="H205" i="35" s="1"/>
  <c r="E4" i="22"/>
  <c r="C21" i="26"/>
  <c r="D21" i="26" s="1"/>
  <c r="E21" i="26" s="1"/>
  <c r="G29" i="26"/>
  <c r="H214" i="35" s="1"/>
  <c r="G41" i="26"/>
  <c r="H226" i="35" s="1"/>
  <c r="G24" i="26"/>
  <c r="H209" i="35" s="1"/>
  <c r="G36" i="26"/>
  <c r="H221" i="35" s="1"/>
  <c r="G37" i="26"/>
  <c r="H222" i="35" s="1"/>
  <c r="G25" i="26"/>
  <c r="H210" i="35" s="1"/>
  <c r="M53" i="39"/>
  <c r="E185" i="38" s="1"/>
  <c r="E53" i="39"/>
  <c r="E134" i="38" s="1"/>
  <c r="D12" i="6"/>
  <c r="E53" i="38"/>
  <c r="E78" i="38"/>
  <c r="E83" i="38"/>
  <c r="E80" i="38"/>
  <c r="F165" i="66"/>
  <c r="F48" i="66"/>
  <c r="F21" i="66"/>
  <c r="F159" i="66"/>
  <c r="F192" i="66"/>
  <c r="F15" i="66"/>
  <c r="F111" i="66"/>
  <c r="G211" i="35"/>
  <c r="G189" i="35"/>
  <c r="G222" i="35"/>
  <c r="G190" i="35"/>
  <c r="G196" i="35"/>
  <c r="G224" i="35"/>
  <c r="G210" i="35"/>
  <c r="G193" i="35"/>
  <c r="G213" i="35"/>
  <c r="G188" i="35"/>
  <c r="G198" i="35"/>
  <c r="G195" i="35"/>
  <c r="G215" i="35"/>
  <c r="G223" i="35"/>
  <c r="G205" i="35"/>
  <c r="G221" i="35"/>
  <c r="G186" i="35"/>
  <c r="G212" i="35"/>
  <c r="G187" i="35"/>
  <c r="G209" i="35"/>
  <c r="G194" i="35"/>
  <c r="G220" i="35"/>
  <c r="G197" i="35"/>
  <c r="G207" i="35"/>
  <c r="G199" i="35"/>
  <c r="G202" i="35"/>
  <c r="G226" i="35"/>
  <c r="G203" i="35"/>
  <c r="G216" i="35"/>
  <c r="E117" i="38"/>
  <c r="G208" i="35"/>
  <c r="G218" i="35"/>
  <c r="G204" i="35"/>
  <c r="G191" i="35"/>
  <c r="G200" i="35"/>
  <c r="U187" i="66"/>
  <c r="U177" i="66"/>
  <c r="E151" i="38"/>
  <c r="E77" i="38"/>
  <c r="E57" i="38"/>
  <c r="E22" i="38"/>
  <c r="E43" i="38"/>
  <c r="E32" i="38"/>
  <c r="E26" i="38"/>
  <c r="E15" i="38"/>
  <c r="E68" i="38"/>
  <c r="E41" i="38"/>
  <c r="E28" i="38"/>
  <c r="E84" i="38"/>
  <c r="E71" i="38"/>
  <c r="E59" i="38"/>
  <c r="E66" i="38"/>
  <c r="E64" i="38"/>
  <c r="E74" i="38"/>
  <c r="E67" i="38"/>
  <c r="E38" i="38"/>
  <c r="E36" i="38"/>
  <c r="E29" i="38"/>
  <c r="E25" i="38"/>
  <c r="E75" i="38"/>
  <c r="E46" i="38"/>
  <c r="E6" i="38"/>
  <c r="E3" i="38"/>
  <c r="E49" i="38"/>
  <c r="E37" i="38"/>
  <c r="E47" i="38"/>
  <c r="E76" i="38"/>
  <c r="E79" i="38"/>
  <c r="E85" i="38"/>
  <c r="E56" i="38"/>
  <c r="E63" i="38"/>
  <c r="E54" i="38"/>
  <c r="U176" i="66"/>
  <c r="E48" i="38"/>
  <c r="E44" i="38"/>
  <c r="E5" i="38"/>
  <c r="E14" i="38"/>
  <c r="E10" i="38"/>
  <c r="E7" i="38"/>
  <c r="U147" i="66"/>
  <c r="U194" i="66"/>
  <c r="E51" i="38"/>
  <c r="E13" i="38"/>
  <c r="E2" i="38"/>
  <c r="E12" i="38"/>
  <c r="E11" i="38"/>
  <c r="E45" i="38"/>
  <c r="E8" i="38"/>
  <c r="E9" i="38"/>
  <c r="E100" i="38"/>
  <c r="G201" i="35"/>
  <c r="G219" i="35"/>
  <c r="E69" i="38"/>
  <c r="E62" i="38"/>
  <c r="U190" i="66"/>
  <c r="E50" i="38"/>
  <c r="U76" i="66"/>
  <c r="U129" i="66"/>
  <c r="U157" i="66"/>
  <c r="U272" i="66"/>
  <c r="U156" i="66"/>
  <c r="U60" i="66"/>
  <c r="U218" i="66"/>
  <c r="U195" i="66"/>
  <c r="U28" i="66"/>
  <c r="U113" i="66"/>
  <c r="U50" i="66"/>
  <c r="G52" i="20"/>
  <c r="U26" i="66"/>
  <c r="U206" i="66"/>
  <c r="U17" i="66"/>
  <c r="U158" i="66"/>
  <c r="U13" i="66"/>
  <c r="U74" i="66"/>
  <c r="U165" i="66"/>
  <c r="U21" i="66"/>
  <c r="U252" i="66"/>
  <c r="U80" i="66"/>
  <c r="U224" i="66"/>
  <c r="U62" i="66"/>
  <c r="U199" i="66"/>
  <c r="U61" i="66"/>
  <c r="U220" i="66"/>
  <c r="U154" i="66"/>
  <c r="U243" i="66"/>
  <c r="U242" i="66"/>
  <c r="U42" i="66"/>
  <c r="U213" i="66"/>
  <c r="U139" i="66"/>
  <c r="U186" i="66"/>
  <c r="U46" i="66"/>
  <c r="U58" i="66"/>
  <c r="U10" i="66"/>
  <c r="U18" i="66"/>
  <c r="U202" i="66"/>
  <c r="U14" i="66"/>
  <c r="U32" i="66"/>
  <c r="U7" i="66"/>
  <c r="U204" i="66"/>
  <c r="U205" i="66"/>
  <c r="U3" i="66"/>
  <c r="U91" i="66"/>
  <c r="U234" i="66"/>
  <c r="U23" i="66"/>
  <c r="U286" i="66"/>
  <c r="U30" i="66"/>
  <c r="U71" i="66"/>
  <c r="U172" i="66"/>
  <c r="U133" i="66"/>
  <c r="U250" i="66"/>
  <c r="U170" i="66"/>
  <c r="U78" i="66"/>
  <c r="U37" i="66"/>
  <c r="U209" i="66"/>
  <c r="U90" i="66"/>
  <c r="U162" i="66"/>
  <c r="U266" i="66"/>
  <c r="U174" i="66"/>
  <c r="U161" i="66"/>
  <c r="U69" i="66"/>
  <c r="U12" i="66"/>
  <c r="U268" i="66"/>
  <c r="U119" i="66"/>
  <c r="U85" i="66"/>
  <c r="U103" i="66"/>
  <c r="U138" i="66"/>
  <c r="U33" i="66"/>
  <c r="U65" i="66"/>
  <c r="U94" i="66"/>
  <c r="U98" i="66"/>
  <c r="U43" i="66"/>
  <c r="U81" i="66"/>
  <c r="U66" i="66"/>
  <c r="U167" i="66"/>
  <c r="U124" i="66"/>
  <c r="C208" i="38"/>
  <c r="C215" i="38"/>
  <c r="A16" i="53"/>
  <c r="H10" i="58"/>
  <c r="I10" i="37"/>
  <c r="I10" i="58"/>
  <c r="J10" i="37"/>
  <c r="H10" i="37"/>
  <c r="C267" i="38"/>
  <c r="J10" i="58"/>
  <c r="J29" i="9"/>
  <c r="F21" i="26"/>
  <c r="G21" i="26" s="1"/>
  <c r="H21" i="26" s="1"/>
  <c r="E49" i="22"/>
  <c r="G51" i="20"/>
  <c r="I7" i="17"/>
  <c r="G50" i="20"/>
  <c r="C205" i="38"/>
  <c r="C284" i="38"/>
  <c r="U55" i="66"/>
  <c r="A23" i="53"/>
  <c r="C304" i="38"/>
  <c r="J39" i="9"/>
  <c r="A12" i="53"/>
  <c r="C274" i="38"/>
  <c r="U51" i="66"/>
  <c r="C271" i="38"/>
  <c r="A15" i="53"/>
  <c r="E2" i="22"/>
  <c r="C315" i="38"/>
  <c r="C254" i="38"/>
  <c r="C287" i="38"/>
  <c r="A8" i="53"/>
  <c r="J35" i="9"/>
  <c r="J5" i="9" s="1"/>
  <c r="E73" i="38" l="1"/>
  <c r="E72" i="38"/>
  <c r="E61" i="38"/>
  <c r="E55" i="38"/>
  <c r="E65" i="38"/>
  <c r="E82" i="38"/>
  <c r="E52" i="38"/>
  <c r="E58" i="38"/>
  <c r="E39" i="38"/>
  <c r="E40" i="38"/>
  <c r="E34" i="38"/>
  <c r="E35" i="38"/>
  <c r="E31" i="38"/>
  <c r="E27" i="38"/>
  <c r="J9" i="9"/>
  <c r="E18" i="38"/>
  <c r="E81" i="38"/>
  <c r="E21" i="38"/>
  <c r="E60" i="38"/>
  <c r="E70" i="38"/>
  <c r="E24" i="38"/>
  <c r="E30" i="38"/>
  <c r="E42" i="38"/>
  <c r="E23" i="38"/>
  <c r="E4" i="38"/>
  <c r="E17" i="38"/>
  <c r="E19" i="38"/>
  <c r="G185" i="35"/>
  <c r="B48" i="26"/>
  <c r="H10" i="41"/>
  <c r="D52" i="20"/>
  <c r="P34" i="18"/>
  <c r="G25" i="20"/>
  <c r="D25" i="20"/>
  <c r="P7" i="18" s="1"/>
  <c r="C293" i="38"/>
  <c r="C321" i="38"/>
  <c r="E47" i="22"/>
  <c r="C269" i="38"/>
  <c r="D51" i="20"/>
  <c r="P24" i="18" s="1"/>
  <c r="P33" i="18"/>
  <c r="C290" i="38"/>
  <c r="A14" i="53"/>
  <c r="A21" i="53"/>
  <c r="E51" i="22"/>
  <c r="D50" i="20"/>
  <c r="P23" i="18" s="1"/>
  <c r="P32" i="18"/>
  <c r="A18" i="53"/>
  <c r="C310" i="38"/>
  <c r="G23" i="20"/>
  <c r="D23" i="20"/>
  <c r="A29" i="53"/>
  <c r="D24" i="20"/>
  <c r="G24" i="20"/>
  <c r="E48" i="26"/>
  <c r="G206" i="35"/>
  <c r="C220" i="38"/>
  <c r="E6" i="22"/>
  <c r="A22" i="53"/>
  <c r="C230" i="38"/>
  <c r="H185" i="35"/>
  <c r="C48" i="26"/>
  <c r="I10" i="41"/>
  <c r="C223" i="38"/>
  <c r="J10" i="41"/>
  <c r="D29" i="53" l="1"/>
  <c r="D5" i="53"/>
  <c r="D17" i="53"/>
  <c r="D15" i="53"/>
  <c r="D4" i="53"/>
  <c r="D3" i="53"/>
  <c r="D16" i="53"/>
  <c r="P16" i="18"/>
  <c r="Y7" i="20"/>
  <c r="E25" i="20"/>
  <c r="P10" i="18" s="1"/>
  <c r="H25" i="20"/>
  <c r="H52" i="20"/>
  <c r="Y4" i="20"/>
  <c r="P25" i="18"/>
  <c r="A35" i="53"/>
  <c r="Y6" i="20"/>
  <c r="P15" i="18"/>
  <c r="Y3" i="20"/>
  <c r="P6" i="18"/>
  <c r="H23" i="20"/>
  <c r="E23" i="20"/>
  <c r="H50" i="20"/>
  <c r="C327" i="38"/>
  <c r="C235" i="38"/>
  <c r="C245" i="38"/>
  <c r="H24" i="20"/>
  <c r="E24" i="20"/>
  <c r="H51" i="20"/>
  <c r="C299" i="38"/>
  <c r="H206" i="35"/>
  <c r="F48" i="26"/>
  <c r="C316" i="38"/>
  <c r="C296" i="38"/>
  <c r="D48" i="26"/>
  <c r="I185" i="35"/>
  <c r="A28" i="53"/>
  <c r="D28" i="53" s="1"/>
  <c r="Y2" i="20"/>
  <c r="P5" i="18"/>
  <c r="Y5" i="20"/>
  <c r="P14" i="18"/>
  <c r="A24" i="53"/>
  <c r="A20" i="53"/>
  <c r="C238" i="38"/>
  <c r="A27" i="53"/>
  <c r="D27" i="53" s="1"/>
  <c r="E52" i="20" l="1"/>
  <c r="P37" i="18"/>
  <c r="Z7" i="20"/>
  <c r="P19" i="18"/>
  <c r="A26" i="53"/>
  <c r="C253" i="38"/>
  <c r="C322" i="38"/>
  <c r="A33" i="53"/>
  <c r="A30" i="53"/>
  <c r="C260" i="38"/>
  <c r="C333" i="38"/>
  <c r="C302" i="38"/>
  <c r="P9" i="18"/>
  <c r="P8" i="18"/>
  <c r="Z6" i="20"/>
  <c r="P18" i="18"/>
  <c r="Z5" i="20"/>
  <c r="P17" i="18"/>
  <c r="C305" i="38"/>
  <c r="A34" i="53"/>
  <c r="C250" i="38"/>
  <c r="G48" i="26"/>
  <c r="I206" i="35"/>
  <c r="E51" i="20"/>
  <c r="P27" i="18" s="1"/>
  <c r="P36" i="18"/>
  <c r="E50" i="20"/>
  <c r="P35" i="18"/>
  <c r="Z4" i="20" l="1"/>
  <c r="P28" i="18"/>
  <c r="P26" i="18"/>
  <c r="Z2" i="20"/>
  <c r="Z3" i="20"/>
  <c r="C265" i="38"/>
  <c r="C308" i="38"/>
  <c r="C339" i="38"/>
  <c r="C311" i="38"/>
  <c r="C268" i="38"/>
  <c r="D10" i="53" s="1"/>
  <c r="A32" i="53"/>
  <c r="A36" i="53"/>
  <c r="C275" i="38"/>
  <c r="C328" i="38"/>
  <c r="D11" i="53" l="1"/>
  <c r="D34" i="53"/>
  <c r="D9" i="53"/>
  <c r="D23" i="53"/>
  <c r="D22" i="53"/>
  <c r="D35" i="53"/>
  <c r="D33" i="53"/>
  <c r="D21" i="53"/>
  <c r="C314" i="38"/>
  <c r="C334" i="38"/>
  <c r="C317" i="38"/>
  <c r="C345" i="38"/>
  <c r="C323" i="38" l="1"/>
  <c r="C340" i="38"/>
  <c r="C320" i="38"/>
  <c r="C329" i="38" l="1"/>
  <c r="C326" i="38"/>
  <c r="C346" i="38"/>
  <c r="C332" i="38" l="1"/>
  <c r="C335" i="38"/>
  <c r="C341" i="38" l="1"/>
  <c r="C338" i="38"/>
  <c r="C344" i="38" l="1"/>
  <c r="C347" i="38"/>
  <c r="M204" i="66" l="1"/>
  <c r="M56" i="66"/>
  <c r="M272" i="66"/>
  <c r="M143" i="66"/>
  <c r="M59" i="66"/>
  <c r="M93" i="66"/>
  <c r="M210" i="66"/>
  <c r="M92" i="66"/>
  <c r="M75" i="66"/>
  <c r="M238" i="66"/>
  <c r="M63" i="66"/>
  <c r="M78" i="66"/>
  <c r="M70" i="66"/>
  <c r="M125" i="66"/>
  <c r="M195" i="66"/>
  <c r="M201" i="66"/>
  <c r="M62" i="66"/>
  <c r="M270" i="66"/>
  <c r="M242" i="66"/>
  <c r="M66" i="66"/>
  <c r="M222" i="66"/>
  <c r="M203" i="66"/>
  <c r="M236" i="66"/>
  <c r="M200" i="66"/>
  <c r="M94" i="66"/>
  <c r="M80" i="66"/>
  <c r="M135" i="66"/>
  <c r="M51" i="66"/>
  <c r="M60" i="66"/>
  <c r="M55" i="66"/>
  <c r="M224" i="66"/>
  <c r="M264" i="66"/>
  <c r="M100" i="66"/>
  <c r="M74" i="66"/>
  <c r="M206" i="66"/>
  <c r="M207" i="66"/>
  <c r="M240" i="66"/>
  <c r="M243" i="66"/>
  <c r="M282" i="66"/>
  <c r="M215" i="66"/>
  <c r="M218" i="66"/>
  <c r="M81" i="66"/>
  <c r="M85" i="66"/>
  <c r="M129" i="66"/>
  <c r="M234" i="66"/>
  <c r="M199" i="66"/>
  <c r="M229" i="66"/>
  <c r="M121" i="66"/>
  <c r="M237" i="66"/>
  <c r="M198" i="66"/>
  <c r="M98" i="66"/>
  <c r="M113" i="66"/>
  <c r="M268" i="66"/>
  <c r="M90" i="66"/>
  <c r="M109" i="66"/>
  <c r="M290" i="66"/>
  <c r="M139" i="66"/>
  <c r="M219" i="66"/>
  <c r="M286" i="66"/>
  <c r="M96" i="66"/>
  <c r="M117" i="66"/>
  <c r="M71" i="66"/>
  <c r="M61" i="66"/>
  <c r="M57" i="66"/>
  <c r="M214" i="66"/>
  <c r="M225" i="66"/>
  <c r="M54" i="66"/>
  <c r="M252" i="66"/>
  <c r="M205" i="66"/>
  <c r="M26" i="66"/>
  <c r="M159" i="66"/>
  <c r="M152" i="66"/>
  <c r="M168" i="66"/>
  <c r="M161" i="66"/>
  <c r="M24" i="66"/>
  <c r="M137" i="66"/>
  <c r="M13" i="66"/>
  <c r="M36" i="66"/>
  <c r="M21" i="66"/>
  <c r="M43" i="66"/>
  <c r="M287" i="66"/>
  <c r="M151" i="66"/>
  <c r="M265" i="66"/>
  <c r="M126" i="66"/>
  <c r="M119" i="66"/>
  <c r="M276" i="66"/>
  <c r="M9" i="66"/>
  <c r="M17" i="66"/>
  <c r="M105" i="66"/>
  <c r="M176" i="66"/>
  <c r="M150" i="66"/>
  <c r="M283" i="66"/>
  <c r="M102" i="66"/>
  <c r="M248" i="66"/>
  <c r="M246" i="66"/>
  <c r="M175" i="66"/>
  <c r="M249" i="66"/>
  <c r="M177" i="66"/>
  <c r="M138" i="66"/>
  <c r="M158" i="66"/>
  <c r="M14" i="66"/>
  <c r="M123" i="66"/>
  <c r="M227" i="66"/>
  <c r="M127" i="66"/>
  <c r="M190" i="66"/>
  <c r="M42" i="66"/>
  <c r="M228" i="66"/>
  <c r="M22" i="66"/>
  <c r="M247" i="66"/>
  <c r="M191" i="66"/>
  <c r="M128" i="66"/>
  <c r="M144" i="66"/>
  <c r="M18" i="66"/>
  <c r="M10" i="66"/>
  <c r="M281" i="66"/>
  <c r="M35" i="66"/>
  <c r="M39" i="66"/>
  <c r="M131" i="66"/>
  <c r="M114" i="66"/>
  <c r="M30" i="66"/>
  <c r="M185" i="66"/>
  <c r="M254" i="66"/>
  <c r="M124" i="66"/>
  <c r="M133" i="66"/>
  <c r="M253" i="66"/>
  <c r="M132" i="66"/>
  <c r="M111" i="66"/>
  <c r="M11" i="66"/>
  <c r="M186" i="66"/>
  <c r="M46" i="66"/>
  <c r="M50" i="66"/>
  <c r="M3" i="66"/>
  <c r="M288" i="66"/>
  <c r="M106" i="66"/>
  <c r="M120" i="66"/>
  <c r="M172" i="66"/>
  <c r="M167" i="66"/>
  <c r="M23" i="66"/>
  <c r="M45" i="66"/>
  <c r="M157" i="66"/>
  <c r="M8" i="66"/>
  <c r="M250" i="66"/>
  <c r="M188" i="66"/>
  <c r="M4" i="66"/>
  <c r="M180" i="66"/>
  <c r="M257" i="66"/>
  <c r="M141" i="66"/>
  <c r="M192" i="66"/>
  <c r="M83" i="66"/>
  <c r="M148" i="66"/>
  <c r="M154" i="66"/>
  <c r="M47" i="66"/>
  <c r="M279" i="66"/>
  <c r="M146" i="66"/>
  <c r="M104" i="66"/>
  <c r="M284" i="66"/>
  <c r="M84" i="66"/>
  <c r="M41" i="66"/>
  <c r="M258" i="66"/>
  <c r="M28" i="66"/>
  <c r="M44" i="66"/>
  <c r="M33" i="66"/>
  <c r="M173" i="66"/>
  <c r="M147" i="66"/>
  <c r="M162" i="66"/>
  <c r="M181" i="66"/>
  <c r="M103" i="66"/>
  <c r="M171" i="66"/>
  <c r="M12" i="66"/>
  <c r="M110" i="66"/>
  <c r="M251" i="66"/>
  <c r="M37" i="66"/>
  <c r="M273" i="66"/>
  <c r="M32" i="66"/>
  <c r="M244" i="66"/>
  <c r="M29" i="66"/>
  <c r="M48" i="66"/>
  <c r="M174" i="66"/>
  <c r="M6" i="66"/>
  <c r="M183" i="66"/>
  <c r="M15" i="66"/>
  <c r="M187" i="66"/>
  <c r="M108" i="66"/>
  <c r="M31" i="66"/>
  <c r="M156" i="66"/>
  <c r="M275" i="66"/>
  <c r="M262" i="66"/>
  <c r="M118" i="66"/>
  <c r="M142" i="66"/>
  <c r="M153" i="66"/>
  <c r="M122" i="66"/>
  <c r="M27" i="66"/>
  <c r="M194" i="66"/>
  <c r="M269" i="66"/>
  <c r="M263" i="66"/>
  <c r="M285" i="66"/>
  <c r="M165" i="66"/>
  <c r="M155" i="66"/>
  <c r="M267" i="66"/>
  <c r="M179" i="66"/>
  <c r="M7" i="66"/>
  <c r="M189" i="66"/>
  <c r="M99" i="66"/>
  <c r="M166" i="66"/>
  <c r="M107" i="66"/>
  <c r="M271" i="66"/>
  <c r="M277" i="66"/>
  <c r="M140" i="66"/>
  <c r="M266" i="66"/>
  <c r="M261" i="66"/>
  <c r="M170" i="66"/>
  <c r="M255" i="66"/>
  <c r="G3" i="66"/>
  <c r="K132" i="66"/>
  <c r="I131" i="66"/>
  <c r="J180" i="66"/>
  <c r="G132" i="66"/>
  <c r="G228" i="66"/>
  <c r="J36" i="66"/>
  <c r="K180" i="66"/>
  <c r="I84" i="66"/>
  <c r="I227" i="66"/>
  <c r="I132" i="66"/>
  <c r="I276" i="66"/>
  <c r="I35" i="66"/>
  <c r="J84" i="66"/>
  <c r="K131" i="66"/>
  <c r="G227" i="66"/>
  <c r="I179" i="66"/>
  <c r="J132" i="66"/>
  <c r="K227" i="66"/>
  <c r="K84" i="66"/>
  <c r="K36" i="66"/>
  <c r="G83" i="66"/>
  <c r="K83" i="66"/>
  <c r="J275" i="66"/>
  <c r="K35" i="66"/>
  <c r="G180" i="66"/>
  <c r="K179" i="66"/>
  <c r="G131" i="66"/>
  <c r="I180" i="66"/>
  <c r="J35" i="66"/>
  <c r="K228" i="66"/>
  <c r="G275" i="66"/>
  <c r="I228" i="66"/>
  <c r="G35" i="66"/>
  <c r="J179" i="66"/>
  <c r="J83" i="66"/>
  <c r="K275" i="66"/>
  <c r="J227" i="66"/>
  <c r="I36" i="66"/>
  <c r="J131" i="66"/>
  <c r="G276" i="66"/>
  <c r="G84" i="66"/>
  <c r="G179" i="66"/>
  <c r="J228" i="66"/>
  <c r="J276" i="66"/>
  <c r="K276" i="66"/>
  <c r="G36" i="66"/>
  <c r="I275" i="66"/>
  <c r="I83" i="66"/>
  <c r="I216" i="66"/>
  <c r="J34" i="66"/>
  <c r="I66" i="66"/>
  <c r="J247" i="66"/>
  <c r="I222" i="66"/>
  <c r="I189" i="66"/>
  <c r="I127" i="66"/>
  <c r="I79" i="66"/>
  <c r="G284" i="66"/>
  <c r="G147" i="66"/>
  <c r="I100" i="66"/>
  <c r="I244" i="66"/>
  <c r="I51" i="66"/>
  <c r="I114" i="66"/>
  <c r="I73" i="66"/>
  <c r="I95" i="66"/>
  <c r="L282" i="66"/>
  <c r="I133" i="66"/>
  <c r="I264" i="66"/>
  <c r="K217" i="66"/>
  <c r="G20" i="66"/>
  <c r="G60" i="66"/>
  <c r="K255" i="66"/>
  <c r="I55" i="66"/>
  <c r="J50" i="66"/>
  <c r="K142" i="66"/>
  <c r="I3" i="66"/>
  <c r="J225" i="66"/>
  <c r="J6" i="66"/>
  <c r="K127" i="66"/>
  <c r="I72" i="66"/>
  <c r="J66" i="66"/>
  <c r="I262" i="66"/>
  <c r="L205" i="66"/>
  <c r="L41" i="66"/>
  <c r="I282" i="66"/>
  <c r="L170" i="66"/>
  <c r="L9" i="66"/>
  <c r="I142" i="66"/>
  <c r="I106" i="66"/>
  <c r="L186" i="66"/>
  <c r="L39" i="66"/>
  <c r="G200" i="66"/>
  <c r="G63" i="66"/>
  <c r="G26" i="66"/>
  <c r="L18" i="66"/>
  <c r="I56" i="66"/>
  <c r="I198" i="66"/>
  <c r="G263" i="66"/>
  <c r="I229" i="66"/>
  <c r="I121" i="66"/>
  <c r="G157" i="66"/>
  <c r="I233" i="66"/>
  <c r="J49" i="66"/>
  <c r="L7" i="66"/>
  <c r="L185" i="66"/>
  <c r="I97" i="66"/>
  <c r="K176" i="66"/>
  <c r="G80" i="66"/>
  <c r="J10" i="66"/>
  <c r="J48" i="66"/>
  <c r="L139" i="66"/>
  <c r="J272" i="66"/>
  <c r="G234" i="66"/>
  <c r="J195" i="66"/>
  <c r="I252" i="66"/>
  <c r="L167" i="66"/>
  <c r="L144" i="66"/>
  <c r="I103" i="66"/>
  <c r="K290" i="66"/>
  <c r="K130" i="66"/>
  <c r="J182" i="66"/>
  <c r="K173" i="66"/>
  <c r="I15" i="66"/>
  <c r="J196" i="66"/>
  <c r="L22" i="66"/>
  <c r="J135" i="66"/>
  <c r="I261" i="66"/>
  <c r="G71" i="66"/>
  <c r="K37" i="66"/>
  <c r="G194" i="66"/>
  <c r="K172" i="66"/>
  <c r="L25" i="66"/>
  <c r="G258" i="66"/>
  <c r="K92" i="66"/>
  <c r="L55" i="66"/>
  <c r="J94" i="66"/>
  <c r="G54" i="66"/>
  <c r="L43" i="66"/>
  <c r="I201" i="66"/>
  <c r="G99" i="66"/>
  <c r="K204" i="66"/>
  <c r="K236" i="66"/>
  <c r="K3" i="66"/>
  <c r="I277" i="66"/>
  <c r="J37" i="66"/>
  <c r="I63" i="66"/>
  <c r="I238" i="66"/>
  <c r="G188" i="66"/>
  <c r="I60" i="66"/>
  <c r="J243" i="66"/>
  <c r="K138" i="66"/>
  <c r="K183" i="66"/>
  <c r="K58" i="66"/>
  <c r="L109" i="66"/>
  <c r="L256" i="66"/>
  <c r="I144" i="66"/>
  <c r="G195" i="66"/>
  <c r="I243" i="66"/>
  <c r="L81" i="66"/>
  <c r="I52" i="66"/>
  <c r="K261" i="66"/>
  <c r="K287" i="66"/>
  <c r="L45" i="66"/>
  <c r="J33" i="66"/>
  <c r="J198" i="66"/>
  <c r="G226" i="66"/>
  <c r="L137" i="66"/>
  <c r="I290" i="66"/>
  <c r="I137" i="66"/>
  <c r="L125" i="66"/>
  <c r="J280" i="66"/>
  <c r="I120" i="66"/>
  <c r="I206" i="66"/>
  <c r="L15" i="66"/>
  <c r="K22" i="66"/>
  <c r="I88" i="66"/>
  <c r="J40" i="66"/>
  <c r="K68" i="66"/>
  <c r="G49" i="66"/>
  <c r="L200" i="66"/>
  <c r="J178" i="66"/>
  <c r="I265" i="66"/>
  <c r="I58" i="66"/>
  <c r="L229" i="66"/>
  <c r="I211" i="66"/>
  <c r="J286" i="66"/>
  <c r="L17" i="66"/>
  <c r="J51" i="66"/>
  <c r="G241" i="66"/>
  <c r="G159" i="66"/>
  <c r="I219" i="66"/>
  <c r="L16" i="66"/>
  <c r="G199" i="66"/>
  <c r="L47" i="66"/>
  <c r="J52" i="66"/>
  <c r="I258" i="66"/>
  <c r="I123" i="66"/>
  <c r="L80" i="66"/>
  <c r="J4" i="66"/>
  <c r="I154" i="66"/>
  <c r="L166" i="66"/>
  <c r="I183" i="66"/>
  <c r="I99" i="66"/>
  <c r="J207" i="66"/>
  <c r="I129" i="66"/>
  <c r="L8" i="66"/>
  <c r="G104" i="66"/>
  <c r="K111" i="66"/>
  <c r="J257" i="66"/>
  <c r="I272" i="66"/>
  <c r="L221" i="66"/>
  <c r="I108" i="66"/>
  <c r="J26" i="66"/>
  <c r="I203" i="66"/>
  <c r="G146" i="66"/>
  <c r="J270" i="66"/>
  <c r="K40" i="66"/>
  <c r="I77" i="66"/>
  <c r="I270" i="66"/>
  <c r="I237" i="66"/>
  <c r="K165" i="66"/>
  <c r="I8" i="66"/>
  <c r="J124" i="66"/>
  <c r="J46" i="66"/>
  <c r="K114" i="66"/>
  <c r="L281" i="66"/>
  <c r="J58" i="66"/>
  <c r="L96" i="66"/>
  <c r="I199" i="66"/>
  <c r="G212" i="66"/>
  <c r="L286" i="66"/>
  <c r="I107" i="66"/>
  <c r="G254" i="66"/>
  <c r="J98" i="66"/>
  <c r="K208" i="66"/>
  <c r="G186" i="66"/>
  <c r="L100" i="66"/>
  <c r="I232" i="66"/>
  <c r="G207" i="66"/>
  <c r="L148" i="66"/>
  <c r="L76" i="66"/>
  <c r="I254" i="66"/>
  <c r="L111" i="66"/>
  <c r="G177" i="66"/>
  <c r="G88" i="66"/>
  <c r="L287" i="66"/>
  <c r="G61" i="66"/>
  <c r="L119" i="66"/>
  <c r="K96" i="66"/>
  <c r="K197" i="66"/>
  <c r="I18" i="66"/>
  <c r="K259" i="66"/>
  <c r="K88" i="66"/>
  <c r="I162" i="66"/>
  <c r="L208" i="66"/>
  <c r="L244" i="66"/>
  <c r="K13" i="66"/>
  <c r="I75" i="66"/>
  <c r="G51" i="66"/>
  <c r="J263" i="66"/>
  <c r="L60" i="66"/>
  <c r="G66" i="66"/>
  <c r="J244" i="66"/>
  <c r="G129" i="66"/>
  <c r="L75" i="66"/>
  <c r="K210" i="66"/>
  <c r="I157" i="66"/>
  <c r="L288" i="66"/>
  <c r="K112" i="66"/>
  <c r="L135" i="66"/>
  <c r="K113" i="66"/>
  <c r="I223" i="66"/>
  <c r="I202" i="66"/>
  <c r="J282" i="66"/>
  <c r="K136" i="66"/>
  <c r="L62" i="66"/>
  <c r="G97" i="66"/>
  <c r="K14" i="66"/>
  <c r="L121" i="66"/>
  <c r="L154" i="66"/>
  <c r="J69" i="66"/>
  <c r="I224" i="66"/>
  <c r="J96" i="66"/>
  <c r="L32" i="66"/>
  <c r="K148" i="66"/>
  <c r="K106" i="66"/>
  <c r="K195" i="66"/>
  <c r="I225" i="66"/>
  <c r="I239" i="66"/>
  <c r="G138" i="66"/>
  <c r="G278" i="66"/>
  <c r="I280" i="66"/>
  <c r="L290" i="66"/>
  <c r="L63" i="66"/>
  <c r="I80" i="66"/>
  <c r="K66" i="66"/>
  <c r="I260" i="66"/>
  <c r="I135" i="66"/>
  <c r="L182" i="66"/>
  <c r="G92" i="66"/>
  <c r="L98" i="66"/>
  <c r="G56" i="66"/>
  <c r="J159" i="66"/>
  <c r="J43" i="66"/>
  <c r="J80" i="66"/>
  <c r="K69" i="66"/>
  <c r="J119" i="66"/>
  <c r="J254" i="66"/>
  <c r="K177" i="66"/>
  <c r="L134" i="66"/>
  <c r="I281" i="66"/>
  <c r="L124" i="66"/>
  <c r="L127" i="66"/>
  <c r="J204" i="66"/>
  <c r="J129" i="66"/>
  <c r="I218" i="66"/>
  <c r="K23" i="66"/>
  <c r="L128" i="66"/>
  <c r="J165" i="66"/>
  <c r="K222" i="66"/>
  <c r="J255" i="66"/>
  <c r="L254" i="66"/>
  <c r="J91" i="66"/>
  <c r="J264" i="66"/>
  <c r="G114" i="66"/>
  <c r="I177" i="66"/>
  <c r="K281" i="66"/>
  <c r="J230" i="66"/>
  <c r="I62" i="66"/>
  <c r="L103" i="66"/>
  <c r="K144" i="66"/>
  <c r="J60" i="66"/>
  <c r="L159" i="66"/>
  <c r="G119" i="66"/>
  <c r="G286" i="66"/>
  <c r="J240" i="66"/>
  <c r="L207" i="66"/>
  <c r="K268" i="66"/>
  <c r="I214" i="66"/>
  <c r="K51" i="66"/>
  <c r="K157" i="66"/>
  <c r="I268" i="66"/>
  <c r="I69" i="66"/>
  <c r="I173" i="66"/>
  <c r="I284" i="66"/>
  <c r="K159" i="66"/>
  <c r="L239" i="66"/>
  <c r="J108" i="66"/>
  <c r="I148" i="66"/>
  <c r="I182" i="66"/>
  <c r="I236" i="66"/>
  <c r="K244" i="66"/>
  <c r="I130" i="66"/>
  <c r="L129" i="66"/>
  <c r="L155" i="66"/>
  <c r="K198" i="66"/>
  <c r="G62" i="66"/>
  <c r="G222" i="66"/>
  <c r="J63" i="66"/>
  <c r="K240" i="66"/>
  <c r="K120" i="66"/>
  <c r="L216" i="66"/>
  <c r="L225" i="66"/>
  <c r="L257" i="66"/>
  <c r="K116" i="66"/>
  <c r="L175" i="66"/>
  <c r="K156" i="66"/>
  <c r="K53" i="66"/>
  <c r="G277" i="66"/>
  <c r="G252" i="66"/>
  <c r="G164" i="66"/>
  <c r="K269" i="66"/>
  <c r="J199" i="66"/>
  <c r="K250" i="66"/>
  <c r="I98" i="66"/>
  <c r="G116" i="66"/>
  <c r="L196" i="66"/>
  <c r="J261" i="66"/>
  <c r="J114" i="66"/>
  <c r="K272" i="66"/>
  <c r="K124" i="66"/>
  <c r="I263" i="66"/>
  <c r="K288" i="66"/>
  <c r="J147" i="66"/>
  <c r="I116" i="66"/>
  <c r="J62" i="66"/>
  <c r="I74" i="66"/>
  <c r="G126" i="66"/>
  <c r="G240" i="66"/>
  <c r="L269" i="66"/>
  <c r="J232" i="66"/>
  <c r="I169" i="66"/>
  <c r="I119" i="66"/>
  <c r="L46" i="66"/>
  <c r="I208" i="66"/>
  <c r="I217" i="66"/>
  <c r="L59" i="66"/>
  <c r="I136" i="66"/>
  <c r="I29" i="66"/>
  <c r="L113" i="66"/>
  <c r="K87" i="66"/>
  <c r="L262" i="66"/>
  <c r="J136" i="66"/>
  <c r="I205" i="66"/>
  <c r="I250" i="66"/>
  <c r="L219" i="66"/>
  <c r="L69" i="66"/>
  <c r="L272" i="66"/>
  <c r="I91" i="66"/>
  <c r="I4" i="66"/>
  <c r="J268" i="66"/>
  <c r="J222" i="66"/>
  <c r="L114" i="66"/>
  <c r="I278" i="66"/>
  <c r="K128" i="66"/>
  <c r="J120" i="66"/>
  <c r="I143" i="66"/>
  <c r="I26" i="66"/>
  <c r="I212" i="66"/>
  <c r="J226" i="66"/>
  <c r="L28" i="66"/>
  <c r="I78" i="66"/>
  <c r="K264" i="66"/>
  <c r="L199" i="66"/>
  <c r="K81" i="66"/>
  <c r="I253" i="66"/>
  <c r="K129" i="66"/>
  <c r="G98" i="66"/>
  <c r="I94" i="66"/>
  <c r="I288" i="66"/>
  <c r="L156" i="66"/>
  <c r="J252" i="66"/>
  <c r="K18" i="66"/>
  <c r="K257" i="66"/>
  <c r="L23" i="66"/>
  <c r="J97" i="66"/>
  <c r="I207" i="66"/>
  <c r="L253" i="66"/>
  <c r="L240" i="66"/>
  <c r="L162" i="66"/>
  <c r="I155" i="66"/>
  <c r="I266" i="66"/>
  <c r="L51" i="66"/>
  <c r="J111" i="66"/>
  <c r="I10" i="66"/>
  <c r="I195" i="66"/>
  <c r="L172" i="66"/>
  <c r="J216" i="66"/>
  <c r="G181" i="66"/>
  <c r="G224" i="66"/>
  <c r="J148" i="66"/>
  <c r="L71" i="66"/>
  <c r="K214" i="66"/>
  <c r="I286" i="66"/>
  <c r="L10" i="66"/>
  <c r="J215" i="66"/>
  <c r="L265" i="66"/>
  <c r="L266" i="66"/>
  <c r="J229" i="66"/>
  <c r="J277" i="66"/>
  <c r="J167" i="66"/>
  <c r="L230" i="66"/>
  <c r="K62" i="66"/>
  <c r="K274" i="66"/>
  <c r="L190" i="66"/>
  <c r="K252" i="66"/>
  <c r="L215" i="66"/>
  <c r="L24" i="66"/>
  <c r="I138" i="66"/>
  <c r="L147" i="66"/>
  <c r="G266" i="66"/>
  <c r="K242" i="66"/>
  <c r="I53" i="66"/>
  <c r="L264" i="66"/>
  <c r="I111" i="66"/>
  <c r="I215" i="66"/>
  <c r="K54" i="66"/>
  <c r="G242" i="66"/>
  <c r="K15" i="66"/>
  <c r="K108" i="66"/>
  <c r="L224" i="66"/>
  <c r="K119" i="66"/>
  <c r="J278" i="66"/>
  <c r="K282" i="66"/>
  <c r="I164" i="66"/>
  <c r="J250" i="66"/>
  <c r="G136" i="66"/>
  <c r="K213" i="66"/>
  <c r="L268" i="66"/>
  <c r="L173" i="66"/>
  <c r="L204" i="66"/>
  <c r="K283" i="66"/>
  <c r="L66" i="66"/>
  <c r="K164" i="66"/>
  <c r="I274" i="66"/>
  <c r="J288" i="66"/>
  <c r="L195" i="66"/>
  <c r="G229" i="66"/>
  <c r="L29" i="66"/>
  <c r="L108" i="66"/>
  <c r="I240" i="66"/>
  <c r="I191" i="66"/>
  <c r="I110" i="66"/>
  <c r="K162" i="66"/>
  <c r="I259" i="66"/>
  <c r="L91" i="66"/>
  <c r="I159" i="66"/>
  <c r="I147" i="66"/>
  <c r="L217" i="66"/>
  <c r="J76" i="66"/>
  <c r="I257" i="66"/>
  <c r="I128" i="66"/>
  <c r="J218" i="66"/>
  <c r="K245" i="66"/>
  <c r="L123" i="66"/>
  <c r="G74" i="66"/>
  <c r="J74" i="66"/>
  <c r="K215" i="66"/>
  <c r="L236" i="66"/>
  <c r="K230" i="66"/>
  <c r="L202" i="66"/>
  <c r="L177" i="66"/>
  <c r="G215" i="66"/>
  <c r="G152" i="66"/>
  <c r="K76" i="66"/>
  <c r="K91" i="66"/>
  <c r="G210" i="66"/>
  <c r="J181" i="66"/>
  <c r="G111" i="66"/>
  <c r="J177" i="66"/>
  <c r="K212" i="66"/>
  <c r="G272" i="66"/>
  <c r="L203" i="66"/>
  <c r="G15" i="66"/>
  <c r="K277" i="66"/>
  <c r="G156" i="66"/>
  <c r="K98" i="66"/>
  <c r="K254" i="66"/>
  <c r="J266" i="66"/>
  <c r="J162" i="66"/>
  <c r="J190" i="66"/>
  <c r="K224" i="66"/>
  <c r="J157" i="66"/>
  <c r="J13" i="66"/>
  <c r="L250" i="66"/>
  <c r="K60" i="66"/>
  <c r="J88" i="66"/>
  <c r="K289" i="66"/>
  <c r="G37" i="66"/>
  <c r="I165" i="66"/>
  <c r="K229" i="66"/>
  <c r="I57" i="66"/>
  <c r="L87" i="66"/>
  <c r="I89" i="66"/>
  <c r="J28" i="66"/>
  <c r="J17" i="66"/>
  <c r="I174" i="66"/>
  <c r="J234" i="66"/>
  <c r="G145" i="66"/>
  <c r="K78" i="66"/>
  <c r="K10" i="66"/>
  <c r="L77" i="66"/>
  <c r="K61" i="66"/>
  <c r="G150" i="66"/>
  <c r="K39" i="66"/>
  <c r="G48" i="66"/>
  <c r="K174" i="66"/>
  <c r="L201" i="66"/>
  <c r="L64" i="66"/>
  <c r="L110" i="66"/>
  <c r="L255" i="66"/>
  <c r="K216" i="66"/>
  <c r="I50" i="66"/>
  <c r="I175" i="66"/>
  <c r="L31" i="66"/>
  <c r="L176" i="66"/>
  <c r="J103" i="66"/>
  <c r="J274" i="66"/>
  <c r="K147" i="66"/>
  <c r="J241" i="66"/>
  <c r="K29" i="66"/>
  <c r="L258" i="66"/>
  <c r="K79" i="66"/>
  <c r="L122" i="66"/>
  <c r="K273" i="66"/>
  <c r="K196" i="66"/>
  <c r="J23" i="66"/>
  <c r="L252" i="66"/>
  <c r="I34" i="66"/>
  <c r="L231" i="66"/>
  <c r="J122" i="66"/>
  <c r="L38" i="66"/>
  <c r="L223" i="66"/>
  <c r="K31" i="66"/>
  <c r="L21" i="66"/>
  <c r="K150" i="66"/>
  <c r="L120" i="66"/>
  <c r="K64" i="66"/>
  <c r="I241" i="66"/>
  <c r="K25" i="66"/>
  <c r="J161" i="66"/>
  <c r="K97" i="66"/>
  <c r="I76" i="66"/>
  <c r="K43" i="66"/>
  <c r="L214" i="66"/>
  <c r="L189" i="66"/>
  <c r="I31" i="66"/>
  <c r="G248" i="66"/>
  <c r="K121" i="66"/>
  <c r="G122" i="66"/>
  <c r="K152" i="66"/>
  <c r="I220" i="66"/>
  <c r="L26" i="66"/>
  <c r="K102" i="66"/>
  <c r="I193" i="66"/>
  <c r="I54" i="66"/>
  <c r="I197" i="66"/>
  <c r="K16" i="66"/>
  <c r="K137" i="66"/>
  <c r="I42" i="66"/>
  <c r="G55" i="66"/>
  <c r="J205" i="66"/>
  <c r="I289" i="66"/>
  <c r="K248" i="66"/>
  <c r="L112" i="66"/>
  <c r="G38" i="66"/>
  <c r="G290" i="66"/>
  <c r="G230" i="66"/>
  <c r="I124" i="66"/>
  <c r="L263" i="66"/>
  <c r="K110" i="66"/>
  <c r="K95" i="66"/>
  <c r="J15" i="66"/>
  <c r="G225" i="66"/>
  <c r="G34" i="66"/>
  <c r="L157" i="66"/>
  <c r="K271" i="66"/>
  <c r="K181" i="66"/>
  <c r="I9" i="66"/>
  <c r="K175" i="66"/>
  <c r="I113" i="66"/>
  <c r="I188" i="66"/>
  <c r="K65" i="66"/>
  <c r="J100" i="66"/>
  <c r="I19" i="66"/>
  <c r="I102" i="66"/>
  <c r="L93" i="66"/>
  <c r="J86" i="66"/>
  <c r="I25" i="66"/>
  <c r="K24" i="66"/>
  <c r="K12" i="66"/>
  <c r="I115" i="66"/>
  <c r="I287" i="66"/>
  <c r="J113" i="66"/>
  <c r="I126" i="66"/>
  <c r="I151" i="66"/>
  <c r="L247" i="66"/>
  <c r="G94" i="66"/>
  <c r="K262" i="66"/>
  <c r="L79" i="66"/>
  <c r="I235" i="66"/>
  <c r="J154" i="66"/>
  <c r="I38" i="66"/>
  <c r="K169" i="66"/>
  <c r="I234" i="66"/>
  <c r="J186" i="66"/>
  <c r="J138" i="66"/>
  <c r="K190" i="66"/>
  <c r="J72" i="66"/>
  <c r="I7" i="66"/>
  <c r="K4" i="66"/>
  <c r="K286" i="66"/>
  <c r="L61" i="66"/>
  <c r="K73" i="66"/>
  <c r="I47" i="66"/>
  <c r="I149" i="66"/>
  <c r="L72" i="66"/>
  <c r="K32" i="66"/>
  <c r="K146" i="66"/>
  <c r="L248" i="66"/>
  <c r="G247" i="66"/>
  <c r="J99" i="66"/>
  <c r="I248" i="66"/>
  <c r="J194" i="66"/>
  <c r="I184" i="66"/>
  <c r="K178" i="66"/>
  <c r="I105" i="66"/>
  <c r="K8" i="66"/>
  <c r="L146" i="66"/>
  <c r="K118" i="66"/>
  <c r="G110" i="66"/>
  <c r="J61" i="66"/>
  <c r="K253" i="66"/>
  <c r="G133" i="66"/>
  <c r="J85" i="66"/>
  <c r="L277" i="66"/>
  <c r="J55" i="66"/>
  <c r="L261" i="66"/>
  <c r="G270" i="66"/>
  <c r="J81" i="66"/>
  <c r="L57" i="66"/>
  <c r="G255" i="66"/>
  <c r="K226" i="66"/>
  <c r="K77" i="66"/>
  <c r="K284" i="66"/>
  <c r="G23" i="66"/>
  <c r="L89" i="66"/>
  <c r="K205" i="66"/>
  <c r="G68" i="66"/>
  <c r="G44" i="66"/>
  <c r="K125" i="66"/>
  <c r="I48" i="66"/>
  <c r="K17" i="66"/>
  <c r="I160" i="66"/>
  <c r="L267" i="66"/>
  <c r="K126" i="66"/>
  <c r="G236" i="66"/>
  <c r="L44" i="66"/>
  <c r="K232" i="66"/>
  <c r="I200" i="66"/>
  <c r="L183" i="66"/>
  <c r="K209" i="66"/>
  <c r="I181" i="66"/>
  <c r="I82" i="66"/>
  <c r="G253" i="66"/>
  <c r="K186" i="66"/>
  <c r="J30" i="66"/>
  <c r="L153" i="66"/>
  <c r="K202" i="66"/>
  <c r="J209" i="66"/>
  <c r="K221" i="66"/>
  <c r="K163" i="66"/>
  <c r="K30" i="66"/>
  <c r="L52" i="66"/>
  <c r="K20" i="66"/>
  <c r="G40" i="66"/>
  <c r="I187" i="66"/>
  <c r="L4" i="66"/>
  <c r="L279" i="66"/>
  <c r="L174" i="66"/>
  <c r="J24" i="66"/>
  <c r="I70" i="66"/>
  <c r="I246" i="66"/>
  <c r="J220" i="66"/>
  <c r="K49" i="66"/>
  <c r="K19" i="66"/>
  <c r="L94" i="66"/>
  <c r="I256" i="66"/>
  <c r="G178" i="66"/>
  <c r="K71" i="66"/>
  <c r="J32" i="66"/>
  <c r="K134" i="66"/>
  <c r="J144" i="66"/>
  <c r="I134" i="66"/>
  <c r="I22" i="66"/>
  <c r="K90" i="66"/>
  <c r="L222" i="66"/>
  <c r="I166" i="66"/>
  <c r="K99" i="66"/>
  <c r="L140" i="66"/>
  <c r="G85" i="66"/>
  <c r="I14" i="66"/>
  <c r="K38" i="66"/>
  <c r="J193" i="66"/>
  <c r="I245" i="66"/>
  <c r="I125" i="66"/>
  <c r="L160" i="66"/>
  <c r="K260" i="66"/>
  <c r="K63" i="66"/>
  <c r="I168" i="66"/>
  <c r="I118" i="66"/>
  <c r="L187" i="66"/>
  <c r="J202" i="66"/>
  <c r="L181" i="66"/>
  <c r="I86" i="66"/>
  <c r="G90" i="66"/>
  <c r="I204" i="66"/>
  <c r="I273" i="66"/>
  <c r="L143" i="66"/>
  <c r="I61" i="66"/>
  <c r="G81" i="66"/>
  <c r="I167" i="66"/>
  <c r="G42" i="66"/>
  <c r="I242" i="66"/>
  <c r="I65" i="66"/>
  <c r="K70" i="66"/>
  <c r="G170" i="66"/>
  <c r="K46" i="66"/>
  <c r="I81" i="66"/>
  <c r="I140" i="66"/>
  <c r="K188" i="66"/>
  <c r="J110" i="66"/>
  <c r="K184" i="66"/>
  <c r="J242" i="66"/>
  <c r="J231" i="66"/>
  <c r="I178" i="66"/>
  <c r="I85" i="66"/>
  <c r="L78" i="66"/>
  <c r="K101" i="66"/>
  <c r="L11" i="66"/>
  <c r="K258" i="66"/>
  <c r="I92" i="66"/>
  <c r="I6" i="66"/>
  <c r="I196" i="66"/>
  <c r="G86" i="66"/>
  <c r="L194" i="66"/>
  <c r="G162" i="66"/>
  <c r="K34" i="66"/>
  <c r="I150" i="66"/>
  <c r="L58" i="66"/>
  <c r="G7" i="66"/>
  <c r="I209" i="66"/>
  <c r="J7" i="66"/>
  <c r="L285" i="66"/>
  <c r="G109" i="66"/>
  <c r="I104" i="66"/>
  <c r="L152" i="66"/>
  <c r="L27" i="66"/>
  <c r="K256" i="66"/>
  <c r="K41" i="66"/>
  <c r="G193" i="66"/>
  <c r="J3" i="66"/>
  <c r="L270" i="66"/>
  <c r="L237" i="66"/>
  <c r="I251" i="66"/>
  <c r="K145" i="66"/>
  <c r="G273" i="66"/>
  <c r="J273" i="66"/>
  <c r="L74" i="66"/>
  <c r="I101" i="66"/>
  <c r="G30" i="66"/>
  <c r="L117" i="66"/>
  <c r="L33" i="66"/>
  <c r="J168" i="66"/>
  <c r="L188" i="66"/>
  <c r="G103" i="66"/>
  <c r="J206" i="66"/>
  <c r="L284" i="66"/>
  <c r="K280" i="66"/>
  <c r="L158" i="66"/>
  <c r="K80" i="66"/>
  <c r="G289" i="66"/>
  <c r="G102" i="66"/>
  <c r="I231" i="66"/>
  <c r="I185" i="66"/>
  <c r="L141" i="66"/>
  <c r="K168" i="66"/>
  <c r="G6" i="66"/>
  <c r="J65" i="66"/>
  <c r="K211" i="66"/>
  <c r="K82" i="66"/>
  <c r="I163" i="66"/>
  <c r="K104" i="66"/>
  <c r="J117" i="66"/>
  <c r="J14" i="66"/>
  <c r="I152" i="66"/>
  <c r="I145" i="66"/>
  <c r="I23" i="66"/>
  <c r="G198" i="66"/>
  <c r="G128" i="66"/>
  <c r="I112" i="66"/>
  <c r="J146" i="66"/>
  <c r="K200" i="66"/>
  <c r="J82" i="66"/>
  <c r="J192" i="66"/>
  <c r="K85" i="66"/>
  <c r="K140" i="66"/>
  <c r="L209" i="66"/>
  <c r="J235" i="66"/>
  <c r="L105" i="66"/>
  <c r="I109" i="66"/>
  <c r="I27" i="66"/>
  <c r="I267" i="66"/>
  <c r="K194" i="66"/>
  <c r="I117" i="66"/>
  <c r="L210" i="66"/>
  <c r="I271" i="66"/>
  <c r="J176" i="66"/>
  <c r="K133" i="66"/>
  <c r="J158" i="66"/>
  <c r="G32" i="66"/>
  <c r="K246" i="66"/>
  <c r="G260" i="66"/>
  <c r="K28" i="66"/>
  <c r="J90" i="66"/>
  <c r="J39" i="66"/>
  <c r="K117" i="66"/>
  <c r="G140" i="66"/>
  <c r="G246" i="66"/>
  <c r="I213" i="66"/>
  <c r="J170" i="66"/>
  <c r="G33" i="66"/>
  <c r="L271" i="66"/>
  <c r="J213" i="66"/>
  <c r="G14" i="66"/>
  <c r="J87" i="66"/>
  <c r="I192" i="66"/>
  <c r="L242" i="66"/>
  <c r="I11" i="66"/>
  <c r="K100" i="66"/>
  <c r="I20" i="66"/>
  <c r="I46" i="66"/>
  <c r="I269" i="66"/>
  <c r="G192" i="66"/>
  <c r="K192" i="66"/>
  <c r="I283" i="66"/>
  <c r="K206" i="66"/>
  <c r="L90" i="66"/>
  <c r="I5" i="66"/>
  <c r="I43" i="66"/>
  <c r="J210" i="66"/>
  <c r="L243" i="66"/>
  <c r="L95" i="66"/>
  <c r="J156" i="66"/>
  <c r="I71" i="66"/>
  <c r="K225" i="66"/>
  <c r="I230" i="66"/>
  <c r="L70" i="66"/>
  <c r="J126" i="66"/>
  <c r="J12" i="66"/>
  <c r="G280" i="66"/>
  <c r="K161" i="66"/>
  <c r="J150" i="66"/>
  <c r="J38" i="66"/>
  <c r="J18" i="66"/>
  <c r="J106" i="66"/>
  <c r="L168" i="66"/>
  <c r="I59" i="66"/>
  <c r="J128" i="66"/>
  <c r="I49" i="66"/>
  <c r="I13" i="66"/>
  <c r="J246" i="66"/>
  <c r="L126" i="66"/>
  <c r="L234" i="66"/>
  <c r="K139" i="66"/>
  <c r="G134" i="66"/>
  <c r="J42" i="66"/>
  <c r="K42" i="66"/>
  <c r="G176" i="66"/>
  <c r="I226" i="66"/>
  <c r="L142" i="66"/>
  <c r="K109" i="66"/>
  <c r="G151" i="66"/>
  <c r="L3" i="66"/>
  <c r="K56" i="66"/>
  <c r="L151" i="66"/>
  <c r="I210" i="66"/>
  <c r="G218" i="66"/>
  <c r="I28" i="66"/>
  <c r="J187" i="66"/>
  <c r="I44" i="66"/>
  <c r="L48" i="66"/>
  <c r="G184" i="66"/>
  <c r="J145" i="66"/>
  <c r="I87" i="66"/>
  <c r="L249" i="66"/>
  <c r="I93" i="66"/>
  <c r="K231" i="66"/>
  <c r="I194" i="66"/>
  <c r="I64" i="66"/>
  <c r="I158" i="66"/>
  <c r="I255" i="66"/>
  <c r="L104" i="66"/>
  <c r="K193" i="66"/>
  <c r="K220" i="66"/>
  <c r="L278" i="66"/>
  <c r="I221" i="66"/>
  <c r="J139" i="66"/>
  <c r="J142" i="66"/>
  <c r="K72" i="66"/>
  <c r="G174" i="66"/>
  <c r="I40" i="66"/>
  <c r="I37" i="66"/>
  <c r="K48" i="66"/>
  <c r="L171" i="66"/>
  <c r="I171" i="66"/>
  <c r="L191" i="66"/>
  <c r="K185" i="66"/>
  <c r="G182" i="66"/>
  <c r="L92" i="66"/>
  <c r="L206" i="66"/>
  <c r="I39" i="66"/>
  <c r="K44" i="66"/>
  <c r="J151" i="66"/>
  <c r="L192" i="66"/>
  <c r="G288" i="66"/>
  <c r="I90" i="66"/>
  <c r="G12" i="66"/>
  <c r="G274" i="66"/>
  <c r="G206" i="66"/>
  <c r="I96" i="66"/>
  <c r="K182" i="66"/>
  <c r="J238" i="66"/>
  <c r="I156" i="66"/>
  <c r="J224" i="66"/>
  <c r="L106" i="66"/>
  <c r="L220" i="66"/>
  <c r="I186" i="66"/>
  <c r="K233" i="66"/>
  <c r="G205" i="66"/>
  <c r="G204" i="66"/>
  <c r="G18" i="66"/>
  <c r="L37" i="66"/>
  <c r="G144" i="66"/>
  <c r="I249" i="66"/>
  <c r="G232" i="66"/>
  <c r="L118" i="66"/>
  <c r="G190" i="66"/>
  <c r="I67" i="66"/>
  <c r="G50" i="66"/>
  <c r="J133" i="66"/>
  <c r="K47" i="66"/>
  <c r="K6" i="66"/>
  <c r="L251" i="66"/>
  <c r="L14" i="66"/>
  <c r="J172" i="66"/>
  <c r="I17" i="66"/>
  <c r="J71" i="66"/>
  <c r="G238" i="66"/>
  <c r="L283" i="66"/>
  <c r="L85" i="66"/>
  <c r="L13" i="66"/>
  <c r="K143" i="66"/>
  <c r="K115" i="66"/>
  <c r="J130" i="66"/>
  <c r="K263" i="66"/>
  <c r="J279" i="66"/>
  <c r="L169" i="66"/>
  <c r="I21" i="66"/>
  <c r="K135" i="66"/>
  <c r="G46" i="66"/>
  <c r="I279" i="66"/>
  <c r="K278" i="66"/>
  <c r="L12" i="66"/>
  <c r="L273" i="66"/>
  <c r="K89" i="66"/>
  <c r="K86" i="66"/>
  <c r="J134" i="66"/>
  <c r="J78" i="66"/>
  <c r="L238" i="66"/>
  <c r="K21" i="66"/>
  <c r="L213" i="66"/>
  <c r="K241" i="66"/>
  <c r="G243" i="66"/>
  <c r="L73" i="66"/>
  <c r="I190" i="66"/>
  <c r="L50" i="66"/>
  <c r="I30" i="66"/>
  <c r="K238" i="66"/>
  <c r="K67" i="66"/>
  <c r="K149" i="66"/>
  <c r="J258" i="66"/>
  <c r="I16" i="66"/>
  <c r="L161" i="66"/>
  <c r="K160" i="66"/>
  <c r="K234" i="66"/>
  <c r="J290" i="66"/>
  <c r="L233" i="66"/>
  <c r="K265" i="66"/>
  <c r="I12" i="66"/>
  <c r="I33" i="66"/>
  <c r="L133" i="66"/>
  <c r="G96" i="66"/>
  <c r="L99" i="66"/>
  <c r="G130" i="66"/>
  <c r="G78" i="66"/>
  <c r="I146" i="66"/>
  <c r="J102" i="66"/>
  <c r="K243" i="66"/>
  <c r="K279" i="66"/>
  <c r="I285" i="66"/>
  <c r="J21" i="66"/>
  <c r="I32" i="66"/>
  <c r="I170" i="66"/>
  <c r="I153" i="66"/>
  <c r="K207" i="66"/>
  <c r="I172" i="66"/>
  <c r="K5" i="66"/>
  <c r="K223" i="66"/>
  <c r="K239" i="66"/>
  <c r="J109" i="66"/>
  <c r="G82" i="66"/>
  <c r="K158" i="66"/>
  <c r="L165" i="66"/>
  <c r="K52" i="66"/>
  <c r="J54" i="66"/>
  <c r="G142" i="66"/>
  <c r="I161" i="66"/>
  <c r="G158" i="66"/>
  <c r="J289" i="66"/>
  <c r="J184" i="66"/>
  <c r="K50" i="66"/>
  <c r="K270" i="66"/>
  <c r="J174" i="66"/>
  <c r="K235" i="66"/>
  <c r="G108" i="66"/>
  <c r="I139" i="66"/>
  <c r="L42" i="66"/>
  <c r="L65" i="66"/>
  <c r="I176" i="66"/>
  <c r="J283" i="66"/>
  <c r="J253" i="66"/>
  <c r="I41" i="66"/>
  <c r="L138" i="66"/>
  <c r="G13" i="66"/>
  <c r="I141" i="66"/>
  <c r="K154" i="66"/>
  <c r="G167" i="66"/>
  <c r="I68" i="66"/>
  <c r="K33" i="66"/>
  <c r="L86" i="66"/>
  <c r="G8" i="66"/>
  <c r="I24" i="66"/>
  <c r="K167" i="66"/>
  <c r="I122" i="66"/>
  <c r="G282" i="66"/>
  <c r="L30" i="66"/>
  <c r="K94" i="66"/>
  <c r="L235" i="66"/>
  <c r="L218" i="66"/>
  <c r="I45" i="66"/>
  <c r="K191" i="66"/>
  <c r="K166" i="66"/>
  <c r="J183" i="66"/>
  <c r="I247" i="66"/>
  <c r="K187" i="66"/>
  <c r="L107" i="66"/>
  <c r="L56" i="66"/>
  <c r="W275" i="66" l="1"/>
  <c r="S275" i="66"/>
  <c r="S35" i="66"/>
  <c r="W35" i="66"/>
  <c r="W84" i="66"/>
  <c r="S84" i="66"/>
  <c r="W227" i="66"/>
  <c r="S227" i="66"/>
  <c r="S83" i="66"/>
  <c r="W83" i="66"/>
  <c r="S180" i="66"/>
  <c r="W180" i="66"/>
  <c r="S276" i="66"/>
  <c r="W276" i="66"/>
  <c r="S179" i="66"/>
  <c r="W179" i="66"/>
  <c r="W228" i="66"/>
  <c r="S228" i="66"/>
  <c r="S132" i="66"/>
  <c r="W132" i="66"/>
  <c r="W36" i="66"/>
  <c r="S36" i="66"/>
  <c r="S131" i="66"/>
  <c r="W131" i="66"/>
  <c r="N144" i="66"/>
  <c r="N96" i="66"/>
  <c r="P279" i="66"/>
  <c r="P133" i="66"/>
  <c r="V133" i="66" s="1"/>
  <c r="W133" i="66"/>
  <c r="P38" i="66"/>
  <c r="W176" i="66"/>
  <c r="P176" i="66"/>
  <c r="V176" i="66" s="1"/>
  <c r="W235" i="66"/>
  <c r="P235" i="66"/>
  <c r="V235" i="66" s="1"/>
  <c r="W65" i="66"/>
  <c r="P65" i="66"/>
  <c r="V65" i="66" s="1"/>
  <c r="P168" i="66"/>
  <c r="P99" i="66"/>
  <c r="V99" i="66" s="1"/>
  <c r="W99" i="66"/>
  <c r="P205" i="66"/>
  <c r="V205" i="66" s="1"/>
  <c r="W205" i="66"/>
  <c r="W13" i="66"/>
  <c r="P13" i="66"/>
  <c r="V13" i="66" s="1"/>
  <c r="N15" i="66"/>
  <c r="P218" i="66"/>
  <c r="V218" i="66" s="1"/>
  <c r="W218" i="66"/>
  <c r="W261" i="66"/>
  <c r="P261" i="66"/>
  <c r="V261" i="66" s="1"/>
  <c r="P63" i="66"/>
  <c r="P80" i="66"/>
  <c r="V80" i="66" s="1"/>
  <c r="W80" i="66"/>
  <c r="P270" i="66"/>
  <c r="V270" i="66" s="1"/>
  <c r="W270" i="66"/>
  <c r="P135" i="66"/>
  <c r="P10" i="66"/>
  <c r="V10" i="66" s="1"/>
  <c r="W10" i="66"/>
  <c r="P66" i="66"/>
  <c r="V66" i="66" s="1"/>
  <c r="W66" i="66"/>
  <c r="W102" i="66"/>
  <c r="W258" i="66"/>
  <c r="P258" i="66"/>
  <c r="V258" i="66" s="1"/>
  <c r="W71" i="66"/>
  <c r="P71" i="66"/>
  <c r="V71" i="66" s="1"/>
  <c r="P238" i="66"/>
  <c r="V238" i="66" s="1"/>
  <c r="W238" i="66"/>
  <c r="W150" i="66"/>
  <c r="W170" i="66"/>
  <c r="P170" i="66"/>
  <c r="V170" i="66" s="1"/>
  <c r="P7" i="66"/>
  <c r="V7" i="66" s="1"/>
  <c r="W7" i="66"/>
  <c r="P231" i="66"/>
  <c r="P32" i="66"/>
  <c r="V32" i="66" s="1"/>
  <c r="W32" i="66"/>
  <c r="P24" i="66"/>
  <c r="W17" i="66"/>
  <c r="P17" i="66"/>
  <c r="V17" i="66" s="1"/>
  <c r="P157" i="66"/>
  <c r="V157" i="66" s="1"/>
  <c r="W157" i="66"/>
  <c r="P250" i="66"/>
  <c r="V250" i="66" s="1"/>
  <c r="W250" i="66"/>
  <c r="P264" i="66"/>
  <c r="P263" i="66"/>
  <c r="V263" i="66" s="1"/>
  <c r="W263" i="66"/>
  <c r="P286" i="66"/>
  <c r="V286" i="66" s="1"/>
  <c r="W286" i="66"/>
  <c r="W94" i="66"/>
  <c r="P94" i="66"/>
  <c r="V94" i="66" s="1"/>
  <c r="P142" i="66"/>
  <c r="V142" i="66" s="1"/>
  <c r="W142" i="66"/>
  <c r="W246" i="66"/>
  <c r="P14" i="66"/>
  <c r="V14" i="66" s="1"/>
  <c r="W14" i="66"/>
  <c r="P3" i="66"/>
  <c r="V3" i="66" s="1"/>
  <c r="W3" i="66"/>
  <c r="W222" i="66"/>
  <c r="P222" i="66"/>
  <c r="V222" i="66" s="1"/>
  <c r="W62" i="66"/>
  <c r="P62" i="66"/>
  <c r="V62" i="66" s="1"/>
  <c r="W91" i="66"/>
  <c r="P91" i="66"/>
  <c r="V91" i="66" s="1"/>
  <c r="W129" i="66"/>
  <c r="P129" i="66"/>
  <c r="V129" i="66" s="1"/>
  <c r="W43" i="66"/>
  <c r="P43" i="66"/>
  <c r="V43" i="66" s="1"/>
  <c r="P98" i="66"/>
  <c r="V98" i="66" s="1"/>
  <c r="W98" i="66"/>
  <c r="P46" i="66"/>
  <c r="V46" i="66" s="1"/>
  <c r="W46" i="66"/>
  <c r="P52" i="66"/>
  <c r="W198" i="66"/>
  <c r="W37" i="66"/>
  <c r="P37" i="66"/>
  <c r="V37" i="66" s="1"/>
  <c r="W283" i="66"/>
  <c r="P283" i="66"/>
  <c r="V283" i="66" s="1"/>
  <c r="P78" i="66"/>
  <c r="V78" i="66" s="1"/>
  <c r="W78" i="66"/>
  <c r="P151" i="66"/>
  <c r="V151" i="66" s="1"/>
  <c r="W151" i="66"/>
  <c r="P139" i="66"/>
  <c r="V139" i="66" s="1"/>
  <c r="W139" i="66"/>
  <c r="P187" i="66"/>
  <c r="V187" i="66" s="1"/>
  <c r="W187" i="66"/>
  <c r="P117" i="66"/>
  <c r="V117" i="66" s="1"/>
  <c r="W117" i="66"/>
  <c r="W242" i="66"/>
  <c r="P242" i="66"/>
  <c r="V242" i="66" s="1"/>
  <c r="P209" i="66"/>
  <c r="V209" i="66" s="1"/>
  <c r="W209" i="66"/>
  <c r="P138" i="66"/>
  <c r="V138" i="66" s="1"/>
  <c r="W138" i="66"/>
  <c r="P86" i="66"/>
  <c r="P23" i="66"/>
  <c r="V23" i="66" s="1"/>
  <c r="W23" i="66"/>
  <c r="P216" i="66"/>
  <c r="P268" i="66"/>
  <c r="V268" i="66" s="1"/>
  <c r="W268" i="66"/>
  <c r="P60" i="66"/>
  <c r="V60" i="66" s="1"/>
  <c r="W60" i="66"/>
  <c r="W204" i="66"/>
  <c r="P204" i="66"/>
  <c r="V204" i="66" s="1"/>
  <c r="P159" i="66"/>
  <c r="P124" i="66"/>
  <c r="V124" i="66" s="1"/>
  <c r="W124" i="66"/>
  <c r="W26" i="66"/>
  <c r="P26" i="66"/>
  <c r="V26" i="66" s="1"/>
  <c r="P207" i="66"/>
  <c r="W6" i="66"/>
  <c r="P87" i="66"/>
  <c r="P192" i="66"/>
  <c r="V192" i="66" s="1"/>
  <c r="W192" i="66"/>
  <c r="W202" i="66"/>
  <c r="P202" i="66"/>
  <c r="V202" i="66" s="1"/>
  <c r="P28" i="66"/>
  <c r="V28" i="66" s="1"/>
  <c r="W28" i="66"/>
  <c r="W76" i="66"/>
  <c r="P76" i="66"/>
  <c r="V76" i="66" s="1"/>
  <c r="P215" i="66"/>
  <c r="V215" i="66" s="1"/>
  <c r="W215" i="66"/>
  <c r="P252" i="66"/>
  <c r="V252" i="66" s="1"/>
  <c r="W252" i="66"/>
  <c r="P147" i="66"/>
  <c r="V147" i="66" s="1"/>
  <c r="W147" i="66"/>
  <c r="P33" i="66"/>
  <c r="V33" i="66" s="1"/>
  <c r="W33" i="66"/>
  <c r="P225" i="66"/>
  <c r="V225" i="66" s="1"/>
  <c r="W225" i="66"/>
  <c r="W290" i="66"/>
  <c r="P290" i="66"/>
  <c r="V290" i="66" s="1"/>
  <c r="P134" i="66"/>
  <c r="W156" i="66"/>
  <c r="P156" i="66"/>
  <c r="V156" i="66" s="1"/>
  <c r="W110" i="66"/>
  <c r="P110" i="66"/>
  <c r="V110" i="66" s="1"/>
  <c r="P55" i="66"/>
  <c r="V55" i="66" s="1"/>
  <c r="W55" i="66"/>
  <c r="P186" i="66"/>
  <c r="V186" i="66" s="1"/>
  <c r="W186" i="66"/>
  <c r="P161" i="66"/>
  <c r="V161" i="66" s="1"/>
  <c r="W161" i="66"/>
  <c r="P190" i="66"/>
  <c r="V190" i="66" s="1"/>
  <c r="W190" i="66"/>
  <c r="P278" i="66"/>
  <c r="P255" i="66"/>
  <c r="P196" i="66"/>
  <c r="P253" i="66"/>
  <c r="V253" i="66" s="1"/>
  <c r="W253" i="66"/>
  <c r="P172" i="66"/>
  <c r="V172" i="66" s="1"/>
  <c r="W172" i="66"/>
  <c r="W42" i="66"/>
  <c r="P42" i="66"/>
  <c r="V42" i="66" s="1"/>
  <c r="P213" i="66"/>
  <c r="V213" i="66" s="1"/>
  <c r="W213" i="66"/>
  <c r="P103" i="66"/>
  <c r="V103" i="66" s="1"/>
  <c r="W103" i="66"/>
  <c r="P162" i="66"/>
  <c r="V162" i="66" s="1"/>
  <c r="W162" i="66"/>
  <c r="P177" i="66"/>
  <c r="V177" i="66" s="1"/>
  <c r="W177" i="66"/>
  <c r="W74" i="66"/>
  <c r="P74" i="66"/>
  <c r="V74" i="66" s="1"/>
  <c r="P120" i="66"/>
  <c r="W199" i="66"/>
  <c r="P199" i="66"/>
  <c r="V199" i="66" s="1"/>
  <c r="W108" i="66"/>
  <c r="P108" i="66"/>
  <c r="V108" i="66" s="1"/>
  <c r="P195" i="66"/>
  <c r="V195" i="66" s="1"/>
  <c r="W195" i="66"/>
  <c r="P128" i="66"/>
  <c r="V128" i="66" s="1"/>
  <c r="W128" i="66"/>
  <c r="N192" i="66"/>
  <c r="P158" i="66"/>
  <c r="V158" i="66" s="1"/>
  <c r="W158" i="66"/>
  <c r="W146" i="66"/>
  <c r="P146" i="66"/>
  <c r="V146" i="66" s="1"/>
  <c r="W206" i="66"/>
  <c r="P206" i="66"/>
  <c r="V206" i="66" s="1"/>
  <c r="W30" i="66"/>
  <c r="P30" i="66"/>
  <c r="V30" i="66" s="1"/>
  <c r="P85" i="66"/>
  <c r="V85" i="66" s="1"/>
  <c r="W85" i="66"/>
  <c r="W266" i="66"/>
  <c r="P266" i="66"/>
  <c r="V266" i="66" s="1"/>
  <c r="P230" i="66"/>
  <c r="W96" i="66"/>
  <c r="P96" i="66"/>
  <c r="P282" i="66"/>
  <c r="V282" i="66" s="1"/>
  <c r="W282" i="66"/>
  <c r="N207" i="66"/>
  <c r="P50" i="66"/>
  <c r="V50" i="66" s="1"/>
  <c r="W50" i="66"/>
  <c r="P183" i="66"/>
  <c r="P109" i="66"/>
  <c r="V109" i="66" s="1"/>
  <c r="W109" i="66"/>
  <c r="P39" i="66"/>
  <c r="W273" i="66"/>
  <c r="P273" i="66"/>
  <c r="V273" i="66" s="1"/>
  <c r="N255" i="66"/>
  <c r="P100" i="66"/>
  <c r="N48" i="66"/>
  <c r="N240" i="66"/>
  <c r="W165" i="66"/>
  <c r="P165" i="66"/>
  <c r="V165" i="66" s="1"/>
  <c r="P4" i="66"/>
  <c r="N159" i="66"/>
  <c r="P182" i="66"/>
  <c r="P272" i="66"/>
  <c r="V272" i="66" s="1"/>
  <c r="W272" i="66"/>
  <c r="N63" i="66"/>
  <c r="F26" i="39"/>
  <c r="P21" i="66"/>
  <c r="V21" i="66" s="1"/>
  <c r="W21" i="66"/>
  <c r="W12" i="66"/>
  <c r="P12" i="66"/>
  <c r="V12" i="66" s="1"/>
  <c r="P90" i="66"/>
  <c r="V90" i="66" s="1"/>
  <c r="W90" i="66"/>
  <c r="P72" i="66"/>
  <c r="W113" i="66"/>
  <c r="P113" i="66"/>
  <c r="V113" i="66" s="1"/>
  <c r="P122" i="66"/>
  <c r="V122" i="66" s="1"/>
  <c r="W122" i="66"/>
  <c r="P234" i="66"/>
  <c r="V234" i="66" s="1"/>
  <c r="W234" i="66"/>
  <c r="P167" i="66"/>
  <c r="V167" i="66" s="1"/>
  <c r="W167" i="66"/>
  <c r="P148" i="66"/>
  <c r="P111" i="66"/>
  <c r="P254" i="66"/>
  <c r="V254" i="66" s="1"/>
  <c r="W254" i="66"/>
  <c r="P58" i="66"/>
  <c r="V58" i="66" s="1"/>
  <c r="W58" i="66"/>
  <c r="W257" i="66"/>
  <c r="P257" i="66"/>
  <c r="V257" i="66" s="1"/>
  <c r="P243" i="66"/>
  <c r="V243" i="66" s="1"/>
  <c r="W243" i="66"/>
  <c r="W224" i="66"/>
  <c r="P224" i="66"/>
  <c r="V224" i="66" s="1"/>
  <c r="W106" i="66"/>
  <c r="P106" i="66"/>
  <c r="V106" i="66" s="1"/>
  <c r="W210" i="66"/>
  <c r="P210" i="66"/>
  <c r="V210" i="66" s="1"/>
  <c r="P220" i="66"/>
  <c r="V220" i="66" s="1"/>
  <c r="W220" i="66"/>
  <c r="P194" i="66"/>
  <c r="V194" i="66" s="1"/>
  <c r="W194" i="66"/>
  <c r="P154" i="66"/>
  <c r="V154" i="66" s="1"/>
  <c r="W154" i="66"/>
  <c r="P15" i="66"/>
  <c r="G26" i="39"/>
  <c r="N111" i="66"/>
  <c r="W288" i="66"/>
  <c r="P288" i="66"/>
  <c r="P277" i="66"/>
  <c r="V277" i="66" s="1"/>
  <c r="W277" i="66"/>
  <c r="P240" i="66"/>
  <c r="W240" i="66"/>
  <c r="W119" i="66"/>
  <c r="P119" i="66"/>
  <c r="V119" i="66" s="1"/>
  <c r="P69" i="66"/>
  <c r="V69" i="66" s="1"/>
  <c r="W69" i="66"/>
  <c r="P244" i="66"/>
  <c r="P51" i="66"/>
  <c r="V51" i="66" s="1"/>
  <c r="W51" i="66"/>
  <c r="W48" i="66"/>
  <c r="P48" i="66"/>
  <c r="V48" i="66" s="1"/>
  <c r="P247" i="66"/>
  <c r="V247" i="66" s="1"/>
  <c r="W247" i="66"/>
  <c r="P174" i="66"/>
  <c r="V174" i="66" s="1"/>
  <c r="W174" i="66"/>
  <c r="W54" i="66"/>
  <c r="N288" i="66"/>
  <c r="W18" i="66"/>
  <c r="P18" i="66"/>
  <c r="V18" i="66" s="1"/>
  <c r="P126" i="66"/>
  <c r="V126" i="66" s="1"/>
  <c r="W126" i="66"/>
  <c r="W144" i="66"/>
  <c r="P144" i="66"/>
  <c r="P81" i="66"/>
  <c r="V81" i="66" s="1"/>
  <c r="W81" i="66"/>
  <c r="P61" i="66"/>
  <c r="V61" i="66" s="1"/>
  <c r="W61" i="66"/>
  <c r="P181" i="66"/>
  <c r="V181" i="66" s="1"/>
  <c r="W181" i="66"/>
  <c r="P229" i="66"/>
  <c r="V229" i="66" s="1"/>
  <c r="W229" i="66"/>
  <c r="W114" i="66"/>
  <c r="P114" i="66"/>
  <c r="V114" i="66" s="1"/>
  <c r="O288" i="66" l="1"/>
  <c r="V288" i="66" s="1"/>
  <c r="X288" i="66" s="1"/>
  <c r="Z48" i="66"/>
  <c r="Z192" i="66"/>
  <c r="Z255" i="66"/>
  <c r="Z111" i="66"/>
  <c r="Z63" i="66"/>
  <c r="Z207" i="66"/>
  <c r="Z159" i="66"/>
  <c r="Z15" i="66"/>
  <c r="Z240" i="66"/>
  <c r="Z96" i="66"/>
  <c r="Z144" i="66"/>
  <c r="Z288" i="66"/>
  <c r="Y63" i="66"/>
  <c r="Y207" i="66"/>
  <c r="Y288" i="66"/>
  <c r="Y144" i="66"/>
  <c r="Y48" i="66"/>
  <c r="Y192" i="66"/>
  <c r="O159" i="66"/>
  <c r="Y111" i="66"/>
  <c r="Y255" i="66"/>
  <c r="Y96" i="66"/>
  <c r="Y240" i="66"/>
  <c r="Y159" i="66"/>
  <c r="Y15" i="66"/>
  <c r="X129" i="66"/>
  <c r="X98" i="66"/>
  <c r="X30" i="66"/>
  <c r="X23" i="66"/>
  <c r="X61" i="66"/>
  <c r="O111" i="66"/>
  <c r="X108" i="66"/>
  <c r="X3" i="66"/>
  <c r="X253" i="66"/>
  <c r="X33" i="66"/>
  <c r="X157" i="66"/>
  <c r="X167" i="66"/>
  <c r="X10" i="66"/>
  <c r="X205" i="66"/>
  <c r="X218" i="66"/>
  <c r="O240" i="66"/>
  <c r="V240" i="66" s="1"/>
  <c r="X240" i="66" s="1"/>
  <c r="X170" i="66"/>
  <c r="X110" i="66"/>
  <c r="X290" i="66"/>
  <c r="X69" i="66"/>
  <c r="X194" i="66"/>
  <c r="X117" i="66"/>
  <c r="X119" i="66"/>
  <c r="X48" i="66"/>
  <c r="X80" i="66"/>
  <c r="X133" i="66"/>
  <c r="X247" i="66"/>
  <c r="O192" i="66"/>
  <c r="X195" i="66"/>
  <c r="X257" i="66"/>
  <c r="X206" i="66"/>
  <c r="X204" i="66"/>
  <c r="X76" i="66"/>
  <c r="X46" i="66"/>
  <c r="X258" i="66"/>
  <c r="X65" i="66"/>
  <c r="X220" i="66"/>
  <c r="X106" i="66"/>
  <c r="X12" i="66"/>
  <c r="X109" i="66"/>
  <c r="X213" i="66"/>
  <c r="X215" i="66"/>
  <c r="X151" i="66"/>
  <c r="X192" i="66"/>
  <c r="O63" i="66"/>
  <c r="X225" i="66"/>
  <c r="X99" i="66"/>
  <c r="X124" i="66"/>
  <c r="X7" i="66"/>
  <c r="X238" i="66"/>
  <c r="X42" i="66"/>
  <c r="X55" i="66"/>
  <c r="X142" i="66"/>
  <c r="X94" i="66"/>
  <c r="X202" i="66"/>
  <c r="X50" i="66"/>
  <c r="X156" i="66"/>
  <c r="X81" i="66"/>
  <c r="X224" i="66"/>
  <c r="X91" i="66"/>
  <c r="X263" i="66"/>
  <c r="X210" i="66"/>
  <c r="X254" i="66"/>
  <c r="X172" i="66"/>
  <c r="X229" i="66"/>
  <c r="X18" i="66"/>
  <c r="X51" i="66"/>
  <c r="X243" i="66"/>
  <c r="X58" i="66"/>
  <c r="X165" i="66"/>
  <c r="X282" i="66"/>
  <c r="X266" i="66"/>
  <c r="X85" i="66"/>
  <c r="X128" i="66"/>
  <c r="X60" i="66"/>
  <c r="X250" i="66"/>
  <c r="X32" i="66"/>
  <c r="X66" i="66"/>
  <c r="X174" i="66"/>
  <c r="X146" i="66"/>
  <c r="X162" i="66"/>
  <c r="X242" i="66"/>
  <c r="X187" i="66"/>
  <c r="X37" i="66"/>
  <c r="X43" i="66"/>
  <c r="X122" i="66"/>
  <c r="X277" i="66"/>
  <c r="X114" i="66"/>
  <c r="X113" i="66"/>
  <c r="X199" i="66"/>
  <c r="O144" i="66"/>
  <c r="X74" i="66"/>
  <c r="X147" i="66"/>
  <c r="X26" i="66"/>
  <c r="X138" i="66"/>
  <c r="X139" i="66"/>
  <c r="X78" i="66"/>
  <c r="X270" i="66"/>
  <c r="X261" i="66"/>
  <c r="X176" i="66"/>
  <c r="X161" i="66"/>
  <c r="X71" i="66"/>
  <c r="O96" i="66"/>
  <c r="X62" i="66"/>
  <c r="X14" i="66"/>
  <c r="X286" i="66"/>
  <c r="X181" i="66"/>
  <c r="X154" i="66"/>
  <c r="X234" i="66"/>
  <c r="X21" i="66"/>
  <c r="O48" i="66"/>
  <c r="O255" i="66"/>
  <c r="X273" i="66"/>
  <c r="O207" i="66"/>
  <c r="X158" i="66"/>
  <c r="X103" i="66"/>
  <c r="X190" i="66"/>
  <c r="X252" i="66"/>
  <c r="X126" i="66"/>
  <c r="X283" i="66"/>
  <c r="X17" i="66"/>
  <c r="O15" i="66"/>
  <c r="X222" i="66"/>
  <c r="X90" i="66"/>
  <c r="X272" i="66"/>
  <c r="X177" i="66"/>
  <c r="X186" i="66"/>
  <c r="X28" i="66"/>
  <c r="X268" i="66"/>
  <c r="X209" i="66"/>
  <c r="X13" i="66"/>
  <c r="X235" i="66"/>
  <c r="U288" i="66" l="1"/>
  <c r="U192" i="66"/>
  <c r="U240" i="66"/>
  <c r="V144" i="66"/>
  <c r="X144" i="66" s="1"/>
  <c r="U144" i="66"/>
  <c r="V96" i="66"/>
  <c r="X96" i="66" s="1"/>
  <c r="U96" i="66"/>
  <c r="U48" i="66"/>
  <c r="D3" i="34" l="1"/>
  <c r="E3" i="34" s="1"/>
  <c r="D4" i="34"/>
  <c r="E4" i="34" s="1"/>
  <c r="D5" i="34"/>
  <c r="E5" i="34" s="1"/>
  <c r="D6" i="34"/>
  <c r="E6" i="34" s="1"/>
  <c r="D7" i="34"/>
  <c r="E7" i="34" s="1"/>
  <c r="D8" i="34"/>
  <c r="E8" i="34" s="1"/>
  <c r="D9" i="34"/>
  <c r="E9" i="34" s="1"/>
  <c r="D10" i="34"/>
  <c r="E10" i="34" s="1"/>
  <c r="D11" i="34"/>
  <c r="E11" i="34" s="1"/>
  <c r="D12" i="34"/>
  <c r="E12" i="34" s="1"/>
  <c r="D13" i="34"/>
  <c r="E13" i="34" s="1"/>
  <c r="D16" i="34"/>
  <c r="E16" i="34" s="1"/>
  <c r="C18" i="34" l="1"/>
  <c r="G173" i="35" l="1" a="1"/>
  <c r="G173" i="35" s="1"/>
  <c r="G174" i="35" a="1"/>
  <c r="G174" i="35" s="1"/>
  <c r="G177" i="35" a="1"/>
  <c r="G177" i="35" s="1"/>
  <c r="G178" i="35" a="1"/>
  <c r="G178" i="35" s="1"/>
  <c r="G181" i="35" a="1"/>
  <c r="G181" i="35" s="1"/>
  <c r="G182" i="35" a="1"/>
  <c r="G182" i="35" s="1"/>
  <c r="W145" i="66" l="1"/>
  <c r="W193" i="66"/>
  <c r="W241" i="66"/>
  <c r="W49" i="66"/>
  <c r="W289" i="66"/>
  <c r="W97" i="66"/>
  <c r="U4" i="66"/>
  <c r="U100" i="66"/>
  <c r="U244" i="66"/>
  <c r="U148" i="66"/>
  <c r="U52" i="66"/>
  <c r="U196" i="66"/>
  <c r="W4" i="66"/>
  <c r="W52" i="66"/>
  <c r="W100" i="66"/>
  <c r="W244" i="66"/>
  <c r="W148" i="66"/>
  <c r="W196" i="66"/>
  <c r="V244" i="66"/>
  <c r="V52" i="66"/>
  <c r="V100" i="66"/>
  <c r="V196" i="66"/>
  <c r="V148" i="66"/>
  <c r="V4" i="66"/>
  <c r="U264" i="66"/>
  <c r="U72" i="66"/>
  <c r="U24" i="66"/>
  <c r="U120" i="66"/>
  <c r="U168" i="66"/>
  <c r="U216" i="66"/>
  <c r="W216" i="66"/>
  <c r="W168" i="66"/>
  <c r="W264" i="66"/>
  <c r="W120" i="66"/>
  <c r="W72" i="66"/>
  <c r="W24" i="66"/>
  <c r="V72" i="66"/>
  <c r="V264" i="66"/>
  <c r="V216" i="66"/>
  <c r="V24" i="66"/>
  <c r="V120" i="66"/>
  <c r="V168" i="66"/>
  <c r="U278" i="66"/>
  <c r="U134" i="66"/>
  <c r="U38" i="66"/>
  <c r="U182" i="66"/>
  <c r="U86" i="66"/>
  <c r="U230" i="66"/>
  <c r="W86" i="66"/>
  <c r="W230" i="66"/>
  <c r="W182" i="66"/>
  <c r="W278" i="66"/>
  <c r="W38" i="66"/>
  <c r="W134" i="66"/>
  <c r="V86" i="66"/>
  <c r="V134" i="66"/>
  <c r="V230" i="66"/>
  <c r="V38" i="66"/>
  <c r="V182" i="66"/>
  <c r="V278" i="66"/>
  <c r="W111" i="66"/>
  <c r="W255" i="66"/>
  <c r="W63" i="66"/>
  <c r="W159" i="66"/>
  <c r="W207" i="66"/>
  <c r="W15" i="66"/>
  <c r="V159" i="66"/>
  <c r="V15" i="66"/>
  <c r="V111" i="66"/>
  <c r="U207" i="66"/>
  <c r="U159" i="66"/>
  <c r="U111" i="66"/>
  <c r="V255" i="66"/>
  <c r="V63" i="66"/>
  <c r="U255" i="66"/>
  <c r="U63" i="66"/>
  <c r="V207" i="66"/>
  <c r="U15" i="66"/>
  <c r="W88" i="66"/>
  <c r="W40" i="66"/>
  <c r="W280" i="66"/>
  <c r="W136" i="66"/>
  <c r="W184" i="66"/>
  <c r="W232" i="66"/>
  <c r="W274" i="66"/>
  <c r="W226" i="66"/>
  <c r="W82" i="66"/>
  <c r="W178" i="66"/>
  <c r="W34" i="66"/>
  <c r="W130" i="66"/>
  <c r="U87" i="66"/>
  <c r="U279" i="66"/>
  <c r="U135" i="66"/>
  <c r="U231" i="66"/>
  <c r="U39" i="66"/>
  <c r="U183" i="66"/>
  <c r="W87" i="66"/>
  <c r="W135" i="66"/>
  <c r="W279" i="66"/>
  <c r="W231" i="66"/>
  <c r="W39" i="66"/>
  <c r="W183" i="66"/>
  <c r="V183" i="66"/>
  <c r="V39" i="66"/>
  <c r="V231" i="66"/>
  <c r="V279" i="66"/>
  <c r="V135" i="66"/>
  <c r="V87" i="66"/>
  <c r="G172" i="35" a="1"/>
  <c r="G172" i="35" s="1"/>
  <c r="G171" i="35" a="1"/>
  <c r="G171" i="35" s="1"/>
  <c r="G180" i="35" a="1"/>
  <c r="G180" i="35" s="1"/>
  <c r="G179" i="35" a="1"/>
  <c r="G179" i="35" s="1"/>
  <c r="G176" i="35" a="1"/>
  <c r="G176" i="35" s="1"/>
  <c r="G175" i="35" a="1"/>
  <c r="G175" i="35" s="1"/>
  <c r="X207" i="66" l="1"/>
  <c r="X135" i="66"/>
  <c r="X279" i="66"/>
  <c r="X231" i="66"/>
  <c r="X111" i="66"/>
  <c r="X230" i="66"/>
  <c r="X100" i="66"/>
  <c r="X63" i="66"/>
  <c r="X120" i="66"/>
  <c r="X24" i="66"/>
  <c r="X216" i="66"/>
  <c r="X168" i="66"/>
  <c r="X264" i="66"/>
  <c r="X148" i="66"/>
  <c r="X38" i="66"/>
  <c r="X196" i="66"/>
  <c r="X87" i="66"/>
  <c r="X278" i="66"/>
  <c r="X4" i="66"/>
  <c r="X182" i="66"/>
  <c r="X39" i="66"/>
  <c r="X15" i="66"/>
  <c r="X134" i="66"/>
  <c r="X52" i="66"/>
  <c r="X183" i="66"/>
  <c r="X159" i="66"/>
  <c r="X86" i="66"/>
  <c r="X244" i="66"/>
  <c r="X255" i="66"/>
  <c r="X72" i="66"/>
  <c r="H179" i="35"/>
  <c r="H181" i="35"/>
  <c r="I181" i="35"/>
  <c r="I179" i="35"/>
  <c r="H178" i="35"/>
  <c r="H176" i="35"/>
  <c r="I176" i="35"/>
  <c r="I178" i="35"/>
  <c r="H175" i="35"/>
  <c r="H177" i="35"/>
  <c r="I177" i="35"/>
  <c r="I175" i="35"/>
  <c r="H172" i="35"/>
  <c r="H174" i="35"/>
  <c r="I172" i="35"/>
  <c r="I174" i="35"/>
  <c r="H171" i="35"/>
  <c r="H173" i="35"/>
  <c r="I171" i="35"/>
  <c r="I173" i="35"/>
  <c r="H180" i="35"/>
  <c r="H182" i="35"/>
  <c r="I182" i="35"/>
  <c r="I180" i="35"/>
  <c r="Q176" i="66" l="1"/>
  <c r="Q238" i="66"/>
  <c r="R238" i="66" s="1"/>
  <c r="Q157" i="66"/>
  <c r="Q270" i="66"/>
  <c r="R270" i="66" s="1"/>
  <c r="Q74" i="66"/>
  <c r="R74" i="66" s="1"/>
  <c r="Q80" i="66"/>
  <c r="R80" i="66" s="1"/>
  <c r="Q154" i="66"/>
  <c r="Q42" i="66"/>
  <c r="Q146" i="66"/>
  <c r="R146" i="66" s="1"/>
  <c r="Q196" i="66"/>
  <c r="R196" i="66" s="1"/>
  <c r="Q182" i="66"/>
  <c r="Q261" i="66"/>
  <c r="R261" i="66" s="1"/>
  <c r="Q43" i="66"/>
  <c r="Q86" i="66"/>
  <c r="R86" i="66" s="1"/>
  <c r="Q128" i="66"/>
  <c r="R128" i="66" s="1"/>
  <c r="Q258" i="66"/>
  <c r="R258" i="66" s="1"/>
  <c r="Q142" i="66"/>
  <c r="R142" i="66" s="1"/>
  <c r="Q33" i="66"/>
  <c r="Q167" i="66"/>
  <c r="Q110" i="66"/>
  <c r="R110" i="66" s="1"/>
  <c r="Q61" i="66"/>
  <c r="R61" i="66" s="1"/>
  <c r="Q234" i="66"/>
  <c r="R234" i="66" s="1"/>
  <c r="Q37" i="66"/>
  <c r="Q222" i="66"/>
  <c r="R222" i="66" s="1"/>
  <c r="Q250" i="66"/>
  <c r="R250" i="66" s="1"/>
  <c r="Q177" i="66"/>
  <c r="Q215" i="66"/>
  <c r="R215" i="66" s="1"/>
  <c r="Q135" i="66"/>
  <c r="R135" i="66" s="1"/>
  <c r="Q272" i="66"/>
  <c r="R272" i="66" s="1"/>
  <c r="Q113" i="66"/>
  <c r="R113" i="66" s="1"/>
  <c r="Q206" i="66"/>
  <c r="R206" i="66" s="1"/>
  <c r="Q213" i="66"/>
  <c r="R213" i="66" s="1"/>
  <c r="Q183" i="66"/>
  <c r="Q286" i="66"/>
  <c r="R286" i="66" s="1"/>
  <c r="Q170" i="66"/>
  <c r="Q90" i="66"/>
  <c r="R90" i="66" s="1"/>
  <c r="Q279" i="66"/>
  <c r="R279" i="66" s="1"/>
  <c r="Q244" i="66"/>
  <c r="R244" i="66" s="1"/>
  <c r="Q14" i="66"/>
  <c r="Q273" i="66"/>
  <c r="R273" i="66" s="1"/>
  <c r="Q174" i="66"/>
  <c r="Q264" i="66"/>
  <c r="R264" i="66" s="1"/>
  <c r="Q87" i="66"/>
  <c r="R87" i="66" s="1"/>
  <c r="Q108" i="66"/>
  <c r="R108" i="66" s="1"/>
  <c r="Q117" i="66"/>
  <c r="R117" i="66" s="1"/>
  <c r="Q257" i="66"/>
  <c r="R257" i="66" s="1"/>
  <c r="Q165" i="66"/>
  <c r="Q72" i="66"/>
  <c r="R72" i="66" s="1"/>
  <c r="Q32" i="66"/>
  <c r="Q69" i="66"/>
  <c r="R69" i="66" s="1"/>
  <c r="Q119" i="66"/>
  <c r="R119" i="66" s="1"/>
  <c r="Q138" i="66"/>
  <c r="R138" i="66" s="1"/>
  <c r="Q224" i="66"/>
  <c r="R224" i="66" s="1"/>
  <c r="Q106" i="66"/>
  <c r="R106" i="66" s="1"/>
  <c r="Q139" i="66"/>
  <c r="R139" i="66" s="1"/>
  <c r="Q78" i="66"/>
  <c r="R78" i="66" s="1"/>
  <c r="Q66" i="66"/>
  <c r="R66" i="66" s="1"/>
  <c r="Q12" i="66"/>
  <c r="Q194" i="66"/>
  <c r="Q10" i="66"/>
  <c r="Q30" i="66"/>
  <c r="Q230" i="66"/>
  <c r="R230" i="66" s="1"/>
  <c r="Q148" i="66"/>
  <c r="Q220" i="66"/>
  <c r="R220" i="66" s="1"/>
  <c r="Q103" i="66"/>
  <c r="R103" i="66" s="1"/>
  <c r="Q187" i="66"/>
  <c r="Q277" i="66"/>
  <c r="R277" i="66" s="1"/>
  <c r="Q156" i="66"/>
  <c r="Q122" i="66"/>
  <c r="R122" i="66" s="1"/>
  <c r="Q99" i="66"/>
  <c r="R99" i="66" s="1"/>
  <c r="Q62" i="66"/>
  <c r="R62" i="66" s="1"/>
  <c r="Q100" i="66"/>
  <c r="R100" i="66" s="1"/>
  <c r="Q55" i="66"/>
  <c r="R55" i="66" s="1"/>
  <c r="Q85" i="66"/>
  <c r="R85" i="66" s="1"/>
  <c r="Q195" i="66"/>
  <c r="R195" i="66" s="1"/>
  <c r="Q133" i="66"/>
  <c r="R133" i="66" s="1"/>
  <c r="Q147" i="66"/>
  <c r="Q76" i="66"/>
  <c r="R76" i="66" s="1"/>
  <c r="Q283" i="66"/>
  <c r="R283" i="66" s="1"/>
  <c r="Q218" i="66"/>
  <c r="R218" i="66" s="1"/>
  <c r="Q18" i="66"/>
  <c r="Q71" i="66"/>
  <c r="R71" i="66" s="1"/>
  <c r="Q209" i="66"/>
  <c r="R209" i="66" s="1"/>
  <c r="Q190" i="66"/>
  <c r="Q181" i="66"/>
  <c r="Q229" i="66"/>
  <c r="R229" i="66" s="1"/>
  <c r="Q109" i="66"/>
  <c r="R109" i="66" s="1"/>
  <c r="Q38" i="66"/>
  <c r="Q253" i="66"/>
  <c r="R253" i="66" s="1"/>
  <c r="Q17" i="66"/>
  <c r="Q231" i="66"/>
  <c r="R231" i="66" s="1"/>
  <c r="Q199" i="66"/>
  <c r="R199" i="66" s="1"/>
  <c r="Q186" i="66"/>
  <c r="Q204" i="66"/>
  <c r="R204" i="66" s="1"/>
  <c r="Q91" i="66"/>
  <c r="R91" i="66" s="1"/>
  <c r="Q172" i="66"/>
  <c r="Q247" i="66"/>
  <c r="R247" i="66" s="1"/>
  <c r="Q162" i="66"/>
  <c r="Q65" i="66"/>
  <c r="R65" i="66" s="1"/>
  <c r="Q52" i="66"/>
  <c r="R52" i="66" s="1"/>
  <c r="Q21" i="66"/>
  <c r="Q263" i="66"/>
  <c r="R263" i="66" s="1"/>
  <c r="Q13" i="66"/>
  <c r="Q268" i="66"/>
  <c r="R268" i="66" s="1"/>
  <c r="Q151" i="66"/>
  <c r="Q278" i="66"/>
  <c r="R278" i="66" s="1"/>
  <c r="Q235" i="66"/>
  <c r="R235" i="66" s="1"/>
  <c r="Q60" i="66"/>
  <c r="R60" i="66" s="1"/>
  <c r="Q243" i="66"/>
  <c r="R243" i="66" s="1"/>
  <c r="Q202" i="66"/>
  <c r="R202" i="66" s="1"/>
  <c r="Q266" i="66"/>
  <c r="R266" i="66" s="1"/>
  <c r="Q134" i="66"/>
  <c r="R134" i="66" s="1"/>
  <c r="Q158" i="66"/>
  <c r="Q46" i="66"/>
  <c r="Q124" i="66"/>
  <c r="R124" i="66" s="1"/>
  <c r="Q290" i="66"/>
  <c r="R290" i="66" s="1"/>
  <c r="Q129" i="66"/>
  <c r="R129" i="66" s="1"/>
  <c r="Q126" i="66"/>
  <c r="R126" i="66" s="1"/>
  <c r="Q216" i="66"/>
  <c r="R216" i="66" s="1"/>
  <c r="Q242" i="66"/>
  <c r="R242" i="66" s="1"/>
  <c r="Q210" i="66"/>
  <c r="R210" i="66" s="1"/>
  <c r="Q225" i="66"/>
  <c r="R225" i="66" s="1"/>
  <c r="Q28" i="66"/>
  <c r="Q26" i="66"/>
  <c r="Q24" i="66"/>
  <c r="Q4" i="66"/>
  <c r="Q168" i="66"/>
  <c r="Q3" i="66"/>
  <c r="Q23" i="66"/>
  <c r="Q161" i="66"/>
  <c r="Q114" i="66"/>
  <c r="R114" i="66" s="1"/>
  <c r="Q98" i="66"/>
  <c r="R98" i="66" s="1"/>
  <c r="Q51" i="66"/>
  <c r="R51" i="66" s="1"/>
  <c r="Q282" i="66"/>
  <c r="R282" i="66" s="1"/>
  <c r="Q39" i="66"/>
  <c r="Q7" i="66"/>
  <c r="Q81" i="66"/>
  <c r="R81" i="66" s="1"/>
  <c r="Q254" i="66"/>
  <c r="R254" i="66" s="1"/>
  <c r="Q50" i="66"/>
  <c r="Q120" i="66"/>
  <c r="R120" i="66" s="1"/>
  <c r="Q94" i="66"/>
  <c r="R94" i="66" s="1"/>
  <c r="Q252" i="66"/>
  <c r="R252" i="66" s="1"/>
  <c r="Q205" i="66"/>
  <c r="R205" i="66" s="1"/>
  <c r="Q58" i="66"/>
  <c r="R58" i="66" s="1"/>
  <c r="R176" i="66"/>
  <c r="S168" i="66"/>
  <c r="S263" i="66"/>
  <c r="R3" i="66"/>
  <c r="R26" i="66"/>
  <c r="R147" i="66"/>
  <c r="S273" i="66"/>
  <c r="S13" i="66"/>
  <c r="S63" i="66"/>
  <c r="S258" i="66"/>
  <c r="S3" i="66"/>
  <c r="S91" i="66"/>
  <c r="S98" i="66"/>
  <c r="S37" i="66"/>
  <c r="S216" i="66"/>
  <c r="S204" i="66"/>
  <c r="S26" i="66"/>
  <c r="S147" i="66"/>
  <c r="S110" i="66"/>
  <c r="R172" i="66"/>
  <c r="S103" i="66"/>
  <c r="S158" i="66"/>
  <c r="S30" i="66"/>
  <c r="S50" i="66"/>
  <c r="S272" i="66"/>
  <c r="R12" i="66"/>
  <c r="R167" i="66"/>
  <c r="R15" i="66"/>
  <c r="S240" i="66"/>
  <c r="S18" i="66"/>
  <c r="R158" i="66"/>
  <c r="R30" i="66"/>
  <c r="S183" i="66"/>
  <c r="S165" i="66"/>
  <c r="S49" i="66"/>
  <c r="S148" i="66"/>
  <c r="S224" i="66"/>
  <c r="S15" i="66"/>
  <c r="S247" i="66"/>
  <c r="S126" i="66"/>
  <c r="S114" i="66"/>
  <c r="S279" i="66"/>
  <c r="R168" i="66"/>
  <c r="R13" i="66"/>
  <c r="S170" i="66"/>
  <c r="S32" i="66"/>
  <c r="S157" i="66"/>
  <c r="R37" i="66"/>
  <c r="S151" i="66"/>
  <c r="S138" i="66"/>
  <c r="S202" i="66"/>
  <c r="R161" i="66"/>
  <c r="S40" i="66"/>
  <c r="S172" i="66"/>
  <c r="S74" i="66"/>
  <c r="S122" i="66"/>
  <c r="S58" i="66"/>
  <c r="R18" i="66"/>
  <c r="S90" i="66"/>
  <c r="R148" i="66"/>
  <c r="S176" i="66"/>
  <c r="S10" i="66"/>
  <c r="R170" i="66"/>
  <c r="R32" i="66"/>
  <c r="R157" i="66"/>
  <c r="S286" i="66"/>
  <c r="S142" i="66"/>
  <c r="S222" i="66"/>
  <c r="R151" i="66"/>
  <c r="S117" i="66"/>
  <c r="S159" i="66"/>
  <c r="S207" i="66"/>
  <c r="S274" i="66"/>
  <c r="S280" i="66"/>
  <c r="S162" i="66"/>
  <c r="S195" i="66"/>
  <c r="S80" i="66"/>
  <c r="R10" i="66"/>
  <c r="S71" i="66"/>
  <c r="S129" i="66"/>
  <c r="R46" i="66"/>
  <c r="S268" i="66"/>
  <c r="R159" i="66"/>
  <c r="S6" i="66"/>
  <c r="T6" i="66" s="1"/>
  <c r="S215" i="66"/>
  <c r="S33" i="66"/>
  <c r="S134" i="66"/>
  <c r="S96" i="66"/>
  <c r="R183" i="66"/>
  <c r="S193" i="66"/>
  <c r="S4" i="66"/>
  <c r="S99" i="66"/>
  <c r="R24" i="66"/>
  <c r="S246" i="66"/>
  <c r="T246" i="66" s="1"/>
  <c r="S46" i="66"/>
  <c r="S283" i="66"/>
  <c r="R33" i="66"/>
  <c r="S190" i="66"/>
  <c r="S42" i="66"/>
  <c r="S120" i="66"/>
  <c r="S85" i="66"/>
  <c r="R4" i="66"/>
  <c r="S106" i="66"/>
  <c r="S174" i="66"/>
  <c r="S76" i="66"/>
  <c r="S232" i="66"/>
  <c r="R39" i="66"/>
  <c r="R48" i="66"/>
  <c r="S108" i="66"/>
  <c r="S97" i="66"/>
  <c r="S61" i="66"/>
  <c r="S133" i="66"/>
  <c r="S235" i="66"/>
  <c r="S24" i="66"/>
  <c r="S86" i="66"/>
  <c r="S136" i="66"/>
  <c r="S184" i="66"/>
  <c r="S55" i="66"/>
  <c r="S196" i="66"/>
  <c r="R42" i="66"/>
  <c r="R162" i="66"/>
  <c r="S146" i="66"/>
  <c r="S72" i="66"/>
  <c r="S111" i="66"/>
  <c r="S257" i="66"/>
  <c r="S194" i="66"/>
  <c r="S288" i="66"/>
  <c r="S119" i="66"/>
  <c r="S51" i="66"/>
  <c r="S264" i="66"/>
  <c r="S198" i="66"/>
  <c r="T198" i="66" s="1"/>
  <c r="S60" i="66"/>
  <c r="S69" i="66"/>
  <c r="S229" i="66"/>
  <c r="S65" i="66"/>
  <c r="S150" i="66"/>
  <c r="T150" i="66" s="1"/>
  <c r="S187" i="66"/>
  <c r="S161" i="66"/>
  <c r="S277" i="66"/>
  <c r="S167" i="66"/>
  <c r="S244" i="66"/>
  <c r="S218" i="66"/>
  <c r="R7" i="66"/>
  <c r="S241" i="66"/>
  <c r="S250" i="66"/>
  <c r="S52" i="66"/>
  <c r="S139" i="66"/>
  <c r="S242" i="66"/>
  <c r="S124" i="66"/>
  <c r="R156" i="66"/>
  <c r="R190" i="66"/>
  <c r="S266" i="66"/>
  <c r="S109" i="66"/>
  <c r="R21" i="66"/>
  <c r="S234" i="66"/>
  <c r="S226" i="66"/>
  <c r="R194" i="66"/>
  <c r="S178" i="66"/>
  <c r="R174" i="66"/>
  <c r="S144" i="66"/>
  <c r="S181" i="66"/>
  <c r="S192" i="66"/>
  <c r="S82" i="66"/>
  <c r="S278" i="66"/>
  <c r="R177" i="66"/>
  <c r="S255" i="66"/>
  <c r="S12" i="66"/>
  <c r="S220" i="66"/>
  <c r="S270" i="66"/>
  <c r="S66" i="66"/>
  <c r="S7" i="66"/>
  <c r="R14" i="66"/>
  <c r="S62" i="66"/>
  <c r="S43" i="66"/>
  <c r="S78" i="66"/>
  <c r="R28" i="66"/>
  <c r="S252" i="66"/>
  <c r="R186" i="66"/>
  <c r="S199" i="66"/>
  <c r="S128" i="66"/>
  <c r="S206" i="66"/>
  <c r="S282" i="66"/>
  <c r="S100" i="66"/>
  <c r="S182" i="66"/>
  <c r="S21" i="66"/>
  <c r="S254" i="66"/>
  <c r="S210" i="66"/>
  <c r="S289" i="66"/>
  <c r="S48" i="66"/>
  <c r="S38" i="66"/>
  <c r="S135" i="66"/>
  <c r="R17" i="66"/>
  <c r="S130" i="66"/>
  <c r="R192" i="66"/>
  <c r="S230" i="66"/>
  <c r="S113" i="66"/>
  <c r="S205" i="66"/>
  <c r="S238" i="66"/>
  <c r="S94" i="66"/>
  <c r="S14" i="66"/>
  <c r="R43" i="66"/>
  <c r="R187" i="66"/>
  <c r="R23" i="66"/>
  <c r="S87" i="66"/>
  <c r="S28" i="66"/>
  <c r="S225" i="66"/>
  <c r="S156" i="66"/>
  <c r="S253" i="66"/>
  <c r="S213" i="66"/>
  <c r="S177" i="66"/>
  <c r="R182" i="66"/>
  <c r="S145" i="66"/>
  <c r="S88" i="66"/>
  <c r="S243" i="66"/>
  <c r="S154" i="66"/>
  <c r="S54" i="66"/>
  <c r="T54" i="66" s="1"/>
  <c r="R181" i="66"/>
  <c r="R38" i="66"/>
  <c r="S261" i="66"/>
  <c r="S102" i="66"/>
  <c r="T102" i="66" s="1"/>
  <c r="S231" i="66"/>
  <c r="S17" i="66"/>
  <c r="S23" i="66"/>
  <c r="S186" i="66"/>
  <c r="S39" i="66"/>
  <c r="S290" i="66"/>
  <c r="R154" i="66"/>
  <c r="S81" i="66"/>
  <c r="R165" i="66"/>
  <c r="S34" i="66"/>
  <c r="S209" i="66"/>
  <c r="R50" i="66"/>
  <c r="Q288" i="66"/>
  <c r="R288" i="66" s="1"/>
  <c r="Q159" i="66"/>
  <c r="Q15" i="66"/>
  <c r="Q63" i="66"/>
  <c r="R63" i="66" s="1"/>
  <c r="Q192" i="66"/>
  <c r="Q48" i="66"/>
  <c r="Q111" i="66"/>
  <c r="R111" i="66" s="1"/>
  <c r="Q207" i="66"/>
  <c r="R207" i="66" s="1"/>
  <c r="Q240" i="66"/>
  <c r="R240" i="66" s="1"/>
  <c r="Q96" i="66"/>
  <c r="R96" i="66" s="1"/>
  <c r="Q144" i="66"/>
  <c r="R144" i="66" s="1"/>
  <c r="Q255" i="66"/>
  <c r="R255" i="66" s="1"/>
  <c r="H7" i="37"/>
  <c r="H7" i="58"/>
  <c r="J114" i="37"/>
  <c r="J114" i="58"/>
  <c r="J81" i="58"/>
  <c r="J81" i="37"/>
  <c r="H118" i="58"/>
  <c r="H118" i="37"/>
  <c r="H93" i="37"/>
  <c r="H93" i="58"/>
  <c r="I116" i="37"/>
  <c r="I116" i="58"/>
  <c r="I99" i="58"/>
  <c r="I99" i="37"/>
  <c r="I102" i="37"/>
  <c r="I102" i="58"/>
  <c r="C399" i="58"/>
  <c r="C399" i="37"/>
  <c r="C388" i="37"/>
  <c r="C388" i="58"/>
  <c r="C376" i="58"/>
  <c r="C376" i="37"/>
  <c r="C366" i="58"/>
  <c r="C366" i="37"/>
  <c r="C354" i="58"/>
  <c r="C354" i="37"/>
  <c r="C343" i="58"/>
  <c r="C343" i="37"/>
  <c r="C331" i="58"/>
  <c r="C331" i="37"/>
  <c r="C320" i="37"/>
  <c r="C320" i="58"/>
  <c r="C308" i="58"/>
  <c r="C308" i="37"/>
  <c r="C298" i="58"/>
  <c r="C298" i="37"/>
  <c r="C275" i="58"/>
  <c r="C275" i="37"/>
  <c r="C265" i="58"/>
  <c r="C265" i="37"/>
  <c r="C254" i="58"/>
  <c r="C254" i="37"/>
  <c r="C244" i="58"/>
  <c r="C244" i="37"/>
  <c r="C222" i="37"/>
  <c r="C222" i="58"/>
  <c r="C199" i="58"/>
  <c r="C199" i="37"/>
  <c r="C188" i="37"/>
  <c r="C188" i="58"/>
  <c r="C176" i="58"/>
  <c r="C176" i="37"/>
  <c r="C150" i="58"/>
  <c r="C150" i="37"/>
  <c r="C139" i="58"/>
  <c r="C139" i="37"/>
  <c r="C128" i="58"/>
  <c r="C128" i="37"/>
  <c r="J9" i="58"/>
  <c r="J9" i="37"/>
  <c r="C400" i="58"/>
  <c r="C400" i="37"/>
  <c r="C309" i="58"/>
  <c r="C309" i="37"/>
  <c r="C200" i="58"/>
  <c r="C200" i="37"/>
  <c r="I7" i="58"/>
  <c r="I7" i="37"/>
  <c r="J113" i="58"/>
  <c r="J113" i="37"/>
  <c r="J80" i="58"/>
  <c r="J80" i="37"/>
  <c r="H117" i="58"/>
  <c r="H117" i="37"/>
  <c r="H85" i="37"/>
  <c r="H85" i="58"/>
  <c r="I115" i="37"/>
  <c r="I115" i="58"/>
  <c r="I85" i="58"/>
  <c r="I85" i="37"/>
  <c r="I94" i="37"/>
  <c r="I94" i="58"/>
  <c r="C398" i="37"/>
  <c r="C398" i="58"/>
  <c r="C387" i="37"/>
  <c r="C387" i="58"/>
  <c r="C375" i="58"/>
  <c r="C375" i="37"/>
  <c r="C365" i="58"/>
  <c r="C365" i="37"/>
  <c r="C353" i="37"/>
  <c r="C353" i="58"/>
  <c r="C342" i="58"/>
  <c r="C342" i="37"/>
  <c r="C319" i="58"/>
  <c r="C319" i="37"/>
  <c r="C307" i="58"/>
  <c r="C307" i="37"/>
  <c r="C297" i="58"/>
  <c r="C297" i="37"/>
  <c r="C286" i="58"/>
  <c r="C286" i="37"/>
  <c r="C274" i="58"/>
  <c r="C274" i="37"/>
  <c r="C253" i="58"/>
  <c r="C253" i="37"/>
  <c r="C243" i="58"/>
  <c r="C243" i="37"/>
  <c r="C232" i="58"/>
  <c r="C232" i="37"/>
  <c r="C221" i="37"/>
  <c r="C221" i="58"/>
  <c r="C210" i="58"/>
  <c r="C210" i="37"/>
  <c r="C198" i="58"/>
  <c r="C198" i="37"/>
  <c r="C187" i="58"/>
  <c r="C187" i="37"/>
  <c r="C175" i="58"/>
  <c r="C175" i="37"/>
  <c r="C161" i="58"/>
  <c r="C161" i="37"/>
  <c r="C149" i="37"/>
  <c r="C149" i="58"/>
  <c r="C138" i="58"/>
  <c r="C138" i="37"/>
  <c r="C122" i="58"/>
  <c r="C122" i="37"/>
  <c r="C377" i="58"/>
  <c r="C377" i="37"/>
  <c r="C276" i="58"/>
  <c r="C276" i="37"/>
  <c r="C140" i="58"/>
  <c r="C140" i="37"/>
  <c r="C129" i="58"/>
  <c r="C129" i="37"/>
  <c r="J7" i="58"/>
  <c r="F271" i="66" s="1"/>
  <c r="J7" i="37"/>
  <c r="J112" i="58"/>
  <c r="J112" i="37"/>
  <c r="J78" i="37"/>
  <c r="J78" i="58"/>
  <c r="H115" i="58"/>
  <c r="H115" i="37"/>
  <c r="H82" i="58"/>
  <c r="H82" i="37"/>
  <c r="H114" i="58"/>
  <c r="H114" i="37"/>
  <c r="I98" i="37"/>
  <c r="I98" i="58"/>
  <c r="H86" i="58"/>
  <c r="H86" i="37"/>
  <c r="J2" i="58"/>
  <c r="J2" i="37"/>
  <c r="C397" i="58"/>
  <c r="C397" i="37"/>
  <c r="C386" i="58"/>
  <c r="C386" i="37"/>
  <c r="C374" i="58"/>
  <c r="C374" i="37"/>
  <c r="C364" i="58"/>
  <c r="C364" i="37"/>
  <c r="C341" i="37"/>
  <c r="C341" i="58"/>
  <c r="C330" i="58"/>
  <c r="C330" i="37"/>
  <c r="C318" i="58"/>
  <c r="C318" i="37"/>
  <c r="C296" i="58"/>
  <c r="C296" i="37"/>
  <c r="C285" i="58"/>
  <c r="C285" i="37"/>
  <c r="C273" i="37"/>
  <c r="C273" i="58"/>
  <c r="C264" i="37"/>
  <c r="C264" i="58"/>
  <c r="C252" i="37"/>
  <c r="C252" i="58"/>
  <c r="C242" i="58"/>
  <c r="C242" i="37"/>
  <c r="C231" i="58"/>
  <c r="C231" i="37"/>
  <c r="C220" i="58"/>
  <c r="C220" i="37"/>
  <c r="C209" i="37"/>
  <c r="C209" i="58"/>
  <c r="C197" i="37"/>
  <c r="C197" i="58"/>
  <c r="C186" i="37"/>
  <c r="C186" i="58"/>
  <c r="C174" i="58"/>
  <c r="C174" i="37"/>
  <c r="C160" i="58"/>
  <c r="C160" i="37"/>
  <c r="C137" i="37"/>
  <c r="C137" i="58"/>
  <c r="C127" i="58"/>
  <c r="C127" i="37"/>
  <c r="C255" i="58"/>
  <c r="C255" i="37"/>
  <c r="J109" i="37"/>
  <c r="J109" i="58"/>
  <c r="J86" i="58"/>
  <c r="J86" i="37"/>
  <c r="H113" i="37"/>
  <c r="H113" i="58"/>
  <c r="H81" i="58"/>
  <c r="H81" i="37"/>
  <c r="I113" i="37"/>
  <c r="I113" i="58"/>
  <c r="H83" i="58"/>
  <c r="H83" i="37"/>
  <c r="J79" i="58"/>
  <c r="J79" i="37"/>
  <c r="C396" i="37"/>
  <c r="C396" i="58"/>
  <c r="C385" i="58"/>
  <c r="C385" i="37"/>
  <c r="C373" i="58"/>
  <c r="C373" i="37"/>
  <c r="C363" i="58"/>
  <c r="C363" i="37"/>
  <c r="C352" i="58"/>
  <c r="C352" i="37"/>
  <c r="C340" i="58"/>
  <c r="C340" i="37"/>
  <c r="C329" i="58"/>
  <c r="C329" i="37"/>
  <c r="C317" i="58"/>
  <c r="C317" i="37"/>
  <c r="C306" i="58"/>
  <c r="C306" i="37"/>
  <c r="C295" i="37"/>
  <c r="C295" i="58"/>
  <c r="C284" i="58"/>
  <c r="C284" i="37"/>
  <c r="C272" i="37"/>
  <c r="C272" i="58"/>
  <c r="C263" i="58"/>
  <c r="C263" i="37"/>
  <c r="C251" i="58"/>
  <c r="C251" i="37"/>
  <c r="C241" i="58"/>
  <c r="C241" i="37"/>
  <c r="C230" i="58"/>
  <c r="C230" i="37"/>
  <c r="C219" i="58"/>
  <c r="C219" i="37"/>
  <c r="C208" i="58"/>
  <c r="C208" i="37"/>
  <c r="C196" i="37"/>
  <c r="C196" i="58"/>
  <c r="C185" i="37"/>
  <c r="C185" i="58"/>
  <c r="C173" i="37"/>
  <c r="C173" i="58"/>
  <c r="C159" i="37"/>
  <c r="C159" i="58"/>
  <c r="C148" i="58"/>
  <c r="C148" i="37"/>
  <c r="C136" i="37"/>
  <c r="C136" i="58"/>
  <c r="C121" i="37"/>
  <c r="C121" i="58"/>
  <c r="C344" i="58"/>
  <c r="C344" i="37"/>
  <c r="C189" i="58"/>
  <c r="C189" i="37"/>
  <c r="J3" i="58"/>
  <c r="J3" i="37"/>
  <c r="I3" i="58"/>
  <c r="I3" i="37"/>
  <c r="J101" i="37"/>
  <c r="J101" i="58"/>
  <c r="H112" i="37"/>
  <c r="H112" i="58"/>
  <c r="H80" i="58"/>
  <c r="H80" i="37"/>
  <c r="I97" i="58"/>
  <c r="I97" i="37"/>
  <c r="I81" i="58"/>
  <c r="I81" i="37"/>
  <c r="I2" i="58"/>
  <c r="I2" i="37"/>
  <c r="C395" i="58"/>
  <c r="C395" i="37"/>
  <c r="C384" i="58"/>
  <c r="C384" i="37"/>
  <c r="C372" i="37"/>
  <c r="C372" i="58"/>
  <c r="C362" i="37"/>
  <c r="C362" i="58"/>
  <c r="C351" i="58"/>
  <c r="C351" i="37"/>
  <c r="C339" i="37"/>
  <c r="C339" i="58"/>
  <c r="C328" i="37"/>
  <c r="C328" i="58"/>
  <c r="C316" i="58"/>
  <c r="C316" i="37"/>
  <c r="C305" i="58"/>
  <c r="C305" i="37"/>
  <c r="C294" i="37"/>
  <c r="C294" i="58"/>
  <c r="C283" i="37"/>
  <c r="C283" i="58"/>
  <c r="C271" i="58"/>
  <c r="C271" i="37"/>
  <c r="C262" i="58"/>
  <c r="C262" i="37"/>
  <c r="C240" i="58"/>
  <c r="C240" i="37"/>
  <c r="C229" i="58"/>
  <c r="C229" i="37"/>
  <c r="C218" i="37"/>
  <c r="C218" i="58"/>
  <c r="C207" i="58"/>
  <c r="C207" i="37"/>
  <c r="C195" i="58"/>
  <c r="C195" i="37"/>
  <c r="C184" i="58"/>
  <c r="C184" i="37"/>
  <c r="C158" i="58"/>
  <c r="C158" i="37"/>
  <c r="C147" i="58"/>
  <c r="C147" i="37"/>
  <c r="C135" i="37"/>
  <c r="C135" i="58"/>
  <c r="C126" i="58"/>
  <c r="C126" i="37"/>
  <c r="C299" i="58"/>
  <c r="C299" i="37"/>
  <c r="J99" i="37"/>
  <c r="J99" i="58"/>
  <c r="H110" i="37"/>
  <c r="H110" i="58"/>
  <c r="H78" i="37"/>
  <c r="H78" i="58"/>
  <c r="I112" i="37"/>
  <c r="I112" i="58"/>
  <c r="I80" i="58"/>
  <c r="I80" i="37"/>
  <c r="C394" i="58"/>
  <c r="C394" i="37"/>
  <c r="C383" i="37"/>
  <c r="C383" i="58"/>
  <c r="C371" i="37"/>
  <c r="C371" i="58"/>
  <c r="C361" i="37"/>
  <c r="C361" i="58"/>
  <c r="C350" i="58"/>
  <c r="C350" i="37"/>
  <c r="C338" i="37"/>
  <c r="C338" i="58"/>
  <c r="C327" i="37"/>
  <c r="C327" i="58"/>
  <c r="C315" i="58"/>
  <c r="C315" i="37"/>
  <c r="C304" i="37"/>
  <c r="C304" i="58"/>
  <c r="C293" i="58"/>
  <c r="C293" i="37"/>
  <c r="C282" i="58"/>
  <c r="C282" i="37"/>
  <c r="C270" i="58"/>
  <c r="C270" i="37"/>
  <c r="C261" i="58"/>
  <c r="C261" i="37"/>
  <c r="C250" i="58"/>
  <c r="C250" i="37"/>
  <c r="C239" i="37"/>
  <c r="C239" i="58"/>
  <c r="C217" i="37"/>
  <c r="C217" i="58"/>
  <c r="C206" i="58"/>
  <c r="C206" i="37"/>
  <c r="C194" i="37"/>
  <c r="C194" i="58"/>
  <c r="C183" i="58"/>
  <c r="C183" i="37"/>
  <c r="C172" i="37"/>
  <c r="C172" i="58"/>
  <c r="C157" i="58"/>
  <c r="C157" i="37"/>
  <c r="C146" i="37"/>
  <c r="C146" i="58"/>
  <c r="C134" i="58"/>
  <c r="C134" i="37"/>
  <c r="C125" i="58"/>
  <c r="C125" i="37"/>
  <c r="C120" i="58"/>
  <c r="C120" i="37"/>
  <c r="C355" i="37"/>
  <c r="C355" i="58"/>
  <c r="C287" i="58"/>
  <c r="C287" i="37"/>
  <c r="C245" i="58"/>
  <c r="C245" i="37"/>
  <c r="C223" i="58"/>
  <c r="C223" i="37"/>
  <c r="C177" i="58"/>
  <c r="C177" i="37"/>
  <c r="C151" i="58"/>
  <c r="C151" i="37"/>
  <c r="C123" i="37"/>
  <c r="C123" i="58"/>
  <c r="J98" i="58"/>
  <c r="J98" i="37"/>
  <c r="H108" i="58"/>
  <c r="H108" i="37"/>
  <c r="I96" i="58"/>
  <c r="I96" i="37"/>
  <c r="I78" i="58"/>
  <c r="I78" i="37"/>
  <c r="C393" i="58"/>
  <c r="C393" i="37"/>
  <c r="C382" i="37"/>
  <c r="C382" i="58"/>
  <c r="C360" i="37"/>
  <c r="C360" i="58"/>
  <c r="C349" i="37"/>
  <c r="C349" i="58"/>
  <c r="C337" i="37"/>
  <c r="C337" i="58"/>
  <c r="C326" i="58"/>
  <c r="C326" i="37"/>
  <c r="C314" i="58"/>
  <c r="C314" i="37"/>
  <c r="C303" i="37"/>
  <c r="C303" i="58"/>
  <c r="C292" i="37"/>
  <c r="C292" i="58"/>
  <c r="C281" i="58"/>
  <c r="C281" i="37"/>
  <c r="C269" i="58"/>
  <c r="C269" i="37"/>
  <c r="C260" i="37"/>
  <c r="C260" i="58"/>
  <c r="C249" i="37"/>
  <c r="C249" i="58"/>
  <c r="C238" i="58"/>
  <c r="C238" i="37"/>
  <c r="C228" i="37"/>
  <c r="C228" i="58"/>
  <c r="C216" i="37"/>
  <c r="C216" i="58"/>
  <c r="C205" i="37"/>
  <c r="C205" i="58"/>
  <c r="C193" i="58"/>
  <c r="C193" i="37"/>
  <c r="C182" i="58"/>
  <c r="C182" i="37"/>
  <c r="C171" i="58"/>
  <c r="C171" i="37"/>
  <c r="C156" i="37"/>
  <c r="C156" i="58"/>
  <c r="C145" i="58"/>
  <c r="C145" i="37"/>
  <c r="C133" i="37"/>
  <c r="C133" i="58"/>
  <c r="C124" i="37"/>
  <c r="C124" i="58"/>
  <c r="J117" i="58"/>
  <c r="J117" i="37"/>
  <c r="J97" i="37"/>
  <c r="J97" i="58"/>
  <c r="H101" i="58"/>
  <c r="H101" i="37"/>
  <c r="J111" i="58"/>
  <c r="J111" i="37"/>
  <c r="C392" i="58"/>
  <c r="C392" i="37"/>
  <c r="C381" i="58"/>
  <c r="C381" i="37"/>
  <c r="C370" i="37"/>
  <c r="C370" i="58"/>
  <c r="C359" i="58"/>
  <c r="C359" i="37"/>
  <c r="C348" i="58"/>
  <c r="C348" i="37"/>
  <c r="C336" i="37"/>
  <c r="C336" i="58"/>
  <c r="C325" i="37"/>
  <c r="C325" i="58"/>
  <c r="C313" i="37"/>
  <c r="C313" i="58"/>
  <c r="C302" i="37"/>
  <c r="C302" i="58"/>
  <c r="C291" i="37"/>
  <c r="C291" i="58"/>
  <c r="C280" i="58"/>
  <c r="C280" i="37"/>
  <c r="C259" i="58"/>
  <c r="C259" i="37"/>
  <c r="C237" i="58"/>
  <c r="C237" i="37"/>
  <c r="C227" i="58"/>
  <c r="C227" i="37"/>
  <c r="C215" i="58"/>
  <c r="C215" i="37"/>
  <c r="C204" i="58"/>
  <c r="C204" i="37"/>
  <c r="C192" i="58"/>
  <c r="C192" i="37"/>
  <c r="C181" i="58"/>
  <c r="C181" i="37"/>
  <c r="C170" i="37"/>
  <c r="C170" i="58"/>
  <c r="C155" i="37"/>
  <c r="C155" i="58"/>
  <c r="C144" i="37"/>
  <c r="C144" i="58"/>
  <c r="C132" i="37"/>
  <c r="C132" i="58"/>
  <c r="J83" i="58"/>
  <c r="J83" i="37"/>
  <c r="H96" i="58"/>
  <c r="H96" i="37"/>
  <c r="I101" i="37"/>
  <c r="I101" i="58"/>
  <c r="C321" i="58"/>
  <c r="C321" i="37"/>
  <c r="C211" i="58"/>
  <c r="C211" i="37"/>
  <c r="H9" i="58"/>
  <c r="H9" i="37"/>
  <c r="J96" i="58"/>
  <c r="J96" i="37"/>
  <c r="H99" i="58"/>
  <c r="H99" i="37"/>
  <c r="I118" i="37"/>
  <c r="I118" i="58"/>
  <c r="I110" i="58"/>
  <c r="I110" i="37"/>
  <c r="I93" i="58"/>
  <c r="I93" i="37"/>
  <c r="I82" i="37"/>
  <c r="I82" i="58"/>
  <c r="C391" i="37"/>
  <c r="C391" i="58"/>
  <c r="C380" i="58"/>
  <c r="C380" i="37"/>
  <c r="C369" i="37"/>
  <c r="C369" i="58"/>
  <c r="C358" i="58"/>
  <c r="C358" i="37"/>
  <c r="C347" i="58"/>
  <c r="C347" i="37"/>
  <c r="C335" i="58"/>
  <c r="C335" i="37"/>
  <c r="C324" i="58"/>
  <c r="C324" i="37"/>
  <c r="C312" i="37"/>
  <c r="C312" i="58"/>
  <c r="C290" i="58"/>
  <c r="C290" i="37"/>
  <c r="C279" i="58"/>
  <c r="C279" i="37"/>
  <c r="C268" i="37"/>
  <c r="C268" i="58"/>
  <c r="C258" i="58"/>
  <c r="C258" i="37"/>
  <c r="C248" i="37"/>
  <c r="C248" i="58"/>
  <c r="C236" i="58"/>
  <c r="C236" i="37"/>
  <c r="C226" i="37"/>
  <c r="C226" i="58"/>
  <c r="C214" i="58"/>
  <c r="C214" i="37"/>
  <c r="C203" i="58"/>
  <c r="C203" i="37"/>
  <c r="C191" i="58"/>
  <c r="C191" i="37"/>
  <c r="C180" i="58"/>
  <c r="C180" i="37"/>
  <c r="C169" i="58"/>
  <c r="C169" i="37"/>
  <c r="C154" i="37"/>
  <c r="C154" i="58"/>
  <c r="C143" i="37"/>
  <c r="C143" i="58"/>
  <c r="C332" i="37"/>
  <c r="C332" i="58"/>
  <c r="C233" i="37"/>
  <c r="C233" i="58"/>
  <c r="J93" i="37"/>
  <c r="J93" i="58"/>
  <c r="H98" i="37"/>
  <c r="H98" i="58"/>
  <c r="H109" i="37"/>
  <c r="H109" i="58"/>
  <c r="H2" i="58"/>
  <c r="H2" i="37"/>
  <c r="C390" i="58"/>
  <c r="C390" i="37"/>
  <c r="C379" i="58"/>
  <c r="C379" i="37"/>
  <c r="C368" i="37"/>
  <c r="C368" i="58"/>
  <c r="C357" i="58"/>
  <c r="C357" i="37"/>
  <c r="C346" i="37"/>
  <c r="C346" i="58"/>
  <c r="C334" i="37"/>
  <c r="C334" i="58"/>
  <c r="C323" i="58"/>
  <c r="C323" i="37"/>
  <c r="C311" i="37"/>
  <c r="C311" i="58"/>
  <c r="C301" i="58"/>
  <c r="C301" i="37"/>
  <c r="C289" i="58"/>
  <c r="C289" i="37"/>
  <c r="C278" i="37"/>
  <c r="C278" i="58"/>
  <c r="C267" i="37"/>
  <c r="C267" i="58"/>
  <c r="C257" i="58"/>
  <c r="C257" i="37"/>
  <c r="C247" i="58"/>
  <c r="C247" i="37"/>
  <c r="C235" i="37"/>
  <c r="C235" i="58"/>
  <c r="C225" i="58"/>
  <c r="C225" i="37"/>
  <c r="C213" i="37"/>
  <c r="C213" i="58"/>
  <c r="C202" i="58"/>
  <c r="C202" i="37"/>
  <c r="C179" i="58"/>
  <c r="C179" i="37"/>
  <c r="C153" i="58"/>
  <c r="C153" i="37"/>
  <c r="C142" i="37"/>
  <c r="C142" i="58"/>
  <c r="C131" i="58"/>
  <c r="C131" i="37"/>
  <c r="I9" i="58"/>
  <c r="I9" i="37"/>
  <c r="J118" i="37"/>
  <c r="J118" i="58"/>
  <c r="J85" i="37"/>
  <c r="J85" i="58"/>
  <c r="H97" i="37"/>
  <c r="H97" i="58"/>
  <c r="I117" i="37"/>
  <c r="I117" i="58"/>
  <c r="J108" i="37"/>
  <c r="J108" i="58"/>
  <c r="C401" i="58"/>
  <c r="C401" i="37"/>
  <c r="C389" i="58"/>
  <c r="C389" i="37"/>
  <c r="C378" i="58"/>
  <c r="C378" i="37"/>
  <c r="C367" i="58"/>
  <c r="C367" i="37"/>
  <c r="C356" i="58"/>
  <c r="C356" i="37"/>
  <c r="C345" i="58"/>
  <c r="C345" i="37"/>
  <c r="C333" i="58"/>
  <c r="C333" i="37"/>
  <c r="C322" i="37"/>
  <c r="C322" i="58"/>
  <c r="C310" i="58"/>
  <c r="C310" i="37"/>
  <c r="C300" i="58"/>
  <c r="C300" i="37"/>
  <c r="C288" i="58"/>
  <c r="C288" i="37"/>
  <c r="C277" i="37"/>
  <c r="C277" i="58"/>
  <c r="C266" i="58"/>
  <c r="C266" i="37"/>
  <c r="C256" i="58"/>
  <c r="C256" i="37"/>
  <c r="C246" i="58"/>
  <c r="C246" i="37"/>
  <c r="C234" i="58"/>
  <c r="C234" i="37"/>
  <c r="C224" i="58"/>
  <c r="C224" i="37"/>
  <c r="C212" i="37"/>
  <c r="C212" i="58"/>
  <c r="C201" i="58"/>
  <c r="C201" i="37"/>
  <c r="C190" i="58"/>
  <c r="C190" i="37"/>
  <c r="C178" i="37"/>
  <c r="C178" i="58"/>
  <c r="C168" i="58"/>
  <c r="C168" i="37"/>
  <c r="C152" i="58"/>
  <c r="C152" i="37"/>
  <c r="C141" i="58"/>
  <c r="C141" i="37"/>
  <c r="C130" i="58"/>
  <c r="C130" i="37"/>
  <c r="E188" i="38" l="1"/>
  <c r="E189" i="38"/>
  <c r="E201" i="38"/>
  <c r="E190" i="38"/>
  <c r="E202" i="38"/>
  <c r="E191" i="38"/>
  <c r="E192" i="38"/>
  <c r="E193" i="38"/>
  <c r="E199" i="38"/>
  <c r="E194" i="38"/>
  <c r="E195" i="38"/>
  <c r="E196" i="38"/>
  <c r="E197" i="38"/>
  <c r="E198" i="38"/>
  <c r="E200" i="38"/>
  <c r="R189" i="38"/>
  <c r="T63" i="66"/>
  <c r="T240" i="66"/>
  <c r="I102" i="41"/>
  <c r="J114" i="41"/>
  <c r="I116" i="41"/>
  <c r="H93" i="41"/>
  <c r="T110" i="66"/>
  <c r="T50" i="66"/>
  <c r="T205" i="66"/>
  <c r="T216" i="66"/>
  <c r="T165" i="66"/>
  <c r="T30" i="66"/>
  <c r="T138" i="66"/>
  <c r="T202" i="66"/>
  <c r="T181" i="66"/>
  <c r="T144" i="66"/>
  <c r="T183" i="66"/>
  <c r="T182" i="66"/>
  <c r="T215" i="66"/>
  <c r="T99" i="66"/>
  <c r="T272" i="66"/>
  <c r="T222" i="66"/>
  <c r="T288" i="66"/>
  <c r="T243" i="66"/>
  <c r="T263" i="66"/>
  <c r="T279" i="66"/>
  <c r="T72" i="66"/>
  <c r="T207" i="66"/>
  <c r="T43" i="66"/>
  <c r="T264" i="66"/>
  <c r="T10" i="66"/>
  <c r="T37" i="66"/>
  <c r="T81" i="66"/>
  <c r="T187" i="66"/>
  <c r="T290" i="66"/>
  <c r="T174" i="66"/>
  <c r="T3" i="66"/>
  <c r="T159" i="66"/>
  <c r="T14" i="66"/>
  <c r="T114" i="66"/>
  <c r="T235" i="66"/>
  <c r="T91" i="66"/>
  <c r="T94" i="66"/>
  <c r="T100" i="66"/>
  <c r="T252" i="66"/>
  <c r="T278" i="66"/>
  <c r="T204" i="66"/>
  <c r="T71" i="66"/>
  <c r="T196" i="66"/>
  <c r="T213" i="66"/>
  <c r="T23" i="66"/>
  <c r="T28" i="66"/>
  <c r="T199" i="66"/>
  <c r="T122" i="66"/>
  <c r="T229" i="66"/>
  <c r="T190" i="66"/>
  <c r="T39" i="66"/>
  <c r="T126" i="66"/>
  <c r="T257" i="66"/>
  <c r="T286" i="66"/>
  <c r="T234" i="66"/>
  <c r="T62" i="66"/>
  <c r="T60" i="66"/>
  <c r="T113" i="66"/>
  <c r="T218" i="66"/>
  <c r="T18" i="66"/>
  <c r="T129" i="66"/>
  <c r="T66" i="66"/>
  <c r="T117" i="66"/>
  <c r="T61" i="66"/>
  <c r="T119" i="66"/>
  <c r="T134" i="66"/>
  <c r="T220" i="66"/>
  <c r="T151" i="66"/>
  <c r="T15" i="66"/>
  <c r="T109" i="66"/>
  <c r="T194" i="66"/>
  <c r="T58" i="66"/>
  <c r="T167" i="66"/>
  <c r="T133" i="66"/>
  <c r="T103" i="66"/>
  <c r="T270" i="66"/>
  <c r="T21" i="66"/>
  <c r="T283" i="66"/>
  <c r="T258" i="66"/>
  <c r="T46" i="66"/>
  <c r="T266" i="66"/>
  <c r="T65" i="66"/>
  <c r="T128" i="66"/>
  <c r="T186" i="66"/>
  <c r="T282" i="66"/>
  <c r="T225" i="66"/>
  <c r="T85" i="66"/>
  <c r="T230" i="66"/>
  <c r="T69" i="66"/>
  <c r="T244" i="66"/>
  <c r="T86" i="66"/>
  <c r="T238" i="66"/>
  <c r="T206" i="66"/>
  <c r="T195" i="66"/>
  <c r="T146" i="66"/>
  <c r="T158" i="66"/>
  <c r="T108" i="66"/>
  <c r="T157" i="66"/>
  <c r="T192" i="66"/>
  <c r="T209" i="66"/>
  <c r="T24" i="66"/>
  <c r="T120" i="66"/>
  <c r="T32" i="66"/>
  <c r="T12" i="66"/>
  <c r="T76" i="66"/>
  <c r="T147" i="66"/>
  <c r="T154" i="66"/>
  <c r="T98" i="66"/>
  <c r="T7" i="66"/>
  <c r="T250" i="66"/>
  <c r="T170" i="66"/>
  <c r="T26" i="66"/>
  <c r="T87" i="66"/>
  <c r="T55" i="66"/>
  <c r="T80" i="66"/>
  <c r="T161" i="66"/>
  <c r="T13" i="66"/>
  <c r="T38" i="66"/>
  <c r="T124" i="66"/>
  <c r="T277" i="66"/>
  <c r="T162" i="66"/>
  <c r="T268" i="66"/>
  <c r="T168" i="66"/>
  <c r="T255" i="66"/>
  <c r="T231" i="66"/>
  <c r="T17" i="66"/>
  <c r="T42" i="66"/>
  <c r="T33" i="66"/>
  <c r="T148" i="66"/>
  <c r="T156" i="66"/>
  <c r="T51" i="66"/>
  <c r="T135" i="66"/>
  <c r="T96" i="66"/>
  <c r="T52" i="66"/>
  <c r="T261" i="66"/>
  <c r="T210" i="66"/>
  <c r="T90" i="66"/>
  <c r="T242" i="66"/>
  <c r="T74" i="66"/>
  <c r="T176" i="66"/>
  <c r="T224" i="66"/>
  <c r="T254" i="66"/>
  <c r="T253" i="66"/>
  <c r="T177" i="66"/>
  <c r="T4" i="66"/>
  <c r="T273" i="66"/>
  <c r="T142" i="66"/>
  <c r="T247" i="66"/>
  <c r="T111" i="66"/>
  <c r="T78" i="66"/>
  <c r="T106" i="66"/>
  <c r="T48" i="66"/>
  <c r="T139" i="66"/>
  <c r="T172" i="66"/>
  <c r="I101" i="41"/>
  <c r="H86" i="41"/>
  <c r="H114" i="41"/>
  <c r="H82" i="41"/>
  <c r="H115" i="41"/>
  <c r="J112" i="41"/>
  <c r="J83" i="41"/>
  <c r="I85" i="41"/>
  <c r="H117" i="41"/>
  <c r="J113" i="41"/>
  <c r="H109" i="41"/>
  <c r="H98" i="41"/>
  <c r="J93" i="41"/>
  <c r="I82" i="41"/>
  <c r="I118" i="41"/>
  <c r="I112" i="41"/>
  <c r="H110" i="41"/>
  <c r="J99" i="41"/>
  <c r="J97" i="41"/>
  <c r="I113" i="41"/>
  <c r="H113" i="41"/>
  <c r="J109" i="41"/>
  <c r="I96" i="41"/>
  <c r="H108" i="41"/>
  <c r="J98" i="41"/>
  <c r="I81" i="41"/>
  <c r="I97" i="41"/>
  <c r="H80" i="41"/>
  <c r="I111" i="37"/>
  <c r="I111" i="58"/>
  <c r="H111" i="58"/>
  <c r="H111" i="37"/>
  <c r="C211" i="41"/>
  <c r="C321" i="41"/>
  <c r="H96" i="41"/>
  <c r="H119" i="37"/>
  <c r="H119" i="58"/>
  <c r="J110" i="37"/>
  <c r="J110" i="58"/>
  <c r="J82" i="58"/>
  <c r="J82" i="37"/>
  <c r="H95" i="37"/>
  <c r="H95" i="58"/>
  <c r="H94" i="37"/>
  <c r="H94" i="58"/>
  <c r="J119" i="37"/>
  <c r="J119" i="58"/>
  <c r="J115" i="37"/>
  <c r="J115" i="58"/>
  <c r="I119" i="58"/>
  <c r="I119" i="37"/>
  <c r="H74" i="58"/>
  <c r="H74" i="37"/>
  <c r="I79" i="58"/>
  <c r="I79" i="37"/>
  <c r="I74" i="58"/>
  <c r="I74" i="37"/>
  <c r="C130" i="41"/>
  <c r="C141" i="41"/>
  <c r="C152" i="41"/>
  <c r="C168" i="41"/>
  <c r="C190" i="41"/>
  <c r="C201" i="41"/>
  <c r="C224" i="41"/>
  <c r="C234" i="41"/>
  <c r="C246" i="41"/>
  <c r="C256" i="41"/>
  <c r="C266" i="41"/>
  <c r="C288" i="41"/>
  <c r="C300" i="41"/>
  <c r="C310" i="41"/>
  <c r="C333" i="41"/>
  <c r="C345" i="41"/>
  <c r="C356" i="41"/>
  <c r="C367" i="41"/>
  <c r="C378" i="41"/>
  <c r="C389" i="41"/>
  <c r="C401" i="41"/>
  <c r="I114" i="37"/>
  <c r="I114" i="58"/>
  <c r="I83" i="37"/>
  <c r="I83" i="58"/>
  <c r="J74" i="58"/>
  <c r="J74" i="37"/>
  <c r="C178" i="41"/>
  <c r="C212" i="41"/>
  <c r="C277" i="41"/>
  <c r="C322" i="41"/>
  <c r="J108" i="41"/>
  <c r="I117" i="41"/>
  <c r="H97" i="41"/>
  <c r="J85" i="41"/>
  <c r="J118" i="41"/>
  <c r="F95" i="66"/>
  <c r="I9" i="41"/>
  <c r="D55" i="39" s="1"/>
  <c r="E119" i="38" s="1"/>
  <c r="J95" i="66" s="1"/>
  <c r="C131" i="41"/>
  <c r="C153" i="41"/>
  <c r="C179" i="41"/>
  <c r="C202" i="41"/>
  <c r="C225" i="41"/>
  <c r="C247" i="41"/>
  <c r="C257" i="41"/>
  <c r="C289" i="41"/>
  <c r="C301" i="41"/>
  <c r="C323" i="41"/>
  <c r="C357" i="41"/>
  <c r="C379" i="41"/>
  <c r="C390" i="41"/>
  <c r="H2" i="41"/>
  <c r="J94" i="37"/>
  <c r="J94" i="58"/>
  <c r="I108" i="37"/>
  <c r="I108" i="58"/>
  <c r="I95" i="37"/>
  <c r="I95" i="58"/>
  <c r="F239" i="66"/>
  <c r="C142" i="41"/>
  <c r="C213" i="41"/>
  <c r="C235" i="41"/>
  <c r="C267" i="41"/>
  <c r="C278" i="41"/>
  <c r="C311" i="41"/>
  <c r="C334" i="41"/>
  <c r="C346" i="41"/>
  <c r="C368" i="41"/>
  <c r="C233" i="41"/>
  <c r="C332" i="41"/>
  <c r="C169" i="41"/>
  <c r="C180" i="41"/>
  <c r="C191" i="41"/>
  <c r="C203" i="41"/>
  <c r="C214" i="41"/>
  <c r="C236" i="41"/>
  <c r="C258" i="41"/>
  <c r="C279" i="41"/>
  <c r="C290" i="41"/>
  <c r="C324" i="41"/>
  <c r="C335" i="41"/>
  <c r="C347" i="41"/>
  <c r="C358" i="41"/>
  <c r="C380" i="41"/>
  <c r="I93" i="41"/>
  <c r="I110" i="41"/>
  <c r="H99" i="41"/>
  <c r="J96" i="41"/>
  <c r="H9" i="41"/>
  <c r="C55" i="39" s="1"/>
  <c r="E102" i="38" s="1"/>
  <c r="F47" i="66"/>
  <c r="C143" i="41"/>
  <c r="C154" i="41"/>
  <c r="C226" i="41"/>
  <c r="C248" i="41"/>
  <c r="C268" i="41"/>
  <c r="C312" i="41"/>
  <c r="C369" i="41"/>
  <c r="C391" i="41"/>
  <c r="F191" i="66"/>
  <c r="I87" i="37"/>
  <c r="I87" i="58"/>
  <c r="J102" i="37"/>
  <c r="J102" i="58"/>
  <c r="J87" i="58"/>
  <c r="J87" i="37"/>
  <c r="I86" i="58"/>
  <c r="I86" i="37"/>
  <c r="J116" i="37"/>
  <c r="J116" i="58"/>
  <c r="H87" i="58"/>
  <c r="H87" i="37"/>
  <c r="I109" i="58"/>
  <c r="I109" i="37"/>
  <c r="H116" i="37"/>
  <c r="H116" i="58"/>
  <c r="J95" i="37"/>
  <c r="J95" i="58"/>
  <c r="H102" i="58"/>
  <c r="H102" i="37"/>
  <c r="H79" i="37"/>
  <c r="H79" i="58"/>
  <c r="C132" i="41"/>
  <c r="C144" i="41"/>
  <c r="C155" i="41"/>
  <c r="C170" i="41"/>
  <c r="C291" i="41"/>
  <c r="C302" i="41"/>
  <c r="C313" i="41"/>
  <c r="C325" i="41"/>
  <c r="C336" i="41"/>
  <c r="C370" i="41"/>
  <c r="H112" i="41"/>
  <c r="J101" i="41"/>
  <c r="C121" i="41"/>
  <c r="C136" i="41"/>
  <c r="C159" i="41"/>
  <c r="C173" i="41"/>
  <c r="C185" i="41"/>
  <c r="C196" i="41"/>
  <c r="C272" i="41"/>
  <c r="C295" i="41"/>
  <c r="C396" i="41"/>
  <c r="I99" i="41"/>
  <c r="H118" i="41"/>
  <c r="J81" i="41"/>
  <c r="F175" i="66"/>
  <c r="H7" i="41"/>
  <c r="C54" i="39" s="1"/>
  <c r="E101" i="38" s="1"/>
  <c r="F31" i="66"/>
  <c r="C127" i="41"/>
  <c r="C160" i="41"/>
  <c r="C174" i="41"/>
  <c r="C220" i="41"/>
  <c r="C231" i="41"/>
  <c r="C242" i="41"/>
  <c r="C285" i="41"/>
  <c r="C296" i="41"/>
  <c r="C318" i="41"/>
  <c r="C330" i="41"/>
  <c r="C364" i="41"/>
  <c r="C374" i="41"/>
  <c r="C386" i="41"/>
  <c r="C397" i="41"/>
  <c r="J2" i="41"/>
  <c r="C137" i="41"/>
  <c r="C186" i="41"/>
  <c r="C197" i="41"/>
  <c r="C209" i="41"/>
  <c r="C252" i="41"/>
  <c r="C264" i="41"/>
  <c r="C273" i="41"/>
  <c r="C341" i="41"/>
  <c r="C129" i="41"/>
  <c r="C140" i="41"/>
  <c r="C276" i="41"/>
  <c r="C377" i="41"/>
  <c r="J111" i="41"/>
  <c r="H101" i="41"/>
  <c r="J117" i="41"/>
  <c r="C126" i="41"/>
  <c r="C147" i="41"/>
  <c r="C158" i="41"/>
  <c r="C184" i="41"/>
  <c r="C195" i="41"/>
  <c r="C207" i="41"/>
  <c r="C229" i="41"/>
  <c r="C240" i="41"/>
  <c r="C262" i="41"/>
  <c r="C271" i="41"/>
  <c r="C305" i="41"/>
  <c r="C316" i="41"/>
  <c r="C351" i="41"/>
  <c r="C384" i="41"/>
  <c r="C395" i="41"/>
  <c r="I2" i="41"/>
  <c r="J79" i="41"/>
  <c r="H83" i="41"/>
  <c r="H81" i="41"/>
  <c r="J86" i="41"/>
  <c r="C255" i="41"/>
  <c r="C122" i="41"/>
  <c r="C138" i="41"/>
  <c r="C161" i="41"/>
  <c r="C175" i="41"/>
  <c r="C187" i="41"/>
  <c r="C198" i="41"/>
  <c r="C210" i="41"/>
  <c r="C232" i="41"/>
  <c r="C243" i="41"/>
  <c r="C253" i="41"/>
  <c r="C274" i="41"/>
  <c r="C286" i="41"/>
  <c r="C297" i="41"/>
  <c r="C307" i="41"/>
  <c r="C319" i="41"/>
  <c r="C342" i="41"/>
  <c r="C365" i="41"/>
  <c r="C375" i="41"/>
  <c r="J80" i="41"/>
  <c r="I7" i="41"/>
  <c r="D54" i="39" s="1"/>
  <c r="E118" i="38" s="1"/>
  <c r="J79" i="66" s="1"/>
  <c r="F79" i="66"/>
  <c r="C200" i="41"/>
  <c r="C309" i="41"/>
  <c r="C400" i="41"/>
  <c r="J9" i="41"/>
  <c r="E55" i="39" s="1"/>
  <c r="E136" i="38" s="1"/>
  <c r="J143" i="66" s="1"/>
  <c r="F143" i="66"/>
  <c r="C120" i="41"/>
  <c r="C125" i="41"/>
  <c r="C134" i="41"/>
  <c r="C157" i="41"/>
  <c r="C183" i="41"/>
  <c r="C206" i="41"/>
  <c r="C250" i="41"/>
  <c r="C261" i="41"/>
  <c r="C270" i="41"/>
  <c r="C282" i="41"/>
  <c r="C293" i="41"/>
  <c r="C315" i="41"/>
  <c r="C350" i="41"/>
  <c r="C394" i="41"/>
  <c r="I80" i="41"/>
  <c r="C299" i="41"/>
  <c r="C135" i="41"/>
  <c r="C218" i="41"/>
  <c r="C283" i="41"/>
  <c r="C294" i="41"/>
  <c r="C328" i="41"/>
  <c r="C339" i="41"/>
  <c r="C362" i="41"/>
  <c r="C372" i="41"/>
  <c r="C149" i="41"/>
  <c r="C221" i="41"/>
  <c r="C353" i="41"/>
  <c r="C387" i="41"/>
  <c r="C398" i="41"/>
  <c r="I94" i="41"/>
  <c r="I115" i="41"/>
  <c r="H85" i="41"/>
  <c r="F223" i="66"/>
  <c r="F287" i="66"/>
  <c r="C128" i="41"/>
  <c r="C139" i="41"/>
  <c r="C150" i="41"/>
  <c r="C176" i="41"/>
  <c r="C199" i="41"/>
  <c r="C244" i="41"/>
  <c r="C254" i="41"/>
  <c r="C265" i="41"/>
  <c r="C275" i="41"/>
  <c r="C298" i="41"/>
  <c r="C308" i="41"/>
  <c r="C331" i="41"/>
  <c r="C343" i="41"/>
  <c r="C354" i="41"/>
  <c r="C366" i="41"/>
  <c r="C376" i="41"/>
  <c r="C399" i="41"/>
  <c r="C146" i="41"/>
  <c r="C172" i="41"/>
  <c r="C194" i="41"/>
  <c r="C217" i="41"/>
  <c r="C239" i="41"/>
  <c r="C304" i="41"/>
  <c r="C327" i="41"/>
  <c r="C338" i="41"/>
  <c r="C361" i="41"/>
  <c r="C371" i="41"/>
  <c r="C383" i="41"/>
  <c r="H78" i="41"/>
  <c r="C188" i="41"/>
  <c r="C222" i="41"/>
  <c r="C320" i="41"/>
  <c r="C388" i="41"/>
  <c r="C145" i="41"/>
  <c r="C171" i="41"/>
  <c r="C182" i="41"/>
  <c r="C193" i="41"/>
  <c r="C238" i="41"/>
  <c r="C269" i="41"/>
  <c r="C281" i="41"/>
  <c r="C314" i="41"/>
  <c r="C326" i="41"/>
  <c r="C393" i="41"/>
  <c r="I78" i="41"/>
  <c r="C151" i="41"/>
  <c r="C177" i="41"/>
  <c r="C223" i="41"/>
  <c r="C245" i="41"/>
  <c r="C287" i="41"/>
  <c r="F127" i="66"/>
  <c r="J7" i="41"/>
  <c r="M54" i="39" s="1"/>
  <c r="E186" i="38" s="1"/>
  <c r="C124" i="41"/>
  <c r="C133" i="41"/>
  <c r="C156" i="41"/>
  <c r="C205" i="41"/>
  <c r="C216" i="41"/>
  <c r="C228" i="41"/>
  <c r="C249" i="41"/>
  <c r="C260" i="41"/>
  <c r="C292" i="41"/>
  <c r="C303" i="41"/>
  <c r="C337" i="41"/>
  <c r="C349" i="41"/>
  <c r="C360" i="41"/>
  <c r="C382" i="41"/>
  <c r="C123" i="41"/>
  <c r="C355" i="41"/>
  <c r="I98" i="41"/>
  <c r="J78" i="41"/>
  <c r="C181" i="41"/>
  <c r="C192" i="41"/>
  <c r="C204" i="41"/>
  <c r="C215" i="41"/>
  <c r="C227" i="41"/>
  <c r="C237" i="41"/>
  <c r="C259" i="41"/>
  <c r="C280" i="41"/>
  <c r="C348" i="41"/>
  <c r="C359" i="41"/>
  <c r="C381" i="41"/>
  <c r="C392" i="41"/>
  <c r="I3" i="41"/>
  <c r="J3" i="41"/>
  <c r="C189" i="41"/>
  <c r="C344" i="41"/>
  <c r="C148" i="41"/>
  <c r="C208" i="41"/>
  <c r="C219" i="41"/>
  <c r="C230" i="41"/>
  <c r="C241" i="41"/>
  <c r="C251" i="41"/>
  <c r="C263" i="41"/>
  <c r="C284" i="41"/>
  <c r="C306" i="41"/>
  <c r="C317" i="41"/>
  <c r="C329" i="41"/>
  <c r="C340" i="41"/>
  <c r="C352" i="41"/>
  <c r="C363" i="41"/>
  <c r="C373" i="41"/>
  <c r="C385" i="41"/>
  <c r="I111" i="41" l="1"/>
  <c r="L54" i="39"/>
  <c r="E169" i="38" s="1"/>
  <c r="J223" i="66" s="1"/>
  <c r="P223" i="66" s="1"/>
  <c r="M55" i="39"/>
  <c r="E187" i="38" s="1"/>
  <c r="J287" i="66" s="1"/>
  <c r="L55" i="39"/>
  <c r="E170" i="38" s="1"/>
  <c r="E54" i="39"/>
  <c r="E135" i="38" s="1"/>
  <c r="J127" i="66" s="1"/>
  <c r="I109" i="41"/>
  <c r="H87" i="41"/>
  <c r="M4" i="41" s="1"/>
  <c r="K55" i="39"/>
  <c r="E153" i="38" s="1"/>
  <c r="J191" i="66" s="1"/>
  <c r="J95" i="41"/>
  <c r="I95" i="41"/>
  <c r="I108" i="41"/>
  <c r="J94" i="41"/>
  <c r="I83" i="41"/>
  <c r="I114" i="41"/>
  <c r="J110" i="41"/>
  <c r="H119" i="41"/>
  <c r="I103" i="37"/>
  <c r="I103" i="58"/>
  <c r="C39" i="63" s="1"/>
  <c r="J271" i="66"/>
  <c r="J107" i="37"/>
  <c r="J107" i="58"/>
  <c r="F243" i="66" s="1"/>
  <c r="N243" i="66" s="1"/>
  <c r="J77" i="37"/>
  <c r="J77" i="58"/>
  <c r="J103" i="37"/>
  <c r="J103" i="58"/>
  <c r="H77" i="58"/>
  <c r="H77" i="37"/>
  <c r="I77" i="58"/>
  <c r="I77" i="37"/>
  <c r="I107" i="37"/>
  <c r="I107" i="58"/>
  <c r="F195" i="66" s="1"/>
  <c r="N195" i="66" s="1"/>
  <c r="H76" i="58"/>
  <c r="H76" i="37"/>
  <c r="H103" i="58"/>
  <c r="C30" i="63" s="1"/>
  <c r="H103" i="37"/>
  <c r="H105" i="58"/>
  <c r="H105" i="37"/>
  <c r="J76" i="58"/>
  <c r="J76" i="37"/>
  <c r="J75" i="37"/>
  <c r="J75" i="58"/>
  <c r="I76" i="58"/>
  <c r="I76" i="37"/>
  <c r="I105" i="37"/>
  <c r="I105" i="58"/>
  <c r="I75" i="58"/>
  <c r="I75" i="37"/>
  <c r="J105" i="37"/>
  <c r="J105" i="58"/>
  <c r="H107" i="58"/>
  <c r="F147" i="66" s="1"/>
  <c r="N147" i="66" s="1"/>
  <c r="H107" i="37"/>
  <c r="H75" i="58"/>
  <c r="H75" i="37"/>
  <c r="W79" i="66"/>
  <c r="P79" i="66"/>
  <c r="S79" i="66"/>
  <c r="S143" i="66"/>
  <c r="P143" i="66"/>
  <c r="W143" i="66"/>
  <c r="K54" i="39"/>
  <c r="E152" i="38" s="1"/>
  <c r="J31" i="66"/>
  <c r="J116" i="41"/>
  <c r="J47" i="66"/>
  <c r="J102" i="41"/>
  <c r="I87" i="41"/>
  <c r="N4" i="41" s="1"/>
  <c r="I86" i="41"/>
  <c r="J87" i="41"/>
  <c r="O4" i="41" s="1"/>
  <c r="H102" i="41"/>
  <c r="H116" i="41"/>
  <c r="H79" i="41"/>
  <c r="J410" i="58"/>
  <c r="J408" i="58"/>
  <c r="F286" i="66" s="1"/>
  <c r="N286" i="66" s="1"/>
  <c r="J411" i="58"/>
  <c r="J409" i="58"/>
  <c r="I410" i="37"/>
  <c r="I408" i="37"/>
  <c r="I411" i="37"/>
  <c r="I74" i="41"/>
  <c r="I409" i="37"/>
  <c r="I79" i="41"/>
  <c r="H111" i="41"/>
  <c r="I410" i="58"/>
  <c r="I411" i="58"/>
  <c r="I409" i="58"/>
  <c r="I408" i="58"/>
  <c r="F238" i="66" s="1"/>
  <c r="N238" i="66" s="1"/>
  <c r="H410" i="37"/>
  <c r="H408" i="37"/>
  <c r="H411" i="37"/>
  <c r="H74" i="41"/>
  <c r="J82" i="41"/>
  <c r="H410" i="58"/>
  <c r="H408" i="58"/>
  <c r="F190" i="66" s="1"/>
  <c r="N190" i="66" s="1"/>
  <c r="H411" i="58"/>
  <c r="I119" i="41"/>
  <c r="J115" i="41"/>
  <c r="J119" i="41"/>
  <c r="O6" i="41" s="1"/>
  <c r="H94" i="41"/>
  <c r="H95" i="41"/>
  <c r="P95" i="66"/>
  <c r="W95" i="66"/>
  <c r="S95" i="66"/>
  <c r="J410" i="37"/>
  <c r="J411" i="37"/>
  <c r="J74" i="41"/>
  <c r="J408" i="37"/>
  <c r="J409" i="37"/>
  <c r="W223" i="66" l="1"/>
  <c r="S223" i="66"/>
  <c r="M6" i="41"/>
  <c r="N6" i="41"/>
  <c r="J239" i="66"/>
  <c r="I409" i="41"/>
  <c r="H106" i="37"/>
  <c r="H106" i="58"/>
  <c r="J88" i="58"/>
  <c r="J88" i="37"/>
  <c r="J91" i="37"/>
  <c r="J91" i="58"/>
  <c r="J106" i="37"/>
  <c r="J106" i="58"/>
  <c r="H84" i="37"/>
  <c r="H84" i="58"/>
  <c r="J104" i="58"/>
  <c r="J104" i="37"/>
  <c r="J84" i="58"/>
  <c r="J84" i="37"/>
  <c r="H410" i="41"/>
  <c r="P127" i="66"/>
  <c r="W127" i="66"/>
  <c r="S127" i="66"/>
  <c r="H411" i="41"/>
  <c r="I89" i="37"/>
  <c r="I89" i="58"/>
  <c r="I410" i="41"/>
  <c r="K41" i="39"/>
  <c r="E139" i="38" s="1"/>
  <c r="F155" i="66"/>
  <c r="H455" i="58"/>
  <c r="E370" i="38" s="1"/>
  <c r="K155" i="66" s="1"/>
  <c r="I104" i="58"/>
  <c r="I104" i="37"/>
  <c r="I408" i="41"/>
  <c r="F94" i="66"/>
  <c r="N94" i="66" s="1"/>
  <c r="J92" i="58"/>
  <c r="J92" i="37"/>
  <c r="J89" i="58"/>
  <c r="J89" i="37"/>
  <c r="H92" i="58"/>
  <c r="H92" i="37"/>
  <c r="I90" i="37"/>
  <c r="I90" i="58"/>
  <c r="J409" i="41"/>
  <c r="H104" i="37"/>
  <c r="H104" i="58"/>
  <c r="H89" i="58"/>
  <c r="H89" i="37"/>
  <c r="I411" i="41"/>
  <c r="H90" i="58"/>
  <c r="H90" i="37"/>
  <c r="F142" i="66"/>
  <c r="N142" i="66" s="1"/>
  <c r="J408" i="41"/>
  <c r="S47" i="66"/>
  <c r="W47" i="66"/>
  <c r="P47" i="66"/>
  <c r="V47" i="66" s="1"/>
  <c r="R47" i="66"/>
  <c r="H75" i="41"/>
  <c r="F45" i="66"/>
  <c r="J76" i="41"/>
  <c r="H88" i="37"/>
  <c r="H88" i="58"/>
  <c r="I91" i="37"/>
  <c r="I91" i="58"/>
  <c r="J411" i="41"/>
  <c r="F189" i="66"/>
  <c r="I92" i="37"/>
  <c r="I92" i="58"/>
  <c r="J90" i="58"/>
  <c r="J90" i="37"/>
  <c r="I88" i="58"/>
  <c r="I88" i="37"/>
  <c r="H91" i="37"/>
  <c r="H91" i="58"/>
  <c r="J410" i="41"/>
  <c r="J175" i="66"/>
  <c r="I75" i="41"/>
  <c r="D12" i="39" s="1"/>
  <c r="F93" i="66"/>
  <c r="D39" i="39"/>
  <c r="E103" i="38" s="1"/>
  <c r="R191" i="66"/>
  <c r="P191" i="66"/>
  <c r="V191" i="66" s="1"/>
  <c r="W191" i="66"/>
  <c r="S191" i="66"/>
  <c r="F237" i="66"/>
  <c r="L39" i="39"/>
  <c r="E154" i="38" s="1"/>
  <c r="I106" i="37"/>
  <c r="I106" i="58"/>
  <c r="I84" i="58"/>
  <c r="I84" i="37"/>
  <c r="F46" i="66"/>
  <c r="N46" i="66" s="1"/>
  <c r="H408" i="41"/>
  <c r="R31" i="66"/>
  <c r="P31" i="66"/>
  <c r="V31" i="66" s="1"/>
  <c r="W31" i="66"/>
  <c r="S31" i="66"/>
  <c r="P287" i="66"/>
  <c r="S287" i="66"/>
  <c r="W287" i="66"/>
  <c r="C48" i="63"/>
  <c r="H77" i="41"/>
  <c r="J103" i="41"/>
  <c r="O5" i="41" s="1"/>
  <c r="C21" i="63"/>
  <c r="J77" i="41"/>
  <c r="S271" i="66"/>
  <c r="P271" i="66"/>
  <c r="W271" i="66"/>
  <c r="I76" i="41"/>
  <c r="M41" i="39"/>
  <c r="E173" i="38" s="1"/>
  <c r="F251" i="66"/>
  <c r="E41" i="39"/>
  <c r="E122" i="38" s="1"/>
  <c r="J105" i="41"/>
  <c r="E14" i="39" s="1"/>
  <c r="F107" i="66"/>
  <c r="F203" i="66"/>
  <c r="L41" i="39"/>
  <c r="E156" i="38" s="1"/>
  <c r="H107" i="41"/>
  <c r="F3" i="66"/>
  <c r="N3" i="66" s="1"/>
  <c r="I105" i="41"/>
  <c r="D14" i="39" s="1"/>
  <c r="D41" i="39"/>
  <c r="E105" i="38" s="1"/>
  <c r="F59" i="66"/>
  <c r="H76" i="41"/>
  <c r="I107" i="41"/>
  <c r="F51" i="66"/>
  <c r="N51" i="66" s="1"/>
  <c r="I77" i="41"/>
  <c r="J107" i="41"/>
  <c r="F99" i="66"/>
  <c r="N99" i="66" s="1"/>
  <c r="I103" i="41"/>
  <c r="C12" i="63"/>
  <c r="F285" i="66"/>
  <c r="M39" i="39"/>
  <c r="E171" i="38" s="1"/>
  <c r="C3" i="63"/>
  <c r="H103" i="41"/>
  <c r="M5" i="41" s="1"/>
  <c r="E39" i="39"/>
  <c r="E120" i="38" s="1"/>
  <c r="J75" i="41"/>
  <c r="E12" i="39" s="1"/>
  <c r="F141" i="66"/>
  <c r="H105" i="41"/>
  <c r="C14" i="39" s="1"/>
  <c r="C41" i="39"/>
  <c r="E88" i="38" s="1"/>
  <c r="F11" i="66"/>
  <c r="H455" i="37"/>
  <c r="F9" i="66" l="1"/>
  <c r="F153" i="66"/>
  <c r="D43" i="39"/>
  <c r="E109" i="38" s="1"/>
  <c r="J57" i="66" s="1"/>
  <c r="F201" i="66"/>
  <c r="M43" i="39"/>
  <c r="E177" i="38" s="1"/>
  <c r="L43" i="39"/>
  <c r="E160" i="38" s="1"/>
  <c r="F57" i="66"/>
  <c r="X191" i="66"/>
  <c r="I90" i="41"/>
  <c r="H84" i="41"/>
  <c r="J106" i="41"/>
  <c r="P239" i="66"/>
  <c r="S239" i="66"/>
  <c r="W239" i="66"/>
  <c r="I84" i="41"/>
  <c r="I106" i="41"/>
  <c r="H90" i="41"/>
  <c r="T191" i="66"/>
  <c r="J90" i="41"/>
  <c r="I92" i="41"/>
  <c r="J92" i="41"/>
  <c r="I100" i="58"/>
  <c r="I100" i="37"/>
  <c r="O14" i="39"/>
  <c r="P14" i="39"/>
  <c r="Q14" i="39" s="1"/>
  <c r="X31" i="66"/>
  <c r="M40" i="39"/>
  <c r="E172" i="38" s="1"/>
  <c r="F267" i="66"/>
  <c r="I104" i="41"/>
  <c r="I416" i="37"/>
  <c r="I417" i="37"/>
  <c r="T31" i="66"/>
  <c r="H405" i="58"/>
  <c r="F181" i="66"/>
  <c r="N181" i="66" s="1"/>
  <c r="H406" i="58"/>
  <c r="H407" i="58"/>
  <c r="F172" i="66" s="1"/>
  <c r="I412" i="37"/>
  <c r="I415" i="37"/>
  <c r="I414" i="37"/>
  <c r="I88" i="41"/>
  <c r="I413" i="37"/>
  <c r="I417" i="58"/>
  <c r="I416" i="58"/>
  <c r="F204" i="66" s="1"/>
  <c r="N204" i="66" s="1"/>
  <c r="I89" i="41"/>
  <c r="D13" i="39" s="1"/>
  <c r="L40" i="39"/>
  <c r="E155" i="38" s="1"/>
  <c r="F219" i="66"/>
  <c r="J84" i="41"/>
  <c r="J104" i="41"/>
  <c r="J416" i="37"/>
  <c r="J417" i="37"/>
  <c r="J11" i="66"/>
  <c r="Y51" i="66"/>
  <c r="Y195" i="66"/>
  <c r="Z51" i="66"/>
  <c r="Z195" i="66"/>
  <c r="J251" i="66"/>
  <c r="F37" i="66"/>
  <c r="N37" i="66" s="1"/>
  <c r="H406" i="37"/>
  <c r="H91" i="41"/>
  <c r="H407" i="37"/>
  <c r="H405" i="37"/>
  <c r="I412" i="58"/>
  <c r="F224" i="66" s="1"/>
  <c r="N224" i="66" s="1"/>
  <c r="I414" i="58"/>
  <c r="F235" i="66" s="1"/>
  <c r="I413" i="58"/>
  <c r="I415" i="58"/>
  <c r="F234" i="66" s="1"/>
  <c r="N234" i="66" s="1"/>
  <c r="D40" i="39"/>
  <c r="E104" i="38" s="1"/>
  <c r="F75" i="66"/>
  <c r="J416" i="58"/>
  <c r="F252" i="66" s="1"/>
  <c r="N252" i="66" s="1"/>
  <c r="J417" i="58"/>
  <c r="H100" i="37"/>
  <c r="H100" i="58"/>
  <c r="J437" i="58"/>
  <c r="J285" i="66"/>
  <c r="Y99" i="66"/>
  <c r="Y243" i="66"/>
  <c r="Z243" i="66"/>
  <c r="Z99" i="66"/>
  <c r="Z142" i="66"/>
  <c r="Y142" i="66"/>
  <c r="Z286" i="66"/>
  <c r="Y286" i="66"/>
  <c r="F249" i="66"/>
  <c r="Z94" i="66"/>
  <c r="Z238" i="66"/>
  <c r="Y94" i="66"/>
  <c r="Y238" i="66"/>
  <c r="J155" i="66"/>
  <c r="J91" i="41"/>
  <c r="J406" i="58"/>
  <c r="F277" i="66"/>
  <c r="N277" i="66" s="1"/>
  <c r="J407" i="58"/>
  <c r="F268" i="66" s="1"/>
  <c r="J405" i="58"/>
  <c r="J88" i="41"/>
  <c r="J415" i="37"/>
  <c r="J414" i="37"/>
  <c r="J412" i="37"/>
  <c r="J413" i="37"/>
  <c r="J437" i="37"/>
  <c r="J141" i="66"/>
  <c r="J203" i="66"/>
  <c r="T47" i="66"/>
  <c r="J405" i="37"/>
  <c r="J406" i="37"/>
  <c r="F133" i="66"/>
  <c r="N133" i="66" s="1"/>
  <c r="J407" i="37"/>
  <c r="J413" i="58"/>
  <c r="J414" i="58"/>
  <c r="F283" i="66" s="1"/>
  <c r="J415" i="58"/>
  <c r="F282" i="66" s="1"/>
  <c r="N282" i="66" s="1"/>
  <c r="J412" i="58"/>
  <c r="F272" i="66" s="1"/>
  <c r="N272" i="66" s="1"/>
  <c r="H106" i="41"/>
  <c r="Y3" i="66"/>
  <c r="Y147" i="66"/>
  <c r="Z147" i="66"/>
  <c r="Z3" i="66"/>
  <c r="J107" i="66"/>
  <c r="I405" i="58"/>
  <c r="I406" i="58"/>
  <c r="I407" i="58"/>
  <c r="F220" i="66" s="1"/>
  <c r="F229" i="66"/>
  <c r="N229" i="66" s="1"/>
  <c r="H414" i="58"/>
  <c r="F187" i="66" s="1"/>
  <c r="H415" i="58"/>
  <c r="F186" i="66" s="1"/>
  <c r="N186" i="66" s="1"/>
  <c r="H412" i="58"/>
  <c r="F176" i="66" s="1"/>
  <c r="N176" i="66" s="1"/>
  <c r="B3" i="39"/>
  <c r="C12" i="39" s="1"/>
  <c r="X47" i="66"/>
  <c r="I437" i="37"/>
  <c r="J93" i="66"/>
  <c r="I91" i="41"/>
  <c r="I406" i="37"/>
  <c r="I407" i="37"/>
  <c r="F85" i="66"/>
  <c r="N85" i="66" s="1"/>
  <c r="I405" i="37"/>
  <c r="H412" i="37"/>
  <c r="H88" i="41"/>
  <c r="H415" i="37"/>
  <c r="H414" i="37"/>
  <c r="E43" i="39"/>
  <c r="E126" i="38" s="1"/>
  <c r="H89" i="41"/>
  <c r="B4" i="39" s="1"/>
  <c r="K40" i="39" s="1"/>
  <c r="E138" i="38" s="1"/>
  <c r="F27" i="66"/>
  <c r="H416" i="58"/>
  <c r="F156" i="66" s="1"/>
  <c r="N156" i="66" s="1"/>
  <c r="H92" i="41"/>
  <c r="E40" i="39"/>
  <c r="E121" i="38" s="1"/>
  <c r="J89" i="41"/>
  <c r="E13" i="39" s="1"/>
  <c r="F123" i="66"/>
  <c r="N5" i="41"/>
  <c r="Z46" i="66"/>
  <c r="Z190" i="66"/>
  <c r="Y46" i="66"/>
  <c r="Y190" i="66"/>
  <c r="F105" i="66"/>
  <c r="F171" i="66"/>
  <c r="H416" i="37"/>
  <c r="H104" i="41"/>
  <c r="H455" i="41"/>
  <c r="E352" i="38"/>
  <c r="K11" i="66" s="1"/>
  <c r="J59" i="66"/>
  <c r="I437" i="58"/>
  <c r="J237" i="66"/>
  <c r="J100" i="58"/>
  <c r="J100" i="37"/>
  <c r="W175" i="66"/>
  <c r="R175" i="66"/>
  <c r="S175" i="66"/>
  <c r="P175" i="66"/>
  <c r="V175" i="66" s="1"/>
  <c r="E16" i="39" l="1"/>
  <c r="J249" i="66"/>
  <c r="J201" i="66"/>
  <c r="D16" i="39"/>
  <c r="B7" i="39"/>
  <c r="H456" i="37" s="1"/>
  <c r="H406" i="41"/>
  <c r="X175" i="66"/>
  <c r="T175" i="66"/>
  <c r="J100" i="41"/>
  <c r="I406" i="41"/>
  <c r="J417" i="41"/>
  <c r="H439" i="58"/>
  <c r="J171" i="66"/>
  <c r="O12" i="39"/>
  <c r="P12" i="39"/>
  <c r="J414" i="41"/>
  <c r="F139" i="66"/>
  <c r="I439" i="37"/>
  <c r="C18" i="63" s="1"/>
  <c r="J75" i="66"/>
  <c r="P59" i="66"/>
  <c r="S59" i="66"/>
  <c r="W59" i="66"/>
  <c r="J439" i="37"/>
  <c r="C27" i="63" s="1"/>
  <c r="J123" i="66"/>
  <c r="H412" i="41"/>
  <c r="F32" i="66"/>
  <c r="N32" i="66" s="1"/>
  <c r="W251" i="66"/>
  <c r="S251" i="66"/>
  <c r="P251" i="66"/>
  <c r="I414" i="41"/>
  <c r="F91" i="66"/>
  <c r="Z277" i="66"/>
  <c r="Y277" i="66"/>
  <c r="Z133" i="66"/>
  <c r="S203" i="66"/>
  <c r="P203" i="66"/>
  <c r="W203" i="66"/>
  <c r="I405" i="41"/>
  <c r="D15" i="39" s="1"/>
  <c r="D42" i="39"/>
  <c r="E106" i="38" s="1"/>
  <c r="F92" i="66"/>
  <c r="Y133" i="66"/>
  <c r="I415" i="41"/>
  <c r="F90" i="66"/>
  <c r="N90" i="66" s="1"/>
  <c r="P57" i="66"/>
  <c r="W57" i="66"/>
  <c r="S57" i="66"/>
  <c r="J439" i="58"/>
  <c r="C54" i="63" s="1"/>
  <c r="J267" i="66"/>
  <c r="H414" i="41"/>
  <c r="F43" i="66"/>
  <c r="F108" i="66"/>
  <c r="N108" i="66" s="1"/>
  <c r="J416" i="41"/>
  <c r="H416" i="41"/>
  <c r="F12" i="66"/>
  <c r="N12" i="66" s="1"/>
  <c r="Y229" i="66"/>
  <c r="Z229" i="66"/>
  <c r="Y85" i="66"/>
  <c r="Z85" i="66"/>
  <c r="J406" i="41"/>
  <c r="H405" i="41"/>
  <c r="I412" i="41"/>
  <c r="F80" i="66"/>
  <c r="N80" i="66" s="1"/>
  <c r="I100" i="41"/>
  <c r="I407" i="41"/>
  <c r="F76" i="66"/>
  <c r="J105" i="66"/>
  <c r="F236" i="66"/>
  <c r="L42" i="39"/>
  <c r="E157" i="38" s="1"/>
  <c r="C13" i="39"/>
  <c r="H454" i="37"/>
  <c r="H454" i="58"/>
  <c r="E369" i="38" s="1"/>
  <c r="K171" i="66" s="1"/>
  <c r="I437" i="41"/>
  <c r="W155" i="66"/>
  <c r="R155" i="66"/>
  <c r="S155" i="66"/>
  <c r="P155" i="66"/>
  <c r="V155" i="66" s="1"/>
  <c r="H100" i="41"/>
  <c r="W237" i="66"/>
  <c r="P237" i="66"/>
  <c r="S237" i="66"/>
  <c r="F28" i="66"/>
  <c r="H407" i="41"/>
  <c r="I439" i="58"/>
  <c r="J219" i="66"/>
  <c r="J415" i="41"/>
  <c r="F138" i="66"/>
  <c r="N138" i="66" s="1"/>
  <c r="C40" i="39"/>
  <c r="E87" i="38" s="1"/>
  <c r="C39" i="39"/>
  <c r="E86" i="38" s="1"/>
  <c r="H453" i="37"/>
  <c r="H453" i="58"/>
  <c r="E368" i="38" s="1"/>
  <c r="K189" i="66" s="1"/>
  <c r="K39" i="39"/>
  <c r="E137" i="38" s="1"/>
  <c r="J413" i="41"/>
  <c r="S285" i="66"/>
  <c r="W285" i="66"/>
  <c r="P285" i="66"/>
  <c r="P11" i="66"/>
  <c r="V11" i="66" s="1"/>
  <c r="W11" i="66"/>
  <c r="R11" i="66"/>
  <c r="S11" i="66"/>
  <c r="I417" i="41"/>
  <c r="F124" i="66"/>
  <c r="J407" i="41"/>
  <c r="J412" i="41"/>
  <c r="F128" i="66"/>
  <c r="N128" i="66" s="1"/>
  <c r="Z37" i="66"/>
  <c r="Z181" i="66"/>
  <c r="Y37" i="66"/>
  <c r="Y181" i="66"/>
  <c r="I416" i="41"/>
  <c r="F60" i="66"/>
  <c r="N60" i="66" s="1"/>
  <c r="P93" i="66"/>
  <c r="S93" i="66"/>
  <c r="W93" i="66"/>
  <c r="H415" i="41"/>
  <c r="F42" i="66"/>
  <c r="N42" i="66" s="1"/>
  <c r="S141" i="66"/>
  <c r="P141" i="66"/>
  <c r="W141" i="66"/>
  <c r="S107" i="66"/>
  <c r="P107" i="66"/>
  <c r="W107" i="66"/>
  <c r="J405" i="41"/>
  <c r="E15" i="39" s="1"/>
  <c r="F140" i="66"/>
  <c r="E42" i="39"/>
  <c r="E123" i="38" s="1"/>
  <c r="J437" i="41"/>
  <c r="I413" i="41"/>
  <c r="F284" i="66"/>
  <c r="M42" i="39"/>
  <c r="E174" i="38" s="1"/>
  <c r="P249" i="66" l="1"/>
  <c r="S249" i="66"/>
  <c r="W249" i="66"/>
  <c r="C16" i="39"/>
  <c r="O16" i="39" s="1"/>
  <c r="K43" i="39"/>
  <c r="E143" i="38" s="1"/>
  <c r="C43" i="39"/>
  <c r="E92" i="38" s="1"/>
  <c r="J9" i="66" s="1"/>
  <c r="H456" i="58"/>
  <c r="E371" i="38" s="1"/>
  <c r="K153" i="66" s="1"/>
  <c r="W201" i="66"/>
  <c r="S201" i="66"/>
  <c r="P201" i="66"/>
  <c r="I439" i="41"/>
  <c r="AB3" i="39"/>
  <c r="X155" i="66"/>
  <c r="T11" i="66"/>
  <c r="C45" i="63"/>
  <c r="T155" i="66"/>
  <c r="J284" i="66"/>
  <c r="N284" i="66" s="1"/>
  <c r="E351" i="38"/>
  <c r="K27" i="66" s="1"/>
  <c r="H454" i="41"/>
  <c r="P13" i="39"/>
  <c r="Q13" i="39" s="1"/>
  <c r="O13" i="39"/>
  <c r="Y90" i="66"/>
  <c r="Y234" i="66"/>
  <c r="Z90" i="66"/>
  <c r="Z234" i="66"/>
  <c r="AC3" i="39"/>
  <c r="Y176" i="66"/>
  <c r="Z32" i="66"/>
  <c r="Z176" i="66"/>
  <c r="Y32" i="66"/>
  <c r="S123" i="66"/>
  <c r="P123" i="66"/>
  <c r="W123" i="66"/>
  <c r="Z204" i="66"/>
  <c r="Z60" i="66"/>
  <c r="Y204" i="66"/>
  <c r="Y60" i="66"/>
  <c r="X11" i="66"/>
  <c r="Z108" i="66"/>
  <c r="Z252" i="66"/>
  <c r="Y108" i="66"/>
  <c r="Y252" i="66"/>
  <c r="J439" i="41"/>
  <c r="W219" i="66"/>
  <c r="S219" i="66"/>
  <c r="P219" i="66"/>
  <c r="Y156" i="66"/>
  <c r="Z12" i="66"/>
  <c r="Z156" i="66"/>
  <c r="Y12" i="66"/>
  <c r="F15" i="39"/>
  <c r="P75" i="66"/>
  <c r="S75" i="66"/>
  <c r="W75" i="66"/>
  <c r="Y186" i="66"/>
  <c r="Y42" i="66"/>
  <c r="Z186" i="66"/>
  <c r="Z42" i="66"/>
  <c r="H439" i="37"/>
  <c r="J27" i="66"/>
  <c r="J92" i="66"/>
  <c r="N92" i="66" s="1"/>
  <c r="J236" i="66"/>
  <c r="N236" i="66" s="1"/>
  <c r="Z282" i="66"/>
  <c r="Z138" i="66"/>
  <c r="Y138" i="66"/>
  <c r="Y282" i="66"/>
  <c r="J189" i="66"/>
  <c r="H437" i="58"/>
  <c r="R171" i="66"/>
  <c r="S171" i="66"/>
  <c r="P171" i="66"/>
  <c r="V171" i="66" s="1"/>
  <c r="W171" i="66"/>
  <c r="J140" i="66"/>
  <c r="N140" i="66" s="1"/>
  <c r="W105" i="66"/>
  <c r="S105" i="66"/>
  <c r="P105" i="66"/>
  <c r="E353" i="38"/>
  <c r="K9" i="66" s="1"/>
  <c r="G15" i="39"/>
  <c r="E350" i="38"/>
  <c r="K45" i="66" s="1"/>
  <c r="H453" i="41"/>
  <c r="Z80" i="66"/>
  <c r="Z224" i="66"/>
  <c r="Y224" i="66"/>
  <c r="Y80" i="66"/>
  <c r="P267" i="66"/>
  <c r="W267" i="66"/>
  <c r="S267" i="66"/>
  <c r="Q12" i="39"/>
  <c r="Z128" i="66"/>
  <c r="Y272" i="66"/>
  <c r="Z272" i="66"/>
  <c r="Y128" i="66"/>
  <c r="J45" i="66"/>
  <c r="H437" i="37"/>
  <c r="J153" i="66" l="1"/>
  <c r="R153" i="66" s="1"/>
  <c r="P16" i="39"/>
  <c r="Q16" i="39" s="1"/>
  <c r="H456" i="41"/>
  <c r="H437" i="41"/>
  <c r="C36" i="63"/>
  <c r="T171" i="66"/>
  <c r="O236" i="66"/>
  <c r="Z92" i="66"/>
  <c r="O92" i="66"/>
  <c r="Z236" i="66"/>
  <c r="Y92" i="66"/>
  <c r="Y236" i="66"/>
  <c r="W236" i="66"/>
  <c r="P236" i="66"/>
  <c r="S236" i="66"/>
  <c r="X171" i="66"/>
  <c r="R189" i="66"/>
  <c r="S189" i="66"/>
  <c r="P189" i="66"/>
  <c r="V189" i="66" s="1"/>
  <c r="W189" i="66"/>
  <c r="P140" i="66"/>
  <c r="W140" i="66"/>
  <c r="S140" i="66"/>
  <c r="W92" i="66"/>
  <c r="P92" i="66"/>
  <c r="S92" i="66"/>
  <c r="O284" i="66"/>
  <c r="P284" i="66"/>
  <c r="W284" i="66"/>
  <c r="S284" i="66"/>
  <c r="P9" i="66"/>
  <c r="V9" i="66" s="1"/>
  <c r="W9" i="66"/>
  <c r="S9" i="66"/>
  <c r="R9" i="66"/>
  <c r="Z284" i="66"/>
  <c r="Y140" i="66"/>
  <c r="O140" i="66"/>
  <c r="Y284" i="66"/>
  <c r="Z140" i="66"/>
  <c r="S45" i="66"/>
  <c r="P45" i="66"/>
  <c r="V45" i="66" s="1"/>
  <c r="W45" i="66"/>
  <c r="R45" i="66"/>
  <c r="S27" i="66"/>
  <c r="P27" i="66"/>
  <c r="V27" i="66" s="1"/>
  <c r="R27" i="66"/>
  <c r="W27" i="66"/>
  <c r="C9" i="63"/>
  <c r="H439" i="41"/>
  <c r="S153" i="66" l="1"/>
  <c r="T153" i="66" s="1"/>
  <c r="W153" i="66"/>
  <c r="P153" i="66"/>
  <c r="V153" i="66" s="1"/>
  <c r="X27" i="66"/>
  <c r="T9" i="66"/>
  <c r="T27" i="66"/>
  <c r="X189" i="66"/>
  <c r="X45" i="66"/>
  <c r="T189" i="66"/>
  <c r="U92" i="66"/>
  <c r="V92" i="66"/>
  <c r="X92" i="66" s="1"/>
  <c r="Q92" i="66"/>
  <c r="R92" i="66" s="1"/>
  <c r="T92" i="66" s="1"/>
  <c r="T45" i="66"/>
  <c r="Q284" i="66"/>
  <c r="R284" i="66" s="1"/>
  <c r="T284" i="66" s="1"/>
  <c r="V284" i="66"/>
  <c r="X284" i="66" s="1"/>
  <c r="U284" i="66"/>
  <c r="U140" i="66"/>
  <c r="Q140" i="66"/>
  <c r="R140" i="66" s="1"/>
  <c r="T140" i="66" s="1"/>
  <c r="V140" i="66"/>
  <c r="X140" i="66" s="1"/>
  <c r="X9" i="66"/>
  <c r="U236" i="66"/>
  <c r="V236" i="66"/>
  <c r="X236" i="66" s="1"/>
  <c r="Q236" i="66"/>
  <c r="R236" i="66" s="1"/>
  <c r="T236" i="66" s="1"/>
  <c r="X153" i="66" l="1"/>
  <c r="H3" i="58" l="1"/>
  <c r="H3" i="37"/>
  <c r="M27" i="9" a="1"/>
  <c r="M27" i="9" s="1"/>
  <c r="K36" i="9"/>
  <c r="L36" i="9"/>
  <c r="K38" i="9"/>
  <c r="L38" i="9"/>
  <c r="N37" i="9" a="1"/>
  <c r="N37" i="9" s="1"/>
  <c r="E69" i="22" s="1"/>
  <c r="N39" i="9" a="1"/>
  <c r="N39" i="9" s="1"/>
  <c r="E71" i="22" s="1"/>
  <c r="Q35" i="9" a="1"/>
  <c r="Q35" i="9" s="1"/>
  <c r="R37" i="9" a="1"/>
  <c r="R37" i="9" s="1"/>
  <c r="E89" i="22" s="1"/>
  <c r="Q37" i="9" a="1"/>
  <c r="Q37" i="9" s="1"/>
  <c r="E84" i="22" s="1"/>
  <c r="M37" i="9" a="1"/>
  <c r="M37" i="9" s="1"/>
  <c r="O39" i="9" a="1"/>
  <c r="O39" i="9" s="1"/>
  <c r="E76" i="22" s="1"/>
  <c r="R39" i="9" a="1"/>
  <c r="R39" i="9" s="1"/>
  <c r="E91" i="22" s="1"/>
  <c r="O37" i="9" a="1"/>
  <c r="O37" i="9" s="1"/>
  <c r="E74" i="22" s="1"/>
  <c r="Q39" i="9" a="1"/>
  <c r="Q39" i="9" s="1"/>
  <c r="E86" i="22" s="1"/>
  <c r="N35" i="9" a="1"/>
  <c r="N35" i="9" s="1"/>
  <c r="O35" i="9" a="1"/>
  <c r="O35" i="9" s="1"/>
  <c r="R35" i="9" a="1"/>
  <c r="R35" i="9" s="1"/>
  <c r="P37" i="9" a="1"/>
  <c r="P37" i="9" s="1"/>
  <c r="M35" i="9" a="1"/>
  <c r="M35" i="9" s="1"/>
  <c r="P35" i="9" a="1"/>
  <c r="P35" i="9" s="1"/>
  <c r="M39" i="9" a="1"/>
  <c r="M39" i="9" s="1"/>
  <c r="E66" i="22" s="1"/>
  <c r="P39" i="9" a="1"/>
  <c r="P39" i="9" s="1"/>
  <c r="E81" i="22" s="1"/>
  <c r="K26" i="9"/>
  <c r="L26" i="9"/>
  <c r="R29" i="9" a="1"/>
  <c r="R29" i="9" s="1"/>
  <c r="R25" i="9" a="1"/>
  <c r="R25" i="9" s="1"/>
  <c r="O27" i="9" a="1"/>
  <c r="O27" i="9" s="1"/>
  <c r="O29" i="9" a="1"/>
  <c r="O29" i="9" s="1"/>
  <c r="O25" i="9" a="1"/>
  <c r="O25" i="9" s="1"/>
  <c r="Q25" i="9" a="1"/>
  <c r="Q25" i="9" s="1"/>
  <c r="N29" i="9" a="1"/>
  <c r="N29" i="9" s="1"/>
  <c r="N25" i="9" a="1"/>
  <c r="N25" i="9" s="1"/>
  <c r="N27" i="9" a="1"/>
  <c r="N27" i="9" s="1"/>
  <c r="Q29" i="9" a="1"/>
  <c r="Q29" i="9" s="1"/>
  <c r="M25" i="9" a="1"/>
  <c r="M25" i="9" s="1"/>
  <c r="M29" i="9" a="1"/>
  <c r="M29" i="9" s="1"/>
  <c r="P27" i="9" a="1"/>
  <c r="P27" i="9" s="1"/>
  <c r="L28" i="9"/>
  <c r="K28" i="9"/>
  <c r="H3" i="41" l="1"/>
  <c r="B6" i="39" s="1"/>
  <c r="C15" i="39" s="1"/>
  <c r="F44" i="66"/>
  <c r="F188" i="66"/>
  <c r="P25" i="9" a="1"/>
  <c r="P25" i="9" s="1"/>
  <c r="P5" i="9" s="1"/>
  <c r="Q27" i="9" a="1"/>
  <c r="Q27" i="9" s="1"/>
  <c r="E30" i="26" s="1"/>
  <c r="P29" i="9" a="1"/>
  <c r="P29" i="9" s="1"/>
  <c r="E36" i="22" s="1"/>
  <c r="R27" i="9" a="1"/>
  <c r="R27" i="9" s="1"/>
  <c r="E34" i="22"/>
  <c r="P7" i="9"/>
  <c r="E87" i="22"/>
  <c r="E53" i="22"/>
  <c r="F26" i="17"/>
  <c r="K40" i="9"/>
  <c r="M38" i="20"/>
  <c r="M35" i="20"/>
  <c r="D35" i="20"/>
  <c r="D40" i="20"/>
  <c r="M45" i="20"/>
  <c r="D44" i="20"/>
  <c r="D42" i="20"/>
  <c r="D34" i="20"/>
  <c r="M39" i="20"/>
  <c r="D32" i="20"/>
  <c r="M33" i="20"/>
  <c r="D36" i="20"/>
  <c r="D37" i="20"/>
  <c r="M43" i="20"/>
  <c r="D38" i="20"/>
  <c r="D41" i="20"/>
  <c r="D45" i="20"/>
  <c r="M32" i="20"/>
  <c r="M34" i="20"/>
  <c r="M40" i="20"/>
  <c r="M41" i="20"/>
  <c r="D39" i="20"/>
  <c r="D33" i="20"/>
  <c r="M36" i="20"/>
  <c r="M44" i="20"/>
  <c r="Q36" i="9" a="1"/>
  <c r="Q36" i="9" s="1"/>
  <c r="J36" i="9"/>
  <c r="M37" i="20"/>
  <c r="M42" i="20"/>
  <c r="D43" i="20"/>
  <c r="N36" i="9" a="1"/>
  <c r="N36" i="9" s="1"/>
  <c r="M9" i="9"/>
  <c r="E21" i="22"/>
  <c r="E37" i="22"/>
  <c r="Q5" i="9"/>
  <c r="L30" i="9"/>
  <c r="E13" i="22"/>
  <c r="L6" i="9"/>
  <c r="C27" i="17"/>
  <c r="E9" i="20"/>
  <c r="N7" i="20"/>
  <c r="N18" i="20"/>
  <c r="E6" i="20"/>
  <c r="O26" i="9" a="1"/>
  <c r="O26" i="9" s="1"/>
  <c r="N16" i="20"/>
  <c r="N15" i="20"/>
  <c r="N8" i="20"/>
  <c r="N12" i="20"/>
  <c r="N9" i="20"/>
  <c r="E15" i="20"/>
  <c r="E10" i="20"/>
  <c r="R26" i="9" a="1"/>
  <c r="R26" i="9" s="1"/>
  <c r="E5" i="20"/>
  <c r="E16" i="20"/>
  <c r="N10" i="20"/>
  <c r="E8" i="20"/>
  <c r="E17" i="20"/>
  <c r="N17" i="20"/>
  <c r="E12" i="20"/>
  <c r="N6" i="20"/>
  <c r="N13" i="20"/>
  <c r="E13" i="20"/>
  <c r="N11" i="20"/>
  <c r="E14" i="20"/>
  <c r="N14" i="20"/>
  <c r="N5" i="20"/>
  <c r="E11" i="20"/>
  <c r="E7" i="20"/>
  <c r="E18" i="20"/>
  <c r="E72" i="22"/>
  <c r="E17" i="22"/>
  <c r="O5" i="9"/>
  <c r="E27" i="22"/>
  <c r="C26" i="17"/>
  <c r="E8" i="22"/>
  <c r="K6" i="9"/>
  <c r="K30" i="9"/>
  <c r="D12" i="20"/>
  <c r="D18" i="20"/>
  <c r="M6" i="20"/>
  <c r="M12" i="20"/>
  <c r="Q26" i="9" a="1"/>
  <c r="Q26" i="9" s="1"/>
  <c r="M9" i="20"/>
  <c r="D16" i="20"/>
  <c r="M18" i="20"/>
  <c r="D9" i="20"/>
  <c r="D17" i="20"/>
  <c r="M13" i="20"/>
  <c r="M17" i="20"/>
  <c r="M8" i="20"/>
  <c r="M11" i="20"/>
  <c r="D15" i="20"/>
  <c r="D5" i="20"/>
  <c r="M7" i="20"/>
  <c r="J26" i="9"/>
  <c r="D14" i="20"/>
  <c r="M16" i="20"/>
  <c r="M5" i="20"/>
  <c r="M15" i="20"/>
  <c r="D10" i="20"/>
  <c r="D6" i="20"/>
  <c r="D13" i="20"/>
  <c r="D7" i="20"/>
  <c r="D8" i="20"/>
  <c r="M10" i="20"/>
  <c r="D11" i="20"/>
  <c r="M14" i="20"/>
  <c r="N26" i="9" a="1"/>
  <c r="N26" i="9" s="1"/>
  <c r="E67" i="22"/>
  <c r="E82" i="22"/>
  <c r="N9" i="9"/>
  <c r="E26" i="22"/>
  <c r="E41" i="22"/>
  <c r="Q9" i="9"/>
  <c r="E31" i="22"/>
  <c r="O9" i="9"/>
  <c r="E24" i="22"/>
  <c r="N7" i="9"/>
  <c r="K8" i="9"/>
  <c r="E10" i="22"/>
  <c r="Q28" i="9" a="1"/>
  <c r="Q28" i="9" s="1"/>
  <c r="J28" i="9"/>
  <c r="N28" i="9" a="1"/>
  <c r="N28" i="9" s="1"/>
  <c r="E22" i="22"/>
  <c r="N5" i="9"/>
  <c r="E42" i="22"/>
  <c r="R5" i="9"/>
  <c r="E77" i="22"/>
  <c r="E60" i="22"/>
  <c r="O38" i="9" a="1"/>
  <c r="O38" i="9" s="1"/>
  <c r="E75" i="22" s="1"/>
  <c r="R38" i="9" a="1"/>
  <c r="R38" i="9" s="1"/>
  <c r="E90" i="22" s="1"/>
  <c r="L8" i="9"/>
  <c r="E15" i="22"/>
  <c r="O28" i="9" a="1"/>
  <c r="O28" i="9" s="1"/>
  <c r="R28" i="9" a="1"/>
  <c r="R28" i="9" s="1"/>
  <c r="E32" i="22"/>
  <c r="M5" i="9"/>
  <c r="E62" i="22"/>
  <c r="E55" i="22"/>
  <c r="J38" i="9"/>
  <c r="Q38" i="9" a="1"/>
  <c r="Q38" i="9" s="1"/>
  <c r="E85" i="22" s="1"/>
  <c r="N38" i="9" a="1"/>
  <c r="N38" i="9" s="1"/>
  <c r="E70" i="22" s="1"/>
  <c r="E29" i="22"/>
  <c r="O7" i="9"/>
  <c r="R7" i="9"/>
  <c r="E44" i="22"/>
  <c r="D23" i="26"/>
  <c r="D31" i="26"/>
  <c r="D35" i="26"/>
  <c r="D39" i="26"/>
  <c r="D38" i="26"/>
  <c r="D30" i="26"/>
  <c r="D34" i="26"/>
  <c r="E19" i="22"/>
  <c r="D26" i="26"/>
  <c r="M7" i="9"/>
  <c r="D22" i="26"/>
  <c r="D27" i="26"/>
  <c r="H39" i="26"/>
  <c r="I224" i="35" s="1"/>
  <c r="H26" i="26"/>
  <c r="H30" i="26"/>
  <c r="H27" i="26"/>
  <c r="I212" i="35" s="1"/>
  <c r="H31" i="26"/>
  <c r="I216" i="35" s="1"/>
  <c r="H35" i="26"/>
  <c r="I220" i="35" s="1"/>
  <c r="H23" i="26"/>
  <c r="I208" i="35" s="1"/>
  <c r="H34" i="26"/>
  <c r="H22" i="26"/>
  <c r="H38" i="26"/>
  <c r="E79" i="22"/>
  <c r="G39" i="26"/>
  <c r="G27" i="26"/>
  <c r="G31" i="26"/>
  <c r="G30" i="26"/>
  <c r="G26" i="26"/>
  <c r="G22" i="26"/>
  <c r="G23" i="26"/>
  <c r="E64" i="22"/>
  <c r="G34" i="26"/>
  <c r="G35" i="26"/>
  <c r="G38" i="26"/>
  <c r="E58" i="22"/>
  <c r="F27" i="17"/>
  <c r="L40" i="9"/>
  <c r="N36" i="20"/>
  <c r="E43" i="20"/>
  <c r="E35" i="20"/>
  <c r="O36" i="9" a="1"/>
  <c r="O36" i="9" s="1"/>
  <c r="E42" i="20"/>
  <c r="N44" i="20"/>
  <c r="N41" i="20"/>
  <c r="E33" i="20"/>
  <c r="R36" i="9" a="1"/>
  <c r="R36" i="9" s="1"/>
  <c r="N43" i="20"/>
  <c r="E36" i="20"/>
  <c r="E38" i="20"/>
  <c r="E32" i="20"/>
  <c r="E41" i="20"/>
  <c r="E34" i="20"/>
  <c r="N33" i="20"/>
  <c r="N45" i="20"/>
  <c r="E39" i="20"/>
  <c r="N32" i="20"/>
  <c r="N42" i="20"/>
  <c r="E37" i="20"/>
  <c r="N38" i="20"/>
  <c r="N40" i="20"/>
  <c r="N37" i="20"/>
  <c r="E44" i="20"/>
  <c r="E40" i="20"/>
  <c r="E45" i="20"/>
  <c r="N34" i="20"/>
  <c r="N39" i="20"/>
  <c r="N35" i="20"/>
  <c r="E46" i="22"/>
  <c r="R9" i="9"/>
  <c r="E34" i="26" l="1"/>
  <c r="R40" i="9"/>
  <c r="E38" i="26"/>
  <c r="E22" i="26"/>
  <c r="O40" i="9"/>
  <c r="O30" i="9"/>
  <c r="E35" i="26"/>
  <c r="I199" i="35" s="1"/>
  <c r="E39" i="22"/>
  <c r="P9" i="9"/>
  <c r="K42" i="39"/>
  <c r="E140" i="38" s="1"/>
  <c r="C42" i="39"/>
  <c r="E89" i="38" s="1"/>
  <c r="P15" i="39"/>
  <c r="O15" i="39"/>
  <c r="AA3" i="39"/>
  <c r="Q7" i="9"/>
  <c r="E39" i="26"/>
  <c r="I203" i="35" s="1"/>
  <c r="E23" i="26"/>
  <c r="I187" i="35" s="1"/>
  <c r="E27" i="26"/>
  <c r="I191" i="35" s="1"/>
  <c r="E26" i="26"/>
  <c r="I190" i="35" s="1"/>
  <c r="E31" i="26"/>
  <c r="I195" i="35" s="1"/>
  <c r="R30" i="9"/>
  <c r="N30" i="9"/>
  <c r="K10" i="9"/>
  <c r="H24" i="26"/>
  <c r="I209" i="35" s="1"/>
  <c r="H207" i="35"/>
  <c r="F49" i="26"/>
  <c r="I207" i="35"/>
  <c r="E40" i="26"/>
  <c r="I204" i="35" s="1"/>
  <c r="H202" i="35"/>
  <c r="C53" i="26"/>
  <c r="E40" i="22"/>
  <c r="Q8" i="9"/>
  <c r="L10" i="9"/>
  <c r="P43" i="20"/>
  <c r="P45" i="20"/>
  <c r="G41" i="20"/>
  <c r="E68" i="22"/>
  <c r="G37" i="20"/>
  <c r="P33" i="20"/>
  <c r="G36" i="20"/>
  <c r="G45" i="20"/>
  <c r="P38" i="20"/>
  <c r="P37" i="20"/>
  <c r="G33" i="20"/>
  <c r="P44" i="20"/>
  <c r="P32" i="20"/>
  <c r="G24" i="17"/>
  <c r="G40" i="20"/>
  <c r="G26" i="17"/>
  <c r="P41" i="20"/>
  <c r="P39" i="20"/>
  <c r="G42" i="20"/>
  <c r="G32" i="20"/>
  <c r="G44" i="20"/>
  <c r="P36" i="20"/>
  <c r="G35" i="20"/>
  <c r="G38" i="20"/>
  <c r="P42" i="20"/>
  <c r="P35" i="20"/>
  <c r="P40" i="20"/>
  <c r="P34" i="20"/>
  <c r="G43" i="20"/>
  <c r="G34" i="20"/>
  <c r="G39" i="20"/>
  <c r="I223" i="35"/>
  <c r="H28" i="26"/>
  <c r="I213" i="35" s="1"/>
  <c r="H211" i="35"/>
  <c r="F50" i="26"/>
  <c r="I219" i="35"/>
  <c r="E29" i="26"/>
  <c r="I193" i="35" s="1"/>
  <c r="H191" i="35"/>
  <c r="E41" i="26"/>
  <c r="I205" i="35" s="1"/>
  <c r="H203" i="35"/>
  <c r="G70" i="35" a="1"/>
  <c r="G70" i="35" s="1"/>
  <c r="G61" i="35" a="1"/>
  <c r="G61" i="35" s="1"/>
  <c r="G72" i="35" a="1"/>
  <c r="G72" i="35" s="1"/>
  <c r="G60" i="35" a="1"/>
  <c r="G60" i="35" s="1"/>
  <c r="G62" i="35" a="1"/>
  <c r="G62" i="35" s="1"/>
  <c r="G140" i="18" a="1"/>
  <c r="G140" i="18" s="1"/>
  <c r="G133" i="18" a="1"/>
  <c r="G133" i="18" s="1"/>
  <c r="G128" i="18" a="1"/>
  <c r="G128" i="18" s="1"/>
  <c r="M19" i="20"/>
  <c r="G67" i="35" a="1"/>
  <c r="G67" i="35" s="1"/>
  <c r="G63" i="35" a="1"/>
  <c r="G63" i="35" s="1"/>
  <c r="G141" i="18" a="1"/>
  <c r="G141" i="18" s="1"/>
  <c r="G66" i="35" a="1"/>
  <c r="G66" i="35" s="1"/>
  <c r="G59" i="35" a="1"/>
  <c r="G59" i="35" s="1"/>
  <c r="G131" i="18" a="1"/>
  <c r="G131" i="18" s="1"/>
  <c r="G139" i="18" a="1"/>
  <c r="G139" i="18" s="1"/>
  <c r="G65" i="35" a="1"/>
  <c r="G65" i="35" s="1"/>
  <c r="G137" i="18" a="1"/>
  <c r="G137" i="18" s="1"/>
  <c r="G134" i="18" a="1"/>
  <c r="G134" i="18" s="1"/>
  <c r="G68" i="35" a="1"/>
  <c r="G68" i="35" s="1"/>
  <c r="G69" i="35" a="1"/>
  <c r="G69" i="35" s="1"/>
  <c r="G129" i="18" a="1"/>
  <c r="G129" i="18" s="1"/>
  <c r="G64" i="35" a="1"/>
  <c r="G64" i="35" s="1"/>
  <c r="G71" i="35" a="1"/>
  <c r="G71" i="35" s="1"/>
  <c r="G138" i="18" a="1"/>
  <c r="G138" i="18" s="1"/>
  <c r="G135" i="18" a="1"/>
  <c r="G135" i="18" s="1"/>
  <c r="G130" i="18" a="1"/>
  <c r="G130" i="18" s="1"/>
  <c r="G132" i="18" a="1"/>
  <c r="G132" i="18" s="1"/>
  <c r="G136" i="18" a="1"/>
  <c r="G136" i="18" s="1"/>
  <c r="S16" i="20"/>
  <c r="J7" i="20"/>
  <c r="S18" i="20"/>
  <c r="S7" i="20"/>
  <c r="S15" i="20"/>
  <c r="E24" i="17"/>
  <c r="J15" i="20"/>
  <c r="E38" i="22"/>
  <c r="S5" i="20"/>
  <c r="S9" i="20"/>
  <c r="J13" i="20"/>
  <c r="S10" i="20"/>
  <c r="S17" i="20"/>
  <c r="J11" i="20"/>
  <c r="J16" i="20"/>
  <c r="S11" i="20"/>
  <c r="E26" i="17"/>
  <c r="J10" i="20"/>
  <c r="J17" i="20"/>
  <c r="Q6" i="9"/>
  <c r="S12" i="20"/>
  <c r="J6" i="20"/>
  <c r="S13" i="20"/>
  <c r="J9" i="20"/>
  <c r="J14" i="20"/>
  <c r="J18" i="20"/>
  <c r="S14" i="20"/>
  <c r="S8" i="20"/>
  <c r="J5" i="20"/>
  <c r="S6" i="20"/>
  <c r="J12" i="20"/>
  <c r="J8" i="20"/>
  <c r="E19" i="20"/>
  <c r="G37" i="35" a="1"/>
  <c r="G37" i="35" s="1"/>
  <c r="G40" i="35" a="1"/>
  <c r="G40" i="35" s="1"/>
  <c r="G32" i="35" a="1"/>
  <c r="G32" i="35" s="1"/>
  <c r="G183" i="18" a="1"/>
  <c r="G183" i="18" s="1"/>
  <c r="G171" i="18" a="1"/>
  <c r="G171" i="18" s="1"/>
  <c r="G31" i="35" a="1"/>
  <c r="G31" i="35" s="1"/>
  <c r="G170" i="18" a="1"/>
  <c r="G170" i="18" s="1"/>
  <c r="G179" i="18" a="1"/>
  <c r="G179" i="18" s="1"/>
  <c r="G175" i="18" a="1"/>
  <c r="G175" i="18" s="1"/>
  <c r="G174" i="18" a="1"/>
  <c r="G174" i="18" s="1"/>
  <c r="G39" i="35" a="1"/>
  <c r="G39" i="35" s="1"/>
  <c r="G33" i="35" a="1"/>
  <c r="G33" i="35" s="1"/>
  <c r="G42" i="35" a="1"/>
  <c r="G42" i="35" s="1"/>
  <c r="G41" i="35" a="1"/>
  <c r="G41" i="35" s="1"/>
  <c r="G177" i="18" a="1"/>
  <c r="G177" i="18" s="1"/>
  <c r="G178" i="18" a="1"/>
  <c r="G178" i="18" s="1"/>
  <c r="G181" i="18" a="1"/>
  <c r="G181" i="18" s="1"/>
  <c r="G173" i="18" a="1"/>
  <c r="G173" i="18" s="1"/>
  <c r="G44" i="35" a="1"/>
  <c r="G44" i="35" s="1"/>
  <c r="G43" i="35" a="1"/>
  <c r="G43" i="35" s="1"/>
  <c r="G172" i="18" a="1"/>
  <c r="G172" i="18" s="1"/>
  <c r="G182" i="18" a="1"/>
  <c r="G182" i="18" s="1"/>
  <c r="G36" i="35" a="1"/>
  <c r="G36" i="35" s="1"/>
  <c r="G180" i="18" a="1"/>
  <c r="G180" i="18" s="1"/>
  <c r="G176" i="18" a="1"/>
  <c r="G176" i="18" s="1"/>
  <c r="G34" i="35" a="1"/>
  <c r="G34" i="35" s="1"/>
  <c r="G38" i="35" a="1"/>
  <c r="G38" i="35" s="1"/>
  <c r="G35" i="35" a="1"/>
  <c r="G35" i="35" s="1"/>
  <c r="I211" i="35"/>
  <c r="H32" i="26"/>
  <c r="I217" i="35" s="1"/>
  <c r="H215" i="35"/>
  <c r="F51" i="26"/>
  <c r="E24" i="26"/>
  <c r="I188" i="35" s="1"/>
  <c r="H186" i="35"/>
  <c r="C49" i="26"/>
  <c r="E37" i="26"/>
  <c r="I201" i="35" s="1"/>
  <c r="H199" i="35"/>
  <c r="R6" i="9"/>
  <c r="K10" i="20"/>
  <c r="T5" i="20"/>
  <c r="K18" i="20"/>
  <c r="T6" i="20"/>
  <c r="T16" i="20"/>
  <c r="T13" i="20"/>
  <c r="E27" i="17"/>
  <c r="K13" i="20"/>
  <c r="T7" i="20"/>
  <c r="T17" i="20"/>
  <c r="K17" i="20"/>
  <c r="T9" i="20"/>
  <c r="T11" i="20"/>
  <c r="E43" i="22"/>
  <c r="K15" i="20"/>
  <c r="K16" i="20"/>
  <c r="K12" i="20"/>
  <c r="T8" i="20"/>
  <c r="K11" i="20"/>
  <c r="K8" i="20"/>
  <c r="K7" i="20"/>
  <c r="T18" i="20"/>
  <c r="K6" i="20"/>
  <c r="K9" i="20"/>
  <c r="E25" i="17"/>
  <c r="T10" i="20"/>
  <c r="T14" i="20"/>
  <c r="T12" i="20"/>
  <c r="K14" i="20"/>
  <c r="K5" i="20"/>
  <c r="T15" i="20"/>
  <c r="H18" i="20"/>
  <c r="H9" i="20"/>
  <c r="H14" i="20"/>
  <c r="H13" i="20"/>
  <c r="Q18" i="20"/>
  <c r="O6" i="9"/>
  <c r="H5" i="20"/>
  <c r="Q9" i="20"/>
  <c r="Q14" i="20"/>
  <c r="Q6" i="20"/>
  <c r="H11" i="20"/>
  <c r="H17" i="20"/>
  <c r="H6" i="20"/>
  <c r="H10" i="20"/>
  <c r="Q10" i="20"/>
  <c r="Q11" i="20"/>
  <c r="Q15" i="20"/>
  <c r="Q5" i="20"/>
  <c r="Q7" i="20"/>
  <c r="Q12" i="20"/>
  <c r="Q16" i="20"/>
  <c r="D25" i="17"/>
  <c r="H15" i="20"/>
  <c r="H16" i="20"/>
  <c r="H8" i="20"/>
  <c r="H12" i="20"/>
  <c r="D27" i="17"/>
  <c r="Q8" i="20"/>
  <c r="Q13" i="20"/>
  <c r="Q17" i="20"/>
  <c r="E28" i="22"/>
  <c r="H7" i="20"/>
  <c r="H33" i="26"/>
  <c r="I218" i="35" s="1"/>
  <c r="H216" i="35"/>
  <c r="E33" i="26"/>
  <c r="I197" i="35" s="1"/>
  <c r="H195" i="35"/>
  <c r="Q10" i="9"/>
  <c r="I198" i="35"/>
  <c r="E46" i="20"/>
  <c r="G423" i="18" a="1"/>
  <c r="G423" i="18" s="1"/>
  <c r="G117" i="35" a="1"/>
  <c r="G117" i="35" s="1"/>
  <c r="G126" i="35" a="1"/>
  <c r="G126" i="35" s="1"/>
  <c r="G434" i="18" a="1"/>
  <c r="G434" i="18" s="1"/>
  <c r="G125" i="35" a="1"/>
  <c r="G125" i="35" s="1"/>
  <c r="G119" i="35" a="1"/>
  <c r="G119" i="35" s="1"/>
  <c r="G431" i="18" a="1"/>
  <c r="G431" i="18" s="1"/>
  <c r="G430" i="18" a="1"/>
  <c r="G430" i="18" s="1"/>
  <c r="G429" i="18" a="1"/>
  <c r="G429" i="18" s="1"/>
  <c r="G435" i="18" a="1"/>
  <c r="G435" i="18" s="1"/>
  <c r="G424" i="18" a="1"/>
  <c r="G424" i="18" s="1"/>
  <c r="G115" i="35" a="1"/>
  <c r="G115" i="35" s="1"/>
  <c r="G123" i="35" a="1"/>
  <c r="G123" i="35" s="1"/>
  <c r="G428" i="18" a="1"/>
  <c r="G428" i="18" s="1"/>
  <c r="G116" i="35" a="1"/>
  <c r="G116" i="35" s="1"/>
  <c r="G128" i="35" a="1"/>
  <c r="G128" i="35" s="1"/>
  <c r="G425" i="18" a="1"/>
  <c r="G425" i="18" s="1"/>
  <c r="G427" i="18" a="1"/>
  <c r="G427" i="18" s="1"/>
  <c r="G426" i="18" a="1"/>
  <c r="G426" i="18" s="1"/>
  <c r="G121" i="35" a="1"/>
  <c r="G121" i="35" s="1"/>
  <c r="G433" i="18" a="1"/>
  <c r="G433" i="18" s="1"/>
  <c r="G422" i="18" a="1"/>
  <c r="G422" i="18" s="1"/>
  <c r="G127" i="35" a="1"/>
  <c r="G127" i="35" s="1"/>
  <c r="G122" i="35" a="1"/>
  <c r="G122" i="35" s="1"/>
  <c r="G432" i="18" a="1"/>
  <c r="G432" i="18" s="1"/>
  <c r="G124" i="35" a="1"/>
  <c r="G124" i="35" s="1"/>
  <c r="G120" i="35" a="1"/>
  <c r="G120" i="35" s="1"/>
  <c r="G118" i="35" a="1"/>
  <c r="G118" i="35" s="1"/>
  <c r="H37" i="20"/>
  <c r="Q33" i="20"/>
  <c r="Q37" i="20"/>
  <c r="H35" i="20"/>
  <c r="Q32" i="20"/>
  <c r="H40" i="20"/>
  <c r="H44" i="20"/>
  <c r="Q42" i="20"/>
  <c r="H45" i="20"/>
  <c r="Q44" i="20"/>
  <c r="Q34" i="20"/>
  <c r="Q38" i="20"/>
  <c r="H34" i="20"/>
  <c r="Q35" i="20"/>
  <c r="H36" i="20"/>
  <c r="H41" i="20"/>
  <c r="H32" i="20"/>
  <c r="Q41" i="20"/>
  <c r="Q43" i="20"/>
  <c r="H38" i="20"/>
  <c r="H42" i="20"/>
  <c r="Q39" i="20"/>
  <c r="E73" i="22"/>
  <c r="G27" i="17"/>
  <c r="Q45" i="20"/>
  <c r="Q36" i="20"/>
  <c r="H33" i="20"/>
  <c r="G25" i="17"/>
  <c r="H39" i="20"/>
  <c r="H43" i="20"/>
  <c r="Q40" i="20"/>
  <c r="H37" i="26"/>
  <c r="I222" i="35" s="1"/>
  <c r="H220" i="35"/>
  <c r="H29" i="26"/>
  <c r="I214" i="35" s="1"/>
  <c r="H212" i="35"/>
  <c r="E28" i="26"/>
  <c r="I192" i="35" s="1"/>
  <c r="H190" i="35"/>
  <c r="C50" i="26"/>
  <c r="E25" i="26"/>
  <c r="I189" i="35" s="1"/>
  <c r="H187" i="35"/>
  <c r="Q40" i="9"/>
  <c r="J30" i="9"/>
  <c r="C18" i="20"/>
  <c r="C5" i="20"/>
  <c r="L9" i="20"/>
  <c r="L18" i="20"/>
  <c r="C15" i="20"/>
  <c r="C10" i="20"/>
  <c r="L5" i="20"/>
  <c r="L15" i="20"/>
  <c r="C11" i="20"/>
  <c r="L10" i="20"/>
  <c r="J6" i="9"/>
  <c r="L11" i="20"/>
  <c r="L12" i="20"/>
  <c r="M26" i="9" a="1"/>
  <c r="M26" i="9" s="1"/>
  <c r="C17" i="20"/>
  <c r="L7" i="20"/>
  <c r="L17" i="20"/>
  <c r="P26" i="9" a="1"/>
  <c r="P26" i="9" s="1"/>
  <c r="C7" i="20"/>
  <c r="C14" i="20"/>
  <c r="C8" i="20"/>
  <c r="C9" i="20"/>
  <c r="C16" i="20"/>
  <c r="L14" i="20"/>
  <c r="C6" i="20"/>
  <c r="L6" i="20"/>
  <c r="L16" i="20"/>
  <c r="C12" i="20"/>
  <c r="L8" i="20"/>
  <c r="E3" i="22"/>
  <c r="C13" i="20"/>
  <c r="L13" i="20"/>
  <c r="G217" i="18" a="1"/>
  <c r="G217" i="18" s="1"/>
  <c r="G219" i="18" a="1"/>
  <c r="G219" i="18" s="1"/>
  <c r="G84" i="35" a="1"/>
  <c r="G84" i="35" s="1"/>
  <c r="G78" i="35" a="1"/>
  <c r="G78" i="35" s="1"/>
  <c r="G73" i="35" a="1"/>
  <c r="G73" i="35" s="1"/>
  <c r="G77" i="35" a="1"/>
  <c r="G77" i="35" s="1"/>
  <c r="G86" i="35" a="1"/>
  <c r="G86" i="35" s="1"/>
  <c r="G225" i="18" a="1"/>
  <c r="G225" i="18" s="1"/>
  <c r="G80" i="35" a="1"/>
  <c r="G80" i="35" s="1"/>
  <c r="G75" i="35" a="1"/>
  <c r="G75" i="35" s="1"/>
  <c r="G216" i="18" a="1"/>
  <c r="G216" i="18" s="1"/>
  <c r="G212" i="18" a="1"/>
  <c r="G212" i="18" s="1"/>
  <c r="G221" i="18" a="1"/>
  <c r="G221" i="18" s="1"/>
  <c r="G223" i="18" a="1"/>
  <c r="G223" i="18" s="1"/>
  <c r="G213" i="18" a="1"/>
  <c r="G213" i="18" s="1"/>
  <c r="G85" i="35" a="1"/>
  <c r="G85" i="35" s="1"/>
  <c r="G82" i="35" a="1"/>
  <c r="G82" i="35" s="1"/>
  <c r="G76" i="35" a="1"/>
  <c r="G76" i="35" s="1"/>
  <c r="G81" i="35" a="1"/>
  <c r="G81" i="35" s="1"/>
  <c r="G74" i="35" a="1"/>
  <c r="G74" i="35" s="1"/>
  <c r="N19" i="20"/>
  <c r="G214" i="18" a="1"/>
  <c r="G214" i="18" s="1"/>
  <c r="G83" i="35" a="1"/>
  <c r="G83" i="35" s="1"/>
  <c r="G215" i="18" a="1"/>
  <c r="G215" i="18" s="1"/>
  <c r="G220" i="18" a="1"/>
  <c r="G220" i="18" s="1"/>
  <c r="G218" i="18" a="1"/>
  <c r="G218" i="18" s="1"/>
  <c r="G224" i="18" a="1"/>
  <c r="G224" i="18" s="1"/>
  <c r="G222" i="18" a="1"/>
  <c r="G222" i="18" s="1"/>
  <c r="G79" i="35" a="1"/>
  <c r="G79" i="35" s="1"/>
  <c r="C43" i="20"/>
  <c r="C34" i="20"/>
  <c r="C36" i="20"/>
  <c r="L34" i="20"/>
  <c r="L43" i="20"/>
  <c r="L39" i="20"/>
  <c r="C39" i="20"/>
  <c r="C41" i="20"/>
  <c r="P36" i="9" a="1"/>
  <c r="P36" i="9" s="1"/>
  <c r="L37" i="20"/>
  <c r="L45" i="20"/>
  <c r="C45" i="20"/>
  <c r="C35" i="20"/>
  <c r="J40" i="9"/>
  <c r="L40" i="20"/>
  <c r="L33" i="20"/>
  <c r="C33" i="20"/>
  <c r="C42" i="20"/>
  <c r="L44" i="20"/>
  <c r="L32" i="20"/>
  <c r="C37" i="20"/>
  <c r="C32" i="20"/>
  <c r="L38" i="20"/>
  <c r="L35" i="20"/>
  <c r="C44" i="20"/>
  <c r="M36" i="9" a="1"/>
  <c r="M36" i="9" s="1"/>
  <c r="L42" i="20"/>
  <c r="L36" i="20"/>
  <c r="C40" i="20"/>
  <c r="C38" i="20"/>
  <c r="E48" i="22"/>
  <c r="L41" i="20"/>
  <c r="I186" i="35"/>
  <c r="I202" i="35"/>
  <c r="H40" i="26"/>
  <c r="I225" i="35" s="1"/>
  <c r="F53" i="26"/>
  <c r="H223" i="35"/>
  <c r="G157" i="35" a="1"/>
  <c r="G157" i="35" s="1"/>
  <c r="G469" i="18" a="1"/>
  <c r="G469" i="18" s="1"/>
  <c r="G163" i="35" a="1"/>
  <c r="G163" i="35" s="1"/>
  <c r="G161" i="35" a="1"/>
  <c r="G161" i="35" s="1"/>
  <c r="G167" i="35" a="1"/>
  <c r="G167" i="35" s="1"/>
  <c r="G170" i="35" a="1"/>
  <c r="G170" i="35" s="1"/>
  <c r="G471" i="18" a="1"/>
  <c r="G471" i="18" s="1"/>
  <c r="G477" i="18" a="1"/>
  <c r="G477" i="18" s="1"/>
  <c r="G168" i="35" a="1"/>
  <c r="G168" i="35" s="1"/>
  <c r="G166" i="35" a="1"/>
  <c r="G166" i="35" s="1"/>
  <c r="G472" i="18" a="1"/>
  <c r="G472" i="18" s="1"/>
  <c r="G466" i="18" a="1"/>
  <c r="G466" i="18" s="1"/>
  <c r="G473" i="18" a="1"/>
  <c r="G473" i="18" s="1"/>
  <c r="G162" i="35" a="1"/>
  <c r="G162" i="35" s="1"/>
  <c r="N46" i="20"/>
  <c r="G160" i="35" a="1"/>
  <c r="G160" i="35" s="1"/>
  <c r="G470" i="18" a="1"/>
  <c r="G470" i="18" s="1"/>
  <c r="G474" i="18" a="1"/>
  <c r="G474" i="18" s="1"/>
  <c r="G468" i="18" a="1"/>
  <c r="G468" i="18" s="1"/>
  <c r="G464" i="18" a="1"/>
  <c r="G464" i="18" s="1"/>
  <c r="G465" i="18" a="1"/>
  <c r="G465" i="18" s="1"/>
  <c r="G169" i="35" a="1"/>
  <c r="G169" i="35" s="1"/>
  <c r="G475" i="18" a="1"/>
  <c r="G475" i="18" s="1"/>
  <c r="G164" i="35" a="1"/>
  <c r="G164" i="35" s="1"/>
  <c r="G159" i="35" a="1"/>
  <c r="G159" i="35" s="1"/>
  <c r="G165" i="35" a="1"/>
  <c r="G165" i="35" s="1"/>
  <c r="G467" i="18" a="1"/>
  <c r="G467" i="18" s="1"/>
  <c r="G476" i="18" a="1"/>
  <c r="G476" i="18" s="1"/>
  <c r="G158" i="35" a="1"/>
  <c r="G158" i="35" s="1"/>
  <c r="H36" i="26"/>
  <c r="I221" i="35" s="1"/>
  <c r="F52" i="26"/>
  <c r="H219" i="35"/>
  <c r="H41" i="26"/>
  <c r="I226" i="35" s="1"/>
  <c r="H224" i="35"/>
  <c r="M38" i="9" a="1"/>
  <c r="M38" i="9" s="1"/>
  <c r="E65" i="22" s="1"/>
  <c r="P38" i="9" a="1"/>
  <c r="P38" i="9" s="1"/>
  <c r="E80" i="22" s="1"/>
  <c r="E50" i="22"/>
  <c r="N40" i="9"/>
  <c r="Q30" i="9"/>
  <c r="S32" i="20"/>
  <c r="J39" i="20"/>
  <c r="S42" i="20"/>
  <c r="J37" i="20"/>
  <c r="S44" i="20"/>
  <c r="J34" i="20"/>
  <c r="S33" i="20"/>
  <c r="J36" i="20"/>
  <c r="J43" i="20"/>
  <c r="S37" i="20"/>
  <c r="J41" i="20"/>
  <c r="S35" i="20"/>
  <c r="S45" i="20"/>
  <c r="J42" i="20"/>
  <c r="S41" i="20"/>
  <c r="S40" i="20"/>
  <c r="E83" i="22"/>
  <c r="J40" i="20"/>
  <c r="J33" i="20"/>
  <c r="J38" i="20"/>
  <c r="H24" i="17"/>
  <c r="S34" i="20"/>
  <c r="J45" i="20"/>
  <c r="S38" i="20"/>
  <c r="J32" i="20"/>
  <c r="S43" i="20"/>
  <c r="J44" i="20"/>
  <c r="S39" i="20"/>
  <c r="J35" i="20"/>
  <c r="H26" i="17"/>
  <c r="S36" i="20"/>
  <c r="G389" i="18" a="1"/>
  <c r="G389" i="18" s="1"/>
  <c r="G386" i="18" a="1"/>
  <c r="G386" i="18" s="1"/>
  <c r="G145" i="35" a="1"/>
  <c r="G145" i="35" s="1"/>
  <c r="G154" i="35" a="1"/>
  <c r="G154" i="35" s="1"/>
  <c r="G153" i="35" a="1"/>
  <c r="G153" i="35" s="1"/>
  <c r="G156" i="35" a="1"/>
  <c r="G156" i="35" s="1"/>
  <c r="G381" i="18" a="1"/>
  <c r="G381" i="18" s="1"/>
  <c r="G384" i="18" a="1"/>
  <c r="G384" i="18" s="1"/>
  <c r="G152" i="35" a="1"/>
  <c r="G152" i="35" s="1"/>
  <c r="G393" i="18" a="1"/>
  <c r="G393" i="18" s="1"/>
  <c r="G382" i="18" a="1"/>
  <c r="G382" i="18" s="1"/>
  <c r="G392" i="18" a="1"/>
  <c r="G392" i="18" s="1"/>
  <c r="G155" i="35" a="1"/>
  <c r="G155" i="35" s="1"/>
  <c r="G391" i="18" a="1"/>
  <c r="G391" i="18" s="1"/>
  <c r="M46" i="20"/>
  <c r="G151" i="35" a="1"/>
  <c r="G151" i="35" s="1"/>
  <c r="G144" i="35" a="1"/>
  <c r="G144" i="35" s="1"/>
  <c r="G146" i="35" a="1"/>
  <c r="G146" i="35" s="1"/>
  <c r="G385" i="18" a="1"/>
  <c r="G385" i="18" s="1"/>
  <c r="G148" i="35" a="1"/>
  <c r="G148" i="35" s="1"/>
  <c r="G147" i="35" a="1"/>
  <c r="G147" i="35" s="1"/>
  <c r="G383" i="18" a="1"/>
  <c r="G383" i="18" s="1"/>
  <c r="G380" i="18" a="1"/>
  <c r="G380" i="18" s="1"/>
  <c r="G390" i="18" a="1"/>
  <c r="G390" i="18" s="1"/>
  <c r="G143" i="35" a="1"/>
  <c r="G143" i="35" s="1"/>
  <c r="G388" i="18" a="1"/>
  <c r="G388" i="18" s="1"/>
  <c r="G150" i="35" a="1"/>
  <c r="G150" i="35" s="1"/>
  <c r="G387" i="18" a="1"/>
  <c r="G387" i="18" s="1"/>
  <c r="G149" i="35" a="1"/>
  <c r="G149" i="35" s="1"/>
  <c r="G345" i="18" a="1"/>
  <c r="G345" i="18" s="1"/>
  <c r="G110" i="35" a="1"/>
  <c r="G110" i="35" s="1"/>
  <c r="G347" i="18" a="1"/>
  <c r="G347" i="18" s="1"/>
  <c r="G339" i="18" a="1"/>
  <c r="G339" i="18" s="1"/>
  <c r="G104" i="35" a="1"/>
  <c r="G104" i="35" s="1"/>
  <c r="G102" i="35" a="1"/>
  <c r="G102" i="35" s="1"/>
  <c r="G106" i="35" a="1"/>
  <c r="G106" i="35" s="1"/>
  <c r="G112" i="35" a="1"/>
  <c r="G112" i="35" s="1"/>
  <c r="G113" i="35" a="1"/>
  <c r="G113" i="35" s="1"/>
  <c r="G107" i="35" a="1"/>
  <c r="G107" i="35" s="1"/>
  <c r="G351" i="18" a="1"/>
  <c r="G351" i="18" s="1"/>
  <c r="G109" i="35" a="1"/>
  <c r="G109" i="35" s="1"/>
  <c r="G338" i="18" a="1"/>
  <c r="G338" i="18" s="1"/>
  <c r="G340" i="18" a="1"/>
  <c r="G340" i="18" s="1"/>
  <c r="D46" i="20"/>
  <c r="G111" i="35" a="1"/>
  <c r="G111" i="35" s="1"/>
  <c r="G349" i="18" a="1"/>
  <c r="G349" i="18" s="1"/>
  <c r="G114" i="35" a="1"/>
  <c r="G114" i="35" s="1"/>
  <c r="G350" i="18" a="1"/>
  <c r="G350" i="18" s="1"/>
  <c r="G344" i="18" a="1"/>
  <c r="G344" i="18" s="1"/>
  <c r="G346" i="18" a="1"/>
  <c r="G346" i="18" s="1"/>
  <c r="G105" i="35" a="1"/>
  <c r="G105" i="35" s="1"/>
  <c r="G341" i="18" a="1"/>
  <c r="G341" i="18" s="1"/>
  <c r="G342" i="18" a="1"/>
  <c r="G342" i="18" s="1"/>
  <c r="G348" i="18" a="1"/>
  <c r="G348" i="18" s="1"/>
  <c r="G343" i="18" a="1"/>
  <c r="G343" i="18" s="1"/>
  <c r="G101" i="35" a="1"/>
  <c r="G101" i="35" s="1"/>
  <c r="G103" i="35" a="1"/>
  <c r="G103" i="35" s="1"/>
  <c r="G108" i="35" a="1"/>
  <c r="G108" i="35" s="1"/>
  <c r="I215" i="35"/>
  <c r="E36" i="26"/>
  <c r="I200" i="35" s="1"/>
  <c r="H198" i="35"/>
  <c r="C52" i="26"/>
  <c r="E45" i="22"/>
  <c r="R8" i="9"/>
  <c r="E25" i="22"/>
  <c r="N8" i="9"/>
  <c r="G24" i="35" a="1"/>
  <c r="G24" i="35" s="1"/>
  <c r="G20" i="35" a="1"/>
  <c r="G20" i="35" s="1"/>
  <c r="G95" i="18" a="1"/>
  <c r="G95" i="18" s="1"/>
  <c r="G17" i="35" a="1"/>
  <c r="G17" i="35" s="1"/>
  <c r="G26" i="35" a="1"/>
  <c r="G26" i="35" s="1"/>
  <c r="G30" i="35" a="1"/>
  <c r="G30" i="35" s="1"/>
  <c r="G91" i="18" a="1"/>
  <c r="G91" i="18" s="1"/>
  <c r="G19" i="35" a="1"/>
  <c r="G19" i="35" s="1"/>
  <c r="G28" i="35" a="1"/>
  <c r="G28" i="35" s="1"/>
  <c r="G94" i="18" a="1"/>
  <c r="G94" i="18" s="1"/>
  <c r="G86" i="18" a="1"/>
  <c r="G86" i="18" s="1"/>
  <c r="G27" i="35" a="1"/>
  <c r="G27" i="35" s="1"/>
  <c r="G89" i="18" a="1"/>
  <c r="G89" i="18" s="1"/>
  <c r="G23" i="35" a="1"/>
  <c r="G23" i="35" s="1"/>
  <c r="G90" i="18" a="1"/>
  <c r="G90" i="18" s="1"/>
  <c r="D19" i="20"/>
  <c r="G18" i="35" a="1"/>
  <c r="G18" i="35" s="1"/>
  <c r="G21" i="35" a="1"/>
  <c r="G21" i="35" s="1"/>
  <c r="G29" i="35" a="1"/>
  <c r="G29" i="35" s="1"/>
  <c r="G22" i="35" a="1"/>
  <c r="G22" i="35" s="1"/>
  <c r="G92" i="18" a="1"/>
  <c r="G92" i="18" s="1"/>
  <c r="G93" i="18" a="1"/>
  <c r="G93" i="18" s="1"/>
  <c r="G98" i="18" a="1"/>
  <c r="G98" i="18" s="1"/>
  <c r="G25" i="35" a="1"/>
  <c r="G25" i="35" s="1"/>
  <c r="G97" i="18" a="1"/>
  <c r="G97" i="18" s="1"/>
  <c r="G99" i="18" a="1"/>
  <c r="G99" i="18" s="1"/>
  <c r="G96" i="18" a="1"/>
  <c r="G96" i="18" s="1"/>
  <c r="G88" i="18" a="1"/>
  <c r="G88" i="18" s="1"/>
  <c r="G87" i="18" a="1"/>
  <c r="G87" i="18" s="1"/>
  <c r="K36" i="20"/>
  <c r="K44" i="20"/>
  <c r="T39" i="20"/>
  <c r="T44" i="20"/>
  <c r="K43" i="20"/>
  <c r="K39" i="20"/>
  <c r="K41" i="20"/>
  <c r="E88" i="22"/>
  <c r="K40" i="20"/>
  <c r="T37" i="20"/>
  <c r="T35" i="20"/>
  <c r="T34" i="20"/>
  <c r="T38" i="20"/>
  <c r="T32" i="20"/>
  <c r="T43" i="20"/>
  <c r="K38" i="20"/>
  <c r="T33" i="20"/>
  <c r="K37" i="20"/>
  <c r="K35" i="20"/>
  <c r="H25" i="17"/>
  <c r="K45" i="20"/>
  <c r="T41" i="20"/>
  <c r="K34" i="20"/>
  <c r="T45" i="20"/>
  <c r="K33" i="20"/>
  <c r="T40" i="20"/>
  <c r="K32" i="20"/>
  <c r="T42" i="20"/>
  <c r="T36" i="20"/>
  <c r="H27" i="17"/>
  <c r="K42" i="20"/>
  <c r="H25" i="26"/>
  <c r="I210" i="35" s="1"/>
  <c r="H208" i="35"/>
  <c r="E32" i="26"/>
  <c r="I196" i="35" s="1"/>
  <c r="C51" i="26"/>
  <c r="H194" i="35"/>
  <c r="E30" i="22"/>
  <c r="O8" i="9"/>
  <c r="O10" i="9" s="1"/>
  <c r="J8" i="9"/>
  <c r="P28" i="9" a="1"/>
  <c r="P28" i="9" s="1"/>
  <c r="E5" i="22"/>
  <c r="M28" i="9" a="1"/>
  <c r="M28" i="9" s="1"/>
  <c r="N6" i="9"/>
  <c r="P10" i="20"/>
  <c r="G9" i="20"/>
  <c r="P12" i="20"/>
  <c r="G16" i="20"/>
  <c r="G10" i="20"/>
  <c r="G18" i="20"/>
  <c r="P13" i="20"/>
  <c r="G11" i="20"/>
  <c r="D24" i="17"/>
  <c r="D28" i="17" s="1"/>
  <c r="D26" i="17"/>
  <c r="G15" i="20"/>
  <c r="E23" i="22"/>
  <c r="G17" i="20"/>
  <c r="G14" i="20"/>
  <c r="P17" i="20"/>
  <c r="G12" i="20"/>
  <c r="G6" i="20"/>
  <c r="P5" i="20"/>
  <c r="P8" i="20"/>
  <c r="P15" i="20"/>
  <c r="P6" i="20"/>
  <c r="G13" i="20"/>
  <c r="G5" i="20"/>
  <c r="G7" i="20"/>
  <c r="P14" i="20"/>
  <c r="P18" i="20"/>
  <c r="P16" i="20"/>
  <c r="P9" i="20"/>
  <c r="P7" i="20"/>
  <c r="P11" i="20"/>
  <c r="G8" i="20"/>
  <c r="I194" i="35"/>
  <c r="D53" i="26" l="1"/>
  <c r="D50" i="26"/>
  <c r="D51" i="26"/>
  <c r="G51" i="26"/>
  <c r="Q15" i="39"/>
  <c r="J44" i="66"/>
  <c r="J188" i="66"/>
  <c r="D49" i="26"/>
  <c r="R10" i="9"/>
  <c r="H97" i="18"/>
  <c r="I97" i="18"/>
  <c r="H346" i="18"/>
  <c r="I346" i="18"/>
  <c r="H338" i="18"/>
  <c r="I338" i="18"/>
  <c r="I388" i="18"/>
  <c r="H388" i="18"/>
  <c r="I393" i="18"/>
  <c r="H393" i="18"/>
  <c r="H386" i="18"/>
  <c r="I386" i="18"/>
  <c r="G368" i="18" a="1"/>
  <c r="G368" i="18" s="1"/>
  <c r="G378" i="18" a="1"/>
  <c r="G378" i="18" s="1"/>
  <c r="G367" i="18" a="1"/>
  <c r="G367" i="18" s="1"/>
  <c r="G375" i="18" a="1"/>
  <c r="G375" i="18" s="1"/>
  <c r="G376" i="18" a="1"/>
  <c r="G376" i="18" s="1"/>
  <c r="I109" i="35" a="1"/>
  <c r="I109" i="35" s="1"/>
  <c r="J46" i="20"/>
  <c r="G373" i="18" a="1"/>
  <c r="G373" i="18" s="1"/>
  <c r="G374" i="18" a="1"/>
  <c r="G374" i="18" s="1"/>
  <c r="I103" i="35" a="1"/>
  <c r="I103" i="35" s="1"/>
  <c r="G372" i="18" a="1"/>
  <c r="G372" i="18" s="1"/>
  <c r="I111" i="35" a="1"/>
  <c r="I111" i="35" s="1"/>
  <c r="I114" i="35" a="1"/>
  <c r="I114" i="35" s="1"/>
  <c r="G377" i="18" a="1"/>
  <c r="G377" i="18" s="1"/>
  <c r="I106" i="35" a="1"/>
  <c r="I106" i="35" s="1"/>
  <c r="I104" i="35" a="1"/>
  <c r="I104" i="35" s="1"/>
  <c r="I108" i="35" a="1"/>
  <c r="I108" i="35" s="1"/>
  <c r="G366" i="18" a="1"/>
  <c r="G366" i="18" s="1"/>
  <c r="G369" i="18" a="1"/>
  <c r="G369" i="18" s="1"/>
  <c r="G379" i="18" a="1"/>
  <c r="G379" i="18" s="1"/>
  <c r="I112" i="35" a="1"/>
  <c r="I112" i="35" s="1"/>
  <c r="I113" i="35" a="1"/>
  <c r="I113" i="35" s="1"/>
  <c r="G370" i="18" a="1"/>
  <c r="G370" i="18" s="1"/>
  <c r="I102" i="35" a="1"/>
  <c r="I102" i="35" s="1"/>
  <c r="I110" i="35" a="1"/>
  <c r="I110" i="35" s="1"/>
  <c r="G371" i="18" a="1"/>
  <c r="G371" i="18" s="1"/>
  <c r="I105" i="35" a="1"/>
  <c r="I105" i="35" s="1"/>
  <c r="I107" i="35" a="1"/>
  <c r="I107" i="35" s="1"/>
  <c r="I101" i="35" a="1"/>
  <c r="I101" i="35" s="1"/>
  <c r="I154" i="35" a="1"/>
  <c r="I154" i="35" s="1"/>
  <c r="I144" i="35" a="1"/>
  <c r="I144" i="35" s="1"/>
  <c r="I146" i="35" a="1"/>
  <c r="I146" i="35" s="1"/>
  <c r="G419" i="18" a="1"/>
  <c r="G419" i="18" s="1"/>
  <c r="I143" i="35" a="1"/>
  <c r="I143" i="35" s="1"/>
  <c r="G418" i="18" a="1"/>
  <c r="G418" i="18" s="1"/>
  <c r="S46" i="20"/>
  <c r="G415" i="18" a="1"/>
  <c r="G415" i="18" s="1"/>
  <c r="I156" i="35" a="1"/>
  <c r="I156" i="35" s="1"/>
  <c r="G413" i="18" a="1"/>
  <c r="G413" i="18" s="1"/>
  <c r="I155" i="35" a="1"/>
  <c r="I155" i="35" s="1"/>
  <c r="G420" i="18" a="1"/>
  <c r="G420" i="18" s="1"/>
  <c r="G411" i="18" a="1"/>
  <c r="G411" i="18" s="1"/>
  <c r="G414" i="18" a="1"/>
  <c r="G414" i="18" s="1"/>
  <c r="I148" i="35" a="1"/>
  <c r="I148" i="35" s="1"/>
  <c r="G412" i="18" a="1"/>
  <c r="G412" i="18" s="1"/>
  <c r="I153" i="35" a="1"/>
  <c r="I153" i="35" s="1"/>
  <c r="I150" i="35" a="1"/>
  <c r="I150" i="35" s="1"/>
  <c r="I152" i="35" a="1"/>
  <c r="I152" i="35" s="1"/>
  <c r="G421" i="18" a="1"/>
  <c r="G421" i="18" s="1"/>
  <c r="G416" i="18" a="1"/>
  <c r="G416" i="18" s="1"/>
  <c r="G417" i="18" a="1"/>
  <c r="G417" i="18" s="1"/>
  <c r="I149" i="35" a="1"/>
  <c r="I149" i="35" s="1"/>
  <c r="G410" i="18" a="1"/>
  <c r="G410" i="18" s="1"/>
  <c r="I151" i="35" a="1"/>
  <c r="I151" i="35" s="1"/>
  <c r="I145" i="35" a="1"/>
  <c r="I145" i="35" s="1"/>
  <c r="G409" i="18" a="1"/>
  <c r="G409" i="18" s="1"/>
  <c r="I147" i="35" a="1"/>
  <c r="I147" i="35" s="1"/>
  <c r="G408" i="18" a="1"/>
  <c r="G408" i="18" s="1"/>
  <c r="H467" i="18"/>
  <c r="I467" i="18"/>
  <c r="H468" i="18"/>
  <c r="I468" i="18"/>
  <c r="H472" i="18"/>
  <c r="I472" i="18"/>
  <c r="O38" i="20"/>
  <c r="O42" i="20"/>
  <c r="F38" i="20"/>
  <c r="O34" i="20"/>
  <c r="F33" i="20"/>
  <c r="O32" i="20"/>
  <c r="O41" i="20"/>
  <c r="F34" i="20"/>
  <c r="F42" i="20"/>
  <c r="F32" i="20"/>
  <c r="F45" i="20"/>
  <c r="F36" i="20"/>
  <c r="F41" i="20"/>
  <c r="O45" i="20"/>
  <c r="F44" i="20"/>
  <c r="O37" i="20"/>
  <c r="O44" i="20"/>
  <c r="O36" i="20"/>
  <c r="F37" i="20"/>
  <c r="F35" i="20"/>
  <c r="O33" i="20"/>
  <c r="O35" i="20"/>
  <c r="O43" i="20"/>
  <c r="F39" i="20"/>
  <c r="F43" i="20"/>
  <c r="O39" i="20"/>
  <c r="F40" i="20"/>
  <c r="O40" i="20"/>
  <c r="E63" i="22"/>
  <c r="G48" i="17"/>
  <c r="G47" i="17"/>
  <c r="M40" i="9"/>
  <c r="I213" i="18"/>
  <c r="H213" i="18"/>
  <c r="H163" i="35" a="1"/>
  <c r="H163" i="35" s="1"/>
  <c r="G483" i="18" a="1"/>
  <c r="G483" i="18" s="1"/>
  <c r="G485" i="18" a="1"/>
  <c r="G485" i="18" s="1"/>
  <c r="H164" i="35" a="1"/>
  <c r="H164" i="35" s="1"/>
  <c r="H158" i="35" a="1"/>
  <c r="H158" i="35" s="1"/>
  <c r="G487" i="18" a="1"/>
  <c r="G487" i="18" s="1"/>
  <c r="Q46" i="20"/>
  <c r="H160" i="35" a="1"/>
  <c r="H160" i="35" s="1"/>
  <c r="H166" i="35" a="1"/>
  <c r="H166" i="35" s="1"/>
  <c r="G491" i="18" a="1"/>
  <c r="G491" i="18" s="1"/>
  <c r="G484" i="18" a="1"/>
  <c r="G484" i="18" s="1"/>
  <c r="H170" i="35" a="1"/>
  <c r="H170" i="35" s="1"/>
  <c r="G480" i="18" a="1"/>
  <c r="G480" i="18" s="1"/>
  <c r="H169" i="35" a="1"/>
  <c r="H169" i="35" s="1"/>
  <c r="H162" i="35" a="1"/>
  <c r="H162" i="35" s="1"/>
  <c r="G482" i="18" a="1"/>
  <c r="G482" i="18" s="1"/>
  <c r="G481" i="18" a="1"/>
  <c r="G481" i="18" s="1"/>
  <c r="H165" i="35" a="1"/>
  <c r="H165" i="35" s="1"/>
  <c r="H159" i="35" a="1"/>
  <c r="H159" i="35" s="1"/>
  <c r="G486" i="18" a="1"/>
  <c r="G486" i="18" s="1"/>
  <c r="G489" i="18" a="1"/>
  <c r="G489" i="18" s="1"/>
  <c r="H161" i="35" a="1"/>
  <c r="H161" i="35" s="1"/>
  <c r="H167" i="35" a="1"/>
  <c r="H167" i="35" s="1"/>
  <c r="G479" i="18" a="1"/>
  <c r="G479" i="18" s="1"/>
  <c r="G490" i="18" a="1"/>
  <c r="G490" i="18" s="1"/>
  <c r="H168" i="35" a="1"/>
  <c r="H168" i="35" s="1"/>
  <c r="G478" i="18" a="1"/>
  <c r="G478" i="18" s="1"/>
  <c r="G488" i="18" a="1"/>
  <c r="G488" i="18" s="1"/>
  <c r="H157" i="35" a="1"/>
  <c r="H157" i="35" s="1"/>
  <c r="I432" i="18"/>
  <c r="H432" i="18"/>
  <c r="I425" i="18"/>
  <c r="H425" i="18"/>
  <c r="H429" i="18"/>
  <c r="I429" i="18"/>
  <c r="I423" i="18"/>
  <c r="H423" i="18"/>
  <c r="H180" i="18"/>
  <c r="I180" i="18"/>
  <c r="H178" i="18"/>
  <c r="I178" i="18"/>
  <c r="I179" i="18"/>
  <c r="H179" i="18"/>
  <c r="S19" i="20"/>
  <c r="I69" i="35" a="1"/>
  <c r="I69" i="35" s="1"/>
  <c r="I65" i="35" a="1"/>
  <c r="I65" i="35" s="1"/>
  <c r="I70" i="35" a="1"/>
  <c r="I70" i="35" s="1"/>
  <c r="I63" i="35" a="1"/>
  <c r="I63" i="35" s="1"/>
  <c r="G169" i="18" a="1"/>
  <c r="G169" i="18" s="1"/>
  <c r="G160" i="18" a="1"/>
  <c r="G160" i="18" s="1"/>
  <c r="I64" i="35" a="1"/>
  <c r="I64" i="35" s="1"/>
  <c r="G157" i="18" a="1"/>
  <c r="G157" i="18" s="1"/>
  <c r="I66" i="35" a="1"/>
  <c r="I66" i="35" s="1"/>
  <c r="I60" i="35" a="1"/>
  <c r="I60" i="35" s="1"/>
  <c r="I72" i="35" a="1"/>
  <c r="I72" i="35" s="1"/>
  <c r="G162" i="18" a="1"/>
  <c r="G162" i="18" s="1"/>
  <c r="I67" i="35" a="1"/>
  <c r="I67" i="35" s="1"/>
  <c r="G167" i="18" a="1"/>
  <c r="G167" i="18" s="1"/>
  <c r="I68" i="35" a="1"/>
  <c r="I68" i="35" s="1"/>
  <c r="G156" i="18" a="1"/>
  <c r="G156" i="18" s="1"/>
  <c r="G159" i="18" a="1"/>
  <c r="G159" i="18" s="1"/>
  <c r="G163" i="18" a="1"/>
  <c r="G163" i="18" s="1"/>
  <c r="I59" i="35" a="1"/>
  <c r="I59" i="35" s="1"/>
  <c r="G166" i="18" a="1"/>
  <c r="G166" i="18" s="1"/>
  <c r="G164" i="18" a="1"/>
  <c r="G164" i="18" s="1"/>
  <c r="G168" i="18" a="1"/>
  <c r="G168" i="18" s="1"/>
  <c r="I61" i="35" a="1"/>
  <c r="I61" i="35" s="1"/>
  <c r="G165" i="18" a="1"/>
  <c r="G165" i="18" s="1"/>
  <c r="G158" i="18" a="1"/>
  <c r="G158" i="18" s="1"/>
  <c r="I62" i="35" a="1"/>
  <c r="I62" i="35" s="1"/>
  <c r="I71" i="35" a="1"/>
  <c r="I71" i="35" s="1"/>
  <c r="G161" i="18" a="1"/>
  <c r="G161" i="18" s="1"/>
  <c r="I129" i="18"/>
  <c r="H129" i="18"/>
  <c r="H140" i="18"/>
  <c r="I140" i="18"/>
  <c r="N10" i="9"/>
  <c r="H344" i="18"/>
  <c r="I344" i="18"/>
  <c r="H339" i="18"/>
  <c r="I339" i="18"/>
  <c r="I389" i="18"/>
  <c r="H389" i="18"/>
  <c r="I474" i="18"/>
  <c r="H474" i="18"/>
  <c r="H469" i="18"/>
  <c r="I469" i="18"/>
  <c r="R39" i="20"/>
  <c r="R32" i="20"/>
  <c r="I38" i="20"/>
  <c r="R34" i="20"/>
  <c r="E78" i="22"/>
  <c r="R36" i="20"/>
  <c r="R41" i="20"/>
  <c r="I32" i="20"/>
  <c r="I37" i="20"/>
  <c r="I42" i="20"/>
  <c r="R43" i="20"/>
  <c r="R40" i="20"/>
  <c r="I40" i="20"/>
  <c r="R35" i="20"/>
  <c r="I36" i="20"/>
  <c r="I41" i="20"/>
  <c r="R45" i="20"/>
  <c r="I34" i="20"/>
  <c r="I44" i="20"/>
  <c r="I33" i="20"/>
  <c r="I35" i="20"/>
  <c r="R42" i="20"/>
  <c r="R38" i="20"/>
  <c r="I39" i="20"/>
  <c r="I43" i="20"/>
  <c r="H48" i="17"/>
  <c r="R44" i="20"/>
  <c r="I45" i="20"/>
  <c r="R37" i="20"/>
  <c r="R33" i="20"/>
  <c r="H47" i="17"/>
  <c r="P40" i="9"/>
  <c r="I214" i="18"/>
  <c r="H214" i="18"/>
  <c r="I223" i="18"/>
  <c r="H223" i="18"/>
  <c r="G50" i="18" a="1"/>
  <c r="G50" i="18" s="1"/>
  <c r="G45" i="18" a="1"/>
  <c r="G45" i="18" s="1"/>
  <c r="G52" i="35" a="1"/>
  <c r="G52" i="35" s="1"/>
  <c r="G56" i="18" a="1"/>
  <c r="G56" i="18" s="1"/>
  <c r="G51" i="18" a="1"/>
  <c r="G51" i="18" s="1"/>
  <c r="G57" i="18" a="1"/>
  <c r="G57" i="18" s="1"/>
  <c r="G56" i="35" a="1"/>
  <c r="G56" i="35" s="1"/>
  <c r="L19" i="20"/>
  <c r="G47" i="35" a="1"/>
  <c r="G47" i="35" s="1"/>
  <c r="G57" i="35" a="1"/>
  <c r="G57" i="35" s="1"/>
  <c r="G48" i="18" a="1"/>
  <c r="G48" i="18" s="1"/>
  <c r="G58" i="35" a="1"/>
  <c r="G58" i="35" s="1"/>
  <c r="G45" i="35" a="1"/>
  <c r="G45" i="35" s="1"/>
  <c r="G55" i="18" a="1"/>
  <c r="G55" i="18" s="1"/>
  <c r="G51" i="35" a="1"/>
  <c r="G51" i="35" s="1"/>
  <c r="G55" i="35" a="1"/>
  <c r="G55" i="35" s="1"/>
  <c r="G49" i="35" a="1"/>
  <c r="G49" i="35" s="1"/>
  <c r="G52" i="18" a="1"/>
  <c r="G52" i="18" s="1"/>
  <c r="G47" i="18" a="1"/>
  <c r="G47" i="18" s="1"/>
  <c r="G46" i="35" a="1"/>
  <c r="G46" i="35" s="1"/>
  <c r="G49" i="18" a="1"/>
  <c r="G49" i="18" s="1"/>
  <c r="G54" i="35" a="1"/>
  <c r="G54" i="35" s="1"/>
  <c r="G50" i="35" a="1"/>
  <c r="G50" i="35" s="1"/>
  <c r="G46" i="18" a="1"/>
  <c r="G46" i="18" s="1"/>
  <c r="G53" i="18" a="1"/>
  <c r="G53" i="18" s="1"/>
  <c r="G48" i="35" a="1"/>
  <c r="G48" i="35" s="1"/>
  <c r="G54" i="18" a="1"/>
  <c r="G54" i="18" s="1"/>
  <c r="G44" i="18" a="1"/>
  <c r="G44" i="18" s="1"/>
  <c r="G53" i="35" a="1"/>
  <c r="G53" i="35" s="1"/>
  <c r="I430" i="18"/>
  <c r="H430" i="18"/>
  <c r="I74" i="35" a="1"/>
  <c r="I74" i="35" s="1"/>
  <c r="G249" i="18" a="1"/>
  <c r="G249" i="18" s="1"/>
  <c r="G245" i="18" a="1"/>
  <c r="G245" i="18" s="1"/>
  <c r="G251" i="18" a="1"/>
  <c r="G251" i="18" s="1"/>
  <c r="I84" i="35" a="1"/>
  <c r="I84" i="35" s="1"/>
  <c r="I80" i="35" a="1"/>
  <c r="I80" i="35" s="1"/>
  <c r="I83" i="35" a="1"/>
  <c r="I83" i="35" s="1"/>
  <c r="G248" i="18" a="1"/>
  <c r="G248" i="18" s="1"/>
  <c r="I82" i="35" a="1"/>
  <c r="I82" i="35" s="1"/>
  <c r="I81" i="35" a="1"/>
  <c r="I81" i="35" s="1"/>
  <c r="G246" i="18" a="1"/>
  <c r="G246" i="18" s="1"/>
  <c r="G253" i="18" a="1"/>
  <c r="G253" i="18" s="1"/>
  <c r="I73" i="35" a="1"/>
  <c r="I73" i="35" s="1"/>
  <c r="G243" i="18" a="1"/>
  <c r="G243" i="18" s="1"/>
  <c r="G252" i="18" a="1"/>
  <c r="G252" i="18" s="1"/>
  <c r="G240" i="18" a="1"/>
  <c r="G240" i="18" s="1"/>
  <c r="I78" i="35" a="1"/>
  <c r="I78" i="35" s="1"/>
  <c r="T19" i="20"/>
  <c r="I86" i="35" a="1"/>
  <c r="I86" i="35" s="1"/>
  <c r="G247" i="18" a="1"/>
  <c r="G247" i="18" s="1"/>
  <c r="G241" i="18" a="1"/>
  <c r="G241" i="18" s="1"/>
  <c r="G244" i="18" a="1"/>
  <c r="G244" i="18" s="1"/>
  <c r="I75" i="35" a="1"/>
  <c r="I75" i="35" s="1"/>
  <c r="I77" i="35" a="1"/>
  <c r="I77" i="35" s="1"/>
  <c r="G242" i="18" a="1"/>
  <c r="G242" i="18" s="1"/>
  <c r="I79" i="35" a="1"/>
  <c r="I79" i="35" s="1"/>
  <c r="G250" i="18" a="1"/>
  <c r="G250" i="18" s="1"/>
  <c r="I76" i="35" a="1"/>
  <c r="I76" i="35" s="1"/>
  <c r="I85" i="35" a="1"/>
  <c r="I85" i="35" s="1"/>
  <c r="I177" i="18"/>
  <c r="H177" i="18"/>
  <c r="H170" i="18"/>
  <c r="I170" i="18"/>
  <c r="I136" i="18"/>
  <c r="H136" i="18"/>
  <c r="G53" i="26"/>
  <c r="H98" i="18"/>
  <c r="I98" i="18"/>
  <c r="I90" i="18"/>
  <c r="H90" i="18"/>
  <c r="H91" i="18"/>
  <c r="I91" i="18"/>
  <c r="I350" i="18"/>
  <c r="H350" i="18"/>
  <c r="H351" i="18"/>
  <c r="I351" i="18"/>
  <c r="H347" i="18"/>
  <c r="I347" i="18"/>
  <c r="H390" i="18"/>
  <c r="I390" i="18"/>
  <c r="H384" i="18"/>
  <c r="I384" i="18"/>
  <c r="H470" i="18"/>
  <c r="I470" i="18"/>
  <c r="I221" i="18"/>
  <c r="H221" i="18"/>
  <c r="F5" i="20"/>
  <c r="I41" i="17"/>
  <c r="I38" i="17"/>
  <c r="O8" i="20"/>
  <c r="O10" i="20"/>
  <c r="M6" i="9"/>
  <c r="F11" i="20"/>
  <c r="F18" i="20"/>
  <c r="I43" i="17"/>
  <c r="I39" i="17"/>
  <c r="O16" i="20"/>
  <c r="O7" i="20"/>
  <c r="F13" i="20"/>
  <c r="F6" i="20"/>
  <c r="I35" i="17"/>
  <c r="I42" i="17"/>
  <c r="F9" i="20"/>
  <c r="F10" i="20"/>
  <c r="F14" i="20"/>
  <c r="F7" i="20"/>
  <c r="I32" i="17"/>
  <c r="I44" i="17"/>
  <c r="O9" i="20"/>
  <c r="O6" i="20"/>
  <c r="F15" i="20"/>
  <c r="F8" i="20"/>
  <c r="I34" i="17"/>
  <c r="D48" i="17"/>
  <c r="O15" i="20"/>
  <c r="O12" i="20"/>
  <c r="F16" i="20"/>
  <c r="O5" i="20"/>
  <c r="I36" i="17"/>
  <c r="D47" i="17"/>
  <c r="F12" i="20"/>
  <c r="O13" i="20"/>
  <c r="I40" i="17"/>
  <c r="I37" i="17"/>
  <c r="E18" i="22"/>
  <c r="O18" i="20"/>
  <c r="I33" i="17"/>
  <c r="I45" i="17"/>
  <c r="F17" i="20"/>
  <c r="O14" i="20"/>
  <c r="O11" i="20"/>
  <c r="O17" i="20"/>
  <c r="M30" i="9"/>
  <c r="I431" i="18"/>
  <c r="H431" i="18"/>
  <c r="D52" i="26"/>
  <c r="G234" i="18" a="1"/>
  <c r="G234" i="18" s="1"/>
  <c r="H84" i="35" a="1"/>
  <c r="H84" i="35" s="1"/>
  <c r="G235" i="18" a="1"/>
  <c r="G235" i="18" s="1"/>
  <c r="G229" i="18" a="1"/>
  <c r="G229" i="18" s="1"/>
  <c r="H75" i="35" a="1"/>
  <c r="H75" i="35" s="1"/>
  <c r="G230" i="18" a="1"/>
  <c r="G230" i="18" s="1"/>
  <c r="H85" i="35" a="1"/>
  <c r="H85" i="35" s="1"/>
  <c r="H74" i="35" a="1"/>
  <c r="H74" i="35" s="1"/>
  <c r="H83" i="35" a="1"/>
  <c r="H83" i="35" s="1"/>
  <c r="G232" i="18" a="1"/>
  <c r="G232" i="18" s="1"/>
  <c r="H77" i="35" a="1"/>
  <c r="H77" i="35" s="1"/>
  <c r="G227" i="18" a="1"/>
  <c r="G227" i="18" s="1"/>
  <c r="G228" i="18" a="1"/>
  <c r="G228" i="18" s="1"/>
  <c r="Q19" i="20"/>
  <c r="H81" i="35" a="1"/>
  <c r="H81" i="35" s="1"/>
  <c r="H76" i="35" a="1"/>
  <c r="H76" i="35" s="1"/>
  <c r="G239" i="18" a="1"/>
  <c r="G239" i="18" s="1"/>
  <c r="G231" i="18" a="1"/>
  <c r="G231" i="18" s="1"/>
  <c r="H73" i="35" a="1"/>
  <c r="H73" i="35" s="1"/>
  <c r="H86" i="35" a="1"/>
  <c r="H86" i="35" s="1"/>
  <c r="H82" i="35" a="1"/>
  <c r="H82" i="35" s="1"/>
  <c r="H79" i="35" a="1"/>
  <c r="H79" i="35" s="1"/>
  <c r="G226" i="18" a="1"/>
  <c r="G226" i="18" s="1"/>
  <c r="G238" i="18" a="1"/>
  <c r="G238" i="18" s="1"/>
  <c r="G237" i="18" a="1"/>
  <c r="G237" i="18" s="1"/>
  <c r="G233" i="18" a="1"/>
  <c r="G233" i="18" s="1"/>
  <c r="H80" i="35" a="1"/>
  <c r="H80" i="35" s="1"/>
  <c r="G236" i="18" a="1"/>
  <c r="G236" i="18" s="1"/>
  <c r="H78" i="35" a="1"/>
  <c r="H78" i="35" s="1"/>
  <c r="I182" i="18"/>
  <c r="H182" i="18"/>
  <c r="I132" i="18"/>
  <c r="H132" i="18"/>
  <c r="H141" i="18"/>
  <c r="I141" i="18"/>
  <c r="I157" i="35" a="1"/>
  <c r="I157" i="35" s="1"/>
  <c r="I170" i="35" a="1"/>
  <c r="I170" i="35" s="1"/>
  <c r="G499" i="18" a="1"/>
  <c r="G499" i="18" s="1"/>
  <c r="I163" i="35" a="1"/>
  <c r="I163" i="35" s="1"/>
  <c r="G498" i="18" a="1"/>
  <c r="G498" i="18" s="1"/>
  <c r="I166" i="35" a="1"/>
  <c r="I166" i="35" s="1"/>
  <c r="G504" i="18" a="1"/>
  <c r="G504" i="18" s="1"/>
  <c r="I160" i="35" a="1"/>
  <c r="I160" i="35" s="1"/>
  <c r="T46" i="20"/>
  <c r="G497" i="18" a="1"/>
  <c r="G497" i="18" s="1"/>
  <c r="G501" i="18" a="1"/>
  <c r="G501" i="18" s="1"/>
  <c r="I164" i="35" a="1"/>
  <c r="I164" i="35" s="1"/>
  <c r="G505" i="18" a="1"/>
  <c r="G505" i="18" s="1"/>
  <c r="I167" i="35" a="1"/>
  <c r="I167" i="35" s="1"/>
  <c r="G496" i="18" a="1"/>
  <c r="G496" i="18" s="1"/>
  <c r="I158" i="35" a="1"/>
  <c r="I158" i="35" s="1"/>
  <c r="I159" i="35" a="1"/>
  <c r="I159" i="35" s="1"/>
  <c r="G493" i="18" a="1"/>
  <c r="G493" i="18" s="1"/>
  <c r="I162" i="35" a="1"/>
  <c r="I162" i="35" s="1"/>
  <c r="G495" i="18" a="1"/>
  <c r="G495" i="18" s="1"/>
  <c r="I168" i="35" a="1"/>
  <c r="I168" i="35" s="1"/>
  <c r="G494" i="18" a="1"/>
  <c r="G494" i="18" s="1"/>
  <c r="I169" i="35" a="1"/>
  <c r="I169" i="35" s="1"/>
  <c r="G502" i="18" a="1"/>
  <c r="G502" i="18" s="1"/>
  <c r="G503" i="18" a="1"/>
  <c r="G503" i="18" s="1"/>
  <c r="G500" i="18" a="1"/>
  <c r="G500" i="18" s="1"/>
  <c r="I161" i="35" a="1"/>
  <c r="I161" i="35" s="1"/>
  <c r="G492" i="18" a="1"/>
  <c r="G492" i="18" s="1"/>
  <c r="I165" i="35" a="1"/>
  <c r="I165" i="35" s="1"/>
  <c r="I93" i="18"/>
  <c r="H93" i="18"/>
  <c r="H343" i="18"/>
  <c r="I343" i="18"/>
  <c r="I380" i="18"/>
  <c r="H380" i="18"/>
  <c r="I381" i="18"/>
  <c r="H381" i="18"/>
  <c r="I477" i="18"/>
  <c r="H477" i="18"/>
  <c r="I222" i="18"/>
  <c r="H222" i="18"/>
  <c r="H212" i="18"/>
  <c r="I212" i="18"/>
  <c r="H422" i="18"/>
  <c r="I422" i="18"/>
  <c r="H428" i="18"/>
  <c r="I428" i="18"/>
  <c r="H172" i="18"/>
  <c r="I172" i="18"/>
  <c r="H171" i="18"/>
  <c r="I171" i="18"/>
  <c r="E28" i="17"/>
  <c r="H130" i="18"/>
  <c r="I130" i="18"/>
  <c r="H134" i="18"/>
  <c r="I134" i="18"/>
  <c r="G49" i="26"/>
  <c r="H23" i="35" a="1"/>
  <c r="H23" i="35" s="1"/>
  <c r="H19" i="35" a="1"/>
  <c r="H19" i="35" s="1"/>
  <c r="H21" i="35" a="1"/>
  <c r="H21" i="35" s="1"/>
  <c r="H29" i="35" a="1"/>
  <c r="H29" i="35" s="1"/>
  <c r="G105" i="18" a="1"/>
  <c r="G105" i="18" s="1"/>
  <c r="H18" i="35" a="1"/>
  <c r="H18" i="35" s="1"/>
  <c r="G106" i="18" a="1"/>
  <c r="G106" i="18" s="1"/>
  <c r="H28" i="35" a="1"/>
  <c r="H28" i="35" s="1"/>
  <c r="H26" i="35" a="1"/>
  <c r="H26" i="35" s="1"/>
  <c r="G19" i="20"/>
  <c r="H30" i="35" a="1"/>
  <c r="H30" i="35" s="1"/>
  <c r="G111" i="18" a="1"/>
  <c r="G111" i="18" s="1"/>
  <c r="G109" i="18" a="1"/>
  <c r="G109" i="18" s="1"/>
  <c r="G104" i="18" a="1"/>
  <c r="G104" i="18" s="1"/>
  <c r="G108" i="18" a="1"/>
  <c r="G108" i="18" s="1"/>
  <c r="H24" i="35" a="1"/>
  <c r="H24" i="35" s="1"/>
  <c r="H22" i="35" a="1"/>
  <c r="H22" i="35" s="1"/>
  <c r="H25" i="35" a="1"/>
  <c r="H25" i="35" s="1"/>
  <c r="G103" i="18" a="1"/>
  <c r="G103" i="18" s="1"/>
  <c r="G112" i="18" a="1"/>
  <c r="G112" i="18" s="1"/>
  <c r="H20" i="35" a="1"/>
  <c r="H20" i="35" s="1"/>
  <c r="G100" i="18" a="1"/>
  <c r="G100" i="18" s="1"/>
  <c r="G107" i="18" a="1"/>
  <c r="G107" i="18" s="1"/>
  <c r="H27" i="35" a="1"/>
  <c r="H27" i="35" s="1"/>
  <c r="H17" i="35" a="1"/>
  <c r="H17" i="35" s="1"/>
  <c r="G102" i="18" a="1"/>
  <c r="G102" i="18" s="1"/>
  <c r="G101" i="18" a="1"/>
  <c r="G101" i="18" s="1"/>
  <c r="G113" i="18" a="1"/>
  <c r="G113" i="18" s="1"/>
  <c r="G110" i="18" a="1"/>
  <c r="G110" i="18" s="1"/>
  <c r="E20" i="22"/>
  <c r="M8" i="9"/>
  <c r="G458" i="18" a="1"/>
  <c r="G458" i="18" s="1"/>
  <c r="G450" i="18" a="1"/>
  <c r="G450" i="18" s="1"/>
  <c r="I127" i="35" a="1"/>
  <c r="I127" i="35" s="1"/>
  <c r="K46" i="20"/>
  <c r="G460" i="18" a="1"/>
  <c r="G460" i="18" s="1"/>
  <c r="G456" i="18" a="1"/>
  <c r="G456" i="18" s="1"/>
  <c r="I128" i="35" a="1"/>
  <c r="I128" i="35" s="1"/>
  <c r="G454" i="18" a="1"/>
  <c r="G454" i="18" s="1"/>
  <c r="G451" i="18" a="1"/>
  <c r="G451" i="18" s="1"/>
  <c r="G452" i="18" a="1"/>
  <c r="G452" i="18" s="1"/>
  <c r="I124" i="35" a="1"/>
  <c r="I124" i="35" s="1"/>
  <c r="G463" i="18" a="1"/>
  <c r="G463" i="18" s="1"/>
  <c r="I118" i="35" a="1"/>
  <c r="I118" i="35" s="1"/>
  <c r="I123" i="35" a="1"/>
  <c r="I123" i="35" s="1"/>
  <c r="G462" i="18" a="1"/>
  <c r="G462" i="18" s="1"/>
  <c r="I116" i="35" a="1"/>
  <c r="I116" i="35" s="1"/>
  <c r="G455" i="18" a="1"/>
  <c r="G455" i="18" s="1"/>
  <c r="I121" i="35" a="1"/>
  <c r="I121" i="35" s="1"/>
  <c r="I122" i="35" a="1"/>
  <c r="I122" i="35" s="1"/>
  <c r="G457" i="18" a="1"/>
  <c r="G457" i="18" s="1"/>
  <c r="I115" i="35" a="1"/>
  <c r="I115" i="35" s="1"/>
  <c r="I119" i="35" a="1"/>
  <c r="I119" i="35" s="1"/>
  <c r="G461" i="18" a="1"/>
  <c r="G461" i="18" s="1"/>
  <c r="I125" i="35" a="1"/>
  <c r="I125" i="35" s="1"/>
  <c r="G453" i="18" a="1"/>
  <c r="G453" i="18" s="1"/>
  <c r="G459" i="18" a="1"/>
  <c r="G459" i="18" s="1"/>
  <c r="I120" i="35" a="1"/>
  <c r="I120" i="35" s="1"/>
  <c r="I126" i="35" a="1"/>
  <c r="I126" i="35" s="1"/>
  <c r="I117" i="35" a="1"/>
  <c r="I117" i="35" s="1"/>
  <c r="I87" i="18"/>
  <c r="H87" i="18"/>
  <c r="I92" i="18"/>
  <c r="H92" i="18"/>
  <c r="I89" i="18"/>
  <c r="H89" i="18"/>
  <c r="H348" i="18"/>
  <c r="I348" i="18"/>
  <c r="H349" i="18"/>
  <c r="I349" i="18"/>
  <c r="H345" i="18"/>
  <c r="I345" i="18"/>
  <c r="H383" i="18"/>
  <c r="I383" i="18"/>
  <c r="I391" i="18"/>
  <c r="H391" i="18"/>
  <c r="H475" i="18"/>
  <c r="I475" i="18"/>
  <c r="H471" i="18"/>
  <c r="I471" i="18"/>
  <c r="G258" i="18" a="1"/>
  <c r="G258" i="18" s="1"/>
  <c r="G98" i="35" a="1"/>
  <c r="G98" i="35" s="1"/>
  <c r="G94" i="35" a="1"/>
  <c r="G94" i="35" s="1"/>
  <c r="G93" i="35" a="1"/>
  <c r="G93" i="35" s="1"/>
  <c r="G254" i="18" a="1"/>
  <c r="G254" i="18" s="1"/>
  <c r="G87" i="35" a="1"/>
  <c r="G87" i="35" s="1"/>
  <c r="G95" i="35" a="1"/>
  <c r="G95" i="35" s="1"/>
  <c r="G96" i="35" a="1"/>
  <c r="G96" i="35" s="1"/>
  <c r="G261" i="18" a="1"/>
  <c r="G261" i="18" s="1"/>
  <c r="G266" i="18" a="1"/>
  <c r="G266" i="18" s="1"/>
  <c r="G97" i="35" a="1"/>
  <c r="G97" i="35" s="1"/>
  <c r="C46" i="20"/>
  <c r="G259" i="18" a="1"/>
  <c r="G259" i="18" s="1"/>
  <c r="G99" i="35" a="1"/>
  <c r="G99" i="35" s="1"/>
  <c r="G91" i="35" a="1"/>
  <c r="G91" i="35" s="1"/>
  <c r="G256" i="18" a="1"/>
  <c r="G256" i="18" s="1"/>
  <c r="G267" i="18" a="1"/>
  <c r="G267" i="18" s="1"/>
  <c r="G88" i="35" a="1"/>
  <c r="G88" i="35" s="1"/>
  <c r="G257" i="18" a="1"/>
  <c r="G257" i="18" s="1"/>
  <c r="G90" i="35" a="1"/>
  <c r="G90" i="35" s="1"/>
  <c r="G262" i="18" a="1"/>
  <c r="G262" i="18" s="1"/>
  <c r="G92" i="35" a="1"/>
  <c r="G92" i="35" s="1"/>
  <c r="G264" i="18" a="1"/>
  <c r="G264" i="18" s="1"/>
  <c r="G265" i="18" a="1"/>
  <c r="G265" i="18" s="1"/>
  <c r="G255" i="18" a="1"/>
  <c r="G255" i="18" s="1"/>
  <c r="G89" i="35" a="1"/>
  <c r="G89" i="35" s="1"/>
  <c r="G263" i="18" a="1"/>
  <c r="G263" i="18" s="1"/>
  <c r="G260" i="18" a="1"/>
  <c r="G260" i="18" s="1"/>
  <c r="G100" i="35" a="1"/>
  <c r="G100" i="35" s="1"/>
  <c r="I224" i="18"/>
  <c r="H224" i="18"/>
  <c r="I216" i="18"/>
  <c r="H216" i="18"/>
  <c r="H121" i="35" a="1"/>
  <c r="H121" i="35" s="1"/>
  <c r="G446" i="18" a="1"/>
  <c r="G446" i="18" s="1"/>
  <c r="H118" i="35" a="1"/>
  <c r="H118" i="35" s="1"/>
  <c r="H120" i="35" a="1"/>
  <c r="H120" i="35" s="1"/>
  <c r="G448" i="18" a="1"/>
  <c r="G448" i="18" s="1"/>
  <c r="G436" i="18" a="1"/>
  <c r="G436" i="18" s="1"/>
  <c r="H123" i="35" a="1"/>
  <c r="H123" i="35" s="1"/>
  <c r="H115" i="35" a="1"/>
  <c r="H115" i="35" s="1"/>
  <c r="G439" i="18" a="1"/>
  <c r="G439" i="18" s="1"/>
  <c r="G437" i="18" a="1"/>
  <c r="G437" i="18" s="1"/>
  <c r="H117" i="35" a="1"/>
  <c r="H117" i="35" s="1"/>
  <c r="G449" i="18" a="1"/>
  <c r="G449" i="18" s="1"/>
  <c r="G447" i="18" a="1"/>
  <c r="G447" i="18" s="1"/>
  <c r="H119" i="35" a="1"/>
  <c r="H119" i="35" s="1"/>
  <c r="H116" i="35" a="1"/>
  <c r="H116" i="35" s="1"/>
  <c r="G440" i="18" a="1"/>
  <c r="G440" i="18" s="1"/>
  <c r="G444" i="18" a="1"/>
  <c r="G444" i="18" s="1"/>
  <c r="H122" i="35" a="1"/>
  <c r="H122" i="35" s="1"/>
  <c r="H124" i="35" a="1"/>
  <c r="H124" i="35" s="1"/>
  <c r="G442" i="18" a="1"/>
  <c r="G442" i="18" s="1"/>
  <c r="G443" i="18" a="1"/>
  <c r="G443" i="18" s="1"/>
  <c r="H128" i="35" a="1"/>
  <c r="H128" i="35" s="1"/>
  <c r="H46" i="20"/>
  <c r="G438" i="18" a="1"/>
  <c r="G438" i="18" s="1"/>
  <c r="H125" i="35" a="1"/>
  <c r="H125" i="35" s="1"/>
  <c r="G445" i="18" a="1"/>
  <c r="G445" i="18" s="1"/>
  <c r="G441" i="18" a="1"/>
  <c r="G441" i="18" s="1"/>
  <c r="H126" i="35" a="1"/>
  <c r="H126" i="35" s="1"/>
  <c r="H127" i="35" a="1"/>
  <c r="H127" i="35" s="1"/>
  <c r="H433" i="18"/>
  <c r="I433" i="18"/>
  <c r="I183" i="18"/>
  <c r="H183" i="18"/>
  <c r="G118" i="18" a="1"/>
  <c r="G118" i="18" s="1"/>
  <c r="G123" i="18" a="1"/>
  <c r="G123" i="18" s="1"/>
  <c r="I21" i="35" a="1"/>
  <c r="I21" i="35" s="1"/>
  <c r="G121" i="18" a="1"/>
  <c r="G121" i="18" s="1"/>
  <c r="I17" i="35" a="1"/>
  <c r="I17" i="35" s="1"/>
  <c r="I24" i="35" a="1"/>
  <c r="I24" i="35" s="1"/>
  <c r="G120" i="18" a="1"/>
  <c r="G120" i="18" s="1"/>
  <c r="G122" i="18" a="1"/>
  <c r="G122" i="18" s="1"/>
  <c r="G116" i="18" a="1"/>
  <c r="G116" i="18" s="1"/>
  <c r="I29" i="35" a="1"/>
  <c r="I29" i="35" s="1"/>
  <c r="G125" i="18" a="1"/>
  <c r="G125" i="18" s="1"/>
  <c r="I23" i="35" a="1"/>
  <c r="I23" i="35" s="1"/>
  <c r="I22" i="35" a="1"/>
  <c r="I22" i="35" s="1"/>
  <c r="I20" i="35" a="1"/>
  <c r="I20" i="35" s="1"/>
  <c r="I28" i="35" a="1"/>
  <c r="I28" i="35" s="1"/>
  <c r="I18" i="35" a="1"/>
  <c r="I18" i="35" s="1"/>
  <c r="J19" i="20"/>
  <c r="G119" i="18" a="1"/>
  <c r="G119" i="18" s="1"/>
  <c r="G126" i="18" a="1"/>
  <c r="G126" i="18" s="1"/>
  <c r="I25" i="35" a="1"/>
  <c r="I25" i="35" s="1"/>
  <c r="G114" i="18" a="1"/>
  <c r="G114" i="18" s="1"/>
  <c r="G115" i="18" a="1"/>
  <c r="G115" i="18" s="1"/>
  <c r="I27" i="35" a="1"/>
  <c r="I27" i="35" s="1"/>
  <c r="I30" i="35" a="1"/>
  <c r="I30" i="35" s="1"/>
  <c r="G117" i="18" a="1"/>
  <c r="G117" i="18" s="1"/>
  <c r="G124" i="18" a="1"/>
  <c r="G124" i="18" s="1"/>
  <c r="I26" i="35" a="1"/>
  <c r="I26" i="35" s="1"/>
  <c r="I19" i="35" a="1"/>
  <c r="I19" i="35" s="1"/>
  <c r="G127" i="18" a="1"/>
  <c r="G127" i="18" s="1"/>
  <c r="H135" i="18"/>
  <c r="I135" i="18"/>
  <c r="H137" i="18"/>
  <c r="I137" i="18"/>
  <c r="G52" i="26"/>
  <c r="G149" i="18" a="1"/>
  <c r="G149" i="18" s="1"/>
  <c r="G150" i="18" a="1"/>
  <c r="G150" i="18" s="1"/>
  <c r="G155" i="18" a="1"/>
  <c r="G155" i="18" s="1"/>
  <c r="G148" i="18" a="1"/>
  <c r="G148" i="18" s="1"/>
  <c r="G145" i="18" a="1"/>
  <c r="G145" i="18" s="1"/>
  <c r="H66" i="35" a="1"/>
  <c r="H66" i="35" s="1"/>
  <c r="G144" i="18" a="1"/>
  <c r="G144" i="18" s="1"/>
  <c r="H72" i="35" a="1"/>
  <c r="H72" i="35" s="1"/>
  <c r="H63" i="35" a="1"/>
  <c r="H63" i="35" s="1"/>
  <c r="H70" i="35" a="1"/>
  <c r="H70" i="35" s="1"/>
  <c r="G142" i="18" a="1"/>
  <c r="G142" i="18" s="1"/>
  <c r="H62" i="35" a="1"/>
  <c r="H62" i="35" s="1"/>
  <c r="H68" i="35" a="1"/>
  <c r="H68" i="35" s="1"/>
  <c r="G147" i="18" a="1"/>
  <c r="G147" i="18" s="1"/>
  <c r="G154" i="18" a="1"/>
  <c r="G154" i="18" s="1"/>
  <c r="G143" i="18" a="1"/>
  <c r="G143" i="18" s="1"/>
  <c r="H64" i="35" a="1"/>
  <c r="H64" i="35" s="1"/>
  <c r="G153" i="18" a="1"/>
  <c r="G153" i="18" s="1"/>
  <c r="P19" i="20"/>
  <c r="H71" i="35" a="1"/>
  <c r="H71" i="35" s="1"/>
  <c r="G146" i="18" a="1"/>
  <c r="G146" i="18" s="1"/>
  <c r="H65" i="35" a="1"/>
  <c r="H65" i="35" s="1"/>
  <c r="G151" i="18" a="1"/>
  <c r="G151" i="18" s="1"/>
  <c r="H67" i="35" a="1"/>
  <c r="H67" i="35" s="1"/>
  <c r="H60" i="35" a="1"/>
  <c r="H60" i="35" s="1"/>
  <c r="H69" i="35" a="1"/>
  <c r="H69" i="35" s="1"/>
  <c r="G152" i="18" a="1"/>
  <c r="G152" i="18" s="1"/>
  <c r="H59" i="35" a="1"/>
  <c r="H59" i="35" s="1"/>
  <c r="H61" i="35" a="1"/>
  <c r="H61" i="35" s="1"/>
  <c r="H88" i="18"/>
  <c r="I88" i="18"/>
  <c r="I342" i="18"/>
  <c r="H342" i="18"/>
  <c r="I218" i="18"/>
  <c r="H218" i="18"/>
  <c r="I219" i="18"/>
  <c r="H219" i="18"/>
  <c r="J10" i="9"/>
  <c r="H434" i="18"/>
  <c r="I434" i="18"/>
  <c r="H43" i="35" a="1"/>
  <c r="H43" i="35" s="1"/>
  <c r="G186" i="18" a="1"/>
  <c r="G186" i="18" s="1"/>
  <c r="H41" i="35" a="1"/>
  <c r="H41" i="35" s="1"/>
  <c r="H35" i="35" a="1"/>
  <c r="H35" i="35" s="1"/>
  <c r="G191" i="18" a="1"/>
  <c r="G191" i="18" s="1"/>
  <c r="G187" i="18" a="1"/>
  <c r="G187" i="18" s="1"/>
  <c r="H34" i="35" a="1"/>
  <c r="H34" i="35" s="1"/>
  <c r="H31" i="35" a="1"/>
  <c r="H31" i="35" s="1"/>
  <c r="G188" i="18" a="1"/>
  <c r="G188" i="18" s="1"/>
  <c r="G196" i="18" a="1"/>
  <c r="G196" i="18" s="1"/>
  <c r="H42" i="35" a="1"/>
  <c r="H42" i="35" s="1"/>
  <c r="H32" i="35" a="1"/>
  <c r="H32" i="35" s="1"/>
  <c r="G185" i="18" a="1"/>
  <c r="G185" i="18" s="1"/>
  <c r="H19" i="20"/>
  <c r="H33" i="35" a="1"/>
  <c r="H33" i="35" s="1"/>
  <c r="H40" i="35" a="1"/>
  <c r="H40" i="35" s="1"/>
  <c r="G190" i="18" a="1"/>
  <c r="G190" i="18" s="1"/>
  <c r="G195" i="18" a="1"/>
  <c r="G195" i="18" s="1"/>
  <c r="H38" i="35" a="1"/>
  <c r="H38" i="35" s="1"/>
  <c r="H44" i="35" a="1"/>
  <c r="H44" i="35" s="1"/>
  <c r="G194" i="18" a="1"/>
  <c r="G194" i="18" s="1"/>
  <c r="G193" i="18" a="1"/>
  <c r="G193" i="18" s="1"/>
  <c r="H39" i="35" a="1"/>
  <c r="H39" i="35" s="1"/>
  <c r="G197" i="18" a="1"/>
  <c r="G197" i="18" s="1"/>
  <c r="G184" i="18" a="1"/>
  <c r="G184" i="18" s="1"/>
  <c r="H36" i="35" a="1"/>
  <c r="H36" i="35" s="1"/>
  <c r="G192" i="18" a="1"/>
  <c r="G192" i="18" s="1"/>
  <c r="G189" i="18" a="1"/>
  <c r="G189" i="18" s="1"/>
  <c r="H37" i="35" a="1"/>
  <c r="H37" i="35" s="1"/>
  <c r="I43" i="35" a="1"/>
  <c r="I43" i="35" s="1"/>
  <c r="I41" i="35" a="1"/>
  <c r="I41" i="35" s="1"/>
  <c r="G208" i="18" a="1"/>
  <c r="G208" i="18" s="1"/>
  <c r="G200" i="18" a="1"/>
  <c r="G200" i="18" s="1"/>
  <c r="I39" i="35" a="1"/>
  <c r="I39" i="35" s="1"/>
  <c r="I35" i="35" a="1"/>
  <c r="I35" i="35" s="1"/>
  <c r="G204" i="18" a="1"/>
  <c r="G204" i="18" s="1"/>
  <c r="I33" i="35" a="1"/>
  <c r="I33" i="35" s="1"/>
  <c r="I37" i="35" a="1"/>
  <c r="I37" i="35" s="1"/>
  <c r="K19" i="20"/>
  <c r="I40" i="35" a="1"/>
  <c r="I40" i="35" s="1"/>
  <c r="G205" i="18" a="1"/>
  <c r="G205" i="18" s="1"/>
  <c r="I38" i="35" a="1"/>
  <c r="I38" i="35" s="1"/>
  <c r="G207" i="18" a="1"/>
  <c r="G207" i="18" s="1"/>
  <c r="G203" i="18" a="1"/>
  <c r="G203" i="18" s="1"/>
  <c r="G199" i="18" a="1"/>
  <c r="G199" i="18" s="1"/>
  <c r="I31" i="35" a="1"/>
  <c r="I31" i="35" s="1"/>
  <c r="G209" i="18" a="1"/>
  <c r="G209" i="18" s="1"/>
  <c r="G202" i="18" a="1"/>
  <c r="G202" i="18" s="1"/>
  <c r="G201" i="18" a="1"/>
  <c r="G201" i="18" s="1"/>
  <c r="I44" i="35" a="1"/>
  <c r="I44" i="35" s="1"/>
  <c r="I32" i="35" a="1"/>
  <c r="I32" i="35" s="1"/>
  <c r="G198" i="18" a="1"/>
  <c r="G198" i="18" s="1"/>
  <c r="G210" i="18" a="1"/>
  <c r="G210" i="18" s="1"/>
  <c r="G211" i="18" a="1"/>
  <c r="G211" i="18" s="1"/>
  <c r="I34" i="35" a="1"/>
  <c r="I34" i="35" s="1"/>
  <c r="I42" i="35" a="1"/>
  <c r="I42" i="35" s="1"/>
  <c r="I36" i="35" a="1"/>
  <c r="I36" i="35" s="1"/>
  <c r="G206" i="18" a="1"/>
  <c r="G206" i="18" s="1"/>
  <c r="H138" i="18"/>
  <c r="I138" i="18"/>
  <c r="H154" i="35" a="1"/>
  <c r="H154" i="35" s="1"/>
  <c r="H146" i="35" a="1"/>
  <c r="H146" i="35" s="1"/>
  <c r="H153" i="35" a="1"/>
  <c r="H153" i="35" s="1"/>
  <c r="H155" i="35" a="1"/>
  <c r="H155" i="35" s="1"/>
  <c r="G395" i="18" a="1"/>
  <c r="G395" i="18" s="1"/>
  <c r="G401" i="18" a="1"/>
  <c r="G401" i="18" s="1"/>
  <c r="G404" i="18" a="1"/>
  <c r="G404" i="18" s="1"/>
  <c r="G398" i="18" a="1"/>
  <c r="G398" i="18" s="1"/>
  <c r="G402" i="18" a="1"/>
  <c r="G402" i="18" s="1"/>
  <c r="G400" i="18" a="1"/>
  <c r="G400" i="18" s="1"/>
  <c r="H151" i="35" a="1"/>
  <c r="H151" i="35" s="1"/>
  <c r="H152" i="35" a="1"/>
  <c r="H152" i="35" s="1"/>
  <c r="H150" i="35" a="1"/>
  <c r="H150" i="35" s="1"/>
  <c r="P46" i="20"/>
  <c r="G405" i="18" a="1"/>
  <c r="G405" i="18" s="1"/>
  <c r="G394" i="18" a="1"/>
  <c r="G394" i="18" s="1"/>
  <c r="H147" i="35" a="1"/>
  <c r="H147" i="35" s="1"/>
  <c r="H156" i="35" a="1"/>
  <c r="H156" i="35" s="1"/>
  <c r="G403" i="18" a="1"/>
  <c r="G403" i="18" s="1"/>
  <c r="G397" i="18" a="1"/>
  <c r="G397" i="18" s="1"/>
  <c r="H149" i="35" a="1"/>
  <c r="H149" i="35" s="1"/>
  <c r="G407" i="18" a="1"/>
  <c r="G407" i="18" s="1"/>
  <c r="G406" i="18" a="1"/>
  <c r="G406" i="18" s="1"/>
  <c r="H145" i="35" a="1"/>
  <c r="H145" i="35" s="1"/>
  <c r="G396" i="18" a="1"/>
  <c r="G396" i="18" s="1"/>
  <c r="H144" i="35" a="1"/>
  <c r="H144" i="35" s="1"/>
  <c r="H148" i="35" a="1"/>
  <c r="H148" i="35" s="1"/>
  <c r="H143" i="35" a="1"/>
  <c r="H143" i="35" s="1"/>
  <c r="G399" i="18" a="1"/>
  <c r="G399" i="18" s="1"/>
  <c r="E35" i="22"/>
  <c r="P8" i="9"/>
  <c r="H96" i="18"/>
  <c r="I96" i="18"/>
  <c r="I86" i="18"/>
  <c r="H86" i="18"/>
  <c r="H95" i="18"/>
  <c r="I95" i="18"/>
  <c r="H341" i="18"/>
  <c r="I341" i="18"/>
  <c r="I387" i="18"/>
  <c r="H387" i="18"/>
  <c r="I392" i="18"/>
  <c r="H392" i="18"/>
  <c r="I465" i="18"/>
  <c r="H465" i="18"/>
  <c r="H473" i="18"/>
  <c r="I473" i="18"/>
  <c r="G302" i="18" a="1"/>
  <c r="G302" i="18" s="1"/>
  <c r="G306" i="18" a="1"/>
  <c r="G306" i="18" s="1"/>
  <c r="G129" i="35" a="1"/>
  <c r="G129" i="35" s="1"/>
  <c r="G133" i="35" a="1"/>
  <c r="G133" i="35" s="1"/>
  <c r="G305" i="18" a="1"/>
  <c r="G305" i="18" s="1"/>
  <c r="G130" i="35" a="1"/>
  <c r="G130" i="35" s="1"/>
  <c r="G134" i="35" a="1"/>
  <c r="G134" i="35" s="1"/>
  <c r="G136" i="35" a="1"/>
  <c r="G136" i="35" s="1"/>
  <c r="G296" i="18" a="1"/>
  <c r="G296" i="18" s="1"/>
  <c r="G142" i="35" a="1"/>
  <c r="G142" i="35" s="1"/>
  <c r="G138" i="35" a="1"/>
  <c r="G138" i="35" s="1"/>
  <c r="G297" i="18" a="1"/>
  <c r="G297" i="18" s="1"/>
  <c r="G131" i="35" a="1"/>
  <c r="G131" i="35" s="1"/>
  <c r="G132" i="35" a="1"/>
  <c r="G132" i="35" s="1"/>
  <c r="G139" i="35" a="1"/>
  <c r="G139" i="35" s="1"/>
  <c r="L46" i="20"/>
  <c r="G300" i="18" a="1"/>
  <c r="G300" i="18" s="1"/>
  <c r="G140" i="35" a="1"/>
  <c r="G140" i="35" s="1"/>
  <c r="G301" i="18" a="1"/>
  <c r="G301" i="18" s="1"/>
  <c r="G299" i="18" a="1"/>
  <c r="G299" i="18" s="1"/>
  <c r="G307" i="18" a="1"/>
  <c r="G307" i="18" s="1"/>
  <c r="G137" i="35" a="1"/>
  <c r="G137" i="35" s="1"/>
  <c r="G308" i="18" a="1"/>
  <c r="G308" i="18" s="1"/>
  <c r="G309" i="18" a="1"/>
  <c r="G309" i="18" s="1"/>
  <c r="G298" i="18" a="1"/>
  <c r="G298" i="18" s="1"/>
  <c r="G141" i="35" a="1"/>
  <c r="G141" i="35" s="1"/>
  <c r="G135" i="35" a="1"/>
  <c r="G135" i="35" s="1"/>
  <c r="G304" i="18" a="1"/>
  <c r="G304" i="18" s="1"/>
  <c r="G303" i="18" a="1"/>
  <c r="G303" i="18" s="1"/>
  <c r="I220" i="18"/>
  <c r="H220" i="18"/>
  <c r="I217" i="18"/>
  <c r="H217" i="18"/>
  <c r="J33" i="17"/>
  <c r="E48" i="17"/>
  <c r="R15" i="20"/>
  <c r="R17" i="20"/>
  <c r="I17" i="20"/>
  <c r="J35" i="17"/>
  <c r="E47" i="17"/>
  <c r="R18" i="20"/>
  <c r="I6" i="20"/>
  <c r="I18" i="20"/>
  <c r="J43" i="17"/>
  <c r="J36" i="17"/>
  <c r="E33" i="22"/>
  <c r="R7" i="20"/>
  <c r="I8" i="20"/>
  <c r="I15" i="20"/>
  <c r="J32" i="17"/>
  <c r="J37" i="17"/>
  <c r="R16" i="20"/>
  <c r="R13" i="20"/>
  <c r="I11" i="20"/>
  <c r="I5" i="20"/>
  <c r="P6" i="9"/>
  <c r="P10" i="9" s="1"/>
  <c r="J34" i="17"/>
  <c r="J40" i="17"/>
  <c r="R8" i="20"/>
  <c r="R14" i="20"/>
  <c r="I9" i="20"/>
  <c r="I12" i="20"/>
  <c r="J38" i="17"/>
  <c r="J41" i="17"/>
  <c r="R10" i="20"/>
  <c r="R6" i="20"/>
  <c r="I16" i="20"/>
  <c r="I10" i="20"/>
  <c r="J45" i="17"/>
  <c r="J42" i="17"/>
  <c r="R11" i="20"/>
  <c r="R5" i="20"/>
  <c r="I13" i="20"/>
  <c r="I14" i="20"/>
  <c r="I7" i="20"/>
  <c r="J44" i="17"/>
  <c r="J39" i="17"/>
  <c r="R9" i="20"/>
  <c r="R12" i="20"/>
  <c r="P30" i="9"/>
  <c r="G15" i="18" a="1"/>
  <c r="G15" i="18" s="1"/>
  <c r="G2" i="18" a="1"/>
  <c r="G2" i="18" s="1"/>
  <c r="G16" i="35" a="1"/>
  <c r="G16" i="35" s="1"/>
  <c r="G9" i="35" a="1"/>
  <c r="G9" i="35" s="1"/>
  <c r="G12" i="18" a="1"/>
  <c r="G12" i="18" s="1"/>
  <c r="G14" i="18" a="1"/>
  <c r="G14" i="18" s="1"/>
  <c r="G3" i="35" a="1"/>
  <c r="G3" i="35" s="1"/>
  <c r="G13" i="35" a="1"/>
  <c r="G13" i="35" s="1"/>
  <c r="G3" i="18" a="1"/>
  <c r="G3" i="18" s="1"/>
  <c r="G8" i="18" a="1"/>
  <c r="G8" i="18" s="1"/>
  <c r="G7" i="35" a="1"/>
  <c r="G7" i="35" s="1"/>
  <c r="G5" i="35" a="1"/>
  <c r="G5" i="35" s="1"/>
  <c r="G13" i="18" a="1"/>
  <c r="G13" i="18" s="1"/>
  <c r="G4" i="18" a="1"/>
  <c r="G4" i="18" s="1"/>
  <c r="G12" i="35" a="1"/>
  <c r="G12" i="35" s="1"/>
  <c r="G9" i="18" a="1"/>
  <c r="G9" i="18" s="1"/>
  <c r="G8" i="35" a="1"/>
  <c r="G8" i="35" s="1"/>
  <c r="G10" i="35" a="1"/>
  <c r="G10" i="35" s="1"/>
  <c r="G11" i="18" a="1"/>
  <c r="G11" i="18" s="1"/>
  <c r="C19" i="20"/>
  <c r="G4" i="35" a="1"/>
  <c r="G4" i="35" s="1"/>
  <c r="G6" i="35" a="1"/>
  <c r="G6" i="35" s="1"/>
  <c r="G5" i="18" a="1"/>
  <c r="G5" i="18" s="1"/>
  <c r="G10" i="18" a="1"/>
  <c r="G10" i="18" s="1"/>
  <c r="G11" i="35" a="1"/>
  <c r="G11" i="35" s="1"/>
  <c r="G14" i="35" a="1"/>
  <c r="G14" i="35" s="1"/>
  <c r="G6" i="18" a="1"/>
  <c r="G6" i="18" s="1"/>
  <c r="G7" i="18" a="1"/>
  <c r="G7" i="18" s="1"/>
  <c r="G15" i="35" a="1"/>
  <c r="G15" i="35" s="1"/>
  <c r="H426" i="18"/>
  <c r="I426" i="18"/>
  <c r="H424" i="18"/>
  <c r="I424" i="18"/>
  <c r="H173" i="18"/>
  <c r="I173" i="18"/>
  <c r="H174" i="18"/>
  <c r="I174" i="18"/>
  <c r="H139" i="18"/>
  <c r="I139" i="18"/>
  <c r="H128" i="18"/>
  <c r="I128" i="18"/>
  <c r="G353" i="18" a="1"/>
  <c r="G353" i="18" s="1"/>
  <c r="H109" i="35" a="1"/>
  <c r="H109" i="35" s="1"/>
  <c r="H113" i="35" a="1"/>
  <c r="H113" i="35" s="1"/>
  <c r="G362" i="18" a="1"/>
  <c r="G362" i="18" s="1"/>
  <c r="G361" i="18" a="1"/>
  <c r="G361" i="18" s="1"/>
  <c r="G359" i="18" a="1"/>
  <c r="G359" i="18" s="1"/>
  <c r="H101" i="35" a="1"/>
  <c r="H101" i="35" s="1"/>
  <c r="G363" i="18" a="1"/>
  <c r="G363" i="18" s="1"/>
  <c r="H105" i="35" a="1"/>
  <c r="H105" i="35" s="1"/>
  <c r="G46" i="20"/>
  <c r="H106" i="35" a="1"/>
  <c r="H106" i="35" s="1"/>
  <c r="G355" i="18" a="1"/>
  <c r="G355" i="18" s="1"/>
  <c r="H104" i="35" a="1"/>
  <c r="H104" i="35" s="1"/>
  <c r="H111" i="35" a="1"/>
  <c r="H111" i="35" s="1"/>
  <c r="G352" i="18" a="1"/>
  <c r="G352" i="18" s="1"/>
  <c r="G358" i="18" a="1"/>
  <c r="G358" i="18" s="1"/>
  <c r="H114" i="35" a="1"/>
  <c r="H114" i="35" s="1"/>
  <c r="H112" i="35" a="1"/>
  <c r="H112" i="35" s="1"/>
  <c r="G354" i="18" a="1"/>
  <c r="G354" i="18" s="1"/>
  <c r="G357" i="18" a="1"/>
  <c r="G357" i="18" s="1"/>
  <c r="H108" i="35" a="1"/>
  <c r="H108" i="35" s="1"/>
  <c r="G364" i="18" a="1"/>
  <c r="G364" i="18" s="1"/>
  <c r="G360" i="18" a="1"/>
  <c r="G360" i="18" s="1"/>
  <c r="G365" i="18" a="1"/>
  <c r="G365" i="18" s="1"/>
  <c r="H107" i="35" a="1"/>
  <c r="H107" i="35" s="1"/>
  <c r="H103" i="35" a="1"/>
  <c r="H103" i="35" s="1"/>
  <c r="H102" i="35" a="1"/>
  <c r="H102" i="35" s="1"/>
  <c r="H110" i="35" a="1"/>
  <c r="H110" i="35" s="1"/>
  <c r="G356" i="18" a="1"/>
  <c r="G356" i="18" s="1"/>
  <c r="H99" i="18"/>
  <c r="I99" i="18"/>
  <c r="I94" i="18"/>
  <c r="H94" i="18"/>
  <c r="H340" i="18"/>
  <c r="I340" i="18"/>
  <c r="I385" i="18"/>
  <c r="H385" i="18"/>
  <c r="I382" i="18"/>
  <c r="H382" i="18"/>
  <c r="H476" i="18"/>
  <c r="I476" i="18"/>
  <c r="H464" i="18"/>
  <c r="I464" i="18"/>
  <c r="I466" i="18"/>
  <c r="H466" i="18"/>
  <c r="H215" i="18"/>
  <c r="I215" i="18"/>
  <c r="H225" i="18"/>
  <c r="I225" i="18"/>
  <c r="H427" i="18"/>
  <c r="I427" i="18"/>
  <c r="H435" i="18"/>
  <c r="I435" i="18"/>
  <c r="G50" i="26"/>
  <c r="I176" i="18"/>
  <c r="H176" i="18"/>
  <c r="I181" i="18"/>
  <c r="H181" i="18"/>
  <c r="I175" i="18"/>
  <c r="H175" i="18"/>
  <c r="I131" i="18"/>
  <c r="H131" i="18"/>
  <c r="H133" i="18"/>
  <c r="I133" i="18"/>
  <c r="S188" i="66" l="1"/>
  <c r="P188" i="66"/>
  <c r="V188" i="66" s="1"/>
  <c r="R188" i="66"/>
  <c r="W188" i="66"/>
  <c r="N188" i="66"/>
  <c r="S44" i="66"/>
  <c r="P44" i="66"/>
  <c r="V44" i="66" s="1"/>
  <c r="R44" i="66"/>
  <c r="W44" i="66"/>
  <c r="N44" i="66"/>
  <c r="F464" i="18"/>
  <c r="J464" i="18"/>
  <c r="I354" i="18"/>
  <c r="H354" i="18"/>
  <c r="I7" i="18"/>
  <c r="H7" i="18"/>
  <c r="I306" i="18"/>
  <c r="H306" i="18"/>
  <c r="F95" i="18"/>
  <c r="J95" i="18"/>
  <c r="I403" i="18"/>
  <c r="H403" i="18"/>
  <c r="I207" i="18"/>
  <c r="H207" i="18"/>
  <c r="I192" i="18"/>
  <c r="H192" i="18"/>
  <c r="F342" i="18"/>
  <c r="J342" i="18"/>
  <c r="I149" i="18"/>
  <c r="H149" i="18"/>
  <c r="I122" i="18"/>
  <c r="H122" i="18"/>
  <c r="I443" i="18"/>
  <c r="H443" i="18"/>
  <c r="H447" i="18"/>
  <c r="I447" i="18"/>
  <c r="H448" i="18"/>
  <c r="I448" i="18"/>
  <c r="H264" i="18"/>
  <c r="I264" i="18"/>
  <c r="J383" i="18"/>
  <c r="F383" i="18"/>
  <c r="H453" i="18"/>
  <c r="I453" i="18"/>
  <c r="H455" i="18"/>
  <c r="I455" i="18"/>
  <c r="H451" i="18"/>
  <c r="I451" i="18"/>
  <c r="I458" i="18"/>
  <c r="H458" i="18"/>
  <c r="F212" i="18"/>
  <c r="J212" i="18"/>
  <c r="F343" i="18"/>
  <c r="J343" i="18"/>
  <c r="H496" i="18"/>
  <c r="I496" i="18"/>
  <c r="H504" i="18"/>
  <c r="I504" i="18"/>
  <c r="H238" i="18"/>
  <c r="I238" i="18"/>
  <c r="J390" i="18"/>
  <c r="F390" i="18"/>
  <c r="F98" i="18"/>
  <c r="J98" i="18"/>
  <c r="H252" i="18"/>
  <c r="I252" i="18"/>
  <c r="J430" i="18"/>
  <c r="F430" i="18"/>
  <c r="I44" i="18"/>
  <c r="H44" i="18"/>
  <c r="H56" i="18"/>
  <c r="I56" i="18"/>
  <c r="F223" i="18"/>
  <c r="J223" i="18"/>
  <c r="J339" i="18"/>
  <c r="F339" i="18"/>
  <c r="H165" i="18"/>
  <c r="I165" i="18"/>
  <c r="H156" i="18"/>
  <c r="I156" i="18"/>
  <c r="H157" i="18"/>
  <c r="I157" i="18"/>
  <c r="H491" i="18"/>
  <c r="I491" i="18"/>
  <c r="H483" i="18"/>
  <c r="I483" i="18"/>
  <c r="J468" i="18"/>
  <c r="F468" i="18"/>
  <c r="I377" i="18"/>
  <c r="H377" i="18"/>
  <c r="F176" i="18"/>
  <c r="J176" i="18"/>
  <c r="F225" i="18"/>
  <c r="J225" i="18"/>
  <c r="J382" i="18"/>
  <c r="F382" i="18"/>
  <c r="H6" i="18"/>
  <c r="I6" i="18"/>
  <c r="I11" i="18"/>
  <c r="H11" i="18"/>
  <c r="I298" i="18"/>
  <c r="H298" i="18"/>
  <c r="H300" i="18"/>
  <c r="I300" i="18"/>
  <c r="H296" i="18"/>
  <c r="I296" i="18"/>
  <c r="H302" i="18"/>
  <c r="I302" i="18"/>
  <c r="J465" i="18"/>
  <c r="F465" i="18"/>
  <c r="H400" i="18"/>
  <c r="I400" i="18"/>
  <c r="I206" i="18"/>
  <c r="H206" i="18"/>
  <c r="I195" i="18"/>
  <c r="H195" i="18"/>
  <c r="H196" i="18"/>
  <c r="I196" i="18"/>
  <c r="H186" i="18"/>
  <c r="I186" i="18"/>
  <c r="H143" i="18"/>
  <c r="I143" i="18"/>
  <c r="J135" i="18"/>
  <c r="F135" i="18"/>
  <c r="I120" i="18"/>
  <c r="H120" i="18"/>
  <c r="F183" i="18"/>
  <c r="J183" i="18"/>
  <c r="I442" i="18"/>
  <c r="H442" i="18"/>
  <c r="H449" i="18"/>
  <c r="I449" i="18"/>
  <c r="F224" i="18"/>
  <c r="J224" i="18"/>
  <c r="F475" i="18"/>
  <c r="J475" i="18"/>
  <c r="F348" i="18"/>
  <c r="J348" i="18"/>
  <c r="F92" i="18"/>
  <c r="J92" i="18"/>
  <c r="I454" i="18"/>
  <c r="H454" i="18"/>
  <c r="H107" i="18"/>
  <c r="I107" i="18"/>
  <c r="I108" i="18"/>
  <c r="H108" i="18"/>
  <c r="I106" i="18"/>
  <c r="H106" i="18"/>
  <c r="F380" i="18"/>
  <c r="J380" i="18"/>
  <c r="F93" i="18"/>
  <c r="J93" i="18"/>
  <c r="I494" i="18"/>
  <c r="H494" i="18"/>
  <c r="F141" i="18"/>
  <c r="J141" i="18"/>
  <c r="F182" i="18"/>
  <c r="J182" i="18"/>
  <c r="I226" i="18"/>
  <c r="H226" i="18"/>
  <c r="H11" i="35" a="1"/>
  <c r="H11" i="35" s="1"/>
  <c r="G29" i="18" a="1"/>
  <c r="G29" i="18" s="1"/>
  <c r="G17" i="18" a="1"/>
  <c r="G17" i="18" s="1"/>
  <c r="H16" i="35" a="1"/>
  <c r="H16" i="35" s="1"/>
  <c r="G19" i="18" a="1"/>
  <c r="G19" i="18" s="1"/>
  <c r="H6" i="35" a="1"/>
  <c r="H6" i="35" s="1"/>
  <c r="G18" i="18" a="1"/>
  <c r="G18" i="18" s="1"/>
  <c r="G22" i="18" a="1"/>
  <c r="G22" i="18" s="1"/>
  <c r="H14" i="35" a="1"/>
  <c r="H14" i="35" s="1"/>
  <c r="H7" i="35" a="1"/>
  <c r="H7" i="35" s="1"/>
  <c r="G20" i="18" a="1"/>
  <c r="G20" i="18" s="1"/>
  <c r="G26" i="18" a="1"/>
  <c r="G26" i="18" s="1"/>
  <c r="H3" i="35" a="1"/>
  <c r="H3" i="35" s="1"/>
  <c r="H8" i="35" a="1"/>
  <c r="H8" i="35" s="1"/>
  <c r="G16" i="18" a="1"/>
  <c r="G16" i="18" s="1"/>
  <c r="G27" i="18" a="1"/>
  <c r="G27" i="18" s="1"/>
  <c r="H10" i="35" a="1"/>
  <c r="H10" i="35" s="1"/>
  <c r="H4" i="35" a="1"/>
  <c r="H4" i="35" s="1"/>
  <c r="F19" i="20"/>
  <c r="G25" i="18" a="1"/>
  <c r="G25" i="18" s="1"/>
  <c r="H9" i="35" a="1"/>
  <c r="H9" i="35" s="1"/>
  <c r="H12" i="35" a="1"/>
  <c r="H12" i="35" s="1"/>
  <c r="G23" i="18" a="1"/>
  <c r="G23" i="18" s="1"/>
  <c r="G24" i="18" a="1"/>
  <c r="G24" i="18" s="1"/>
  <c r="H5" i="35" a="1"/>
  <c r="H5" i="35" s="1"/>
  <c r="H15" i="35" a="1"/>
  <c r="H15" i="35" s="1"/>
  <c r="G21" i="18" a="1"/>
  <c r="G21" i="18" s="1"/>
  <c r="G28" i="18" a="1"/>
  <c r="G28" i="18" s="1"/>
  <c r="H13" i="35" a="1"/>
  <c r="H13" i="35" s="1"/>
  <c r="F136" i="18"/>
  <c r="J136" i="18"/>
  <c r="I244" i="18"/>
  <c r="H244" i="18"/>
  <c r="I243" i="18"/>
  <c r="H243" i="18"/>
  <c r="H54" i="18"/>
  <c r="I54" i="18"/>
  <c r="H47" i="18"/>
  <c r="I47" i="18"/>
  <c r="I48" i="18"/>
  <c r="H48" i="18"/>
  <c r="G328" i="18" a="1"/>
  <c r="G328" i="18" s="1"/>
  <c r="I140" i="35" a="1"/>
  <c r="I140" i="35" s="1"/>
  <c r="I139" i="35" a="1"/>
  <c r="I139" i="35" s="1"/>
  <c r="G333" i="18" a="1"/>
  <c r="G333" i="18" s="1"/>
  <c r="R46" i="20"/>
  <c r="G329" i="18" a="1"/>
  <c r="G329" i="18" s="1"/>
  <c r="I129" i="35" a="1"/>
  <c r="I129" i="35" s="1"/>
  <c r="I134" i="35" a="1"/>
  <c r="I134" i="35" s="1"/>
  <c r="I133" i="35" a="1"/>
  <c r="I133" i="35" s="1"/>
  <c r="I132" i="35" a="1"/>
  <c r="I132" i="35" s="1"/>
  <c r="G326" i="18" a="1"/>
  <c r="G326" i="18" s="1"/>
  <c r="G337" i="18" a="1"/>
  <c r="G337" i="18" s="1"/>
  <c r="I130" i="35" a="1"/>
  <c r="I130" i="35" s="1"/>
  <c r="I138" i="35" a="1"/>
  <c r="I138" i="35" s="1"/>
  <c r="I136" i="35" a="1"/>
  <c r="I136" i="35" s="1"/>
  <c r="G324" i="18" a="1"/>
  <c r="G324" i="18" s="1"/>
  <c r="I131" i="35" a="1"/>
  <c r="I131" i="35" s="1"/>
  <c r="G334" i="18" a="1"/>
  <c r="G334" i="18" s="1"/>
  <c r="G336" i="18" a="1"/>
  <c r="G336" i="18" s="1"/>
  <c r="I137" i="35" a="1"/>
  <c r="I137" i="35" s="1"/>
  <c r="I142" i="35" a="1"/>
  <c r="I142" i="35" s="1"/>
  <c r="I135" i="35" a="1"/>
  <c r="I135" i="35" s="1"/>
  <c r="G332" i="18" a="1"/>
  <c r="G332" i="18" s="1"/>
  <c r="G330" i="18" a="1"/>
  <c r="G330" i="18" s="1"/>
  <c r="I141" i="35" a="1"/>
  <c r="I141" i="35" s="1"/>
  <c r="G331" i="18" a="1"/>
  <c r="G331" i="18" s="1"/>
  <c r="G335" i="18" a="1"/>
  <c r="G335" i="18" s="1"/>
  <c r="G327" i="18" a="1"/>
  <c r="G327" i="18" s="1"/>
  <c r="G325" i="18" a="1"/>
  <c r="G325" i="18" s="1"/>
  <c r="H490" i="18"/>
  <c r="I490" i="18"/>
  <c r="H481" i="18"/>
  <c r="I481" i="18"/>
  <c r="H91" i="35" a="1"/>
  <c r="H91" i="35" s="1"/>
  <c r="G273" i="18" a="1"/>
  <c r="G273" i="18" s="1"/>
  <c r="G271" i="18" a="1"/>
  <c r="G271" i="18" s="1"/>
  <c r="H92" i="35" a="1"/>
  <c r="H92" i="35" s="1"/>
  <c r="H90" i="35" a="1"/>
  <c r="H90" i="35" s="1"/>
  <c r="G278" i="18" a="1"/>
  <c r="G278" i="18" s="1"/>
  <c r="G275" i="18" a="1"/>
  <c r="G275" i="18" s="1"/>
  <c r="H97" i="35" a="1"/>
  <c r="H97" i="35" s="1"/>
  <c r="H95" i="35" a="1"/>
  <c r="H95" i="35" s="1"/>
  <c r="G281" i="18" a="1"/>
  <c r="G281" i="18" s="1"/>
  <c r="G280" i="18" a="1"/>
  <c r="G280" i="18" s="1"/>
  <c r="H100" i="35" a="1"/>
  <c r="H100" i="35" s="1"/>
  <c r="H98" i="35" a="1"/>
  <c r="H98" i="35" s="1"/>
  <c r="G270" i="18" a="1"/>
  <c r="G270" i="18" s="1"/>
  <c r="G272" i="18" a="1"/>
  <c r="G272" i="18" s="1"/>
  <c r="H93" i="35" a="1"/>
  <c r="H93" i="35" s="1"/>
  <c r="H94" i="35" a="1"/>
  <c r="H94" i="35" s="1"/>
  <c r="G268" i="18" a="1"/>
  <c r="G268" i="18" s="1"/>
  <c r="F46" i="20"/>
  <c r="H96" i="35" a="1"/>
  <c r="H96" i="35" s="1"/>
  <c r="H99" i="35" a="1"/>
  <c r="H99" i="35" s="1"/>
  <c r="G274" i="18" a="1"/>
  <c r="G274" i="18" s="1"/>
  <c r="H87" i="35" a="1"/>
  <c r="H87" i="35" s="1"/>
  <c r="G276" i="18" a="1"/>
  <c r="G276" i="18" s="1"/>
  <c r="G279" i="18" a="1"/>
  <c r="G279" i="18" s="1"/>
  <c r="H88" i="35" a="1"/>
  <c r="H88" i="35" s="1"/>
  <c r="G277" i="18" a="1"/>
  <c r="G277" i="18" s="1"/>
  <c r="G269" i="18" a="1"/>
  <c r="G269" i="18" s="1"/>
  <c r="H89" i="35" a="1"/>
  <c r="H89" i="35" s="1"/>
  <c r="I410" i="18"/>
  <c r="H410" i="18"/>
  <c r="I412" i="18"/>
  <c r="H412" i="18"/>
  <c r="I415" i="18"/>
  <c r="H415" i="18"/>
  <c r="H376" i="18"/>
  <c r="I376" i="18"/>
  <c r="F393" i="18"/>
  <c r="J393" i="18"/>
  <c r="F133" i="18"/>
  <c r="J133" i="18"/>
  <c r="F435" i="18"/>
  <c r="J435" i="18"/>
  <c r="J476" i="18"/>
  <c r="F476" i="18"/>
  <c r="H353" i="18"/>
  <c r="I353" i="18"/>
  <c r="H8" i="18"/>
  <c r="I8" i="18"/>
  <c r="I2" i="18"/>
  <c r="H2" i="18"/>
  <c r="J47" i="17"/>
  <c r="I309" i="18"/>
  <c r="H309" i="18"/>
  <c r="F392" i="18"/>
  <c r="J392" i="18"/>
  <c r="I396" i="18"/>
  <c r="H396" i="18"/>
  <c r="I402" i="18"/>
  <c r="H402" i="18"/>
  <c r="I201" i="18"/>
  <c r="H201" i="18"/>
  <c r="I205" i="18"/>
  <c r="H205" i="18"/>
  <c r="I200" i="18"/>
  <c r="H200" i="18"/>
  <c r="H184" i="18"/>
  <c r="I184" i="18"/>
  <c r="I190" i="18"/>
  <c r="H190" i="18"/>
  <c r="H188" i="18"/>
  <c r="I188" i="18"/>
  <c r="F219" i="18"/>
  <c r="J219" i="18"/>
  <c r="H151" i="18"/>
  <c r="I151" i="18"/>
  <c r="H154" i="18"/>
  <c r="I154" i="18"/>
  <c r="H144" i="18"/>
  <c r="I144" i="18"/>
  <c r="I115" i="18"/>
  <c r="H115" i="18"/>
  <c r="H441" i="18"/>
  <c r="I441" i="18"/>
  <c r="H262" i="18"/>
  <c r="I262" i="18"/>
  <c r="I259" i="18"/>
  <c r="H259" i="18"/>
  <c r="H254" i="18"/>
  <c r="I254" i="18"/>
  <c r="F345" i="18"/>
  <c r="J345" i="18"/>
  <c r="H461" i="18"/>
  <c r="I461" i="18"/>
  <c r="I462" i="18"/>
  <c r="H462" i="18"/>
  <c r="I100" i="18"/>
  <c r="H100" i="18"/>
  <c r="I104" i="18"/>
  <c r="H104" i="18"/>
  <c r="F171" i="18"/>
  <c r="J171" i="18"/>
  <c r="I505" i="18"/>
  <c r="H505" i="18"/>
  <c r="H498" i="18"/>
  <c r="I498" i="18"/>
  <c r="I230" i="18"/>
  <c r="H230" i="18"/>
  <c r="H51" i="35" a="1"/>
  <c r="H51" i="35" s="1"/>
  <c r="G64" i="18" a="1"/>
  <c r="G64" i="18" s="1"/>
  <c r="G66" i="18" a="1"/>
  <c r="G66" i="18" s="1"/>
  <c r="H49" i="35" a="1"/>
  <c r="H49" i="35" s="1"/>
  <c r="H54" i="35" a="1"/>
  <c r="H54" i="35" s="1"/>
  <c r="O19" i="20"/>
  <c r="G71" i="18" a="1"/>
  <c r="G71" i="18" s="1"/>
  <c r="H53" i="35" a="1"/>
  <c r="H53" i="35" s="1"/>
  <c r="H58" i="35" a="1"/>
  <c r="H58" i="35" s="1"/>
  <c r="G70" i="18" a="1"/>
  <c r="G70" i="18" s="1"/>
  <c r="G59" i="18" a="1"/>
  <c r="G59" i="18" s="1"/>
  <c r="H46" i="35" a="1"/>
  <c r="H46" i="35" s="1"/>
  <c r="G68" i="18" a="1"/>
  <c r="G68" i="18" s="1"/>
  <c r="H48" i="35" a="1"/>
  <c r="H48" i="35" s="1"/>
  <c r="G58" i="18" a="1"/>
  <c r="G58" i="18" s="1"/>
  <c r="G67" i="18" a="1"/>
  <c r="G67" i="18" s="1"/>
  <c r="H52" i="35" a="1"/>
  <c r="H52" i="35" s="1"/>
  <c r="H50" i="35" a="1"/>
  <c r="H50" i="35" s="1"/>
  <c r="G65" i="18" a="1"/>
  <c r="G65" i="18" s="1"/>
  <c r="G61" i="18" a="1"/>
  <c r="G61" i="18" s="1"/>
  <c r="H56" i="35" a="1"/>
  <c r="H56" i="35" s="1"/>
  <c r="H47" i="35" a="1"/>
  <c r="H47" i="35" s="1"/>
  <c r="G60" i="18" a="1"/>
  <c r="G60" i="18" s="1"/>
  <c r="G69" i="18" a="1"/>
  <c r="G69" i="18" s="1"/>
  <c r="H57" i="35" a="1"/>
  <c r="H57" i="35" s="1"/>
  <c r="H55" i="35" a="1"/>
  <c r="H55" i="35" s="1"/>
  <c r="G63" i="18" a="1"/>
  <c r="G63" i="18" s="1"/>
  <c r="G62" i="18" a="1"/>
  <c r="G62" i="18" s="1"/>
  <c r="H45" i="35" a="1"/>
  <c r="H45" i="35" s="1"/>
  <c r="J470" i="18"/>
  <c r="F470" i="18"/>
  <c r="F347" i="18"/>
  <c r="J347" i="18"/>
  <c r="F170" i="18"/>
  <c r="J170" i="18"/>
  <c r="H241" i="18"/>
  <c r="I241" i="18"/>
  <c r="H52" i="18"/>
  <c r="I52" i="18"/>
  <c r="H45" i="18"/>
  <c r="I45" i="18"/>
  <c r="J214" i="18"/>
  <c r="F214" i="18"/>
  <c r="H168" i="18"/>
  <c r="I168" i="18"/>
  <c r="I167" i="18"/>
  <c r="H167" i="18"/>
  <c r="I160" i="18"/>
  <c r="H160" i="18"/>
  <c r="J179" i="18"/>
  <c r="F179" i="18"/>
  <c r="J425" i="18"/>
  <c r="F425" i="18"/>
  <c r="I479" i="18"/>
  <c r="H479" i="18"/>
  <c r="H482" i="18"/>
  <c r="I482" i="18"/>
  <c r="F467" i="18"/>
  <c r="J467" i="18"/>
  <c r="H379" i="18"/>
  <c r="I379" i="18"/>
  <c r="I375" i="18"/>
  <c r="H375" i="18"/>
  <c r="J338" i="18"/>
  <c r="F338" i="18"/>
  <c r="F385" i="18"/>
  <c r="J385" i="18"/>
  <c r="J340" i="18"/>
  <c r="F340" i="18"/>
  <c r="J99" i="18"/>
  <c r="F99" i="18"/>
  <c r="I365" i="18"/>
  <c r="H365" i="18"/>
  <c r="I358" i="18"/>
  <c r="H358" i="18"/>
  <c r="I363" i="18"/>
  <c r="H363" i="18"/>
  <c r="F128" i="18"/>
  <c r="J128" i="18"/>
  <c r="I3" i="18"/>
  <c r="H3" i="18"/>
  <c r="H15" i="18"/>
  <c r="I15" i="18"/>
  <c r="I308" i="18"/>
  <c r="H308" i="18"/>
  <c r="F341" i="18"/>
  <c r="J341" i="18"/>
  <c r="J86" i="18"/>
  <c r="F86" i="18"/>
  <c r="H394" i="18"/>
  <c r="I394" i="18"/>
  <c r="I398" i="18"/>
  <c r="H398" i="18"/>
  <c r="I202" i="18"/>
  <c r="H202" i="18"/>
  <c r="H208" i="18"/>
  <c r="I208" i="18"/>
  <c r="H197" i="18"/>
  <c r="I197" i="18"/>
  <c r="F218" i="18"/>
  <c r="J218" i="18"/>
  <c r="H147" i="18"/>
  <c r="I147" i="18"/>
  <c r="I127" i="18"/>
  <c r="H127" i="18"/>
  <c r="I114" i="18"/>
  <c r="H114" i="18"/>
  <c r="I445" i="18"/>
  <c r="H445" i="18"/>
  <c r="I437" i="18"/>
  <c r="H437" i="18"/>
  <c r="I446" i="18"/>
  <c r="H446" i="18"/>
  <c r="H260" i="18"/>
  <c r="I260" i="18"/>
  <c r="J87" i="18"/>
  <c r="F87" i="18"/>
  <c r="H456" i="18"/>
  <c r="I456" i="18"/>
  <c r="I110" i="18"/>
  <c r="H110" i="18"/>
  <c r="H109" i="18"/>
  <c r="I109" i="18"/>
  <c r="I105" i="18"/>
  <c r="H105" i="18"/>
  <c r="J428" i="18"/>
  <c r="F428" i="18"/>
  <c r="I492" i="18"/>
  <c r="H492" i="18"/>
  <c r="H495" i="18"/>
  <c r="I495" i="18"/>
  <c r="I228" i="18"/>
  <c r="H228" i="18"/>
  <c r="J384" i="18"/>
  <c r="F384" i="18"/>
  <c r="I247" i="18"/>
  <c r="H247" i="18"/>
  <c r="H253" i="18"/>
  <c r="I253" i="18"/>
  <c r="I251" i="18"/>
  <c r="H251" i="18"/>
  <c r="H53" i="18"/>
  <c r="I53" i="18"/>
  <c r="H50" i="18"/>
  <c r="I50" i="18"/>
  <c r="G291" i="18" a="1"/>
  <c r="G291" i="18" s="1"/>
  <c r="G288" i="18" a="1"/>
  <c r="G288" i="18" s="1"/>
  <c r="I90" i="35" a="1"/>
  <c r="I90" i="35" s="1"/>
  <c r="I92" i="35" a="1"/>
  <c r="I92" i="35" s="1"/>
  <c r="I95" i="35" a="1"/>
  <c r="I95" i="35" s="1"/>
  <c r="G285" i="18" a="1"/>
  <c r="G285" i="18" s="1"/>
  <c r="I94" i="35" a="1"/>
  <c r="I94" i="35" s="1"/>
  <c r="I93" i="35" a="1"/>
  <c r="I93" i="35" s="1"/>
  <c r="G289" i="18" a="1"/>
  <c r="G289" i="18" s="1"/>
  <c r="G286" i="18" a="1"/>
  <c r="G286" i="18" s="1"/>
  <c r="I96" i="35" a="1"/>
  <c r="I96" i="35" s="1"/>
  <c r="G292" i="18" a="1"/>
  <c r="G292" i="18" s="1"/>
  <c r="I97" i="35" a="1"/>
  <c r="I97" i="35" s="1"/>
  <c r="I87" i="35" a="1"/>
  <c r="I87" i="35" s="1"/>
  <c r="G287" i="18" a="1"/>
  <c r="G287" i="18" s="1"/>
  <c r="I98" i="35" a="1"/>
  <c r="I98" i="35" s="1"/>
  <c r="I99" i="35" a="1"/>
  <c r="I99" i="35" s="1"/>
  <c r="I46" i="20"/>
  <c r="G293" i="18" a="1"/>
  <c r="G293" i="18" s="1"/>
  <c r="G282" i="18" a="1"/>
  <c r="G282" i="18" s="1"/>
  <c r="I88" i="35" a="1"/>
  <c r="I88" i="35" s="1"/>
  <c r="G290" i="18" a="1"/>
  <c r="G290" i="18" s="1"/>
  <c r="I89" i="35" a="1"/>
  <c r="I89" i="35" s="1"/>
  <c r="G294" i="18" a="1"/>
  <c r="G294" i="18" s="1"/>
  <c r="I100" i="35" a="1"/>
  <c r="I100" i="35" s="1"/>
  <c r="G295" i="18" a="1"/>
  <c r="G295" i="18" s="1"/>
  <c r="G283" i="18" a="1"/>
  <c r="G283" i="18" s="1"/>
  <c r="G284" i="18" a="1"/>
  <c r="G284" i="18" s="1"/>
  <c r="I91" i="35" a="1"/>
  <c r="I91" i="35" s="1"/>
  <c r="J129" i="18"/>
  <c r="F129" i="18"/>
  <c r="I164" i="18"/>
  <c r="H164" i="18"/>
  <c r="H169" i="18"/>
  <c r="I169" i="18"/>
  <c r="J178" i="18"/>
  <c r="F178" i="18"/>
  <c r="I417" i="18"/>
  <c r="H417" i="18"/>
  <c r="I414" i="18"/>
  <c r="H414" i="18"/>
  <c r="I418" i="18"/>
  <c r="H418" i="18"/>
  <c r="H369" i="18"/>
  <c r="I369" i="18"/>
  <c r="I372" i="18"/>
  <c r="H372" i="18"/>
  <c r="H367" i="18"/>
  <c r="I367" i="18"/>
  <c r="F97" i="18"/>
  <c r="J97" i="18"/>
  <c r="I360" i="18"/>
  <c r="H360" i="18"/>
  <c r="H352" i="18"/>
  <c r="I352" i="18"/>
  <c r="I10" i="18"/>
  <c r="H10" i="18"/>
  <c r="I9" i="18"/>
  <c r="H9" i="18"/>
  <c r="G76" i="18" a="1"/>
  <c r="G76" i="18" s="1"/>
  <c r="G83" i="18" a="1"/>
  <c r="G83" i="18" s="1"/>
  <c r="I56" i="35" a="1"/>
  <c r="I56" i="35" s="1"/>
  <c r="I58" i="35" a="1"/>
  <c r="I58" i="35" s="1"/>
  <c r="G72" i="18" a="1"/>
  <c r="G72" i="18" s="1"/>
  <c r="G78" i="18" a="1"/>
  <c r="G78" i="18" s="1"/>
  <c r="I52" i="35" a="1"/>
  <c r="I52" i="35" s="1"/>
  <c r="I49" i="35" a="1"/>
  <c r="I49" i="35" s="1"/>
  <c r="G80" i="18" a="1"/>
  <c r="G80" i="18" s="1"/>
  <c r="G84" i="18" a="1"/>
  <c r="G84" i="18" s="1"/>
  <c r="I50" i="35" a="1"/>
  <c r="I50" i="35" s="1"/>
  <c r="G85" i="18" a="1"/>
  <c r="G85" i="18" s="1"/>
  <c r="G82" i="18" a="1"/>
  <c r="G82" i="18" s="1"/>
  <c r="I55" i="35" a="1"/>
  <c r="I55" i="35" s="1"/>
  <c r="G74" i="18" a="1"/>
  <c r="G74" i="18" s="1"/>
  <c r="I47" i="35" a="1"/>
  <c r="I47" i="35" s="1"/>
  <c r="I48" i="35" a="1"/>
  <c r="I48" i="35" s="1"/>
  <c r="G73" i="18" a="1"/>
  <c r="G73" i="18" s="1"/>
  <c r="R19" i="20"/>
  <c r="I53" i="35" a="1"/>
  <c r="I53" i="35" s="1"/>
  <c r="I45" i="35" a="1"/>
  <c r="I45" i="35" s="1"/>
  <c r="G75" i="18" a="1"/>
  <c r="G75" i="18" s="1"/>
  <c r="G81" i="18" a="1"/>
  <c r="G81" i="18" s="1"/>
  <c r="I46" i="35" a="1"/>
  <c r="I46" i="35" s="1"/>
  <c r="I54" i="35" a="1"/>
  <c r="I54" i="35" s="1"/>
  <c r="G77" i="18" a="1"/>
  <c r="G77" i="18" s="1"/>
  <c r="G79" i="18" a="1"/>
  <c r="G79" i="18" s="1"/>
  <c r="I51" i="35" a="1"/>
  <c r="I51" i="35" s="1"/>
  <c r="I57" i="35" a="1"/>
  <c r="I57" i="35" s="1"/>
  <c r="J217" i="18"/>
  <c r="F217" i="18"/>
  <c r="F220" i="18"/>
  <c r="J220" i="18"/>
  <c r="H406" i="18"/>
  <c r="I406" i="18"/>
  <c r="H405" i="18"/>
  <c r="I405" i="18"/>
  <c r="I404" i="18"/>
  <c r="H404" i="18"/>
  <c r="J138" i="18"/>
  <c r="F138" i="18"/>
  <c r="I209" i="18"/>
  <c r="H209" i="18"/>
  <c r="F88" i="18"/>
  <c r="J88" i="18"/>
  <c r="H146" i="18"/>
  <c r="I146" i="18"/>
  <c r="I145" i="18"/>
  <c r="H145" i="18"/>
  <c r="H121" i="18"/>
  <c r="I121" i="18"/>
  <c r="H444" i="18"/>
  <c r="I444" i="18"/>
  <c r="H439" i="18"/>
  <c r="I439" i="18"/>
  <c r="F216" i="18"/>
  <c r="J216" i="18"/>
  <c r="I263" i="18"/>
  <c r="H263" i="18"/>
  <c r="I257" i="18"/>
  <c r="H257" i="18"/>
  <c r="I460" i="18"/>
  <c r="H460" i="18"/>
  <c r="H113" i="18"/>
  <c r="I113" i="18"/>
  <c r="H112" i="18"/>
  <c r="I112" i="18"/>
  <c r="I111" i="18"/>
  <c r="H111" i="18"/>
  <c r="F477" i="18"/>
  <c r="J477" i="18"/>
  <c r="I501" i="18"/>
  <c r="H501" i="18"/>
  <c r="I499" i="18"/>
  <c r="H499" i="18"/>
  <c r="H236" i="18"/>
  <c r="I236" i="18"/>
  <c r="I227" i="18"/>
  <c r="H227" i="18"/>
  <c r="H229" i="18"/>
  <c r="I229" i="18"/>
  <c r="M10" i="9"/>
  <c r="F351" i="18"/>
  <c r="J351" i="18"/>
  <c r="F91" i="18"/>
  <c r="J91" i="18"/>
  <c r="H250" i="18"/>
  <c r="I250" i="18"/>
  <c r="H246" i="18"/>
  <c r="I246" i="18"/>
  <c r="H245" i="18"/>
  <c r="I245" i="18"/>
  <c r="I46" i="18"/>
  <c r="H46" i="18"/>
  <c r="J474" i="18"/>
  <c r="F474" i="18"/>
  <c r="F389" i="18"/>
  <c r="J389" i="18"/>
  <c r="F140" i="18"/>
  <c r="J140" i="18"/>
  <c r="I161" i="18"/>
  <c r="H161" i="18"/>
  <c r="H166" i="18"/>
  <c r="I166" i="18"/>
  <c r="H162" i="18"/>
  <c r="I162" i="18"/>
  <c r="J432" i="18"/>
  <c r="F432" i="18"/>
  <c r="I487" i="18"/>
  <c r="H487" i="18"/>
  <c r="H408" i="18"/>
  <c r="I408" i="18"/>
  <c r="I416" i="18"/>
  <c r="H416" i="18"/>
  <c r="H411" i="18"/>
  <c r="I411" i="18"/>
  <c r="I371" i="18"/>
  <c r="H371" i="18"/>
  <c r="I366" i="18"/>
  <c r="H366" i="18"/>
  <c r="H378" i="18"/>
  <c r="I378" i="18"/>
  <c r="J346" i="18"/>
  <c r="F346" i="18"/>
  <c r="I364" i="18"/>
  <c r="H364" i="18"/>
  <c r="H359" i="18"/>
  <c r="I359" i="18"/>
  <c r="F139" i="18"/>
  <c r="J139" i="18"/>
  <c r="F174" i="18"/>
  <c r="J174" i="18"/>
  <c r="F424" i="18"/>
  <c r="J424" i="18"/>
  <c r="I5" i="18"/>
  <c r="H5" i="18"/>
  <c r="I19" i="20"/>
  <c r="G43" i="18" a="1"/>
  <c r="G43" i="18" s="1"/>
  <c r="G41" i="18" a="1"/>
  <c r="G41" i="18" s="1"/>
  <c r="I13" i="35" a="1"/>
  <c r="I13" i="35" s="1"/>
  <c r="G35" i="18" a="1"/>
  <c r="G35" i="18" s="1"/>
  <c r="I3" i="35" a="1"/>
  <c r="I3" i="35" s="1"/>
  <c r="G42" i="18" a="1"/>
  <c r="G42" i="18" s="1"/>
  <c r="I12" i="35" a="1"/>
  <c r="I12" i="35" s="1"/>
  <c r="G40" i="18" a="1"/>
  <c r="G40" i="18" s="1"/>
  <c r="I8" i="35" a="1"/>
  <c r="I8" i="35" s="1"/>
  <c r="G30" i="18" a="1"/>
  <c r="G30" i="18" s="1"/>
  <c r="I7" i="35" a="1"/>
  <c r="I7" i="35" s="1"/>
  <c r="I14" i="35" a="1"/>
  <c r="I14" i="35" s="1"/>
  <c r="G31" i="18" a="1"/>
  <c r="G31" i="18" s="1"/>
  <c r="G38" i="18" a="1"/>
  <c r="G38" i="18" s="1"/>
  <c r="I16" i="35" a="1"/>
  <c r="I16" i="35" s="1"/>
  <c r="G32" i="18" a="1"/>
  <c r="G32" i="18" s="1"/>
  <c r="G33" i="18" a="1"/>
  <c r="G33" i="18" s="1"/>
  <c r="G39" i="18" a="1"/>
  <c r="G39" i="18" s="1"/>
  <c r="I11" i="35" a="1"/>
  <c r="I11" i="35" s="1"/>
  <c r="I4" i="35" a="1"/>
  <c r="I4" i="35" s="1"/>
  <c r="G34" i="18" a="1"/>
  <c r="G34" i="18" s="1"/>
  <c r="I10" i="35" a="1"/>
  <c r="I10" i="35" s="1"/>
  <c r="I5" i="35" a="1"/>
  <c r="I5" i="35" s="1"/>
  <c r="G36" i="18" a="1"/>
  <c r="G36" i="18" s="1"/>
  <c r="I6" i="35" a="1"/>
  <c r="I6" i="35" s="1"/>
  <c r="G37" i="18" a="1"/>
  <c r="G37" i="18" s="1"/>
  <c r="I15" i="35" a="1"/>
  <c r="I15" i="35" s="1"/>
  <c r="I9" i="35" a="1"/>
  <c r="I9" i="35" s="1"/>
  <c r="I303" i="18"/>
  <c r="H303" i="18"/>
  <c r="H307" i="18"/>
  <c r="I307" i="18"/>
  <c r="H305" i="18"/>
  <c r="I305" i="18"/>
  <c r="I407" i="18"/>
  <c r="H407" i="18"/>
  <c r="I401" i="18"/>
  <c r="H401" i="18"/>
  <c r="I211" i="18"/>
  <c r="H211" i="18"/>
  <c r="H193" i="18"/>
  <c r="I193" i="18"/>
  <c r="H187" i="18"/>
  <c r="I187" i="18"/>
  <c r="I148" i="18"/>
  <c r="H148" i="18"/>
  <c r="H126" i="18"/>
  <c r="I126" i="18"/>
  <c r="I125" i="18"/>
  <c r="H125" i="18"/>
  <c r="H438" i="18"/>
  <c r="I438" i="18"/>
  <c r="H440" i="18"/>
  <c r="I440" i="18"/>
  <c r="I266" i="18"/>
  <c r="H266" i="18"/>
  <c r="I457" i="18"/>
  <c r="H457" i="18"/>
  <c r="H463" i="18"/>
  <c r="I463" i="18"/>
  <c r="I101" i="18"/>
  <c r="H101" i="18"/>
  <c r="I103" i="18"/>
  <c r="H103" i="18"/>
  <c r="J134" i="18"/>
  <c r="F134" i="18"/>
  <c r="F422" i="18"/>
  <c r="J422" i="18"/>
  <c r="I500" i="18"/>
  <c r="H500" i="18"/>
  <c r="H493" i="18"/>
  <c r="I493" i="18"/>
  <c r="I497" i="18"/>
  <c r="H497" i="18"/>
  <c r="I235" i="18"/>
  <c r="H235" i="18"/>
  <c r="F431" i="18"/>
  <c r="J431" i="18"/>
  <c r="I47" i="17"/>
  <c r="F177" i="18"/>
  <c r="J177" i="18"/>
  <c r="I249" i="18"/>
  <c r="H249" i="18"/>
  <c r="F344" i="18"/>
  <c r="J344" i="18"/>
  <c r="F180" i="18"/>
  <c r="J180" i="18"/>
  <c r="H489" i="18"/>
  <c r="I489" i="18"/>
  <c r="I480" i="18"/>
  <c r="H480" i="18"/>
  <c r="H138" i="35" a="1"/>
  <c r="H138" i="35" s="1"/>
  <c r="G319" i="18" a="1"/>
  <c r="G319" i="18" s="1"/>
  <c r="G311" i="18" a="1"/>
  <c r="G311" i="18" s="1"/>
  <c r="H142" i="35" a="1"/>
  <c r="H142" i="35" s="1"/>
  <c r="G320" i="18" a="1"/>
  <c r="G320" i="18" s="1"/>
  <c r="H129" i="35" a="1"/>
  <c r="H129" i="35" s="1"/>
  <c r="G321" i="18" a="1"/>
  <c r="G321" i="18" s="1"/>
  <c r="G323" i="18" a="1"/>
  <c r="G323" i="18" s="1"/>
  <c r="H137" i="35" a="1"/>
  <c r="H137" i="35" s="1"/>
  <c r="H130" i="35" a="1"/>
  <c r="H130" i="35" s="1"/>
  <c r="G316" i="18" a="1"/>
  <c r="G316" i="18" s="1"/>
  <c r="G318" i="18" a="1"/>
  <c r="G318" i="18" s="1"/>
  <c r="H133" i="35" a="1"/>
  <c r="H133" i="35" s="1"/>
  <c r="H134" i="35" a="1"/>
  <c r="H134" i="35" s="1"/>
  <c r="G310" i="18" a="1"/>
  <c r="G310" i="18" s="1"/>
  <c r="G317" i="18" a="1"/>
  <c r="G317" i="18" s="1"/>
  <c r="H141" i="35" a="1"/>
  <c r="H141" i="35" s="1"/>
  <c r="H131" i="35" a="1"/>
  <c r="H131" i="35" s="1"/>
  <c r="O46" i="20"/>
  <c r="G312" i="18" a="1"/>
  <c r="G312" i="18" s="1"/>
  <c r="H132" i="35" a="1"/>
  <c r="H132" i="35" s="1"/>
  <c r="H139" i="35" a="1"/>
  <c r="H139" i="35" s="1"/>
  <c r="G313" i="18" a="1"/>
  <c r="G313" i="18" s="1"/>
  <c r="G315" i="18" a="1"/>
  <c r="G315" i="18" s="1"/>
  <c r="H140" i="35" a="1"/>
  <c r="H140" i="35" s="1"/>
  <c r="H135" i="35" a="1"/>
  <c r="H135" i="35" s="1"/>
  <c r="G322" i="18" a="1"/>
  <c r="G322" i="18" s="1"/>
  <c r="G314" i="18" a="1"/>
  <c r="G314" i="18" s="1"/>
  <c r="H136" i="35" a="1"/>
  <c r="H136" i="35" s="1"/>
  <c r="H421" i="18"/>
  <c r="I421" i="18"/>
  <c r="H420" i="18"/>
  <c r="I420" i="18"/>
  <c r="H419" i="18"/>
  <c r="I419" i="18"/>
  <c r="I374" i="18"/>
  <c r="H374" i="18"/>
  <c r="I368" i="18"/>
  <c r="H368" i="18"/>
  <c r="J427" i="18"/>
  <c r="F427" i="18"/>
  <c r="F131" i="18"/>
  <c r="J131" i="18"/>
  <c r="F175" i="18"/>
  <c r="J175" i="18"/>
  <c r="J215" i="18"/>
  <c r="F215" i="18"/>
  <c r="I356" i="18"/>
  <c r="H356" i="18"/>
  <c r="I361" i="18"/>
  <c r="H361" i="18"/>
  <c r="I4" i="18"/>
  <c r="H4" i="18"/>
  <c r="I14" i="18"/>
  <c r="H14" i="18"/>
  <c r="H304" i="18"/>
  <c r="I304" i="18"/>
  <c r="I299" i="18"/>
  <c r="H299" i="18"/>
  <c r="H297" i="18"/>
  <c r="I297" i="18"/>
  <c r="F473" i="18"/>
  <c r="J473" i="18"/>
  <c r="I399" i="18"/>
  <c r="H399" i="18"/>
  <c r="I395" i="18"/>
  <c r="H395" i="18"/>
  <c r="I210" i="18"/>
  <c r="H210" i="18"/>
  <c r="I199" i="18"/>
  <c r="H199" i="18"/>
  <c r="I194" i="18"/>
  <c r="H194" i="18"/>
  <c r="I185" i="18"/>
  <c r="H185" i="18"/>
  <c r="I191" i="18"/>
  <c r="H191" i="18"/>
  <c r="F434" i="18"/>
  <c r="J434" i="18"/>
  <c r="I152" i="18"/>
  <c r="H152" i="18"/>
  <c r="H142" i="18"/>
  <c r="I142" i="18"/>
  <c r="I155" i="18"/>
  <c r="H155" i="18"/>
  <c r="I124" i="18"/>
  <c r="H124" i="18"/>
  <c r="H119" i="18"/>
  <c r="I119" i="18"/>
  <c r="H123" i="18"/>
  <c r="I123" i="18"/>
  <c r="F433" i="18"/>
  <c r="J433" i="18"/>
  <c r="H255" i="18"/>
  <c r="I255" i="18"/>
  <c r="H267" i="18"/>
  <c r="I267" i="18"/>
  <c r="H261" i="18"/>
  <c r="I261" i="18"/>
  <c r="I258" i="18"/>
  <c r="H258" i="18"/>
  <c r="H102" i="18"/>
  <c r="I102" i="18"/>
  <c r="I503" i="18"/>
  <c r="H503" i="18"/>
  <c r="I233" i="18"/>
  <c r="H233" i="18"/>
  <c r="I231" i="18"/>
  <c r="H231" i="18"/>
  <c r="I232" i="18"/>
  <c r="H232" i="18"/>
  <c r="H242" i="18"/>
  <c r="I242" i="18"/>
  <c r="H55" i="18"/>
  <c r="I55" i="18"/>
  <c r="I57" i="18"/>
  <c r="H57" i="18"/>
  <c r="F469" i="18"/>
  <c r="J469" i="18"/>
  <c r="H163" i="18"/>
  <c r="I163" i="18"/>
  <c r="F423" i="18"/>
  <c r="J423" i="18"/>
  <c r="H488" i="18"/>
  <c r="I488" i="18"/>
  <c r="I486" i="18"/>
  <c r="H486" i="18"/>
  <c r="F213" i="18"/>
  <c r="J213" i="18"/>
  <c r="F472" i="18"/>
  <c r="J472" i="18"/>
  <c r="H409" i="18"/>
  <c r="I409" i="18"/>
  <c r="H373" i="18"/>
  <c r="I373" i="18"/>
  <c r="F386" i="18"/>
  <c r="J386" i="18"/>
  <c r="F388" i="18"/>
  <c r="J388" i="18"/>
  <c r="F181" i="18"/>
  <c r="J181" i="18"/>
  <c r="F466" i="18"/>
  <c r="J466" i="18"/>
  <c r="F94" i="18"/>
  <c r="J94" i="18"/>
  <c r="I357" i="18"/>
  <c r="H357" i="18"/>
  <c r="I355" i="18"/>
  <c r="H355" i="18"/>
  <c r="I362" i="18"/>
  <c r="H362" i="18"/>
  <c r="F173" i="18"/>
  <c r="J173" i="18"/>
  <c r="F426" i="18"/>
  <c r="J426" i="18"/>
  <c r="H13" i="18"/>
  <c r="I13" i="18"/>
  <c r="H12" i="18"/>
  <c r="I12" i="18"/>
  <c r="H301" i="18"/>
  <c r="I301" i="18"/>
  <c r="F387" i="18"/>
  <c r="J387" i="18"/>
  <c r="J96" i="18"/>
  <c r="F96" i="18"/>
  <c r="I397" i="18"/>
  <c r="H397" i="18"/>
  <c r="H198" i="18"/>
  <c r="I198" i="18"/>
  <c r="I203" i="18"/>
  <c r="H203" i="18"/>
  <c r="I204" i="18"/>
  <c r="H204" i="18"/>
  <c r="H189" i="18"/>
  <c r="I189" i="18"/>
  <c r="I153" i="18"/>
  <c r="H153" i="18"/>
  <c r="I150" i="18"/>
  <c r="H150" i="18"/>
  <c r="J137" i="18"/>
  <c r="F137" i="18"/>
  <c r="I117" i="18"/>
  <c r="H117" i="18"/>
  <c r="H116" i="18"/>
  <c r="I116" i="18"/>
  <c r="I118" i="18"/>
  <c r="H118" i="18"/>
  <c r="I436" i="18"/>
  <c r="H436" i="18"/>
  <c r="H265" i="18"/>
  <c r="I265" i="18"/>
  <c r="I256" i="18"/>
  <c r="H256" i="18"/>
  <c r="F471" i="18"/>
  <c r="J471" i="18"/>
  <c r="F391" i="18"/>
  <c r="J391" i="18"/>
  <c r="F349" i="18"/>
  <c r="J349" i="18"/>
  <c r="F89" i="18"/>
  <c r="J89" i="18"/>
  <c r="I459" i="18"/>
  <c r="H459" i="18"/>
  <c r="I452" i="18"/>
  <c r="H452" i="18"/>
  <c r="H450" i="18"/>
  <c r="I450" i="18"/>
  <c r="F130" i="18"/>
  <c r="J130" i="18"/>
  <c r="F172" i="18"/>
  <c r="J172" i="18"/>
  <c r="F222" i="18"/>
  <c r="J222" i="18"/>
  <c r="J381" i="18"/>
  <c r="F381" i="18"/>
  <c r="I502" i="18"/>
  <c r="H502" i="18"/>
  <c r="J132" i="18"/>
  <c r="F132" i="18"/>
  <c r="I237" i="18"/>
  <c r="H237" i="18"/>
  <c r="H239" i="18"/>
  <c r="I239" i="18"/>
  <c r="I234" i="18"/>
  <c r="H234" i="18"/>
  <c r="F221" i="18"/>
  <c r="J221" i="18"/>
  <c r="F350" i="18"/>
  <c r="J350" i="18"/>
  <c r="F90" i="18"/>
  <c r="J90" i="18"/>
  <c r="H240" i="18"/>
  <c r="I240" i="18"/>
  <c r="H248" i="18"/>
  <c r="I248" i="18"/>
  <c r="I49" i="18"/>
  <c r="H49" i="18"/>
  <c r="I51" i="18"/>
  <c r="H51" i="18"/>
  <c r="I158" i="18"/>
  <c r="H158" i="18"/>
  <c r="H159" i="18"/>
  <c r="I159" i="18"/>
  <c r="F429" i="18"/>
  <c r="J429" i="18"/>
  <c r="I478" i="18"/>
  <c r="H478" i="18"/>
  <c r="I484" i="18"/>
  <c r="H484" i="18"/>
  <c r="I485" i="18"/>
  <c r="H485" i="18"/>
  <c r="I413" i="18"/>
  <c r="H413" i="18"/>
  <c r="I370" i="18"/>
  <c r="H370" i="18"/>
  <c r="T188" i="66" l="1"/>
  <c r="O188" i="66"/>
  <c r="Q188" i="66" s="1"/>
  <c r="T44" i="66"/>
  <c r="X188" i="66"/>
  <c r="O44" i="66"/>
  <c r="Y44" i="66"/>
  <c r="Z188" i="66"/>
  <c r="Y188" i="66"/>
  <c r="Z44" i="66"/>
  <c r="X44" i="66"/>
  <c r="F301" i="18"/>
  <c r="J301" i="18"/>
  <c r="J488" i="18"/>
  <c r="F488" i="18"/>
  <c r="J258" i="18"/>
  <c r="F258" i="18"/>
  <c r="F191" i="18"/>
  <c r="J191" i="18"/>
  <c r="J304" i="18"/>
  <c r="F304" i="18"/>
  <c r="I315" i="18"/>
  <c r="H315" i="18"/>
  <c r="I317" i="18"/>
  <c r="H317" i="18"/>
  <c r="H323" i="18"/>
  <c r="I323" i="18"/>
  <c r="F187" i="18"/>
  <c r="J187" i="18"/>
  <c r="I37" i="18"/>
  <c r="H37" i="18"/>
  <c r="I39" i="18"/>
  <c r="H39" i="18"/>
  <c r="I30" i="18"/>
  <c r="H30" i="18"/>
  <c r="H41" i="18"/>
  <c r="I41" i="18"/>
  <c r="J378" i="18"/>
  <c r="F378" i="18"/>
  <c r="J46" i="18"/>
  <c r="F46" i="18"/>
  <c r="J250" i="18"/>
  <c r="F250" i="18"/>
  <c r="F236" i="18"/>
  <c r="J236" i="18"/>
  <c r="H75" i="18"/>
  <c r="I75" i="18"/>
  <c r="I78" i="18"/>
  <c r="H78" i="18"/>
  <c r="I287" i="18"/>
  <c r="H287" i="18"/>
  <c r="F492" i="18"/>
  <c r="J492" i="18"/>
  <c r="J110" i="18"/>
  <c r="F110" i="18"/>
  <c r="J394" i="18"/>
  <c r="F394" i="18"/>
  <c r="J363" i="18"/>
  <c r="F363" i="18"/>
  <c r="J379" i="18"/>
  <c r="F379" i="18"/>
  <c r="J230" i="18"/>
  <c r="F230" i="18"/>
  <c r="F505" i="18"/>
  <c r="J505" i="18"/>
  <c r="I277" i="18"/>
  <c r="H277" i="18"/>
  <c r="I280" i="18"/>
  <c r="H280" i="18"/>
  <c r="H271" i="18"/>
  <c r="I271" i="18"/>
  <c r="I330" i="18"/>
  <c r="H330" i="18"/>
  <c r="H324" i="18"/>
  <c r="I324" i="18"/>
  <c r="H24" i="18"/>
  <c r="I24" i="18"/>
  <c r="H27" i="18"/>
  <c r="I27" i="18"/>
  <c r="H22" i="18"/>
  <c r="I22" i="18"/>
  <c r="J226" i="18"/>
  <c r="F226" i="18"/>
  <c r="F107" i="18"/>
  <c r="J107" i="18"/>
  <c r="J195" i="18"/>
  <c r="F195" i="18"/>
  <c r="F6" i="18"/>
  <c r="J6" i="18"/>
  <c r="J377" i="18"/>
  <c r="F377" i="18"/>
  <c r="J156" i="18"/>
  <c r="F156" i="18"/>
  <c r="F447" i="18"/>
  <c r="J447" i="18"/>
  <c r="J122" i="18"/>
  <c r="F122" i="18"/>
  <c r="J484" i="18"/>
  <c r="F484" i="18"/>
  <c r="F452" i="18"/>
  <c r="J452" i="18"/>
  <c r="J399" i="18"/>
  <c r="F399" i="18"/>
  <c r="J235" i="18"/>
  <c r="F235" i="18"/>
  <c r="F497" i="18"/>
  <c r="J497" i="18"/>
  <c r="J5" i="18"/>
  <c r="F5" i="18"/>
  <c r="J373" i="18"/>
  <c r="F373" i="18"/>
  <c r="F485" i="18"/>
  <c r="J485" i="18"/>
  <c r="J478" i="18"/>
  <c r="F478" i="18"/>
  <c r="F51" i="18"/>
  <c r="J51" i="18"/>
  <c r="J436" i="18"/>
  <c r="F436" i="18"/>
  <c r="F118" i="18"/>
  <c r="J118" i="18"/>
  <c r="J150" i="18"/>
  <c r="F150" i="18"/>
  <c r="F357" i="18"/>
  <c r="J357" i="18"/>
  <c r="J233" i="18"/>
  <c r="F233" i="18"/>
  <c r="J102" i="18"/>
  <c r="F102" i="18"/>
  <c r="J261" i="18"/>
  <c r="F261" i="18"/>
  <c r="F123" i="18"/>
  <c r="J123" i="18"/>
  <c r="J124" i="18"/>
  <c r="F124" i="18"/>
  <c r="F152" i="18"/>
  <c r="J152" i="18"/>
  <c r="F368" i="18"/>
  <c r="J368" i="18"/>
  <c r="I313" i="18"/>
  <c r="H313" i="18"/>
  <c r="I310" i="18"/>
  <c r="H310" i="18"/>
  <c r="I321" i="18"/>
  <c r="H321" i="18"/>
  <c r="J101" i="18"/>
  <c r="F101" i="18"/>
  <c r="F401" i="18"/>
  <c r="J401" i="18"/>
  <c r="I33" i="18"/>
  <c r="H33" i="18"/>
  <c r="I43" i="18"/>
  <c r="H43" i="18"/>
  <c r="F364" i="18"/>
  <c r="J364" i="18"/>
  <c r="F371" i="18"/>
  <c r="J371" i="18"/>
  <c r="J416" i="18"/>
  <c r="F416" i="18"/>
  <c r="F245" i="18"/>
  <c r="J245" i="18"/>
  <c r="J229" i="18"/>
  <c r="F229" i="18"/>
  <c r="F111" i="18"/>
  <c r="J111" i="18"/>
  <c r="F406" i="18"/>
  <c r="J406" i="18"/>
  <c r="I82" i="18"/>
  <c r="H82" i="18"/>
  <c r="I72" i="18"/>
  <c r="H72" i="18"/>
  <c r="F367" i="18"/>
  <c r="J367" i="18"/>
  <c r="F164" i="18"/>
  <c r="J164" i="18"/>
  <c r="H290" i="18"/>
  <c r="I290" i="18"/>
  <c r="I285" i="18"/>
  <c r="H285" i="18"/>
  <c r="F105" i="18"/>
  <c r="J105" i="18"/>
  <c r="F456" i="18"/>
  <c r="J456" i="18"/>
  <c r="F260" i="18"/>
  <c r="J260" i="18"/>
  <c r="J52" i="18"/>
  <c r="F52" i="18"/>
  <c r="H68" i="18"/>
  <c r="I68" i="18"/>
  <c r="F462" i="18"/>
  <c r="J462" i="18"/>
  <c r="F259" i="18"/>
  <c r="J259" i="18"/>
  <c r="J441" i="18"/>
  <c r="F441" i="18"/>
  <c r="F151" i="18"/>
  <c r="J151" i="18"/>
  <c r="J200" i="18"/>
  <c r="F200" i="18"/>
  <c r="J309" i="18"/>
  <c r="F309" i="18"/>
  <c r="F415" i="18"/>
  <c r="J415" i="18"/>
  <c r="H268" i="18"/>
  <c r="I268" i="18"/>
  <c r="H281" i="18"/>
  <c r="I281" i="18"/>
  <c r="H273" i="18"/>
  <c r="I273" i="18"/>
  <c r="I332" i="18"/>
  <c r="H332" i="18"/>
  <c r="H23" i="18"/>
  <c r="I23" i="18"/>
  <c r="I16" i="18"/>
  <c r="H16" i="18"/>
  <c r="H18" i="18"/>
  <c r="I18" i="18"/>
  <c r="J449" i="18"/>
  <c r="F449" i="18"/>
  <c r="F143" i="18"/>
  <c r="J143" i="18"/>
  <c r="J300" i="18"/>
  <c r="F300" i="18"/>
  <c r="F56" i="18"/>
  <c r="J56" i="18"/>
  <c r="F207" i="18"/>
  <c r="J207" i="18"/>
  <c r="J450" i="18"/>
  <c r="F450" i="18"/>
  <c r="F459" i="18"/>
  <c r="J459" i="18"/>
  <c r="J397" i="18"/>
  <c r="F397" i="18"/>
  <c r="F370" i="18"/>
  <c r="J370" i="18"/>
  <c r="J234" i="18"/>
  <c r="F234" i="18"/>
  <c r="F237" i="18"/>
  <c r="J237" i="18"/>
  <c r="F116" i="18"/>
  <c r="J116" i="18"/>
  <c r="J204" i="18"/>
  <c r="F204" i="18"/>
  <c r="F409" i="18"/>
  <c r="J409" i="18"/>
  <c r="J185" i="18"/>
  <c r="F185" i="18"/>
  <c r="F361" i="18"/>
  <c r="J361" i="18"/>
  <c r="J356" i="18"/>
  <c r="F356" i="18"/>
  <c r="J419" i="18"/>
  <c r="F419" i="18"/>
  <c r="F463" i="18"/>
  <c r="J463" i="18"/>
  <c r="F440" i="18"/>
  <c r="J440" i="18"/>
  <c r="F193" i="18"/>
  <c r="J193" i="18"/>
  <c r="F307" i="18"/>
  <c r="J307" i="18"/>
  <c r="H36" i="18"/>
  <c r="I36" i="18"/>
  <c r="I32" i="18"/>
  <c r="H32" i="18"/>
  <c r="H40" i="18"/>
  <c r="I40" i="18"/>
  <c r="J359" i="18"/>
  <c r="F359" i="18"/>
  <c r="J408" i="18"/>
  <c r="F408" i="18"/>
  <c r="J162" i="18"/>
  <c r="F162" i="18"/>
  <c r="F112" i="18"/>
  <c r="J112" i="18"/>
  <c r="I85" i="18"/>
  <c r="H85" i="18"/>
  <c r="F247" i="18"/>
  <c r="J247" i="18"/>
  <c r="F109" i="18"/>
  <c r="J109" i="18"/>
  <c r="F197" i="18"/>
  <c r="J197" i="18"/>
  <c r="F202" i="18"/>
  <c r="J202" i="18"/>
  <c r="F308" i="18"/>
  <c r="J308" i="18"/>
  <c r="J358" i="18"/>
  <c r="F358" i="18"/>
  <c r="F482" i="18"/>
  <c r="J482" i="18"/>
  <c r="H62" i="18"/>
  <c r="I62" i="18"/>
  <c r="I61" i="18"/>
  <c r="H61" i="18"/>
  <c r="J104" i="18"/>
  <c r="F104" i="18"/>
  <c r="F461" i="18"/>
  <c r="J461" i="18"/>
  <c r="F262" i="18"/>
  <c r="J262" i="18"/>
  <c r="F188" i="18"/>
  <c r="J188" i="18"/>
  <c r="F396" i="18"/>
  <c r="J396" i="18"/>
  <c r="I279" i="18"/>
  <c r="H279" i="18"/>
  <c r="F481" i="18"/>
  <c r="J481" i="18"/>
  <c r="H329" i="18"/>
  <c r="I329" i="18"/>
  <c r="F400" i="18"/>
  <c r="J400" i="18"/>
  <c r="F165" i="18"/>
  <c r="J165" i="18"/>
  <c r="F252" i="18"/>
  <c r="J252" i="18"/>
  <c r="F458" i="18"/>
  <c r="J458" i="18"/>
  <c r="J149" i="18"/>
  <c r="F149" i="18"/>
  <c r="J44" i="18"/>
  <c r="F44" i="18"/>
  <c r="J504" i="18"/>
  <c r="F504" i="18"/>
  <c r="F451" i="18"/>
  <c r="J451" i="18"/>
  <c r="F443" i="18"/>
  <c r="J443" i="18"/>
  <c r="J159" i="18"/>
  <c r="F159" i="18"/>
  <c r="F248" i="18"/>
  <c r="J248" i="18"/>
  <c r="J14" i="18"/>
  <c r="F14" i="18"/>
  <c r="J125" i="18"/>
  <c r="F125" i="18"/>
  <c r="J407" i="18"/>
  <c r="F407" i="18"/>
  <c r="F246" i="18"/>
  <c r="J246" i="18"/>
  <c r="J120" i="18"/>
  <c r="F120" i="18"/>
  <c r="J203" i="18"/>
  <c r="F203" i="18"/>
  <c r="F503" i="18"/>
  <c r="J503" i="18"/>
  <c r="J194" i="18"/>
  <c r="F194" i="18"/>
  <c r="F297" i="18"/>
  <c r="J297" i="18"/>
  <c r="J420" i="18"/>
  <c r="F420" i="18"/>
  <c r="I314" i="18"/>
  <c r="H314" i="18"/>
  <c r="I312" i="18"/>
  <c r="H312" i="18"/>
  <c r="I318" i="18"/>
  <c r="H318" i="18"/>
  <c r="J249" i="18"/>
  <c r="F249" i="18"/>
  <c r="J493" i="18"/>
  <c r="F493" i="18"/>
  <c r="F438" i="18"/>
  <c r="J438" i="18"/>
  <c r="F126" i="18"/>
  <c r="J126" i="18"/>
  <c r="F148" i="18"/>
  <c r="J148" i="18"/>
  <c r="J305" i="18"/>
  <c r="F305" i="18"/>
  <c r="H38" i="18"/>
  <c r="I38" i="18"/>
  <c r="H42" i="18"/>
  <c r="I42" i="18"/>
  <c r="J166" i="18"/>
  <c r="F166" i="18"/>
  <c r="J227" i="18"/>
  <c r="F227" i="18"/>
  <c r="J499" i="18"/>
  <c r="F499" i="18"/>
  <c r="J113" i="18"/>
  <c r="F113" i="18"/>
  <c r="F121" i="18"/>
  <c r="J121" i="18"/>
  <c r="H77" i="18"/>
  <c r="I77" i="18"/>
  <c r="H73" i="18"/>
  <c r="I73" i="18"/>
  <c r="I84" i="18"/>
  <c r="H84" i="18"/>
  <c r="I83" i="18"/>
  <c r="H83" i="18"/>
  <c r="J372" i="18"/>
  <c r="F372" i="18"/>
  <c r="H283" i="18"/>
  <c r="I283" i="18"/>
  <c r="I293" i="18"/>
  <c r="H293" i="18"/>
  <c r="F446" i="18"/>
  <c r="J446" i="18"/>
  <c r="J208" i="18"/>
  <c r="F208" i="18"/>
  <c r="F365" i="18"/>
  <c r="J365" i="18"/>
  <c r="F45" i="18"/>
  <c r="J45" i="18"/>
  <c r="I70" i="18"/>
  <c r="H70" i="18"/>
  <c r="I64" i="18"/>
  <c r="H64" i="18"/>
  <c r="F100" i="18"/>
  <c r="J100" i="18"/>
  <c r="J2" i="18"/>
  <c r="F2" i="18"/>
  <c r="F376" i="18"/>
  <c r="J376" i="18"/>
  <c r="I272" i="18"/>
  <c r="H272" i="18"/>
  <c r="H275" i="18"/>
  <c r="I275" i="18"/>
  <c r="J490" i="18"/>
  <c r="F490" i="18"/>
  <c r="H327" i="18"/>
  <c r="I327" i="18"/>
  <c r="I337" i="18"/>
  <c r="H337" i="18"/>
  <c r="I333" i="18"/>
  <c r="H333" i="18"/>
  <c r="F48" i="18"/>
  <c r="J48" i="18"/>
  <c r="H28" i="18"/>
  <c r="I28" i="18"/>
  <c r="I25" i="18"/>
  <c r="H25" i="18"/>
  <c r="I26" i="18"/>
  <c r="H26" i="18"/>
  <c r="F442" i="18"/>
  <c r="J442" i="18"/>
  <c r="F298" i="18"/>
  <c r="J298" i="18"/>
  <c r="J483" i="18"/>
  <c r="F483" i="18"/>
  <c r="F264" i="18"/>
  <c r="J264" i="18"/>
  <c r="J192" i="18"/>
  <c r="F192" i="18"/>
  <c r="F395" i="18"/>
  <c r="J395" i="18"/>
  <c r="J439" i="18"/>
  <c r="F439" i="18"/>
  <c r="F145" i="18"/>
  <c r="J145" i="18"/>
  <c r="J15" i="18"/>
  <c r="F15" i="18"/>
  <c r="I65" i="18"/>
  <c r="H65" i="18"/>
  <c r="I59" i="18"/>
  <c r="H59" i="18"/>
  <c r="H66" i="18"/>
  <c r="I66" i="18"/>
  <c r="J115" i="18"/>
  <c r="F115" i="18"/>
  <c r="J412" i="18"/>
  <c r="F412" i="18"/>
  <c r="H19" i="18"/>
  <c r="I19" i="18"/>
  <c r="F240" i="18"/>
  <c r="J240" i="18"/>
  <c r="F256" i="18"/>
  <c r="J256" i="18"/>
  <c r="F117" i="18"/>
  <c r="J117" i="18"/>
  <c r="F198" i="18"/>
  <c r="J198" i="18"/>
  <c r="J12" i="18"/>
  <c r="F12" i="18"/>
  <c r="F362" i="18"/>
  <c r="J362" i="18"/>
  <c r="J57" i="18"/>
  <c r="F57" i="18"/>
  <c r="F242" i="18"/>
  <c r="J242" i="18"/>
  <c r="F232" i="18"/>
  <c r="J232" i="18"/>
  <c r="J255" i="18"/>
  <c r="F255" i="18"/>
  <c r="J155" i="18"/>
  <c r="F155" i="18"/>
  <c r="J199" i="18"/>
  <c r="F199" i="18"/>
  <c r="J4" i="18"/>
  <c r="F4" i="18"/>
  <c r="H322" i="18"/>
  <c r="I322" i="18"/>
  <c r="I316" i="18"/>
  <c r="H316" i="18"/>
  <c r="H311" i="18"/>
  <c r="I311" i="18"/>
  <c r="J480" i="18"/>
  <c r="F480" i="18"/>
  <c r="F457" i="18"/>
  <c r="J457" i="18"/>
  <c r="F266" i="18"/>
  <c r="J266" i="18"/>
  <c r="J303" i="18"/>
  <c r="F303" i="18"/>
  <c r="I34" i="18"/>
  <c r="H34" i="18"/>
  <c r="I31" i="18"/>
  <c r="H31" i="18"/>
  <c r="J263" i="18"/>
  <c r="F263" i="18"/>
  <c r="J444" i="18"/>
  <c r="F444" i="18"/>
  <c r="I80" i="18"/>
  <c r="H80" i="18"/>
  <c r="I76" i="18"/>
  <c r="H76" i="18"/>
  <c r="J10" i="18"/>
  <c r="F10" i="18"/>
  <c r="F369" i="18"/>
  <c r="J369" i="18"/>
  <c r="F414" i="18"/>
  <c r="J414" i="18"/>
  <c r="I295" i="18"/>
  <c r="H295" i="18"/>
  <c r="I286" i="18"/>
  <c r="H286" i="18"/>
  <c r="I288" i="18"/>
  <c r="H288" i="18"/>
  <c r="J495" i="18"/>
  <c r="F495" i="18"/>
  <c r="F114" i="18"/>
  <c r="J114" i="18"/>
  <c r="F479" i="18"/>
  <c r="J479" i="18"/>
  <c r="J167" i="18"/>
  <c r="F167" i="18"/>
  <c r="J241" i="18"/>
  <c r="F241" i="18"/>
  <c r="F498" i="18"/>
  <c r="J498" i="18"/>
  <c r="F144" i="18"/>
  <c r="J144" i="18"/>
  <c r="F190" i="18"/>
  <c r="J190" i="18"/>
  <c r="F201" i="18"/>
  <c r="J201" i="18"/>
  <c r="F402" i="18"/>
  <c r="J402" i="18"/>
  <c r="F8" i="18"/>
  <c r="J8" i="18"/>
  <c r="J353" i="18"/>
  <c r="F353" i="18"/>
  <c r="J410" i="18"/>
  <c r="F410" i="18"/>
  <c r="I274" i="18"/>
  <c r="H274" i="18"/>
  <c r="I270" i="18"/>
  <c r="H270" i="18"/>
  <c r="H278" i="18"/>
  <c r="I278" i="18"/>
  <c r="I335" i="18"/>
  <c r="H335" i="18"/>
  <c r="I336" i="18"/>
  <c r="H336" i="18"/>
  <c r="I326" i="18"/>
  <c r="H326" i="18"/>
  <c r="F47" i="18"/>
  <c r="J47" i="18"/>
  <c r="J243" i="18"/>
  <c r="F243" i="18"/>
  <c r="H21" i="18"/>
  <c r="I21" i="18"/>
  <c r="I20" i="18"/>
  <c r="H20" i="18"/>
  <c r="I17" i="18"/>
  <c r="H17" i="18"/>
  <c r="J106" i="18"/>
  <c r="F106" i="18"/>
  <c r="J196" i="18"/>
  <c r="F196" i="18"/>
  <c r="J302" i="18"/>
  <c r="F302" i="18"/>
  <c r="J496" i="18"/>
  <c r="F496" i="18"/>
  <c r="F455" i="18"/>
  <c r="J455" i="18"/>
  <c r="F306" i="18"/>
  <c r="J306" i="18"/>
  <c r="F374" i="18"/>
  <c r="J374" i="18"/>
  <c r="H320" i="18"/>
  <c r="I320" i="18"/>
  <c r="J257" i="18"/>
  <c r="F257" i="18"/>
  <c r="H79" i="18"/>
  <c r="I79" i="18"/>
  <c r="J418" i="18"/>
  <c r="F418" i="18"/>
  <c r="H284" i="18"/>
  <c r="I284" i="18"/>
  <c r="I292" i="18"/>
  <c r="H292" i="18"/>
  <c r="J147" i="18"/>
  <c r="F147" i="18"/>
  <c r="J375" i="18"/>
  <c r="F375" i="18"/>
  <c r="J160" i="18"/>
  <c r="F160" i="18"/>
  <c r="J205" i="18"/>
  <c r="F205" i="18"/>
  <c r="H276" i="18"/>
  <c r="I276" i="18"/>
  <c r="I325" i="18"/>
  <c r="H325" i="18"/>
  <c r="F186" i="18"/>
  <c r="J186" i="18"/>
  <c r="J502" i="18"/>
  <c r="F502" i="18"/>
  <c r="F265" i="18"/>
  <c r="J265" i="18"/>
  <c r="F153" i="18"/>
  <c r="J153" i="18"/>
  <c r="J55" i="18"/>
  <c r="F55" i="18"/>
  <c r="J119" i="18"/>
  <c r="F119" i="18"/>
  <c r="F142" i="18"/>
  <c r="J142" i="18"/>
  <c r="J421" i="18"/>
  <c r="F421" i="18"/>
  <c r="H319" i="18"/>
  <c r="I319" i="18"/>
  <c r="J489" i="18"/>
  <c r="F489" i="18"/>
  <c r="I35" i="18"/>
  <c r="H35" i="18"/>
  <c r="J411" i="18"/>
  <c r="F411" i="18"/>
  <c r="F487" i="18"/>
  <c r="J487" i="18"/>
  <c r="F501" i="18"/>
  <c r="J501" i="18"/>
  <c r="J404" i="18"/>
  <c r="F404" i="18"/>
  <c r="F360" i="18"/>
  <c r="J360" i="18"/>
  <c r="H289" i="18"/>
  <c r="I289" i="18"/>
  <c r="H291" i="18"/>
  <c r="I291" i="18"/>
  <c r="F251" i="18"/>
  <c r="J251" i="18"/>
  <c r="F437" i="18"/>
  <c r="J437" i="18"/>
  <c r="J3" i="18"/>
  <c r="F3" i="18"/>
  <c r="F168" i="18"/>
  <c r="J168" i="18"/>
  <c r="H69" i="18"/>
  <c r="I69" i="18"/>
  <c r="I67" i="18"/>
  <c r="H67" i="18"/>
  <c r="F254" i="18"/>
  <c r="J254" i="18"/>
  <c r="J184" i="18"/>
  <c r="F184" i="18"/>
  <c r="H331" i="18"/>
  <c r="I331" i="18"/>
  <c r="I334" i="18"/>
  <c r="H334" i="18"/>
  <c r="I29" i="18"/>
  <c r="H29" i="18"/>
  <c r="F494" i="18"/>
  <c r="J494" i="18"/>
  <c r="J206" i="18"/>
  <c r="F206" i="18"/>
  <c r="F491" i="18"/>
  <c r="J491" i="18"/>
  <c r="F157" i="18"/>
  <c r="J157" i="18"/>
  <c r="J448" i="18"/>
  <c r="F448" i="18"/>
  <c r="F403" i="18"/>
  <c r="J403" i="18"/>
  <c r="J163" i="18"/>
  <c r="F163" i="18"/>
  <c r="J267" i="18"/>
  <c r="F267" i="18"/>
  <c r="F9" i="18"/>
  <c r="J9" i="18"/>
  <c r="J352" i="18"/>
  <c r="F352" i="18"/>
  <c r="F169" i="18"/>
  <c r="J169" i="18"/>
  <c r="H282" i="18"/>
  <c r="I282" i="18"/>
  <c r="J53" i="18"/>
  <c r="F53" i="18"/>
  <c r="J445" i="18"/>
  <c r="F445" i="18"/>
  <c r="I63" i="18"/>
  <c r="H63" i="18"/>
  <c r="F454" i="18"/>
  <c r="J454" i="18"/>
  <c r="F158" i="18"/>
  <c r="J158" i="18"/>
  <c r="F413" i="18"/>
  <c r="J413" i="18"/>
  <c r="F49" i="18"/>
  <c r="J49" i="18"/>
  <c r="F239" i="18"/>
  <c r="J239" i="18"/>
  <c r="J189" i="18"/>
  <c r="F189" i="18"/>
  <c r="J13" i="18"/>
  <c r="F13" i="18"/>
  <c r="J355" i="18"/>
  <c r="F355" i="18"/>
  <c r="J486" i="18"/>
  <c r="F486" i="18"/>
  <c r="J231" i="18"/>
  <c r="F231" i="18"/>
  <c r="F210" i="18"/>
  <c r="J210" i="18"/>
  <c r="J299" i="18"/>
  <c r="F299" i="18"/>
  <c r="F500" i="18"/>
  <c r="J500" i="18"/>
  <c r="J103" i="18"/>
  <c r="F103" i="18"/>
  <c r="F211" i="18"/>
  <c r="J211" i="18"/>
  <c r="J366" i="18"/>
  <c r="F366" i="18"/>
  <c r="J161" i="18"/>
  <c r="F161" i="18"/>
  <c r="J460" i="18"/>
  <c r="F460" i="18"/>
  <c r="J146" i="18"/>
  <c r="F146" i="18"/>
  <c r="J209" i="18"/>
  <c r="F209" i="18"/>
  <c r="J405" i="18"/>
  <c r="F405" i="18"/>
  <c r="H81" i="18"/>
  <c r="I81" i="18"/>
  <c r="H74" i="18"/>
  <c r="I74" i="18"/>
  <c r="F417" i="18"/>
  <c r="J417" i="18"/>
  <c r="H294" i="18"/>
  <c r="I294" i="18"/>
  <c r="J50" i="18"/>
  <c r="F50" i="18"/>
  <c r="F253" i="18"/>
  <c r="J253" i="18"/>
  <c r="F228" i="18"/>
  <c r="J228" i="18"/>
  <c r="F127" i="18"/>
  <c r="J127" i="18"/>
  <c r="F398" i="18"/>
  <c r="J398" i="18"/>
  <c r="H60" i="18"/>
  <c r="I60" i="18"/>
  <c r="H58" i="18"/>
  <c r="I58" i="18"/>
  <c r="H71" i="18"/>
  <c r="I71" i="18"/>
  <c r="J154" i="18"/>
  <c r="F154" i="18"/>
  <c r="I269" i="18"/>
  <c r="H269" i="18"/>
  <c r="I328" i="18"/>
  <c r="H328" i="18"/>
  <c r="J54" i="18"/>
  <c r="F54" i="18"/>
  <c r="F244" i="18"/>
  <c r="J244" i="18"/>
  <c r="J108" i="18"/>
  <c r="F108" i="18"/>
  <c r="J296" i="18"/>
  <c r="F296" i="18"/>
  <c r="J11" i="18"/>
  <c r="F11" i="18"/>
  <c r="F238" i="18"/>
  <c r="J238" i="18"/>
  <c r="F453" i="18"/>
  <c r="J453" i="18"/>
  <c r="F7" i="18"/>
  <c r="J7" i="18"/>
  <c r="J354" i="18"/>
  <c r="F354" i="18"/>
  <c r="U188" i="66" l="1"/>
  <c r="Q44" i="66"/>
  <c r="U44" i="66"/>
  <c r="F21" i="18"/>
  <c r="J21" i="18"/>
  <c r="F274" i="18"/>
  <c r="J274" i="18"/>
  <c r="J322" i="18"/>
  <c r="F322" i="18"/>
  <c r="J19" i="18"/>
  <c r="F19" i="18"/>
  <c r="F25" i="18"/>
  <c r="J25" i="18"/>
  <c r="J337" i="18"/>
  <c r="F337" i="18"/>
  <c r="F318" i="18"/>
  <c r="J318" i="18"/>
  <c r="F18" i="18"/>
  <c r="J18" i="18"/>
  <c r="J332" i="18"/>
  <c r="F332" i="18"/>
  <c r="J285" i="18"/>
  <c r="F285" i="18"/>
  <c r="F310" i="18"/>
  <c r="J310" i="18"/>
  <c r="J271" i="18"/>
  <c r="F271" i="18"/>
  <c r="J334" i="18"/>
  <c r="F334" i="18"/>
  <c r="F328" i="18"/>
  <c r="J328" i="18"/>
  <c r="J60" i="18"/>
  <c r="F60" i="18"/>
  <c r="J282" i="18"/>
  <c r="F282" i="18"/>
  <c r="J35" i="18"/>
  <c r="F35" i="18"/>
  <c r="F325" i="18"/>
  <c r="J325" i="18"/>
  <c r="F20" i="18"/>
  <c r="J20" i="18"/>
  <c r="J335" i="18"/>
  <c r="F335" i="18"/>
  <c r="J288" i="18"/>
  <c r="F288" i="18"/>
  <c r="J65" i="18"/>
  <c r="F65" i="18"/>
  <c r="F28" i="18"/>
  <c r="J28" i="18"/>
  <c r="J275" i="18"/>
  <c r="F275" i="18"/>
  <c r="F38" i="18"/>
  <c r="J38" i="18"/>
  <c r="F22" i="18"/>
  <c r="J22" i="18"/>
  <c r="F39" i="18"/>
  <c r="J39" i="18"/>
  <c r="F323" i="18"/>
  <c r="J323" i="18"/>
  <c r="J83" i="18"/>
  <c r="F83" i="18"/>
  <c r="J74" i="18"/>
  <c r="F74" i="18"/>
  <c r="F331" i="18"/>
  <c r="J331" i="18"/>
  <c r="J278" i="18"/>
  <c r="F278" i="18"/>
  <c r="J286" i="18"/>
  <c r="F286" i="18"/>
  <c r="F64" i="18"/>
  <c r="J64" i="18"/>
  <c r="F85" i="18"/>
  <c r="J85" i="18"/>
  <c r="F40" i="18"/>
  <c r="J40" i="18"/>
  <c r="J16" i="18"/>
  <c r="F16" i="18"/>
  <c r="J27" i="18"/>
  <c r="F27" i="18"/>
  <c r="J324" i="18"/>
  <c r="F324" i="18"/>
  <c r="F280" i="18"/>
  <c r="J280" i="18"/>
  <c r="J37" i="18"/>
  <c r="F37" i="18"/>
  <c r="F292" i="18"/>
  <c r="J292" i="18"/>
  <c r="J79" i="18"/>
  <c r="F79" i="18"/>
  <c r="J311" i="18"/>
  <c r="F311" i="18"/>
  <c r="F66" i="18"/>
  <c r="J66" i="18"/>
  <c r="J327" i="18"/>
  <c r="F327" i="18"/>
  <c r="F272" i="18"/>
  <c r="J272" i="18"/>
  <c r="J293" i="18"/>
  <c r="F293" i="18"/>
  <c r="F84" i="18"/>
  <c r="J84" i="18"/>
  <c r="J314" i="18"/>
  <c r="F314" i="18"/>
  <c r="F61" i="18"/>
  <c r="J61" i="18"/>
  <c r="F23" i="18"/>
  <c r="J23" i="18"/>
  <c r="F281" i="18"/>
  <c r="J281" i="18"/>
  <c r="J72" i="18"/>
  <c r="F72" i="18"/>
  <c r="J41" i="18"/>
  <c r="F41" i="18"/>
  <c r="J317" i="18"/>
  <c r="F317" i="18"/>
  <c r="J312" i="18"/>
  <c r="F312" i="18"/>
  <c r="F273" i="18"/>
  <c r="J273" i="18"/>
  <c r="J43" i="18"/>
  <c r="F43" i="18"/>
  <c r="F313" i="18"/>
  <c r="J313" i="18"/>
  <c r="F71" i="18"/>
  <c r="J71" i="18"/>
  <c r="F81" i="18"/>
  <c r="J81" i="18"/>
  <c r="J63" i="18"/>
  <c r="F63" i="18"/>
  <c r="J29" i="18"/>
  <c r="F29" i="18"/>
  <c r="J291" i="18"/>
  <c r="F291" i="18"/>
  <c r="F284" i="18"/>
  <c r="J284" i="18"/>
  <c r="J326" i="18"/>
  <c r="F326" i="18"/>
  <c r="F295" i="18"/>
  <c r="J295" i="18"/>
  <c r="J76" i="18"/>
  <c r="F76" i="18"/>
  <c r="F31" i="18"/>
  <c r="J31" i="18"/>
  <c r="J70" i="18"/>
  <c r="F70" i="18"/>
  <c r="F283" i="18"/>
  <c r="J283" i="18"/>
  <c r="J73" i="18"/>
  <c r="F73" i="18"/>
  <c r="J329" i="18"/>
  <c r="F329" i="18"/>
  <c r="J279" i="18"/>
  <c r="F279" i="18"/>
  <c r="J62" i="18"/>
  <c r="F62" i="18"/>
  <c r="J290" i="18"/>
  <c r="F290" i="18"/>
  <c r="F24" i="18"/>
  <c r="J24" i="18"/>
  <c r="J277" i="18"/>
  <c r="F277" i="18"/>
  <c r="J287" i="18"/>
  <c r="F287" i="18"/>
  <c r="F78" i="18"/>
  <c r="J78" i="18"/>
  <c r="J75" i="18"/>
  <c r="F75" i="18"/>
  <c r="J67" i="18"/>
  <c r="F67" i="18"/>
  <c r="J319" i="18"/>
  <c r="F319" i="18"/>
  <c r="J276" i="18"/>
  <c r="F276" i="18"/>
  <c r="J270" i="18"/>
  <c r="F270" i="18"/>
  <c r="J26" i="18"/>
  <c r="F26" i="18"/>
  <c r="J333" i="18"/>
  <c r="F333" i="18"/>
  <c r="F32" i="18"/>
  <c r="J32" i="18"/>
  <c r="F268" i="18"/>
  <c r="J268" i="18"/>
  <c r="J82" i="18"/>
  <c r="F82" i="18"/>
  <c r="F321" i="18"/>
  <c r="J321" i="18"/>
  <c r="J330" i="18"/>
  <c r="F330" i="18"/>
  <c r="J315" i="18"/>
  <c r="F315" i="18"/>
  <c r="F269" i="18"/>
  <c r="J269" i="18"/>
  <c r="J58" i="18"/>
  <c r="F58" i="18"/>
  <c r="J294" i="18"/>
  <c r="F294" i="18"/>
  <c r="J69" i="18"/>
  <c r="F69" i="18"/>
  <c r="J289" i="18"/>
  <c r="F289" i="18"/>
  <c r="J320" i="18"/>
  <c r="F320" i="18"/>
  <c r="F17" i="18"/>
  <c r="J17" i="18"/>
  <c r="J336" i="18"/>
  <c r="F336" i="18"/>
  <c r="J80" i="18"/>
  <c r="F80" i="18"/>
  <c r="J34" i="18"/>
  <c r="F34" i="18"/>
  <c r="J316" i="18"/>
  <c r="F316" i="18"/>
  <c r="F59" i="18"/>
  <c r="J59" i="18"/>
  <c r="J77" i="18"/>
  <c r="F77" i="18"/>
  <c r="F42" i="18"/>
  <c r="J42" i="18"/>
  <c r="F36" i="18"/>
  <c r="J36" i="18"/>
  <c r="J68" i="18"/>
  <c r="F68" i="18"/>
  <c r="J33" i="18"/>
  <c r="F33" i="18"/>
  <c r="F30" i="18"/>
  <c r="J30" i="18"/>
  <c r="E466" i="58" l="1"/>
  <c r="E466" i="37"/>
  <c r="E466" i="41" s="1"/>
  <c r="E465" i="37"/>
  <c r="E465" i="41" s="1"/>
  <c r="E465" i="58"/>
  <c r="G466" i="37"/>
  <c r="G466" i="41" s="1"/>
  <c r="G466" i="58"/>
  <c r="G465" i="37"/>
  <c r="G465" i="41" s="1"/>
  <c r="G465" i="58"/>
  <c r="G473" i="58" l="1"/>
  <c r="G473" i="37"/>
  <c r="G473" i="41" s="1"/>
  <c r="E474" i="58"/>
  <c r="E474" i="37"/>
  <c r="E474" i="41" s="1"/>
  <c r="G474" i="58"/>
  <c r="G474" i="37"/>
  <c r="G474" i="41" s="1"/>
  <c r="E475" i="37"/>
  <c r="E475" i="41" s="1"/>
  <c r="E475" i="58"/>
  <c r="G475" i="58"/>
  <c r="G475" i="37"/>
  <c r="G475" i="41" s="1"/>
  <c r="E473" i="58"/>
  <c r="E473" i="37"/>
  <c r="E473" i="41" s="1"/>
  <c r="E437" i="37" l="1"/>
  <c r="E437" i="41" s="1"/>
  <c r="E437" i="58"/>
  <c r="G439" i="37"/>
  <c r="G439" i="41" s="1"/>
  <c r="G439" i="58"/>
  <c r="E439" i="37"/>
  <c r="E439" i="41" s="1"/>
  <c r="E439" i="58"/>
  <c r="G437" i="37"/>
  <c r="G437" i="41" s="1"/>
  <c r="G437" i="58"/>
  <c r="E6" i="58" l="1"/>
  <c r="E6" i="37"/>
  <c r="E6" i="41" s="1"/>
  <c r="E406" i="58"/>
  <c r="E406" i="37"/>
  <c r="E406" i="41" s="1"/>
  <c r="G406" i="58"/>
  <c r="G406" i="37"/>
  <c r="G406" i="41" s="1"/>
  <c r="H413" i="37"/>
  <c r="H413" i="58"/>
  <c r="G6" i="58"/>
  <c r="G6" i="37"/>
  <c r="G6" i="41" s="1"/>
  <c r="H417" i="58"/>
  <c r="H417" i="37"/>
  <c r="H409" i="58"/>
  <c r="H409" i="37"/>
  <c r="H417" i="41" l="1"/>
  <c r="H409" i="41"/>
  <c r="H413" i="41"/>
  <c r="I429" i="41" l="1"/>
  <c r="G162" i="58" l="1"/>
  <c r="G162" i="37"/>
  <c r="G162" i="41" s="1"/>
  <c r="G270" i="58"/>
  <c r="G270" i="37"/>
  <c r="G270" i="41" s="1"/>
  <c r="G220" i="58"/>
  <c r="G220" i="37"/>
  <c r="G220" i="41" s="1"/>
  <c r="G176" i="58"/>
  <c r="G176" i="37"/>
  <c r="G176" i="41" s="1"/>
  <c r="E446" i="37"/>
  <c r="E446" i="41" s="1"/>
  <c r="E446" i="58"/>
  <c r="E377" i="37"/>
  <c r="E377" i="41" s="1"/>
  <c r="E377" i="58"/>
  <c r="E305" i="37"/>
  <c r="E305" i="41" s="1"/>
  <c r="E305" i="58"/>
  <c r="E241" i="58"/>
  <c r="E241" i="37"/>
  <c r="E241" i="41" s="1"/>
  <c r="E195" i="58"/>
  <c r="E195" i="37"/>
  <c r="E195" i="41" s="1"/>
  <c r="E75" i="58"/>
  <c r="E75" i="37"/>
  <c r="E75" i="41" s="1"/>
  <c r="G91" i="37"/>
  <c r="G91" i="41" s="1"/>
  <c r="G91" i="58"/>
  <c r="G167" i="58"/>
  <c r="G167" i="37"/>
  <c r="G167" i="41" s="1"/>
  <c r="G414" i="58"/>
  <c r="G414" i="37"/>
  <c r="G414" i="41" s="1"/>
  <c r="G432" i="37"/>
  <c r="G432" i="41" s="1"/>
  <c r="G432" i="58"/>
  <c r="G459" i="37"/>
  <c r="G459" i="41" s="1"/>
  <c r="G459" i="58"/>
  <c r="G389" i="58"/>
  <c r="G389" i="37"/>
  <c r="G389" i="41" s="1"/>
  <c r="G365" i="37"/>
  <c r="G365" i="41" s="1"/>
  <c r="G365" i="58"/>
  <c r="G339" i="37"/>
  <c r="G339" i="41" s="1"/>
  <c r="G339" i="58"/>
  <c r="G318" i="58"/>
  <c r="G318" i="37"/>
  <c r="G318" i="41" s="1"/>
  <c r="G297" i="37"/>
  <c r="G297" i="41" s="1"/>
  <c r="G297" i="58"/>
  <c r="G265" i="58"/>
  <c r="G265" i="37"/>
  <c r="G265" i="41" s="1"/>
  <c r="G257" i="37"/>
  <c r="G257" i="41" s="1"/>
  <c r="G257" i="58"/>
  <c r="G233" i="58"/>
  <c r="G233" i="37"/>
  <c r="G233" i="41" s="1"/>
  <c r="G203" i="37"/>
  <c r="G203" i="41" s="1"/>
  <c r="G203" i="58"/>
  <c r="G171" i="58"/>
  <c r="G171" i="37"/>
  <c r="G171" i="41" s="1"/>
  <c r="G140" i="37"/>
  <c r="G140" i="41" s="1"/>
  <c r="G140" i="58"/>
  <c r="E450" i="58"/>
  <c r="E450" i="37"/>
  <c r="E450" i="41" s="1"/>
  <c r="E413" i="58"/>
  <c r="E413" i="37"/>
  <c r="E413" i="41" s="1"/>
  <c r="E388" i="37"/>
  <c r="E388" i="41" s="1"/>
  <c r="E388" i="58"/>
  <c r="E364" i="58"/>
  <c r="E364" i="37"/>
  <c r="E364" i="41" s="1"/>
  <c r="E332" i="37"/>
  <c r="E332" i="41" s="1"/>
  <c r="E332" i="58"/>
  <c r="E308" i="58"/>
  <c r="E308" i="37"/>
  <c r="E308" i="41" s="1"/>
  <c r="E276" i="37"/>
  <c r="E276" i="41" s="1"/>
  <c r="E276" i="58"/>
  <c r="E252" i="37"/>
  <c r="E252" i="41" s="1"/>
  <c r="E252" i="58"/>
  <c r="E228" i="58"/>
  <c r="E228" i="37"/>
  <c r="E228" i="41" s="1"/>
  <c r="E198" i="58"/>
  <c r="E198" i="37"/>
  <c r="E198" i="41" s="1"/>
  <c r="E174" i="58"/>
  <c r="E174" i="37"/>
  <c r="E174" i="41" s="1"/>
  <c r="E150" i="37"/>
  <c r="E150" i="41" s="1"/>
  <c r="E150" i="58"/>
  <c r="E126" i="58"/>
  <c r="E126" i="37"/>
  <c r="E126" i="41" s="1"/>
  <c r="E110" i="58"/>
  <c r="E110" i="37"/>
  <c r="E110" i="41" s="1"/>
  <c r="E78" i="58"/>
  <c r="E78" i="37"/>
  <c r="E78" i="41" s="1"/>
  <c r="E8" i="58"/>
  <c r="E8" i="37"/>
  <c r="E8" i="41" s="1"/>
  <c r="E64" i="37"/>
  <c r="E64" i="41" s="1"/>
  <c r="E64" i="58"/>
  <c r="E60" i="37"/>
  <c r="E60" i="41" s="1"/>
  <c r="E60" i="58"/>
  <c r="E56" i="37"/>
  <c r="E56" i="41" s="1"/>
  <c r="E56" i="58"/>
  <c r="E52" i="58"/>
  <c r="E52" i="37"/>
  <c r="E52" i="41" s="1"/>
  <c r="E48" i="37"/>
  <c r="E48" i="41" s="1"/>
  <c r="E48" i="58"/>
  <c r="E44" i="58"/>
  <c r="E44" i="37"/>
  <c r="E44" i="41" s="1"/>
  <c r="E40" i="37"/>
  <c r="E40" i="41" s="1"/>
  <c r="E40" i="58"/>
  <c r="E36" i="58"/>
  <c r="E36" i="37"/>
  <c r="E36" i="41" s="1"/>
  <c r="E32" i="58"/>
  <c r="E32" i="37"/>
  <c r="E32" i="41" s="1"/>
  <c r="E28" i="37"/>
  <c r="E28" i="41" s="1"/>
  <c r="E28" i="58"/>
  <c r="E24" i="58"/>
  <c r="E24" i="37"/>
  <c r="E24" i="41" s="1"/>
  <c r="E20" i="37"/>
  <c r="E20" i="41" s="1"/>
  <c r="E20" i="58"/>
  <c r="E16" i="37"/>
  <c r="E16" i="41" s="1"/>
  <c r="E16" i="58"/>
  <c r="E12" i="37"/>
  <c r="E12" i="41" s="1"/>
  <c r="E12" i="58"/>
  <c r="G469" i="37"/>
  <c r="G469" i="41" s="1"/>
  <c r="G469" i="58"/>
  <c r="G449" i="58"/>
  <c r="G449" i="37"/>
  <c r="G449" i="41" s="1"/>
  <c r="E217" i="58"/>
  <c r="E217" i="37"/>
  <c r="E217" i="41" s="1"/>
  <c r="E472" i="37"/>
  <c r="E472" i="41" s="1"/>
  <c r="E472" i="58"/>
  <c r="I451" i="37"/>
  <c r="I451" i="58"/>
  <c r="J451" i="58"/>
  <c r="J451" i="37"/>
  <c r="E232" i="38"/>
  <c r="E277" i="38"/>
  <c r="E224" i="38"/>
  <c r="G107" i="66" s="1"/>
  <c r="E269" i="38"/>
  <c r="G251" i="66" s="1"/>
  <c r="H438" i="58"/>
  <c r="H438" i="37"/>
  <c r="E242" i="38"/>
  <c r="E234" i="38"/>
  <c r="I440" i="37"/>
  <c r="I440" i="58"/>
  <c r="E261" i="38"/>
  <c r="E216" i="38"/>
  <c r="E255" i="38"/>
  <c r="G201" i="66" s="1"/>
  <c r="E210" i="38"/>
  <c r="J163" i="37"/>
  <c r="J163" i="58"/>
  <c r="G86" i="58"/>
  <c r="G86" i="37"/>
  <c r="G86" i="41" s="1"/>
  <c r="G341" i="37"/>
  <c r="G341" i="41" s="1"/>
  <c r="G341" i="58"/>
  <c r="G435" i="58"/>
  <c r="G435" i="37"/>
  <c r="G435" i="41" s="1"/>
  <c r="G362" i="37"/>
  <c r="G362" i="41" s="1"/>
  <c r="G362" i="58"/>
  <c r="G294" i="58"/>
  <c r="G294" i="37"/>
  <c r="G294" i="41" s="1"/>
  <c r="G238" i="58"/>
  <c r="G238" i="37"/>
  <c r="G238" i="41" s="1"/>
  <c r="G184" i="58"/>
  <c r="G184" i="37"/>
  <c r="G184" i="41" s="1"/>
  <c r="E436" i="37"/>
  <c r="E436" i="41" s="1"/>
  <c r="E436" i="58"/>
  <c r="E401" i="58"/>
  <c r="E401" i="37"/>
  <c r="E401" i="41" s="1"/>
  <c r="E353" i="37"/>
  <c r="E353" i="41" s="1"/>
  <c r="E353" i="58"/>
  <c r="E313" i="37"/>
  <c r="E313" i="41" s="1"/>
  <c r="E313" i="58"/>
  <c r="E249" i="37"/>
  <c r="E249" i="41" s="1"/>
  <c r="E249" i="58"/>
  <c r="E203" i="58"/>
  <c r="E203" i="37"/>
  <c r="E203" i="41" s="1"/>
  <c r="E115" i="37"/>
  <c r="E115" i="41" s="1"/>
  <c r="E115" i="58"/>
  <c r="G3" i="37"/>
  <c r="G3" i="41" s="1"/>
  <c r="G3" i="58"/>
  <c r="G99" i="58"/>
  <c r="G99" i="37"/>
  <c r="G99" i="41" s="1"/>
  <c r="G107" i="58"/>
  <c r="G107" i="37"/>
  <c r="G107" i="41" s="1"/>
  <c r="G115" i="37"/>
  <c r="G115" i="41" s="1"/>
  <c r="G115" i="58"/>
  <c r="G405" i="37"/>
  <c r="G405" i="41" s="1"/>
  <c r="G405" i="58"/>
  <c r="G442" i="37"/>
  <c r="G442" i="41" s="1"/>
  <c r="G442" i="58"/>
  <c r="G397" i="37"/>
  <c r="G397" i="41" s="1"/>
  <c r="G397" i="58"/>
  <c r="G373" i="58"/>
  <c r="G373" i="37"/>
  <c r="G373" i="41" s="1"/>
  <c r="G349" i="37"/>
  <c r="G349" i="41" s="1"/>
  <c r="G349" i="58"/>
  <c r="G273" i="58"/>
  <c r="G273" i="37"/>
  <c r="G273" i="41" s="1"/>
  <c r="G249" i="37"/>
  <c r="G249" i="41" s="1"/>
  <c r="G249" i="58"/>
  <c r="G214" i="58"/>
  <c r="G214" i="37"/>
  <c r="G214" i="41" s="1"/>
  <c r="G187" i="58"/>
  <c r="G187" i="37"/>
  <c r="G187" i="41" s="1"/>
  <c r="G157" i="58"/>
  <c r="G157" i="37"/>
  <c r="G157" i="41" s="1"/>
  <c r="G130" i="37"/>
  <c r="G130" i="41" s="1"/>
  <c r="G130" i="58"/>
  <c r="E441" i="37"/>
  <c r="E441" i="41" s="1"/>
  <c r="E441" i="58"/>
  <c r="E404" i="37"/>
  <c r="E404" i="41" s="1"/>
  <c r="E404" i="58"/>
  <c r="E380" i="58"/>
  <c r="E380" i="37"/>
  <c r="E380" i="41" s="1"/>
  <c r="E356" i="37"/>
  <c r="E356" i="41" s="1"/>
  <c r="E356" i="58"/>
  <c r="E340" i="58"/>
  <c r="E340" i="37"/>
  <c r="E340" i="41" s="1"/>
  <c r="E316" i="37"/>
  <c r="E316" i="41" s="1"/>
  <c r="E316" i="58"/>
  <c r="E292" i="37"/>
  <c r="E292" i="41" s="1"/>
  <c r="E292" i="58"/>
  <c r="E268" i="58"/>
  <c r="E268" i="37"/>
  <c r="E268" i="41" s="1"/>
  <c r="E244" i="37"/>
  <c r="E244" i="41" s="1"/>
  <c r="E244" i="58"/>
  <c r="E218" i="37"/>
  <c r="E218" i="41" s="1"/>
  <c r="E218" i="58"/>
  <c r="E190" i="37"/>
  <c r="E190" i="41" s="1"/>
  <c r="E190" i="58"/>
  <c r="E166" i="37"/>
  <c r="E166" i="41" s="1"/>
  <c r="E166" i="58"/>
  <c r="E142" i="58"/>
  <c r="E142" i="37"/>
  <c r="E142" i="41" s="1"/>
  <c r="E118" i="58"/>
  <c r="E118" i="37"/>
  <c r="E118" i="41" s="1"/>
  <c r="E86" i="58"/>
  <c r="E86" i="37"/>
  <c r="E86" i="41" s="1"/>
  <c r="E68" i="58"/>
  <c r="E68" i="37"/>
  <c r="E68" i="41" s="1"/>
  <c r="G4" i="37"/>
  <c r="G4" i="41" s="1"/>
  <c r="G4" i="58"/>
  <c r="G84" i="58"/>
  <c r="G84" i="37"/>
  <c r="G84" i="41" s="1"/>
  <c r="G108" i="58"/>
  <c r="G108" i="37"/>
  <c r="G108" i="41" s="1"/>
  <c r="G137" i="58"/>
  <c r="G137" i="37"/>
  <c r="G137" i="41" s="1"/>
  <c r="G333" i="58"/>
  <c r="G333" i="37"/>
  <c r="G333" i="41" s="1"/>
  <c r="G415" i="58"/>
  <c r="G415" i="37"/>
  <c r="G415" i="41" s="1"/>
  <c r="G423" i="37"/>
  <c r="G423" i="41" s="1"/>
  <c r="G423" i="58"/>
  <c r="G433" i="58"/>
  <c r="G433" i="37"/>
  <c r="G433" i="41" s="1"/>
  <c r="G443" i="37"/>
  <c r="G443" i="41" s="1"/>
  <c r="G443" i="58"/>
  <c r="G452" i="58"/>
  <c r="G452" i="37"/>
  <c r="G452" i="41" s="1"/>
  <c r="G460" i="37"/>
  <c r="G460" i="41" s="1"/>
  <c r="G460" i="58"/>
  <c r="G396" i="37"/>
  <c r="G396" i="41" s="1"/>
  <c r="G396" i="58"/>
  <c r="G388" i="37"/>
  <c r="G388" i="41" s="1"/>
  <c r="G388" i="58"/>
  <c r="G380" i="37"/>
  <c r="G380" i="41" s="1"/>
  <c r="G380" i="58"/>
  <c r="G372" i="37"/>
  <c r="G372" i="41" s="1"/>
  <c r="G372" i="58"/>
  <c r="G364" i="58"/>
  <c r="G364" i="37"/>
  <c r="G364" i="41" s="1"/>
  <c r="G356" i="58"/>
  <c r="G356" i="37"/>
  <c r="G356" i="41" s="1"/>
  <c r="G348" i="37"/>
  <c r="G348" i="41" s="1"/>
  <c r="G348" i="58"/>
  <c r="G338" i="37"/>
  <c r="G338" i="41" s="1"/>
  <c r="G338" i="58"/>
  <c r="G327" i="58"/>
  <c r="G327" i="37"/>
  <c r="G327" i="41" s="1"/>
  <c r="G316" i="58"/>
  <c r="G316" i="37"/>
  <c r="G316" i="41" s="1"/>
  <c r="G306" i="58"/>
  <c r="G306" i="37"/>
  <c r="G306" i="41" s="1"/>
  <c r="G296" i="37"/>
  <c r="G296" i="41" s="1"/>
  <c r="G296" i="58"/>
  <c r="G288" i="58"/>
  <c r="G288" i="37"/>
  <c r="G288" i="41" s="1"/>
  <c r="G280" i="37"/>
  <c r="G280" i="41" s="1"/>
  <c r="G280" i="58"/>
  <c r="G272" i="58"/>
  <c r="G272" i="37"/>
  <c r="G272" i="41" s="1"/>
  <c r="G264" i="58"/>
  <c r="G264" i="37"/>
  <c r="G264" i="41" s="1"/>
  <c r="G256" i="37"/>
  <c r="G256" i="41" s="1"/>
  <c r="G256" i="58"/>
  <c r="G248" i="58"/>
  <c r="G248" i="37"/>
  <c r="G248" i="41" s="1"/>
  <c r="G240" i="37"/>
  <c r="G240" i="41" s="1"/>
  <c r="G240" i="58"/>
  <c r="G232" i="37"/>
  <c r="G232" i="41" s="1"/>
  <c r="G232" i="58"/>
  <c r="G223" i="37"/>
  <c r="G223" i="41" s="1"/>
  <c r="G223" i="58"/>
  <c r="G212" i="37"/>
  <c r="G212" i="41" s="1"/>
  <c r="G212" i="58"/>
  <c r="G202" i="58"/>
  <c r="G202" i="37"/>
  <c r="G202" i="41" s="1"/>
  <c r="G194" i="58"/>
  <c r="G194" i="37"/>
  <c r="G194" i="41" s="1"/>
  <c r="G186" i="37"/>
  <c r="G186" i="41" s="1"/>
  <c r="G186" i="58"/>
  <c r="G178" i="58"/>
  <c r="G178" i="37"/>
  <c r="G178" i="41" s="1"/>
  <c r="G170" i="58"/>
  <c r="G170" i="37"/>
  <c r="G170" i="41" s="1"/>
  <c r="G156" i="58"/>
  <c r="G156" i="37"/>
  <c r="G156" i="41" s="1"/>
  <c r="G148" i="58"/>
  <c r="G148" i="37"/>
  <c r="G148" i="41" s="1"/>
  <c r="G139" i="37"/>
  <c r="G139" i="41" s="1"/>
  <c r="G139" i="58"/>
  <c r="G128" i="58"/>
  <c r="G128" i="37"/>
  <c r="G128" i="41" s="1"/>
  <c r="E467" i="37"/>
  <c r="E467" i="41" s="1"/>
  <c r="E467" i="58"/>
  <c r="E457" i="58"/>
  <c r="E457" i="37"/>
  <c r="E457" i="41" s="1"/>
  <c r="E448" i="37"/>
  <c r="E448" i="41" s="1"/>
  <c r="E448" i="58"/>
  <c r="E440" i="58"/>
  <c r="E440" i="37"/>
  <c r="E440" i="41" s="1"/>
  <c r="E428" i="58"/>
  <c r="E428" i="37"/>
  <c r="E428" i="41" s="1"/>
  <c r="E420" i="58"/>
  <c r="E420" i="37"/>
  <c r="E420" i="41" s="1"/>
  <c r="E412" i="37"/>
  <c r="E412" i="41" s="1"/>
  <c r="E412" i="58"/>
  <c r="E403" i="58"/>
  <c r="E403" i="37"/>
  <c r="E403" i="41" s="1"/>
  <c r="E395" i="58"/>
  <c r="E395" i="37"/>
  <c r="E395" i="41" s="1"/>
  <c r="E387" i="58"/>
  <c r="E387" i="37"/>
  <c r="E387" i="41" s="1"/>
  <c r="E379" i="58"/>
  <c r="E379" i="37"/>
  <c r="E379" i="41" s="1"/>
  <c r="E371" i="37"/>
  <c r="E371" i="41" s="1"/>
  <c r="E371" i="58"/>
  <c r="E363" i="37"/>
  <c r="E363" i="41" s="1"/>
  <c r="E363" i="58"/>
  <c r="E355" i="37"/>
  <c r="E355" i="41" s="1"/>
  <c r="E355" i="58"/>
  <c r="E347" i="58"/>
  <c r="E347" i="37"/>
  <c r="E347" i="41" s="1"/>
  <c r="E339" i="58"/>
  <c r="E339" i="37"/>
  <c r="E339" i="41" s="1"/>
  <c r="E331" i="58"/>
  <c r="E331" i="37"/>
  <c r="E331" i="41" s="1"/>
  <c r="E323" i="58"/>
  <c r="E323" i="37"/>
  <c r="E323" i="41" s="1"/>
  <c r="E315" i="37"/>
  <c r="E315" i="41" s="1"/>
  <c r="E315" i="58"/>
  <c r="E307" i="58"/>
  <c r="E307" i="37"/>
  <c r="E307" i="41" s="1"/>
  <c r="E299" i="37"/>
  <c r="E299" i="41" s="1"/>
  <c r="E299" i="58"/>
  <c r="E291" i="58"/>
  <c r="E291" i="37"/>
  <c r="E291" i="41" s="1"/>
  <c r="E283" i="58"/>
  <c r="E283" i="37"/>
  <c r="E283" i="41" s="1"/>
  <c r="E275" i="37"/>
  <c r="E275" i="41" s="1"/>
  <c r="E275" i="58"/>
  <c r="E267" i="37"/>
  <c r="E267" i="41" s="1"/>
  <c r="E267" i="58"/>
  <c r="E259" i="58"/>
  <c r="E259" i="37"/>
  <c r="E259" i="41" s="1"/>
  <c r="E251" i="37"/>
  <c r="E251" i="41" s="1"/>
  <c r="E251" i="58"/>
  <c r="E243" i="58"/>
  <c r="E243" i="37"/>
  <c r="E243" i="41" s="1"/>
  <c r="E235" i="58"/>
  <c r="E235" i="37"/>
  <c r="E235" i="41" s="1"/>
  <c r="E227" i="37"/>
  <c r="E227" i="41" s="1"/>
  <c r="E227" i="58"/>
  <c r="E216" i="58"/>
  <c r="E216" i="37"/>
  <c r="E216" i="41" s="1"/>
  <c r="E206" i="58"/>
  <c r="E206" i="37"/>
  <c r="E206" i="41" s="1"/>
  <c r="E197" i="37"/>
  <c r="E197" i="41" s="1"/>
  <c r="E197" i="58"/>
  <c r="E189" i="58"/>
  <c r="E189" i="37"/>
  <c r="E189" i="41" s="1"/>
  <c r="E181" i="37"/>
  <c r="E181" i="41" s="1"/>
  <c r="E181" i="58"/>
  <c r="E173" i="58"/>
  <c r="E173" i="37"/>
  <c r="E173" i="41" s="1"/>
  <c r="E165" i="37"/>
  <c r="E165" i="41" s="1"/>
  <c r="E165" i="58"/>
  <c r="E157" i="58"/>
  <c r="E157" i="37"/>
  <c r="E157" i="41" s="1"/>
  <c r="E149" i="58"/>
  <c r="E149" i="37"/>
  <c r="E149" i="41" s="1"/>
  <c r="E141" i="58"/>
  <c r="E141" i="37"/>
  <c r="E141" i="41" s="1"/>
  <c r="E133" i="58"/>
  <c r="E133" i="37"/>
  <c r="E133" i="41" s="1"/>
  <c r="E125" i="37"/>
  <c r="E125" i="41" s="1"/>
  <c r="E125" i="58"/>
  <c r="E117" i="58"/>
  <c r="E117" i="37"/>
  <c r="E117" i="41" s="1"/>
  <c r="E109" i="37"/>
  <c r="E109" i="41" s="1"/>
  <c r="E109" i="58"/>
  <c r="E101" i="37"/>
  <c r="E101" i="41" s="1"/>
  <c r="E101" i="58"/>
  <c r="E93" i="37"/>
  <c r="E93" i="41" s="1"/>
  <c r="E93" i="58"/>
  <c r="E85" i="37"/>
  <c r="E85" i="41" s="1"/>
  <c r="E85" i="58"/>
  <c r="E77" i="58"/>
  <c r="E77" i="37"/>
  <c r="E77" i="41" s="1"/>
  <c r="E7" i="37"/>
  <c r="E7" i="41" s="1"/>
  <c r="E7" i="58"/>
  <c r="G71" i="37"/>
  <c r="G71" i="41" s="1"/>
  <c r="G71" i="58"/>
  <c r="I71" i="58" s="1"/>
  <c r="G67" i="58"/>
  <c r="I67" i="58" s="1"/>
  <c r="G67" i="37"/>
  <c r="G67" i="41" s="1"/>
  <c r="G63" i="37"/>
  <c r="G63" i="41" s="1"/>
  <c r="G63" i="58"/>
  <c r="G59" i="37"/>
  <c r="G59" i="41" s="1"/>
  <c r="G59" i="58"/>
  <c r="H59" i="58" s="1"/>
  <c r="G55" i="58"/>
  <c r="H55" i="58" s="1"/>
  <c r="G55" i="37"/>
  <c r="G55" i="41" s="1"/>
  <c r="G51" i="58"/>
  <c r="G51" i="37"/>
  <c r="G51" i="41" s="1"/>
  <c r="G47" i="58"/>
  <c r="G47" i="37"/>
  <c r="G47" i="41" s="1"/>
  <c r="G43" i="37"/>
  <c r="G43" i="41" s="1"/>
  <c r="G43" i="58"/>
  <c r="H43" i="58" s="1"/>
  <c r="G39" i="58"/>
  <c r="H39" i="58" s="1"/>
  <c r="G39" i="37"/>
  <c r="G39" i="41" s="1"/>
  <c r="G35" i="58"/>
  <c r="H35" i="58" s="1"/>
  <c r="G35" i="37"/>
  <c r="G35" i="41" s="1"/>
  <c r="G31" i="58"/>
  <c r="J31" i="58" s="1"/>
  <c r="G31" i="37"/>
  <c r="G31" i="41" s="1"/>
  <c r="G27" i="37"/>
  <c r="G27" i="41" s="1"/>
  <c r="G27" i="58"/>
  <c r="H27" i="58" s="1"/>
  <c r="G23" i="58"/>
  <c r="H23" i="58" s="1"/>
  <c r="G23" i="37"/>
  <c r="G23" i="41" s="1"/>
  <c r="G19" i="58"/>
  <c r="I19" i="58" s="1"/>
  <c r="G19" i="37"/>
  <c r="G19" i="41" s="1"/>
  <c r="G15" i="58"/>
  <c r="G15" i="37"/>
  <c r="G11" i="37"/>
  <c r="G11" i="58"/>
  <c r="E469" i="37"/>
  <c r="E469" i="41" s="1"/>
  <c r="E469" i="58"/>
  <c r="E449" i="37"/>
  <c r="E449" i="41" s="1"/>
  <c r="E449" i="58"/>
  <c r="G205" i="37"/>
  <c r="G205" i="41" s="1"/>
  <c r="G205" i="58"/>
  <c r="E213" i="58"/>
  <c r="E213" i="37"/>
  <c r="E213" i="41" s="1"/>
  <c r="G472" i="37"/>
  <c r="G472" i="41" s="1"/>
  <c r="G472" i="58"/>
  <c r="I450" i="58"/>
  <c r="I450" i="37"/>
  <c r="J450" i="58"/>
  <c r="J450" i="37"/>
  <c r="E276" i="38"/>
  <c r="E231" i="38"/>
  <c r="E268" i="38"/>
  <c r="E223" i="38"/>
  <c r="H447" i="37"/>
  <c r="H447" i="58"/>
  <c r="H436" i="37"/>
  <c r="H436" i="58"/>
  <c r="E241" i="38"/>
  <c r="E233" i="38"/>
  <c r="I438" i="58"/>
  <c r="I438" i="37"/>
  <c r="E257" i="38"/>
  <c r="E212" i="38"/>
  <c r="H63" i="37"/>
  <c r="H63" i="58"/>
  <c r="H51" i="37"/>
  <c r="H51" i="58"/>
  <c r="H39" i="37"/>
  <c r="H27" i="37"/>
  <c r="H15" i="58"/>
  <c r="J23" i="37"/>
  <c r="G78" i="37"/>
  <c r="G78" i="41" s="1"/>
  <c r="G78" i="58"/>
  <c r="G309" i="37"/>
  <c r="G309" i="41" s="1"/>
  <c r="G309" i="58"/>
  <c r="G445" i="37"/>
  <c r="G445" i="41" s="1"/>
  <c r="G445" i="58"/>
  <c r="G386" i="58"/>
  <c r="G386" i="37"/>
  <c r="G386" i="41" s="1"/>
  <c r="G324" i="58"/>
  <c r="G324" i="37"/>
  <c r="G324" i="41" s="1"/>
  <c r="G262" i="58"/>
  <c r="G262" i="37"/>
  <c r="G262" i="41" s="1"/>
  <c r="G200" i="37"/>
  <c r="G200" i="41" s="1"/>
  <c r="G200" i="58"/>
  <c r="G146" i="37"/>
  <c r="G146" i="41" s="1"/>
  <c r="G146" i="58"/>
  <c r="E463" i="37"/>
  <c r="E463" i="41" s="1"/>
  <c r="E463" i="58"/>
  <c r="E393" i="37"/>
  <c r="E393" i="41" s="1"/>
  <c r="E393" i="58"/>
  <c r="E345" i="58"/>
  <c r="E345" i="37"/>
  <c r="E345" i="41" s="1"/>
  <c r="E273" i="37"/>
  <c r="E273" i="41" s="1"/>
  <c r="E273" i="58"/>
  <c r="E107" i="37"/>
  <c r="E107" i="41" s="1"/>
  <c r="E107" i="58"/>
  <c r="G75" i="58"/>
  <c r="G75" i="37"/>
  <c r="G75" i="41" s="1"/>
  <c r="G83" i="58"/>
  <c r="G83" i="37"/>
  <c r="G83" i="41" s="1"/>
  <c r="G133" i="37"/>
  <c r="G133" i="41" s="1"/>
  <c r="G133" i="58"/>
  <c r="G329" i="37"/>
  <c r="G329" i="41" s="1"/>
  <c r="G329" i="58"/>
  <c r="G422" i="37"/>
  <c r="G422" i="41" s="1"/>
  <c r="G422" i="58"/>
  <c r="G451" i="58"/>
  <c r="G451" i="37"/>
  <c r="G451" i="41" s="1"/>
  <c r="G381" i="58"/>
  <c r="G381" i="37"/>
  <c r="G381" i="41" s="1"/>
  <c r="G357" i="37"/>
  <c r="G357" i="41" s="1"/>
  <c r="G357" i="58"/>
  <c r="G328" i="58"/>
  <c r="G328" i="37"/>
  <c r="G328" i="41" s="1"/>
  <c r="G307" i="58"/>
  <c r="G307" i="37"/>
  <c r="G307" i="41" s="1"/>
  <c r="G289" i="37"/>
  <c r="G289" i="41" s="1"/>
  <c r="G289" i="58"/>
  <c r="G281" i="37"/>
  <c r="G281" i="41" s="1"/>
  <c r="G281" i="58"/>
  <c r="G241" i="58"/>
  <c r="G241" i="37"/>
  <c r="G241" i="41" s="1"/>
  <c r="G224" i="58"/>
  <c r="G224" i="37"/>
  <c r="G224" i="41" s="1"/>
  <c r="G195" i="58"/>
  <c r="G195" i="37"/>
  <c r="G195" i="41" s="1"/>
  <c r="G179" i="58"/>
  <c r="G179" i="37"/>
  <c r="G179" i="41" s="1"/>
  <c r="G149" i="58"/>
  <c r="G149" i="37"/>
  <c r="G149" i="41" s="1"/>
  <c r="E458" i="37"/>
  <c r="E458" i="41" s="1"/>
  <c r="E458" i="58"/>
  <c r="E431" i="58"/>
  <c r="E431" i="37"/>
  <c r="E431" i="41" s="1"/>
  <c r="E421" i="58"/>
  <c r="E421" i="37"/>
  <c r="E421" i="41" s="1"/>
  <c r="E396" i="37"/>
  <c r="E396" i="41" s="1"/>
  <c r="E396" i="58"/>
  <c r="E372" i="58"/>
  <c r="E372" i="37"/>
  <c r="E372" i="41" s="1"/>
  <c r="E348" i="58"/>
  <c r="E348" i="37"/>
  <c r="E348" i="41" s="1"/>
  <c r="E324" i="58"/>
  <c r="E324" i="37"/>
  <c r="E324" i="41" s="1"/>
  <c r="E300" i="37"/>
  <c r="E300" i="41" s="1"/>
  <c r="E300" i="58"/>
  <c r="E284" i="37"/>
  <c r="E284" i="41" s="1"/>
  <c r="E284" i="58"/>
  <c r="E260" i="37"/>
  <c r="E260" i="41" s="1"/>
  <c r="E260" i="58"/>
  <c r="E236" i="37"/>
  <c r="E236" i="41" s="1"/>
  <c r="E236" i="58"/>
  <c r="E207" i="37"/>
  <c r="E207" i="41" s="1"/>
  <c r="E207" i="58"/>
  <c r="E182" i="37"/>
  <c r="E182" i="41" s="1"/>
  <c r="E182" i="58"/>
  <c r="E158" i="58"/>
  <c r="E158" i="37"/>
  <c r="E158" i="41" s="1"/>
  <c r="E134" i="37"/>
  <c r="E134" i="41" s="1"/>
  <c r="E134" i="58"/>
  <c r="E102" i="58"/>
  <c r="E102" i="37"/>
  <c r="E102" i="41" s="1"/>
  <c r="E94" i="58"/>
  <c r="E94" i="37"/>
  <c r="E94" i="41" s="1"/>
  <c r="E72" i="58"/>
  <c r="E72" i="37"/>
  <c r="E72" i="41" s="1"/>
  <c r="G76" i="37"/>
  <c r="G76" i="41" s="1"/>
  <c r="G76" i="58"/>
  <c r="G92" i="37"/>
  <c r="G92" i="41" s="1"/>
  <c r="G92" i="58"/>
  <c r="G100" i="58"/>
  <c r="G100" i="37"/>
  <c r="G100" i="41" s="1"/>
  <c r="G116" i="37"/>
  <c r="G116" i="41" s="1"/>
  <c r="G116" i="58"/>
  <c r="G301" i="37"/>
  <c r="G301" i="41" s="1"/>
  <c r="G301" i="58"/>
  <c r="G407" i="58"/>
  <c r="G407" i="37"/>
  <c r="G407" i="41" s="1"/>
  <c r="G5" i="58"/>
  <c r="G5" i="37"/>
  <c r="G5" i="41" s="1"/>
  <c r="G77" i="58"/>
  <c r="G77" i="37"/>
  <c r="G77" i="41" s="1"/>
  <c r="G85" i="58"/>
  <c r="G85" i="37"/>
  <c r="G85" i="41" s="1"/>
  <c r="G93" i="58"/>
  <c r="G93" i="37"/>
  <c r="G93" i="41" s="1"/>
  <c r="G101" i="37"/>
  <c r="G101" i="41" s="1"/>
  <c r="G101" i="58"/>
  <c r="G109" i="37"/>
  <c r="G109" i="41" s="1"/>
  <c r="G109" i="58"/>
  <c r="G117" i="37"/>
  <c r="G117" i="41" s="1"/>
  <c r="G117" i="58"/>
  <c r="G141" i="58"/>
  <c r="G141" i="37"/>
  <c r="G141" i="41" s="1"/>
  <c r="G305" i="37"/>
  <c r="G305" i="41" s="1"/>
  <c r="G305" i="58"/>
  <c r="G337" i="58"/>
  <c r="G337" i="37"/>
  <c r="G337" i="41" s="1"/>
  <c r="G408" i="37"/>
  <c r="G408" i="41" s="1"/>
  <c r="G408" i="58"/>
  <c r="G416" i="37"/>
  <c r="G416" i="41" s="1"/>
  <c r="G416" i="58"/>
  <c r="G424" i="37"/>
  <c r="G424" i="41" s="1"/>
  <c r="G424" i="58"/>
  <c r="G434" i="58"/>
  <c r="G434" i="37"/>
  <c r="G434" i="41" s="1"/>
  <c r="G444" i="58"/>
  <c r="G444" i="37"/>
  <c r="G444" i="41" s="1"/>
  <c r="G453" i="58"/>
  <c r="G453" i="37"/>
  <c r="G453" i="41" s="1"/>
  <c r="G461" i="37"/>
  <c r="G461" i="41" s="1"/>
  <c r="G461" i="58"/>
  <c r="G395" i="58"/>
  <c r="G395" i="37"/>
  <c r="G395" i="41" s="1"/>
  <c r="G387" i="58"/>
  <c r="G387" i="37"/>
  <c r="G387" i="41" s="1"/>
  <c r="G379" i="37"/>
  <c r="G379" i="41" s="1"/>
  <c r="G379" i="58"/>
  <c r="G371" i="58"/>
  <c r="G371" i="37"/>
  <c r="G371" i="41" s="1"/>
  <c r="G363" i="58"/>
  <c r="G363" i="37"/>
  <c r="G363" i="41" s="1"/>
  <c r="G355" i="58"/>
  <c r="G355" i="37"/>
  <c r="G355" i="41" s="1"/>
  <c r="G347" i="37"/>
  <c r="G347" i="41" s="1"/>
  <c r="G347" i="58"/>
  <c r="G336" i="37"/>
  <c r="G336" i="41" s="1"/>
  <c r="G336" i="58"/>
  <c r="G326" i="37"/>
  <c r="G326" i="41" s="1"/>
  <c r="G326" i="58"/>
  <c r="G315" i="58"/>
  <c r="G315" i="37"/>
  <c r="G315" i="41" s="1"/>
  <c r="G304" i="37"/>
  <c r="G304" i="41" s="1"/>
  <c r="G304" i="58"/>
  <c r="G295" i="37"/>
  <c r="G295" i="41" s="1"/>
  <c r="G295" i="58"/>
  <c r="G287" i="58"/>
  <c r="G287" i="37"/>
  <c r="G287" i="41" s="1"/>
  <c r="G279" i="37"/>
  <c r="G279" i="41" s="1"/>
  <c r="G279" i="58"/>
  <c r="G271" i="58"/>
  <c r="G271" i="37"/>
  <c r="G271" i="41" s="1"/>
  <c r="G263" i="37"/>
  <c r="G263" i="41" s="1"/>
  <c r="G263" i="58"/>
  <c r="G255" i="58"/>
  <c r="G255" i="37"/>
  <c r="G255" i="41" s="1"/>
  <c r="G247" i="58"/>
  <c r="G247" i="37"/>
  <c r="G247" i="41" s="1"/>
  <c r="G239" i="58"/>
  <c r="G239" i="37"/>
  <c r="G239" i="41" s="1"/>
  <c r="G231" i="37"/>
  <c r="G231" i="41" s="1"/>
  <c r="G231" i="58"/>
  <c r="G222" i="37"/>
  <c r="G222" i="41" s="1"/>
  <c r="G222" i="58"/>
  <c r="G211" i="58"/>
  <c r="G211" i="37"/>
  <c r="G211" i="41" s="1"/>
  <c r="G201" i="58"/>
  <c r="G201" i="37"/>
  <c r="G201" i="41" s="1"/>
  <c r="G193" i="58"/>
  <c r="G193" i="37"/>
  <c r="G193" i="41" s="1"/>
  <c r="G185" i="37"/>
  <c r="G185" i="41" s="1"/>
  <c r="G185" i="58"/>
  <c r="G177" i="58"/>
  <c r="G177" i="37"/>
  <c r="G177" i="41" s="1"/>
  <c r="G169" i="58"/>
  <c r="G169" i="37"/>
  <c r="G169" i="41" s="1"/>
  <c r="G155" i="58"/>
  <c r="G155" i="37"/>
  <c r="G155" i="41" s="1"/>
  <c r="G147" i="37"/>
  <c r="G147" i="41" s="1"/>
  <c r="G147" i="58"/>
  <c r="G138" i="37"/>
  <c r="G138" i="41" s="1"/>
  <c r="G138" i="58"/>
  <c r="G127" i="58"/>
  <c r="G127" i="37"/>
  <c r="G127" i="41" s="1"/>
  <c r="E464" i="37"/>
  <c r="E464" i="41" s="1"/>
  <c r="E464" i="58"/>
  <c r="E456" i="58"/>
  <c r="E456" i="37"/>
  <c r="E456" i="41" s="1"/>
  <c r="E447" i="37"/>
  <c r="E447" i="41" s="1"/>
  <c r="E447" i="58"/>
  <c r="E438" i="58"/>
  <c r="E438" i="37"/>
  <c r="E438" i="41" s="1"/>
  <c r="E427" i="37"/>
  <c r="E427" i="41" s="1"/>
  <c r="E427" i="58"/>
  <c r="E419" i="37"/>
  <c r="E419" i="41" s="1"/>
  <c r="E419" i="58"/>
  <c r="E411" i="58"/>
  <c r="E411" i="37"/>
  <c r="E411" i="41" s="1"/>
  <c r="E402" i="37"/>
  <c r="E402" i="41" s="1"/>
  <c r="E402" i="58"/>
  <c r="E394" i="58"/>
  <c r="E394" i="37"/>
  <c r="E394" i="41" s="1"/>
  <c r="E386" i="58"/>
  <c r="E386" i="37"/>
  <c r="E386" i="41" s="1"/>
  <c r="E378" i="58"/>
  <c r="E378" i="37"/>
  <c r="E378" i="41" s="1"/>
  <c r="E370" i="37"/>
  <c r="E370" i="41" s="1"/>
  <c r="E370" i="58"/>
  <c r="E362" i="58"/>
  <c r="E362" i="37"/>
  <c r="E362" i="41" s="1"/>
  <c r="E354" i="58"/>
  <c r="E354" i="37"/>
  <c r="E354" i="41" s="1"/>
  <c r="E346" i="37"/>
  <c r="E346" i="41" s="1"/>
  <c r="E346" i="58"/>
  <c r="E338" i="58"/>
  <c r="E338" i="37"/>
  <c r="E338" i="41" s="1"/>
  <c r="E330" i="58"/>
  <c r="E330" i="37"/>
  <c r="E330" i="41" s="1"/>
  <c r="E322" i="37"/>
  <c r="E322" i="41" s="1"/>
  <c r="E322" i="58"/>
  <c r="E314" i="58"/>
  <c r="E314" i="37"/>
  <c r="E314" i="41" s="1"/>
  <c r="E306" i="58"/>
  <c r="E306" i="37"/>
  <c r="E306" i="41" s="1"/>
  <c r="E298" i="58"/>
  <c r="E298" i="37"/>
  <c r="E298" i="41" s="1"/>
  <c r="E290" i="37"/>
  <c r="E290" i="41" s="1"/>
  <c r="E290" i="58"/>
  <c r="E282" i="37"/>
  <c r="E282" i="41" s="1"/>
  <c r="E282" i="58"/>
  <c r="E274" i="37"/>
  <c r="E274" i="41" s="1"/>
  <c r="E274" i="58"/>
  <c r="E266" i="58"/>
  <c r="E266" i="37"/>
  <c r="E266" i="41" s="1"/>
  <c r="E258" i="58"/>
  <c r="E258" i="37"/>
  <c r="E258" i="41" s="1"/>
  <c r="E250" i="58"/>
  <c r="E250" i="37"/>
  <c r="E250" i="41" s="1"/>
  <c r="E242" i="58"/>
  <c r="E242" i="37"/>
  <c r="E242" i="41" s="1"/>
  <c r="E234" i="58"/>
  <c r="E234" i="37"/>
  <c r="E234" i="41" s="1"/>
  <c r="E226" i="58"/>
  <c r="E226" i="37"/>
  <c r="E226" i="41" s="1"/>
  <c r="E215" i="37"/>
  <c r="E215" i="41" s="1"/>
  <c r="E215" i="58"/>
  <c r="E204" i="58"/>
  <c r="E204" i="37"/>
  <c r="E204" i="41" s="1"/>
  <c r="E196" i="37"/>
  <c r="E196" i="41" s="1"/>
  <c r="E196" i="58"/>
  <c r="E188" i="58"/>
  <c r="E188" i="37"/>
  <c r="E188" i="41" s="1"/>
  <c r="E180" i="37"/>
  <c r="E180" i="41" s="1"/>
  <c r="E180" i="58"/>
  <c r="E172" i="37"/>
  <c r="E172" i="41" s="1"/>
  <c r="E172" i="58"/>
  <c r="E164" i="37"/>
  <c r="E164" i="41" s="1"/>
  <c r="E164" i="58"/>
  <c r="E156" i="37"/>
  <c r="E156" i="41" s="1"/>
  <c r="E156" i="58"/>
  <c r="E148" i="37"/>
  <c r="E148" i="41" s="1"/>
  <c r="E148" i="58"/>
  <c r="E140" i="58"/>
  <c r="E140" i="37"/>
  <c r="E140" i="41" s="1"/>
  <c r="E132" i="58"/>
  <c r="E132" i="37"/>
  <c r="E132" i="41" s="1"/>
  <c r="E124" i="37"/>
  <c r="E124" i="41" s="1"/>
  <c r="E124" i="58"/>
  <c r="E116" i="58"/>
  <c r="E116" i="37"/>
  <c r="E116" i="41" s="1"/>
  <c r="E108" i="58"/>
  <c r="E108" i="37"/>
  <c r="E108" i="41" s="1"/>
  <c r="E100" i="58"/>
  <c r="E100" i="37"/>
  <c r="E100" i="41" s="1"/>
  <c r="E92" i="37"/>
  <c r="E92" i="41" s="1"/>
  <c r="E92" i="58"/>
  <c r="E84" i="58"/>
  <c r="E84" i="37"/>
  <c r="E84" i="41" s="1"/>
  <c r="E76" i="37"/>
  <c r="E76" i="41" s="1"/>
  <c r="E76" i="58"/>
  <c r="E5" i="58"/>
  <c r="E5" i="37"/>
  <c r="E5" i="41" s="1"/>
  <c r="E71" i="37"/>
  <c r="E71" i="41" s="1"/>
  <c r="E71" i="58"/>
  <c r="E67" i="37"/>
  <c r="E67" i="41" s="1"/>
  <c r="E67" i="58"/>
  <c r="E63" i="58"/>
  <c r="E63" i="37"/>
  <c r="E63" i="41" s="1"/>
  <c r="E59" i="37"/>
  <c r="E59" i="41" s="1"/>
  <c r="E59" i="58"/>
  <c r="E55" i="37"/>
  <c r="E55" i="41" s="1"/>
  <c r="E55" i="58"/>
  <c r="E51" i="37"/>
  <c r="E51" i="41" s="1"/>
  <c r="E51" i="58"/>
  <c r="E47" i="37"/>
  <c r="E47" i="41" s="1"/>
  <c r="E47" i="58"/>
  <c r="E43" i="58"/>
  <c r="E43" i="37"/>
  <c r="E43" i="41" s="1"/>
  <c r="E39" i="58"/>
  <c r="E39" i="37"/>
  <c r="E39" i="41" s="1"/>
  <c r="E35" i="37"/>
  <c r="E35" i="41" s="1"/>
  <c r="E35" i="58"/>
  <c r="E31" i="37"/>
  <c r="E31" i="41" s="1"/>
  <c r="E31" i="58"/>
  <c r="E27" i="58"/>
  <c r="E27" i="37"/>
  <c r="E27" i="41" s="1"/>
  <c r="E23" i="37"/>
  <c r="E23" i="41" s="1"/>
  <c r="E23" i="58"/>
  <c r="E19" i="58"/>
  <c r="E19" i="37"/>
  <c r="E19" i="41" s="1"/>
  <c r="E15" i="37"/>
  <c r="E15" i="41" s="1"/>
  <c r="E15" i="58"/>
  <c r="G430" i="37"/>
  <c r="G430" i="41" s="1"/>
  <c r="G430" i="58"/>
  <c r="G209" i="37"/>
  <c r="G209" i="41" s="1"/>
  <c r="G209" i="58"/>
  <c r="E221" i="58"/>
  <c r="E221" i="37"/>
  <c r="E221" i="41" s="1"/>
  <c r="J441" i="37"/>
  <c r="J441" i="58"/>
  <c r="E230" i="38"/>
  <c r="E275" i="38"/>
  <c r="E267" i="38"/>
  <c r="G267" i="66" s="1"/>
  <c r="E222" i="38"/>
  <c r="G123" i="66" s="1"/>
  <c r="H451" i="37"/>
  <c r="H451" i="58"/>
  <c r="H446" i="37"/>
  <c r="H446" i="58"/>
  <c r="E240" i="38"/>
  <c r="G153" i="66" s="1"/>
  <c r="N153" i="66" s="1"/>
  <c r="G9" i="66"/>
  <c r="N9" i="66" s="1"/>
  <c r="I436" i="37"/>
  <c r="I436" i="58"/>
  <c r="E260" i="38"/>
  <c r="E215" i="38"/>
  <c r="I430" i="41"/>
  <c r="E203" i="38"/>
  <c r="E248" i="38"/>
  <c r="E245" i="38"/>
  <c r="I163" i="58"/>
  <c r="I163" i="37"/>
  <c r="I59" i="37"/>
  <c r="I47" i="37"/>
  <c r="I47" i="58"/>
  <c r="I35" i="37"/>
  <c r="I35" i="58"/>
  <c r="I23" i="37"/>
  <c r="J63" i="37"/>
  <c r="J63" i="58"/>
  <c r="G94" i="58"/>
  <c r="G94" i="37"/>
  <c r="G94" i="41" s="1"/>
  <c r="G409" i="37"/>
  <c r="G409" i="41" s="1"/>
  <c r="G409" i="58"/>
  <c r="G462" i="37"/>
  <c r="G462" i="41" s="1"/>
  <c r="G462" i="58"/>
  <c r="G354" i="58"/>
  <c r="G354" i="37"/>
  <c r="G354" i="41" s="1"/>
  <c r="G286" i="58"/>
  <c r="G286" i="37"/>
  <c r="G286" i="41" s="1"/>
  <c r="G230" i="58"/>
  <c r="G230" i="37"/>
  <c r="G230" i="41" s="1"/>
  <c r="G154" i="58"/>
  <c r="G154" i="37"/>
  <c r="G154" i="41" s="1"/>
  <c r="E455" i="37"/>
  <c r="E455" i="41" s="1"/>
  <c r="E455" i="58"/>
  <c r="E385" i="37"/>
  <c r="E385" i="41" s="1"/>
  <c r="E385" i="58"/>
  <c r="E337" i="37"/>
  <c r="E337" i="41" s="1"/>
  <c r="E337" i="58"/>
  <c r="E297" i="58"/>
  <c r="E297" i="37"/>
  <c r="E297" i="41" s="1"/>
  <c r="E257" i="58"/>
  <c r="E257" i="37"/>
  <c r="E257" i="41" s="1"/>
  <c r="E214" i="37"/>
  <c r="E214" i="41" s="1"/>
  <c r="E214" i="58"/>
  <c r="E171" i="37"/>
  <c r="E171" i="41" s="1"/>
  <c r="E171" i="58"/>
  <c r="E139" i="58"/>
  <c r="E139" i="37"/>
  <c r="E139" i="41" s="1"/>
  <c r="E123" i="58"/>
  <c r="E123" i="37"/>
  <c r="E123" i="41" s="1"/>
  <c r="E91" i="37"/>
  <c r="E91" i="41" s="1"/>
  <c r="E91" i="58"/>
  <c r="G62" i="58"/>
  <c r="I62" i="58" s="1"/>
  <c r="G62" i="37"/>
  <c r="G62" i="41" s="1"/>
  <c r="G58" i="37"/>
  <c r="G58" i="41" s="1"/>
  <c r="G58" i="58"/>
  <c r="G42" i="58"/>
  <c r="H42" i="58" s="1"/>
  <c r="G42" i="37"/>
  <c r="G42" i="41" s="1"/>
  <c r="G22" i="58"/>
  <c r="G22" i="37"/>
  <c r="G22" i="41" s="1"/>
  <c r="G95" i="58"/>
  <c r="G95" i="37"/>
  <c r="G95" i="41" s="1"/>
  <c r="G313" i="58"/>
  <c r="G313" i="37"/>
  <c r="G313" i="41" s="1"/>
  <c r="G426" i="37"/>
  <c r="G426" i="41" s="1"/>
  <c r="G426" i="58"/>
  <c r="G463" i="37"/>
  <c r="G463" i="41" s="1"/>
  <c r="G463" i="58"/>
  <c r="I8" i="58"/>
  <c r="I8" i="37"/>
  <c r="G385" i="37"/>
  <c r="G385" i="41" s="1"/>
  <c r="G385" i="58"/>
  <c r="G361" i="58"/>
  <c r="G361" i="37"/>
  <c r="G361" i="41" s="1"/>
  <c r="G353" i="58"/>
  <c r="G353" i="37"/>
  <c r="G353" i="41" s="1"/>
  <c r="G344" i="58"/>
  <c r="G344" i="37"/>
  <c r="G344" i="41" s="1"/>
  <c r="G334" i="37"/>
  <c r="G334" i="41" s="1"/>
  <c r="G334" i="58"/>
  <c r="G323" i="58"/>
  <c r="G323" i="37"/>
  <c r="G323" i="41" s="1"/>
  <c r="G312" i="37"/>
  <c r="G312" i="41" s="1"/>
  <c r="G312" i="58"/>
  <c r="G302" i="37"/>
  <c r="G302" i="41" s="1"/>
  <c r="G302" i="58"/>
  <c r="G293" i="37"/>
  <c r="G293" i="41" s="1"/>
  <c r="G293" i="58"/>
  <c r="G285" i="58"/>
  <c r="G285" i="37"/>
  <c r="G285" i="41" s="1"/>
  <c r="G277" i="37"/>
  <c r="G277" i="41" s="1"/>
  <c r="G277" i="58"/>
  <c r="G269" i="37"/>
  <c r="G269" i="41" s="1"/>
  <c r="G269" i="58"/>
  <c r="G261" i="58"/>
  <c r="G261" i="37"/>
  <c r="G261" i="41" s="1"/>
  <c r="G253" i="58"/>
  <c r="G253" i="37"/>
  <c r="G253" i="41" s="1"/>
  <c r="G245" i="58"/>
  <c r="G245" i="37"/>
  <c r="G245" i="41" s="1"/>
  <c r="G237" i="37"/>
  <c r="G237" i="41" s="1"/>
  <c r="G237" i="58"/>
  <c r="G229" i="37"/>
  <c r="G229" i="41" s="1"/>
  <c r="G229" i="58"/>
  <c r="G219" i="58"/>
  <c r="G219" i="37"/>
  <c r="G219" i="41" s="1"/>
  <c r="G208" i="58"/>
  <c r="G208" i="37"/>
  <c r="G208" i="41" s="1"/>
  <c r="G199" i="58"/>
  <c r="G199" i="37"/>
  <c r="G199" i="41" s="1"/>
  <c r="G191" i="37"/>
  <c r="G191" i="41" s="1"/>
  <c r="G191" i="58"/>
  <c r="G183" i="58"/>
  <c r="G183" i="37"/>
  <c r="G183" i="41" s="1"/>
  <c r="G175" i="37"/>
  <c r="G175" i="41" s="1"/>
  <c r="G175" i="58"/>
  <c r="G161" i="37"/>
  <c r="G161" i="41" s="1"/>
  <c r="G161" i="58"/>
  <c r="G153" i="37"/>
  <c r="G153" i="41" s="1"/>
  <c r="G153" i="58"/>
  <c r="G145" i="58"/>
  <c r="G145" i="37"/>
  <c r="G145" i="41" s="1"/>
  <c r="G135" i="37"/>
  <c r="G135" i="41" s="1"/>
  <c r="G135" i="58"/>
  <c r="G124" i="58"/>
  <c r="G124" i="37"/>
  <c r="G124" i="41" s="1"/>
  <c r="E462" i="58"/>
  <c r="E462" i="37"/>
  <c r="E462" i="41" s="1"/>
  <c r="E454" i="58"/>
  <c r="E454" i="37"/>
  <c r="E454" i="41" s="1"/>
  <c r="E445" i="58"/>
  <c r="E445" i="37"/>
  <c r="E445" i="41" s="1"/>
  <c r="E435" i="58"/>
  <c r="E435" i="37"/>
  <c r="E435" i="41" s="1"/>
  <c r="E425" i="58"/>
  <c r="E425" i="37"/>
  <c r="E425" i="41" s="1"/>
  <c r="E417" i="37"/>
  <c r="E417" i="41" s="1"/>
  <c r="E417" i="58"/>
  <c r="E409" i="58"/>
  <c r="E409" i="37"/>
  <c r="E409" i="41" s="1"/>
  <c r="E400" i="58"/>
  <c r="E400" i="37"/>
  <c r="E400" i="41" s="1"/>
  <c r="E392" i="58"/>
  <c r="E392" i="37"/>
  <c r="E392" i="41" s="1"/>
  <c r="E384" i="58"/>
  <c r="E384" i="37"/>
  <c r="E384" i="41" s="1"/>
  <c r="E376" i="37"/>
  <c r="E376" i="41" s="1"/>
  <c r="E376" i="58"/>
  <c r="E368" i="58"/>
  <c r="E368" i="37"/>
  <c r="E368" i="41" s="1"/>
  <c r="E360" i="58"/>
  <c r="E360" i="37"/>
  <c r="E360" i="41" s="1"/>
  <c r="E352" i="58"/>
  <c r="E352" i="37"/>
  <c r="E352" i="41" s="1"/>
  <c r="E344" i="37"/>
  <c r="E344" i="41" s="1"/>
  <c r="E344" i="58"/>
  <c r="E336" i="58"/>
  <c r="E336" i="37"/>
  <c r="E336" i="41" s="1"/>
  <c r="E328" i="37"/>
  <c r="E328" i="41" s="1"/>
  <c r="E328" i="58"/>
  <c r="E320" i="37"/>
  <c r="E320" i="41" s="1"/>
  <c r="E320" i="58"/>
  <c r="E312" i="58"/>
  <c r="E312" i="37"/>
  <c r="E312" i="41" s="1"/>
  <c r="E304" i="58"/>
  <c r="E304" i="37"/>
  <c r="E304" i="41" s="1"/>
  <c r="E296" i="58"/>
  <c r="E296" i="37"/>
  <c r="E296" i="41" s="1"/>
  <c r="E288" i="58"/>
  <c r="E288" i="37"/>
  <c r="E288" i="41" s="1"/>
  <c r="E280" i="58"/>
  <c r="E280" i="37"/>
  <c r="E280" i="41" s="1"/>
  <c r="E272" i="37"/>
  <c r="E272" i="41" s="1"/>
  <c r="E272" i="58"/>
  <c r="E264" i="37"/>
  <c r="E264" i="41" s="1"/>
  <c r="E264" i="58"/>
  <c r="E256" i="37"/>
  <c r="E256" i="41" s="1"/>
  <c r="E256" i="58"/>
  <c r="E248" i="37"/>
  <c r="E248" i="41" s="1"/>
  <c r="E248" i="58"/>
  <c r="E240" i="37"/>
  <c r="E240" i="41" s="1"/>
  <c r="E240" i="58"/>
  <c r="E232" i="58"/>
  <c r="E232" i="37"/>
  <c r="E232" i="41" s="1"/>
  <c r="E223" i="58"/>
  <c r="E223" i="37"/>
  <c r="E223" i="41" s="1"/>
  <c r="E212" i="37"/>
  <c r="E212" i="41" s="1"/>
  <c r="E212" i="58"/>
  <c r="E202" i="37"/>
  <c r="E202" i="41" s="1"/>
  <c r="E202" i="58"/>
  <c r="E194" i="58"/>
  <c r="E194" i="37"/>
  <c r="E194" i="41" s="1"/>
  <c r="E186" i="37"/>
  <c r="E186" i="41" s="1"/>
  <c r="E186" i="58"/>
  <c r="E178" i="37"/>
  <c r="E178" i="41" s="1"/>
  <c r="E178" i="58"/>
  <c r="E170" i="58"/>
  <c r="E170" i="37"/>
  <c r="E170" i="41" s="1"/>
  <c r="E162" i="58"/>
  <c r="E162" i="37"/>
  <c r="E162" i="41" s="1"/>
  <c r="E154" i="37"/>
  <c r="E154" i="41" s="1"/>
  <c r="E154" i="58"/>
  <c r="E146" i="37"/>
  <c r="E146" i="41" s="1"/>
  <c r="E146" i="58"/>
  <c r="E138" i="58"/>
  <c r="E138" i="37"/>
  <c r="E138" i="41" s="1"/>
  <c r="E130" i="37"/>
  <c r="E130" i="41" s="1"/>
  <c r="E130" i="58"/>
  <c r="E122" i="37"/>
  <c r="E122" i="41" s="1"/>
  <c r="E122" i="58"/>
  <c r="E114" i="37"/>
  <c r="E114" i="41" s="1"/>
  <c r="E114" i="58"/>
  <c r="E106" i="58"/>
  <c r="E106" i="37"/>
  <c r="E106" i="41" s="1"/>
  <c r="E98" i="37"/>
  <c r="E98" i="41" s="1"/>
  <c r="E98" i="58"/>
  <c r="E90" i="58"/>
  <c r="E90" i="37"/>
  <c r="E90" i="41" s="1"/>
  <c r="E82" i="37"/>
  <c r="E82" i="41" s="1"/>
  <c r="E82" i="58"/>
  <c r="E74" i="58"/>
  <c r="E74" i="37"/>
  <c r="E74" i="41" s="1"/>
  <c r="E3" i="58"/>
  <c r="E3" i="37"/>
  <c r="E3" i="41" s="1"/>
  <c r="E70" i="37"/>
  <c r="E70" i="41" s="1"/>
  <c r="E70" i="58"/>
  <c r="E66" i="37"/>
  <c r="E66" i="41" s="1"/>
  <c r="E66" i="58"/>
  <c r="E62" i="58"/>
  <c r="E62" i="37"/>
  <c r="E62" i="41" s="1"/>
  <c r="E58" i="58"/>
  <c r="E58" i="37"/>
  <c r="E58" i="41" s="1"/>
  <c r="E54" i="58"/>
  <c r="E54" i="37"/>
  <c r="E54" i="41" s="1"/>
  <c r="E50" i="58"/>
  <c r="E50" i="37"/>
  <c r="E50" i="41" s="1"/>
  <c r="E46" i="37"/>
  <c r="E46" i="41" s="1"/>
  <c r="E46" i="58"/>
  <c r="E42" i="58"/>
  <c r="E42" i="37"/>
  <c r="E42" i="41" s="1"/>
  <c r="E38" i="37"/>
  <c r="E38" i="41" s="1"/>
  <c r="E38" i="58"/>
  <c r="E34" i="58"/>
  <c r="E34" i="37"/>
  <c r="E34" i="41" s="1"/>
  <c r="E30" i="58"/>
  <c r="E30" i="37"/>
  <c r="E30" i="41" s="1"/>
  <c r="E26" i="58"/>
  <c r="E26" i="37"/>
  <c r="E26" i="41" s="1"/>
  <c r="E22" i="37"/>
  <c r="E22" i="41" s="1"/>
  <c r="E22" i="58"/>
  <c r="E18" i="37"/>
  <c r="E18" i="41" s="1"/>
  <c r="E18" i="58"/>
  <c r="E14" i="37"/>
  <c r="E14" i="41" s="1"/>
  <c r="E14" i="58"/>
  <c r="E468" i="58"/>
  <c r="E468" i="37"/>
  <c r="E468" i="41" s="1"/>
  <c r="G429" i="58"/>
  <c r="G429" i="37"/>
  <c r="G429" i="41" s="1"/>
  <c r="G217" i="37"/>
  <c r="G217" i="41" s="1"/>
  <c r="G217" i="58"/>
  <c r="E205" i="37"/>
  <c r="E205" i="41" s="1"/>
  <c r="E205" i="58"/>
  <c r="I447" i="37"/>
  <c r="I447" i="58"/>
  <c r="J447" i="37"/>
  <c r="J447" i="58"/>
  <c r="J438" i="37"/>
  <c r="J438" i="58"/>
  <c r="E273" i="38"/>
  <c r="G245" i="66" s="1"/>
  <c r="E228" i="38"/>
  <c r="G101" i="66" s="1"/>
  <c r="E220" i="38"/>
  <c r="G141" i="66" s="1"/>
  <c r="E265" i="38"/>
  <c r="G285" i="66" s="1"/>
  <c r="E238" i="38"/>
  <c r="J67" i="58"/>
  <c r="J67" i="37"/>
  <c r="J43" i="37"/>
  <c r="J19" i="58"/>
  <c r="J19" i="37"/>
  <c r="I55" i="37"/>
  <c r="I31" i="58"/>
  <c r="I31" i="37"/>
  <c r="H163" i="58"/>
  <c r="H163" i="37"/>
  <c r="H71" i="58"/>
  <c r="H59" i="37"/>
  <c r="H47" i="58"/>
  <c r="H47" i="37"/>
  <c r="H35" i="37"/>
  <c r="H35" i="41" s="1"/>
  <c r="H23" i="37"/>
  <c r="J39" i="37"/>
  <c r="G118" i="58"/>
  <c r="G118" i="37"/>
  <c r="G118" i="41" s="1"/>
  <c r="G454" i="58"/>
  <c r="G454" i="37"/>
  <c r="G454" i="41" s="1"/>
  <c r="G370" i="58"/>
  <c r="G370" i="37"/>
  <c r="G370" i="41" s="1"/>
  <c r="G314" i="58"/>
  <c r="G314" i="37"/>
  <c r="G314" i="41" s="1"/>
  <c r="G246" i="58"/>
  <c r="G246" i="37"/>
  <c r="G246" i="41" s="1"/>
  <c r="G168" i="58"/>
  <c r="G168" i="37"/>
  <c r="G168" i="41" s="1"/>
  <c r="E426" i="58"/>
  <c r="E426" i="37"/>
  <c r="E426" i="41" s="1"/>
  <c r="E369" i="37"/>
  <c r="E369" i="41" s="1"/>
  <c r="E369" i="58"/>
  <c r="E329" i="58"/>
  <c r="E329" i="37"/>
  <c r="E329" i="41" s="1"/>
  <c r="E289" i="37"/>
  <c r="E289" i="41" s="1"/>
  <c r="E289" i="58"/>
  <c r="E233" i="37"/>
  <c r="E233" i="41" s="1"/>
  <c r="E233" i="58"/>
  <c r="E187" i="58"/>
  <c r="E187" i="37"/>
  <c r="E187" i="41" s="1"/>
  <c r="E163" i="58"/>
  <c r="E163" i="37"/>
  <c r="E163" i="41" s="1"/>
  <c r="E131" i="58"/>
  <c r="E131" i="37"/>
  <c r="E131" i="41" s="1"/>
  <c r="E83" i="58"/>
  <c r="E83" i="37"/>
  <c r="E83" i="41" s="1"/>
  <c r="G66" i="58"/>
  <c r="G66" i="37"/>
  <c r="G66" i="41" s="1"/>
  <c r="G54" i="58"/>
  <c r="G54" i="37"/>
  <c r="G54" i="41" s="1"/>
  <c r="G46" i="37"/>
  <c r="H46" i="37" s="1"/>
  <c r="G46" i="58"/>
  <c r="H46" i="58" s="1"/>
  <c r="G34" i="37"/>
  <c r="G34" i="41" s="1"/>
  <c r="G34" i="58"/>
  <c r="H34" i="58" s="1"/>
  <c r="G30" i="37"/>
  <c r="G30" i="41" s="1"/>
  <c r="G30" i="58"/>
  <c r="H30" i="58" s="1"/>
  <c r="G14" i="37"/>
  <c r="G14" i="41" s="1"/>
  <c r="G14" i="58"/>
  <c r="J14" i="58" s="1"/>
  <c r="G213" i="58"/>
  <c r="G213" i="37"/>
  <c r="G213" i="41" s="1"/>
  <c r="J440" i="58"/>
  <c r="J440" i="37"/>
  <c r="E266" i="38"/>
  <c r="E221" i="38"/>
  <c r="E239" i="38"/>
  <c r="G155" i="66" s="1"/>
  <c r="N155" i="66" s="1"/>
  <c r="G11" i="66"/>
  <c r="N11" i="66" s="1"/>
  <c r="E207" i="38"/>
  <c r="E252" i="38"/>
  <c r="G219" i="66" s="1"/>
  <c r="J22" i="58"/>
  <c r="J22" i="37"/>
  <c r="I34" i="37"/>
  <c r="I45" i="37"/>
  <c r="G87" i="37"/>
  <c r="G87" i="41" s="1"/>
  <c r="G87" i="58"/>
  <c r="G111" i="58"/>
  <c r="G111" i="37"/>
  <c r="G111" i="41" s="1"/>
  <c r="G345" i="58"/>
  <c r="G345" i="37"/>
  <c r="G345" i="41" s="1"/>
  <c r="G455" i="58"/>
  <c r="G455" i="37"/>
  <c r="G455" i="41" s="1"/>
  <c r="G377" i="58"/>
  <c r="G377" i="37"/>
  <c r="G377" i="41" s="1"/>
  <c r="G88" i="37"/>
  <c r="G88" i="41" s="1"/>
  <c r="G88" i="58"/>
  <c r="G112" i="58"/>
  <c r="G112" i="37"/>
  <c r="G112" i="41" s="1"/>
  <c r="G164" i="37"/>
  <c r="G164" i="41" s="1"/>
  <c r="G164" i="58"/>
  <c r="G411" i="58"/>
  <c r="G411" i="37"/>
  <c r="G411" i="41" s="1"/>
  <c r="G419" i="37"/>
  <c r="G419" i="41" s="1"/>
  <c r="G419" i="58"/>
  <c r="G427" i="37"/>
  <c r="G427" i="41" s="1"/>
  <c r="G427" i="58"/>
  <c r="G438" i="58"/>
  <c r="G438" i="37"/>
  <c r="G438" i="41" s="1"/>
  <c r="G447" i="58"/>
  <c r="G447" i="37"/>
  <c r="G447" i="41" s="1"/>
  <c r="G456" i="37"/>
  <c r="G456" i="41" s="1"/>
  <c r="G456" i="58"/>
  <c r="G464" i="37"/>
  <c r="G464" i="41" s="1"/>
  <c r="G464" i="58"/>
  <c r="G400" i="37"/>
  <c r="G400" i="41" s="1"/>
  <c r="G400" i="58"/>
  <c r="G392" i="58"/>
  <c r="G392" i="37"/>
  <c r="G392" i="41" s="1"/>
  <c r="G384" i="37"/>
  <c r="G384" i="41" s="1"/>
  <c r="G384" i="58"/>
  <c r="G376" i="37"/>
  <c r="G376" i="41" s="1"/>
  <c r="G376" i="58"/>
  <c r="G368" i="37"/>
  <c r="G368" i="41" s="1"/>
  <c r="G368" i="58"/>
  <c r="G360" i="58"/>
  <c r="G360" i="37"/>
  <c r="G360" i="41" s="1"/>
  <c r="G352" i="58"/>
  <c r="G352" i="37"/>
  <c r="G352" i="41" s="1"/>
  <c r="G343" i="37"/>
  <c r="G343" i="41" s="1"/>
  <c r="G343" i="58"/>
  <c r="G332" i="58"/>
  <c r="G332" i="37"/>
  <c r="G332" i="41" s="1"/>
  <c r="G322" i="58"/>
  <c r="G322" i="37"/>
  <c r="G322" i="41" s="1"/>
  <c r="G311" i="37"/>
  <c r="G311" i="41" s="1"/>
  <c r="G311" i="58"/>
  <c r="G300" i="58"/>
  <c r="G300" i="37"/>
  <c r="G300" i="41" s="1"/>
  <c r="G292" i="58"/>
  <c r="G292" i="37"/>
  <c r="G292" i="41" s="1"/>
  <c r="G284" i="58"/>
  <c r="G284" i="37"/>
  <c r="G284" i="41" s="1"/>
  <c r="G276" i="58"/>
  <c r="G276" i="37"/>
  <c r="G276" i="41" s="1"/>
  <c r="G268" i="58"/>
  <c r="G268" i="37"/>
  <c r="G268" i="41" s="1"/>
  <c r="G260" i="58"/>
  <c r="G260" i="37"/>
  <c r="G260" i="41" s="1"/>
  <c r="G252" i="58"/>
  <c r="G252" i="37"/>
  <c r="G252" i="41" s="1"/>
  <c r="G244" i="37"/>
  <c r="G244" i="41" s="1"/>
  <c r="G244" i="58"/>
  <c r="G236" i="58"/>
  <c r="G236" i="37"/>
  <c r="G236" i="41" s="1"/>
  <c r="G228" i="58"/>
  <c r="G228" i="37"/>
  <c r="G228" i="41" s="1"/>
  <c r="G218" i="58"/>
  <c r="G218" i="37"/>
  <c r="G218" i="41" s="1"/>
  <c r="G207" i="37"/>
  <c r="G207" i="41" s="1"/>
  <c r="G207" i="58"/>
  <c r="G198" i="58"/>
  <c r="G198" i="37"/>
  <c r="G198" i="41" s="1"/>
  <c r="G190" i="58"/>
  <c r="G190" i="37"/>
  <c r="G190" i="41" s="1"/>
  <c r="G182" i="37"/>
  <c r="G182" i="41" s="1"/>
  <c r="G182" i="58"/>
  <c r="G174" i="58"/>
  <c r="G174" i="37"/>
  <c r="G174" i="41" s="1"/>
  <c r="G160" i="37"/>
  <c r="G160" i="41" s="1"/>
  <c r="G160" i="58"/>
  <c r="G152" i="37"/>
  <c r="G152" i="41" s="1"/>
  <c r="G152" i="58"/>
  <c r="G144" i="58"/>
  <c r="G144" i="37"/>
  <c r="G144" i="41" s="1"/>
  <c r="G134" i="58"/>
  <c r="G134" i="37"/>
  <c r="G134" i="41" s="1"/>
  <c r="G123" i="58"/>
  <c r="G123" i="37"/>
  <c r="G123" i="41" s="1"/>
  <c r="E461" i="37"/>
  <c r="E461" i="41" s="1"/>
  <c r="E461" i="58"/>
  <c r="E453" i="37"/>
  <c r="E453" i="41" s="1"/>
  <c r="E453" i="58"/>
  <c r="E444" i="58"/>
  <c r="E444" i="37"/>
  <c r="E444" i="41" s="1"/>
  <c r="E434" i="37"/>
  <c r="E434" i="41" s="1"/>
  <c r="E434" i="58"/>
  <c r="E424" i="37"/>
  <c r="E424" i="41" s="1"/>
  <c r="E424" i="58"/>
  <c r="E416" i="37"/>
  <c r="E416" i="41" s="1"/>
  <c r="E416" i="58"/>
  <c r="E408" i="37"/>
  <c r="E408" i="41" s="1"/>
  <c r="E408" i="58"/>
  <c r="E399" i="37"/>
  <c r="E399" i="41" s="1"/>
  <c r="E399" i="58"/>
  <c r="E391" i="37"/>
  <c r="E391" i="41" s="1"/>
  <c r="E391" i="58"/>
  <c r="E383" i="58"/>
  <c r="E383" i="37"/>
  <c r="E383" i="41" s="1"/>
  <c r="E375" i="37"/>
  <c r="E375" i="41" s="1"/>
  <c r="E375" i="58"/>
  <c r="E367" i="37"/>
  <c r="E367" i="41" s="1"/>
  <c r="E367" i="58"/>
  <c r="E359" i="37"/>
  <c r="E359" i="41" s="1"/>
  <c r="E359" i="58"/>
  <c r="E351" i="37"/>
  <c r="E351" i="41" s="1"/>
  <c r="E351" i="58"/>
  <c r="E343" i="58"/>
  <c r="E343" i="37"/>
  <c r="E343" i="41" s="1"/>
  <c r="E335" i="37"/>
  <c r="E335" i="41" s="1"/>
  <c r="E335" i="58"/>
  <c r="E327" i="58"/>
  <c r="E327" i="37"/>
  <c r="E327" i="41" s="1"/>
  <c r="E319" i="37"/>
  <c r="E319" i="41" s="1"/>
  <c r="E319" i="58"/>
  <c r="E311" i="37"/>
  <c r="E311" i="41" s="1"/>
  <c r="E311" i="58"/>
  <c r="E303" i="37"/>
  <c r="E303" i="41" s="1"/>
  <c r="E303" i="58"/>
  <c r="E295" i="58"/>
  <c r="E295" i="37"/>
  <c r="E295" i="41" s="1"/>
  <c r="E287" i="37"/>
  <c r="E287" i="41" s="1"/>
  <c r="E287" i="58"/>
  <c r="E279" i="37"/>
  <c r="E279" i="41" s="1"/>
  <c r="E279" i="58"/>
  <c r="E271" i="58"/>
  <c r="E271" i="37"/>
  <c r="E271" i="41" s="1"/>
  <c r="E263" i="58"/>
  <c r="E263" i="37"/>
  <c r="E263" i="41" s="1"/>
  <c r="E255" i="37"/>
  <c r="E255" i="41" s="1"/>
  <c r="E255" i="58"/>
  <c r="E247" i="37"/>
  <c r="E247" i="41" s="1"/>
  <c r="E247" i="58"/>
  <c r="E239" i="58"/>
  <c r="E239" i="37"/>
  <c r="E239" i="41" s="1"/>
  <c r="E231" i="37"/>
  <c r="E231" i="41" s="1"/>
  <c r="E231" i="58"/>
  <c r="E222" i="37"/>
  <c r="E222" i="41" s="1"/>
  <c r="E222" i="58"/>
  <c r="E211" i="58"/>
  <c r="E211" i="37"/>
  <c r="E211" i="41" s="1"/>
  <c r="E201" i="37"/>
  <c r="E201" i="41" s="1"/>
  <c r="E201" i="58"/>
  <c r="E193" i="37"/>
  <c r="E193" i="41" s="1"/>
  <c r="E193" i="58"/>
  <c r="E185" i="58"/>
  <c r="E185" i="37"/>
  <c r="E185" i="41" s="1"/>
  <c r="E177" i="37"/>
  <c r="E177" i="41" s="1"/>
  <c r="E177" i="58"/>
  <c r="E169" i="58"/>
  <c r="E169" i="37"/>
  <c r="E169" i="41" s="1"/>
  <c r="E161" i="37"/>
  <c r="E161" i="41" s="1"/>
  <c r="E161" i="58"/>
  <c r="E153" i="37"/>
  <c r="E153" i="41" s="1"/>
  <c r="E153" i="58"/>
  <c r="E145" i="58"/>
  <c r="E145" i="37"/>
  <c r="E145" i="41" s="1"/>
  <c r="E137" i="58"/>
  <c r="E137" i="37"/>
  <c r="E137" i="41" s="1"/>
  <c r="E129" i="37"/>
  <c r="E129" i="41" s="1"/>
  <c r="E129" i="58"/>
  <c r="E121" i="58"/>
  <c r="E121" i="37"/>
  <c r="E121" i="41" s="1"/>
  <c r="E113" i="58"/>
  <c r="E113" i="37"/>
  <c r="E113" i="41" s="1"/>
  <c r="E105" i="37"/>
  <c r="E105" i="41" s="1"/>
  <c r="E105" i="58"/>
  <c r="E97" i="37"/>
  <c r="E97" i="41" s="1"/>
  <c r="E97" i="58"/>
  <c r="E89" i="58"/>
  <c r="E89" i="37"/>
  <c r="E89" i="41" s="1"/>
  <c r="E81" i="37"/>
  <c r="E81" i="41" s="1"/>
  <c r="E81" i="58"/>
  <c r="E11" i="37"/>
  <c r="E11" i="41" s="1"/>
  <c r="E11" i="58"/>
  <c r="G73" i="58"/>
  <c r="I73" i="58" s="1"/>
  <c r="G73" i="37"/>
  <c r="G73" i="41" s="1"/>
  <c r="G69" i="37"/>
  <c r="G69" i="41" s="1"/>
  <c r="G69" i="58"/>
  <c r="I69" i="58" s="1"/>
  <c r="G65" i="58"/>
  <c r="H65" i="58" s="1"/>
  <c r="G65" i="37"/>
  <c r="G65" i="41" s="1"/>
  <c r="G61" i="37"/>
  <c r="G61" i="41" s="1"/>
  <c r="G61" i="58"/>
  <c r="I61" i="58" s="1"/>
  <c r="G57" i="58"/>
  <c r="I57" i="58" s="1"/>
  <c r="G57" i="37"/>
  <c r="H57" i="37" s="1"/>
  <c r="G53" i="37"/>
  <c r="G53" i="41" s="1"/>
  <c r="G53" i="58"/>
  <c r="J53" i="58" s="1"/>
  <c r="G49" i="37"/>
  <c r="G49" i="41" s="1"/>
  <c r="G49" i="58"/>
  <c r="I49" i="58" s="1"/>
  <c r="G45" i="58"/>
  <c r="J45" i="58" s="1"/>
  <c r="G45" i="37"/>
  <c r="G45" i="41" s="1"/>
  <c r="G41" i="37"/>
  <c r="G41" i="41" s="1"/>
  <c r="G41" i="58"/>
  <c r="H41" i="58" s="1"/>
  <c r="G37" i="37"/>
  <c r="G37" i="41" s="1"/>
  <c r="G37" i="58"/>
  <c r="H37" i="58" s="1"/>
  <c r="G33" i="37"/>
  <c r="G33" i="41" s="1"/>
  <c r="G33" i="58"/>
  <c r="I33" i="58" s="1"/>
  <c r="G29" i="58"/>
  <c r="H29" i="58" s="1"/>
  <c r="G29" i="37"/>
  <c r="G29" i="41" s="1"/>
  <c r="G25" i="58"/>
  <c r="J25" i="58" s="1"/>
  <c r="G25" i="37"/>
  <c r="G25" i="41" s="1"/>
  <c r="G21" i="58"/>
  <c r="H21" i="58" s="1"/>
  <c r="G21" i="37"/>
  <c r="G21" i="41" s="1"/>
  <c r="G17" i="37"/>
  <c r="G17" i="41" s="1"/>
  <c r="G17" i="58"/>
  <c r="H17" i="58" s="1"/>
  <c r="G13" i="58"/>
  <c r="G13" i="37"/>
  <c r="J73" i="37"/>
  <c r="G468" i="37"/>
  <c r="G468" i="41" s="1"/>
  <c r="G468" i="58"/>
  <c r="E429" i="37"/>
  <c r="E429" i="41" s="1"/>
  <c r="E429" i="58"/>
  <c r="G221" i="37"/>
  <c r="G221" i="41" s="1"/>
  <c r="G221" i="58"/>
  <c r="E471" i="58"/>
  <c r="E471" i="37"/>
  <c r="E471" i="41" s="1"/>
  <c r="I446" i="37"/>
  <c r="I446" i="58"/>
  <c r="J446" i="58"/>
  <c r="J446" i="37"/>
  <c r="J436" i="58"/>
  <c r="J436" i="37"/>
  <c r="E272" i="38"/>
  <c r="E227" i="38"/>
  <c r="E219" i="38"/>
  <c r="E264" i="38"/>
  <c r="E247" i="38"/>
  <c r="G27" i="66"/>
  <c r="N27" i="66" s="1"/>
  <c r="E237" i="38"/>
  <c r="G171" i="66" s="1"/>
  <c r="N171" i="66" s="1"/>
  <c r="E217" i="38"/>
  <c r="E262" i="38"/>
  <c r="E213" i="38"/>
  <c r="E258" i="38"/>
  <c r="G197" i="66" s="1"/>
  <c r="E256" i="38"/>
  <c r="E211" i="38"/>
  <c r="H67" i="58"/>
  <c r="H67" i="37"/>
  <c r="H55" i="37"/>
  <c r="H43" i="37"/>
  <c r="H31" i="58"/>
  <c r="H31" i="37"/>
  <c r="H19" i="58"/>
  <c r="H19" i="37"/>
  <c r="H162" i="58"/>
  <c r="H162" i="37"/>
  <c r="I66" i="58"/>
  <c r="I54" i="58"/>
  <c r="I42" i="37"/>
  <c r="I30" i="37"/>
  <c r="H69" i="58"/>
  <c r="H45" i="58"/>
  <c r="H45" i="37"/>
  <c r="H33" i="37"/>
  <c r="H21" i="37"/>
  <c r="J71" i="58"/>
  <c r="J71" i="37"/>
  <c r="J66" i="58"/>
  <c r="J27" i="37"/>
  <c r="G110" i="37"/>
  <c r="G110" i="41" s="1"/>
  <c r="G110" i="58"/>
  <c r="G425" i="37"/>
  <c r="G425" i="41" s="1"/>
  <c r="G425" i="58"/>
  <c r="G378" i="58"/>
  <c r="G378" i="37"/>
  <c r="G378" i="41" s="1"/>
  <c r="G335" i="58"/>
  <c r="G335" i="37"/>
  <c r="G335" i="41" s="1"/>
  <c r="G278" i="58"/>
  <c r="G278" i="37"/>
  <c r="G278" i="41" s="1"/>
  <c r="G210" i="58"/>
  <c r="G210" i="37"/>
  <c r="G210" i="41" s="1"/>
  <c r="G136" i="58"/>
  <c r="G136" i="37"/>
  <c r="G136" i="41" s="1"/>
  <c r="E410" i="58"/>
  <c r="E410" i="37"/>
  <c r="E410" i="41" s="1"/>
  <c r="E321" i="37"/>
  <c r="E321" i="41" s="1"/>
  <c r="E321" i="58"/>
  <c r="E265" i="37"/>
  <c r="E265" i="41" s="1"/>
  <c r="E265" i="58"/>
  <c r="E224" i="37"/>
  <c r="E224" i="41" s="1"/>
  <c r="E224" i="58"/>
  <c r="E179" i="37"/>
  <c r="E179" i="41" s="1"/>
  <c r="E179" i="58"/>
  <c r="E155" i="37"/>
  <c r="E155" i="41" s="1"/>
  <c r="E155" i="58"/>
  <c r="E99" i="58"/>
  <c r="E99" i="37"/>
  <c r="E99" i="41" s="1"/>
  <c r="E4" i="37"/>
  <c r="E4" i="41" s="1"/>
  <c r="E4" i="58"/>
  <c r="G70" i="37"/>
  <c r="J70" i="37" s="1"/>
  <c r="G70" i="58"/>
  <c r="H70" i="58" s="1"/>
  <c r="G50" i="37"/>
  <c r="G50" i="41" s="1"/>
  <c r="G50" i="58"/>
  <c r="H50" i="58" s="1"/>
  <c r="G38" i="58"/>
  <c r="H38" i="58" s="1"/>
  <c r="G38" i="37"/>
  <c r="G38" i="41" s="1"/>
  <c r="G26" i="37"/>
  <c r="G26" i="41" s="1"/>
  <c r="G26" i="58"/>
  <c r="H26" i="58" s="1"/>
  <c r="G18" i="58"/>
  <c r="I18" i="58" s="1"/>
  <c r="G18" i="37"/>
  <c r="G18" i="41" s="1"/>
  <c r="E430" i="37"/>
  <c r="E430" i="41" s="1"/>
  <c r="E430" i="58"/>
  <c r="E209" i="58"/>
  <c r="E209" i="37"/>
  <c r="E209" i="41" s="1"/>
  <c r="H450" i="58"/>
  <c r="H450" i="37"/>
  <c r="G79" i="58"/>
  <c r="G79" i="37"/>
  <c r="G79" i="41" s="1"/>
  <c r="G163" i="37"/>
  <c r="G163" i="41" s="1"/>
  <c r="G163" i="58"/>
  <c r="G418" i="37"/>
  <c r="G418" i="41" s="1"/>
  <c r="G418" i="58"/>
  <c r="G446" i="58"/>
  <c r="G446" i="37"/>
  <c r="G446" i="41" s="1"/>
  <c r="G393" i="37"/>
  <c r="G393" i="41" s="1"/>
  <c r="G393" i="58"/>
  <c r="G9" i="37"/>
  <c r="G9" i="41" s="1"/>
  <c r="G9" i="58"/>
  <c r="G104" i="58"/>
  <c r="G104" i="37"/>
  <c r="G104" i="41" s="1"/>
  <c r="G317" i="37"/>
  <c r="G317" i="41" s="1"/>
  <c r="G317" i="58"/>
  <c r="G10" i="58"/>
  <c r="G10" i="37"/>
  <c r="G10" i="41" s="1"/>
  <c r="G89" i="37"/>
  <c r="G89" i="41" s="1"/>
  <c r="G89" i="58"/>
  <c r="G113" i="58"/>
  <c r="G113" i="37"/>
  <c r="G113" i="41" s="1"/>
  <c r="G165" i="58"/>
  <c r="G165" i="37"/>
  <c r="G165" i="41" s="1"/>
  <c r="G403" i="58"/>
  <c r="G403" i="37"/>
  <c r="G403" i="41" s="1"/>
  <c r="G420" i="58"/>
  <c r="G420" i="37"/>
  <c r="G420" i="41" s="1"/>
  <c r="G440" i="37"/>
  <c r="G440" i="41" s="1"/>
  <c r="G440" i="58"/>
  <c r="G448" i="58"/>
  <c r="G448" i="37"/>
  <c r="G448" i="41" s="1"/>
  <c r="G457" i="58"/>
  <c r="G457" i="37"/>
  <c r="G457" i="41" s="1"/>
  <c r="G467" i="58"/>
  <c r="G467" i="37"/>
  <c r="G467" i="41" s="1"/>
  <c r="I453" i="37"/>
  <c r="I453" i="58"/>
  <c r="E374" i="38" s="1"/>
  <c r="K237" i="66" s="1"/>
  <c r="I455" i="58"/>
  <c r="E376" i="38" s="1"/>
  <c r="K203" i="66" s="1"/>
  <c r="I455" i="37"/>
  <c r="I454" i="58"/>
  <c r="E375" i="38" s="1"/>
  <c r="K219" i="66" s="1"/>
  <c r="I456" i="58"/>
  <c r="E377" i="38" s="1"/>
  <c r="K201" i="66" s="1"/>
  <c r="N201" i="66" s="1"/>
  <c r="I454" i="37"/>
  <c r="I456" i="37"/>
  <c r="G399" i="37"/>
  <c r="G399" i="41" s="1"/>
  <c r="G399" i="58"/>
  <c r="G391" i="37"/>
  <c r="G391" i="41" s="1"/>
  <c r="G391" i="58"/>
  <c r="G383" i="58"/>
  <c r="G383" i="37"/>
  <c r="G383" i="41" s="1"/>
  <c r="G375" i="58"/>
  <c r="G375" i="37"/>
  <c r="G375" i="41" s="1"/>
  <c r="G367" i="37"/>
  <c r="G367" i="41" s="1"/>
  <c r="G367" i="58"/>
  <c r="G359" i="58"/>
  <c r="G359" i="37"/>
  <c r="G359" i="41" s="1"/>
  <c r="G351" i="37"/>
  <c r="G351" i="41" s="1"/>
  <c r="G351" i="58"/>
  <c r="G342" i="37"/>
  <c r="G342" i="41" s="1"/>
  <c r="G342" i="58"/>
  <c r="G331" i="58"/>
  <c r="G331" i="37"/>
  <c r="G331" i="41" s="1"/>
  <c r="G320" i="37"/>
  <c r="G320" i="41" s="1"/>
  <c r="G320" i="58"/>
  <c r="G310" i="58"/>
  <c r="G310" i="37"/>
  <c r="G310" i="41" s="1"/>
  <c r="G299" i="37"/>
  <c r="G299" i="41" s="1"/>
  <c r="G299" i="58"/>
  <c r="G291" i="58"/>
  <c r="G291" i="37"/>
  <c r="G291" i="41" s="1"/>
  <c r="G283" i="37"/>
  <c r="G283" i="41" s="1"/>
  <c r="G283" i="58"/>
  <c r="G275" i="37"/>
  <c r="G275" i="41" s="1"/>
  <c r="G275" i="58"/>
  <c r="G267" i="58"/>
  <c r="G267" i="37"/>
  <c r="G267" i="41" s="1"/>
  <c r="G259" i="37"/>
  <c r="G259" i="41" s="1"/>
  <c r="G259" i="58"/>
  <c r="G251" i="37"/>
  <c r="G251" i="41" s="1"/>
  <c r="G251" i="58"/>
  <c r="G243" i="37"/>
  <c r="G243" i="41" s="1"/>
  <c r="G243" i="58"/>
  <c r="G235" i="58"/>
  <c r="G235" i="37"/>
  <c r="G235" i="41" s="1"/>
  <c r="G227" i="58"/>
  <c r="G227" i="37"/>
  <c r="G227" i="41" s="1"/>
  <c r="G216" i="58"/>
  <c r="G216" i="37"/>
  <c r="G216" i="41" s="1"/>
  <c r="G206" i="58"/>
  <c r="G206" i="37"/>
  <c r="G206" i="41" s="1"/>
  <c r="G197" i="58"/>
  <c r="G197" i="37"/>
  <c r="G197" i="41" s="1"/>
  <c r="G189" i="58"/>
  <c r="G189" i="37"/>
  <c r="G189" i="41" s="1"/>
  <c r="G181" i="58"/>
  <c r="G181" i="37"/>
  <c r="G181" i="41" s="1"/>
  <c r="G173" i="58"/>
  <c r="G173" i="37"/>
  <c r="G173" i="41" s="1"/>
  <c r="G159" i="58"/>
  <c r="G159" i="37"/>
  <c r="G159" i="41" s="1"/>
  <c r="G151" i="37"/>
  <c r="G151" i="41" s="1"/>
  <c r="G151" i="58"/>
  <c r="G143" i="37"/>
  <c r="G143" i="41" s="1"/>
  <c r="G143" i="58"/>
  <c r="G132" i="58"/>
  <c r="G132" i="37"/>
  <c r="G132" i="41" s="1"/>
  <c r="G122" i="58"/>
  <c r="G122" i="37"/>
  <c r="G122" i="41" s="1"/>
  <c r="E460" i="58"/>
  <c r="E460" i="37"/>
  <c r="E460" i="41" s="1"/>
  <c r="E452" i="37"/>
  <c r="E452" i="41" s="1"/>
  <c r="E452" i="58"/>
  <c r="E443" i="58"/>
  <c r="E443" i="37"/>
  <c r="E443" i="41" s="1"/>
  <c r="E433" i="37"/>
  <c r="E433" i="41" s="1"/>
  <c r="E433" i="58"/>
  <c r="E423" i="37"/>
  <c r="E423" i="41" s="1"/>
  <c r="E423" i="58"/>
  <c r="E415" i="58"/>
  <c r="E415" i="37"/>
  <c r="E415" i="41" s="1"/>
  <c r="E407" i="37"/>
  <c r="E407" i="41" s="1"/>
  <c r="E407" i="58"/>
  <c r="E398" i="58"/>
  <c r="E398" i="37"/>
  <c r="E398" i="41" s="1"/>
  <c r="E390" i="58"/>
  <c r="E390" i="37"/>
  <c r="E390" i="41" s="1"/>
  <c r="E382" i="58"/>
  <c r="E382" i="37"/>
  <c r="E382" i="41" s="1"/>
  <c r="E374" i="58"/>
  <c r="E374" i="37"/>
  <c r="E374" i="41" s="1"/>
  <c r="E366" i="37"/>
  <c r="E366" i="41" s="1"/>
  <c r="E366" i="58"/>
  <c r="E358" i="37"/>
  <c r="E358" i="41" s="1"/>
  <c r="E358" i="58"/>
  <c r="E350" i="37"/>
  <c r="E350" i="41" s="1"/>
  <c r="E350" i="58"/>
  <c r="E342" i="58"/>
  <c r="E342" i="37"/>
  <c r="E342" i="41" s="1"/>
  <c r="E334" i="58"/>
  <c r="E334" i="37"/>
  <c r="E334" i="41" s="1"/>
  <c r="E326" i="37"/>
  <c r="E326" i="41" s="1"/>
  <c r="E326" i="58"/>
  <c r="E318" i="58"/>
  <c r="E318" i="37"/>
  <c r="E318" i="41" s="1"/>
  <c r="E310" i="37"/>
  <c r="E310" i="41" s="1"/>
  <c r="E310" i="58"/>
  <c r="E302" i="58"/>
  <c r="E302" i="37"/>
  <c r="E302" i="41" s="1"/>
  <c r="E294" i="58"/>
  <c r="E294" i="37"/>
  <c r="E294" i="41" s="1"/>
  <c r="E286" i="37"/>
  <c r="E286" i="41" s="1"/>
  <c r="E286" i="58"/>
  <c r="E278" i="58"/>
  <c r="E278" i="37"/>
  <c r="E278" i="41" s="1"/>
  <c r="E270" i="58"/>
  <c r="E270" i="37"/>
  <c r="E270" i="41" s="1"/>
  <c r="E262" i="58"/>
  <c r="E262" i="37"/>
  <c r="E262" i="41" s="1"/>
  <c r="E254" i="58"/>
  <c r="E254" i="37"/>
  <c r="E254" i="41" s="1"/>
  <c r="E246" i="58"/>
  <c r="E246" i="37"/>
  <c r="E246" i="41" s="1"/>
  <c r="E238" i="58"/>
  <c r="E238" i="37"/>
  <c r="E238" i="41" s="1"/>
  <c r="E230" i="37"/>
  <c r="E230" i="41" s="1"/>
  <c r="E230" i="58"/>
  <c r="E220" i="58"/>
  <c r="E220" i="37"/>
  <c r="E220" i="41" s="1"/>
  <c r="E210" i="37"/>
  <c r="E210" i="41" s="1"/>
  <c r="E210" i="58"/>
  <c r="E200" i="37"/>
  <c r="E200" i="41" s="1"/>
  <c r="E200" i="58"/>
  <c r="E192" i="58"/>
  <c r="E192" i="37"/>
  <c r="E192" i="41" s="1"/>
  <c r="E184" i="37"/>
  <c r="E184" i="41" s="1"/>
  <c r="E184" i="58"/>
  <c r="E176" i="37"/>
  <c r="E176" i="41" s="1"/>
  <c r="E176" i="58"/>
  <c r="E168" i="58"/>
  <c r="E168" i="37"/>
  <c r="E168" i="41" s="1"/>
  <c r="E160" i="37"/>
  <c r="E160" i="41" s="1"/>
  <c r="E160" i="58"/>
  <c r="E152" i="37"/>
  <c r="E152" i="41" s="1"/>
  <c r="E152" i="58"/>
  <c r="E144" i="37"/>
  <c r="E144" i="41" s="1"/>
  <c r="E144" i="58"/>
  <c r="E136" i="37"/>
  <c r="E136" i="41" s="1"/>
  <c r="E136" i="58"/>
  <c r="E128" i="37"/>
  <c r="E128" i="41" s="1"/>
  <c r="E128" i="58"/>
  <c r="E120" i="58"/>
  <c r="E120" i="37"/>
  <c r="E120" i="41" s="1"/>
  <c r="E112" i="37"/>
  <c r="E112" i="41" s="1"/>
  <c r="E112" i="58"/>
  <c r="E104" i="37"/>
  <c r="E104" i="41" s="1"/>
  <c r="E104" i="58"/>
  <c r="E96" i="37"/>
  <c r="E96" i="41" s="1"/>
  <c r="E96" i="58"/>
  <c r="E88" i="58"/>
  <c r="E88" i="37"/>
  <c r="E88" i="41" s="1"/>
  <c r="E80" i="37"/>
  <c r="E80" i="41" s="1"/>
  <c r="E80" i="58"/>
  <c r="E10" i="37"/>
  <c r="E10" i="41" s="1"/>
  <c r="E10" i="58"/>
  <c r="E73" i="37"/>
  <c r="E73" i="41" s="1"/>
  <c r="E73" i="58"/>
  <c r="E69" i="58"/>
  <c r="E69" i="37"/>
  <c r="E69" i="41" s="1"/>
  <c r="E65" i="58"/>
  <c r="E65" i="37"/>
  <c r="E65" i="41" s="1"/>
  <c r="E61" i="37"/>
  <c r="E61" i="41" s="1"/>
  <c r="E61" i="58"/>
  <c r="E57" i="58"/>
  <c r="E57" i="37"/>
  <c r="E57" i="41" s="1"/>
  <c r="E53" i="58"/>
  <c r="E53" i="37"/>
  <c r="E53" i="41" s="1"/>
  <c r="E49" i="58"/>
  <c r="E49" i="37"/>
  <c r="E49" i="41" s="1"/>
  <c r="E45" i="37"/>
  <c r="E45" i="41" s="1"/>
  <c r="E45" i="58"/>
  <c r="E41" i="37"/>
  <c r="E41" i="41" s="1"/>
  <c r="E41" i="58"/>
  <c r="E37" i="58"/>
  <c r="E37" i="37"/>
  <c r="E37" i="41" s="1"/>
  <c r="E33" i="58"/>
  <c r="E33" i="37"/>
  <c r="E33" i="41" s="1"/>
  <c r="E29" i="58"/>
  <c r="E29" i="37"/>
  <c r="E29" i="41" s="1"/>
  <c r="E25" i="58"/>
  <c r="E25" i="37"/>
  <c r="E25" i="41" s="1"/>
  <c r="E21" i="37"/>
  <c r="E21" i="41" s="1"/>
  <c r="E21" i="58"/>
  <c r="E17" i="58"/>
  <c r="E17" i="37"/>
  <c r="E17" i="41" s="1"/>
  <c r="E13" i="37"/>
  <c r="E13" i="41" s="1"/>
  <c r="E13" i="58"/>
  <c r="H73" i="58"/>
  <c r="G470" i="37"/>
  <c r="G470" i="41" s="1"/>
  <c r="G470" i="58"/>
  <c r="G225" i="58"/>
  <c r="G225" i="37"/>
  <c r="G225" i="41" s="1"/>
  <c r="G471" i="58"/>
  <c r="G471" i="37"/>
  <c r="G471" i="41" s="1"/>
  <c r="E271" i="38"/>
  <c r="E226" i="38"/>
  <c r="E218" i="38"/>
  <c r="E263" i="38"/>
  <c r="H441" i="37"/>
  <c r="H441" i="58"/>
  <c r="E246" i="38"/>
  <c r="E236" i="38"/>
  <c r="E204" i="38"/>
  <c r="E249" i="38"/>
  <c r="G22" i="66"/>
  <c r="E244" i="38"/>
  <c r="G166" i="66" s="1"/>
  <c r="J61" i="37"/>
  <c r="J61" i="58"/>
  <c r="J37" i="58"/>
  <c r="I49" i="37"/>
  <c r="I25" i="37"/>
  <c r="I65" i="58"/>
  <c r="I65" i="37"/>
  <c r="I53" i="58"/>
  <c r="I53" i="37"/>
  <c r="I29" i="58"/>
  <c r="I29" i="37"/>
  <c r="I17" i="58"/>
  <c r="I17" i="37"/>
  <c r="J59" i="37"/>
  <c r="J54" i="58"/>
  <c r="J54" i="37"/>
  <c r="J38" i="58"/>
  <c r="J38" i="37"/>
  <c r="G7" i="37"/>
  <c r="G7" i="41" s="1"/>
  <c r="G7" i="58"/>
  <c r="G102" i="37"/>
  <c r="G102" i="41" s="1"/>
  <c r="G102" i="58"/>
  <c r="G417" i="58"/>
  <c r="G417" i="37"/>
  <c r="G417" i="41" s="1"/>
  <c r="G394" i="58"/>
  <c r="G394" i="37"/>
  <c r="G394" i="41" s="1"/>
  <c r="G346" i="58"/>
  <c r="G346" i="37"/>
  <c r="G346" i="41" s="1"/>
  <c r="G303" i="58"/>
  <c r="G303" i="37"/>
  <c r="G303" i="41" s="1"/>
  <c r="G254" i="37"/>
  <c r="G254" i="41" s="1"/>
  <c r="G254" i="58"/>
  <c r="G192" i="58"/>
  <c r="G192" i="37"/>
  <c r="G192" i="41" s="1"/>
  <c r="G126" i="58"/>
  <c r="G126" i="37"/>
  <c r="G126" i="41" s="1"/>
  <c r="E418" i="58"/>
  <c r="E418" i="37"/>
  <c r="E418" i="41" s="1"/>
  <c r="E361" i="37"/>
  <c r="E361" i="41" s="1"/>
  <c r="E361" i="58"/>
  <c r="E281" i="58"/>
  <c r="E281" i="37"/>
  <c r="E281" i="41" s="1"/>
  <c r="E147" i="58"/>
  <c r="E147" i="37"/>
  <c r="E147" i="41" s="1"/>
  <c r="E254" i="38"/>
  <c r="G203" i="66" s="1"/>
  <c r="E209" i="38"/>
  <c r="E250" i="38"/>
  <c r="G237" i="66" s="1"/>
  <c r="E205" i="38"/>
  <c r="J46" i="37"/>
  <c r="J46" i="58"/>
  <c r="I58" i="37"/>
  <c r="I58" i="58"/>
  <c r="H58" i="37"/>
  <c r="H58" i="58"/>
  <c r="H22" i="37"/>
  <c r="H22" i="58"/>
  <c r="J51" i="37"/>
  <c r="J51" i="58"/>
  <c r="G8" i="37"/>
  <c r="G8" i="41" s="1"/>
  <c r="G8" i="58"/>
  <c r="G103" i="58"/>
  <c r="G103" i="37"/>
  <c r="G103" i="41" s="1"/>
  <c r="G119" i="37"/>
  <c r="G119" i="41" s="1"/>
  <c r="G119" i="58"/>
  <c r="G410" i="37"/>
  <c r="G410" i="41" s="1"/>
  <c r="G410" i="58"/>
  <c r="G436" i="37"/>
  <c r="G436" i="41" s="1"/>
  <c r="G436" i="58"/>
  <c r="G401" i="58"/>
  <c r="G401" i="37"/>
  <c r="G401" i="41" s="1"/>
  <c r="G369" i="37"/>
  <c r="G369" i="41" s="1"/>
  <c r="G369" i="58"/>
  <c r="G80" i="58"/>
  <c r="G80" i="37"/>
  <c r="G80" i="41" s="1"/>
  <c r="G96" i="37"/>
  <c r="G96" i="41" s="1"/>
  <c r="G96" i="58"/>
  <c r="G121" i="37"/>
  <c r="G121" i="41" s="1"/>
  <c r="G121" i="58"/>
  <c r="G402" i="58"/>
  <c r="G402" i="37"/>
  <c r="G402" i="41" s="1"/>
  <c r="G81" i="58"/>
  <c r="G81" i="37"/>
  <c r="G81" i="41" s="1"/>
  <c r="G97" i="37"/>
  <c r="G97" i="41" s="1"/>
  <c r="G97" i="58"/>
  <c r="G105" i="37"/>
  <c r="G105" i="41" s="1"/>
  <c r="G105" i="58"/>
  <c r="G125" i="37"/>
  <c r="G125" i="41" s="1"/>
  <c r="G125" i="58"/>
  <c r="G321" i="37"/>
  <c r="G321" i="41" s="1"/>
  <c r="G321" i="58"/>
  <c r="G412" i="58"/>
  <c r="G412" i="37"/>
  <c r="G412" i="41" s="1"/>
  <c r="G428" i="58"/>
  <c r="G428" i="37"/>
  <c r="G428" i="41" s="1"/>
  <c r="G74" i="58"/>
  <c r="G74" i="37"/>
  <c r="G74" i="41" s="1"/>
  <c r="G82" i="58"/>
  <c r="G82" i="37"/>
  <c r="G82" i="41" s="1"/>
  <c r="G90" i="37"/>
  <c r="G90" i="41" s="1"/>
  <c r="G90" i="58"/>
  <c r="G98" i="58"/>
  <c r="G98" i="37"/>
  <c r="G98" i="41" s="1"/>
  <c r="G106" i="58"/>
  <c r="G106" i="37"/>
  <c r="G106" i="41" s="1"/>
  <c r="G114" i="37"/>
  <c r="G114" i="41" s="1"/>
  <c r="G114" i="58"/>
  <c r="G129" i="37"/>
  <c r="G129" i="41" s="1"/>
  <c r="G129" i="58"/>
  <c r="G166" i="37"/>
  <c r="G166" i="41" s="1"/>
  <c r="G166" i="58"/>
  <c r="G325" i="58"/>
  <c r="G325" i="37"/>
  <c r="G325" i="41" s="1"/>
  <c r="G404" i="58"/>
  <c r="G404" i="37"/>
  <c r="G404" i="41" s="1"/>
  <c r="G413" i="37"/>
  <c r="G413" i="41" s="1"/>
  <c r="G413" i="58"/>
  <c r="G421" i="37"/>
  <c r="G421" i="41" s="1"/>
  <c r="G421" i="58"/>
  <c r="G431" i="58"/>
  <c r="G431" i="37"/>
  <c r="G431" i="41" s="1"/>
  <c r="G441" i="37"/>
  <c r="G441" i="41" s="1"/>
  <c r="G441" i="58"/>
  <c r="G450" i="37"/>
  <c r="G450" i="41" s="1"/>
  <c r="G450" i="58"/>
  <c r="G458" i="58"/>
  <c r="G458" i="37"/>
  <c r="G458" i="41" s="1"/>
  <c r="G398" i="58"/>
  <c r="G398" i="37"/>
  <c r="G398" i="41" s="1"/>
  <c r="G390" i="58"/>
  <c r="G390" i="37"/>
  <c r="G390" i="41" s="1"/>
  <c r="G382" i="37"/>
  <c r="G382" i="41" s="1"/>
  <c r="G382" i="58"/>
  <c r="G374" i="37"/>
  <c r="G374" i="41" s="1"/>
  <c r="G374" i="58"/>
  <c r="G366" i="58"/>
  <c r="G366" i="37"/>
  <c r="G366" i="41" s="1"/>
  <c r="G358" i="37"/>
  <c r="G358" i="41" s="1"/>
  <c r="G358" i="58"/>
  <c r="G350" i="58"/>
  <c r="G350" i="37"/>
  <c r="G350" i="41" s="1"/>
  <c r="G340" i="37"/>
  <c r="G340" i="41" s="1"/>
  <c r="G340" i="58"/>
  <c r="G330" i="58"/>
  <c r="G330" i="37"/>
  <c r="G330" i="41" s="1"/>
  <c r="G319" i="58"/>
  <c r="G319" i="37"/>
  <c r="G319" i="41" s="1"/>
  <c r="G308" i="58"/>
  <c r="G308" i="37"/>
  <c r="G308" i="41" s="1"/>
  <c r="G298" i="58"/>
  <c r="G298" i="37"/>
  <c r="G298" i="41" s="1"/>
  <c r="G290" i="58"/>
  <c r="G290" i="37"/>
  <c r="G290" i="41" s="1"/>
  <c r="G282" i="58"/>
  <c r="G282" i="37"/>
  <c r="G282" i="41" s="1"/>
  <c r="G274" i="58"/>
  <c r="G274" i="37"/>
  <c r="G274" i="41" s="1"/>
  <c r="G266" i="37"/>
  <c r="G266" i="41" s="1"/>
  <c r="G266" i="58"/>
  <c r="G258" i="37"/>
  <c r="G258" i="41" s="1"/>
  <c r="G258" i="58"/>
  <c r="G250" i="37"/>
  <c r="G250" i="41" s="1"/>
  <c r="G250" i="58"/>
  <c r="G242" i="37"/>
  <c r="G242" i="41" s="1"/>
  <c r="G242" i="58"/>
  <c r="G234" i="58"/>
  <c r="G234" i="37"/>
  <c r="G234" i="41" s="1"/>
  <c r="G226" i="37"/>
  <c r="G226" i="41" s="1"/>
  <c r="G226" i="58"/>
  <c r="G215" i="58"/>
  <c r="G215" i="37"/>
  <c r="G215" i="41" s="1"/>
  <c r="G204" i="58"/>
  <c r="G204" i="37"/>
  <c r="G204" i="41" s="1"/>
  <c r="G196" i="37"/>
  <c r="G196" i="41" s="1"/>
  <c r="G196" i="58"/>
  <c r="G188" i="58"/>
  <c r="G188" i="37"/>
  <c r="G188" i="41" s="1"/>
  <c r="G180" i="37"/>
  <c r="G180" i="41" s="1"/>
  <c r="G180" i="58"/>
  <c r="G172" i="58"/>
  <c r="G172" i="37"/>
  <c r="G172" i="41" s="1"/>
  <c r="G158" i="58"/>
  <c r="G158" i="37"/>
  <c r="G158" i="41" s="1"/>
  <c r="G150" i="58"/>
  <c r="G150" i="37"/>
  <c r="G150" i="41" s="1"/>
  <c r="G142" i="58"/>
  <c r="G142" i="37"/>
  <c r="G142" i="41" s="1"/>
  <c r="G131" i="37"/>
  <c r="G131" i="41" s="1"/>
  <c r="G131" i="58"/>
  <c r="G120" i="58"/>
  <c r="G120" i="37"/>
  <c r="G120" i="41" s="1"/>
  <c r="E459" i="58"/>
  <c r="E459" i="37"/>
  <c r="E459" i="41" s="1"/>
  <c r="E451" i="58"/>
  <c r="E451" i="37"/>
  <c r="E451" i="41" s="1"/>
  <c r="E442" i="58"/>
  <c r="E442" i="37"/>
  <c r="E442" i="41" s="1"/>
  <c r="E432" i="58"/>
  <c r="E432" i="37"/>
  <c r="E432" i="41" s="1"/>
  <c r="E422" i="58"/>
  <c r="E422" i="37"/>
  <c r="E422" i="41" s="1"/>
  <c r="E414" i="58"/>
  <c r="E414" i="37"/>
  <c r="E414" i="41" s="1"/>
  <c r="E405" i="58"/>
  <c r="E405" i="37"/>
  <c r="E405" i="41" s="1"/>
  <c r="E397" i="58"/>
  <c r="E397" i="37"/>
  <c r="E397" i="41" s="1"/>
  <c r="E389" i="58"/>
  <c r="E389" i="37"/>
  <c r="E389" i="41" s="1"/>
  <c r="E381" i="58"/>
  <c r="E381" i="37"/>
  <c r="E381" i="41" s="1"/>
  <c r="E373" i="58"/>
  <c r="E373" i="37"/>
  <c r="E373" i="41" s="1"/>
  <c r="E365" i="37"/>
  <c r="E365" i="41" s="1"/>
  <c r="E365" i="58"/>
  <c r="E357" i="37"/>
  <c r="E357" i="41" s="1"/>
  <c r="E357" i="58"/>
  <c r="E349" i="37"/>
  <c r="E349" i="41" s="1"/>
  <c r="E349" i="58"/>
  <c r="E341" i="58"/>
  <c r="E341" i="37"/>
  <c r="E341" i="41" s="1"/>
  <c r="E333" i="37"/>
  <c r="E333" i="41" s="1"/>
  <c r="E333" i="58"/>
  <c r="E325" i="37"/>
  <c r="E325" i="41" s="1"/>
  <c r="E325" i="58"/>
  <c r="E317" i="58"/>
  <c r="E317" i="37"/>
  <c r="E317" i="41" s="1"/>
  <c r="E309" i="37"/>
  <c r="E309" i="41" s="1"/>
  <c r="E309" i="58"/>
  <c r="E301" i="37"/>
  <c r="E301" i="41" s="1"/>
  <c r="E301" i="58"/>
  <c r="E293" i="58"/>
  <c r="E293" i="37"/>
  <c r="E293" i="41" s="1"/>
  <c r="E285" i="58"/>
  <c r="E285" i="37"/>
  <c r="E285" i="41" s="1"/>
  <c r="E277" i="58"/>
  <c r="E277" i="37"/>
  <c r="E277" i="41" s="1"/>
  <c r="E269" i="58"/>
  <c r="E269" i="37"/>
  <c r="E269" i="41" s="1"/>
  <c r="E261" i="58"/>
  <c r="E261" i="37"/>
  <c r="E261" i="41" s="1"/>
  <c r="E253" i="58"/>
  <c r="E253" i="37"/>
  <c r="E253" i="41" s="1"/>
  <c r="E245" i="58"/>
  <c r="E245" i="37"/>
  <c r="E245" i="41" s="1"/>
  <c r="E237" i="58"/>
  <c r="E237" i="37"/>
  <c r="E237" i="41" s="1"/>
  <c r="E229" i="58"/>
  <c r="E229" i="37"/>
  <c r="E229" i="41" s="1"/>
  <c r="E219" i="58"/>
  <c r="E219" i="37"/>
  <c r="E219" i="41" s="1"/>
  <c r="E208" i="58"/>
  <c r="E208" i="37"/>
  <c r="E208" i="41" s="1"/>
  <c r="E199" i="37"/>
  <c r="E199" i="41" s="1"/>
  <c r="E199" i="58"/>
  <c r="E191" i="58"/>
  <c r="E191" i="37"/>
  <c r="E191" i="41" s="1"/>
  <c r="E183" i="37"/>
  <c r="E183" i="41" s="1"/>
  <c r="E183" i="58"/>
  <c r="E175" i="58"/>
  <c r="E175" i="37"/>
  <c r="E175" i="41" s="1"/>
  <c r="E167" i="37"/>
  <c r="E167" i="41" s="1"/>
  <c r="E167" i="58"/>
  <c r="E159" i="58"/>
  <c r="E159" i="37"/>
  <c r="E159" i="41" s="1"/>
  <c r="E151" i="37"/>
  <c r="E151" i="41" s="1"/>
  <c r="E151" i="58"/>
  <c r="E143" i="37"/>
  <c r="E143" i="41" s="1"/>
  <c r="E143" i="58"/>
  <c r="E135" i="58"/>
  <c r="E135" i="37"/>
  <c r="E135" i="41" s="1"/>
  <c r="E127" i="37"/>
  <c r="E127" i="41" s="1"/>
  <c r="E127" i="58"/>
  <c r="E119" i="37"/>
  <c r="E119" i="41" s="1"/>
  <c r="E119" i="58"/>
  <c r="E111" i="37"/>
  <c r="E111" i="41" s="1"/>
  <c r="E111" i="58"/>
  <c r="E103" i="37"/>
  <c r="E103" i="41" s="1"/>
  <c r="E103" i="58"/>
  <c r="E95" i="58"/>
  <c r="E95" i="37"/>
  <c r="E95" i="41" s="1"/>
  <c r="E87" i="58"/>
  <c r="E87" i="37"/>
  <c r="E87" i="41" s="1"/>
  <c r="E79" i="37"/>
  <c r="E79" i="41" s="1"/>
  <c r="E79" i="58"/>
  <c r="E9" i="37"/>
  <c r="E9" i="41" s="1"/>
  <c r="E9" i="58"/>
  <c r="G72" i="58"/>
  <c r="I72" i="58" s="1"/>
  <c r="G72" i="37"/>
  <c r="G72" i="41" s="1"/>
  <c r="G68" i="58"/>
  <c r="I68" i="58" s="1"/>
  <c r="G68" i="37"/>
  <c r="G68" i="41" s="1"/>
  <c r="G64" i="58"/>
  <c r="H64" i="58" s="1"/>
  <c r="G64" i="37"/>
  <c r="G64" i="41" s="1"/>
  <c r="G60" i="37"/>
  <c r="G60" i="41" s="1"/>
  <c r="G60" i="58"/>
  <c r="H60" i="58" s="1"/>
  <c r="G56" i="37"/>
  <c r="G56" i="41" s="1"/>
  <c r="G56" i="58"/>
  <c r="I56" i="58" s="1"/>
  <c r="G52" i="37"/>
  <c r="G52" i="41" s="1"/>
  <c r="G52" i="58"/>
  <c r="I52" i="58" s="1"/>
  <c r="G48" i="37"/>
  <c r="G48" i="41" s="1"/>
  <c r="G48" i="58"/>
  <c r="H48" i="58" s="1"/>
  <c r="G44" i="58"/>
  <c r="I44" i="58" s="1"/>
  <c r="G44" i="37"/>
  <c r="G44" i="41" s="1"/>
  <c r="G40" i="37"/>
  <c r="G40" i="41" s="1"/>
  <c r="G40" i="58"/>
  <c r="I40" i="58" s="1"/>
  <c r="G36" i="37"/>
  <c r="G36" i="41" s="1"/>
  <c r="G36" i="58"/>
  <c r="I36" i="58" s="1"/>
  <c r="G32" i="58"/>
  <c r="I32" i="58" s="1"/>
  <c r="G32" i="37"/>
  <c r="G32" i="41" s="1"/>
  <c r="G28" i="58"/>
  <c r="I28" i="58" s="1"/>
  <c r="G28" i="37"/>
  <c r="G28" i="41" s="1"/>
  <c r="G24" i="58"/>
  <c r="H24" i="58" s="1"/>
  <c r="G24" i="37"/>
  <c r="G24" i="41" s="1"/>
  <c r="G20" i="37"/>
  <c r="G20" i="41" s="1"/>
  <c r="G20" i="58"/>
  <c r="H20" i="58" s="1"/>
  <c r="G16" i="37"/>
  <c r="G16" i="41" s="1"/>
  <c r="G16" i="58"/>
  <c r="H16" i="58" s="1"/>
  <c r="G12" i="58"/>
  <c r="G12" i="37"/>
  <c r="E470" i="58"/>
  <c r="E470" i="37"/>
  <c r="E470" i="41" s="1"/>
  <c r="E225" i="58"/>
  <c r="E225" i="37"/>
  <c r="E225" i="41" s="1"/>
  <c r="H8" i="37"/>
  <c r="H8" i="58"/>
  <c r="E270" i="38"/>
  <c r="G249" i="66" s="1"/>
  <c r="E225" i="38"/>
  <c r="G105" i="66" s="1"/>
  <c r="H440" i="58"/>
  <c r="H440" i="37"/>
  <c r="E243" i="38"/>
  <c r="G149" i="66" s="1"/>
  <c r="G5" i="66"/>
  <c r="E235" i="38"/>
  <c r="G189" i="66" s="1"/>
  <c r="N189" i="66" s="1"/>
  <c r="G45" i="66"/>
  <c r="N45" i="66" s="1"/>
  <c r="I441" i="37"/>
  <c r="I441" i="58"/>
  <c r="E253" i="38"/>
  <c r="E208" i="38"/>
  <c r="E251" i="38"/>
  <c r="E206" i="38"/>
  <c r="J58" i="37"/>
  <c r="J58" i="58"/>
  <c r="J34" i="58"/>
  <c r="J34" i="37"/>
  <c r="I70" i="37"/>
  <c r="I70" i="58"/>
  <c r="I46" i="58"/>
  <c r="I22" i="37"/>
  <c r="I22" i="58"/>
  <c r="H64" i="37"/>
  <c r="H40" i="37"/>
  <c r="H40" i="58"/>
  <c r="H28" i="37"/>
  <c r="I63" i="58"/>
  <c r="I63" i="37"/>
  <c r="I51" i="37"/>
  <c r="I51" i="58"/>
  <c r="I39" i="37"/>
  <c r="I39" i="58"/>
  <c r="I27" i="37"/>
  <c r="I15" i="58"/>
  <c r="I15" i="37"/>
  <c r="H66" i="58"/>
  <c r="H54" i="58"/>
  <c r="H54" i="37"/>
  <c r="H42" i="37"/>
  <c r="H30" i="37"/>
  <c r="H18" i="37"/>
  <c r="H18" i="58"/>
  <c r="J65" i="58"/>
  <c r="J65" i="37"/>
  <c r="J47" i="37"/>
  <c r="J47" i="58"/>
  <c r="J42" i="37"/>
  <c r="J26" i="58"/>
  <c r="J26" i="37"/>
  <c r="J24" i="58"/>
  <c r="J21" i="37"/>
  <c r="J21" i="58"/>
  <c r="J18" i="58"/>
  <c r="J18" i="37"/>
  <c r="J15" i="37"/>
  <c r="J15" i="58"/>
  <c r="G93" i="66" l="1"/>
  <c r="F12" i="39" s="1"/>
  <c r="G59" i="66"/>
  <c r="F14" i="39" s="1"/>
  <c r="G57" i="66"/>
  <c r="F16" i="39" s="1"/>
  <c r="G53" i="66"/>
  <c r="G75" i="66"/>
  <c r="F13" i="39" s="1"/>
  <c r="G14" i="39"/>
  <c r="O153" i="66"/>
  <c r="U153" i="66" s="1"/>
  <c r="G16" i="39"/>
  <c r="G13" i="39"/>
  <c r="O189" i="66"/>
  <c r="Q189" i="66" s="1"/>
  <c r="O155" i="66"/>
  <c r="U155" i="66" s="1"/>
  <c r="G12" i="39"/>
  <c r="N219" i="66"/>
  <c r="Y45" i="66"/>
  <c r="Z45" i="66"/>
  <c r="O45" i="66"/>
  <c r="Y189" i="66"/>
  <c r="Z189" i="66"/>
  <c r="Y155" i="66"/>
  <c r="O11" i="66"/>
  <c r="Y11" i="66"/>
  <c r="Z155" i="66"/>
  <c r="Z11" i="66"/>
  <c r="O171" i="66"/>
  <c r="Z153" i="66"/>
  <c r="O9" i="66"/>
  <c r="Y9" i="66"/>
  <c r="Y153" i="66"/>
  <c r="Z9" i="66"/>
  <c r="Z27" i="66"/>
  <c r="Y27" i="66"/>
  <c r="O27" i="66"/>
  <c r="Y171" i="66"/>
  <c r="Z171" i="66"/>
  <c r="N203" i="66"/>
  <c r="N237" i="66"/>
  <c r="J37" i="37"/>
  <c r="J37" i="41" s="1"/>
  <c r="I72" i="37"/>
  <c r="I72" i="41" s="1"/>
  <c r="J33" i="37"/>
  <c r="J33" i="58"/>
  <c r="H33" i="58"/>
  <c r="H33" i="41" s="1"/>
  <c r="J73" i="58"/>
  <c r="J73" i="41" s="1"/>
  <c r="H72" i="37"/>
  <c r="I49" i="41"/>
  <c r="H446" i="41"/>
  <c r="H21" i="41"/>
  <c r="H28" i="58"/>
  <c r="H28" i="41" s="1"/>
  <c r="H32" i="37"/>
  <c r="H60" i="37"/>
  <c r="H60" i="41" s="1"/>
  <c r="I61" i="37"/>
  <c r="I61" i="41" s="1"/>
  <c r="J20" i="58"/>
  <c r="H44" i="37"/>
  <c r="J23" i="58"/>
  <c r="J23" i="41" s="1"/>
  <c r="H44" i="58"/>
  <c r="H57" i="58"/>
  <c r="H57" i="41" s="1"/>
  <c r="I45" i="58"/>
  <c r="I45" i="41" s="1"/>
  <c r="J70" i="58"/>
  <c r="J70" i="41" s="1"/>
  <c r="J39" i="58"/>
  <c r="J39" i="41" s="1"/>
  <c r="H62" i="37"/>
  <c r="I16" i="37"/>
  <c r="J30" i="37"/>
  <c r="I25" i="58"/>
  <c r="I25" i="41" s="1"/>
  <c r="I18" i="37"/>
  <c r="I18" i="41" s="1"/>
  <c r="J40" i="58"/>
  <c r="I55" i="58"/>
  <c r="I55" i="41" s="1"/>
  <c r="H62" i="58"/>
  <c r="I71" i="37"/>
  <c r="I71" i="41" s="1"/>
  <c r="J52" i="58"/>
  <c r="J35" i="37"/>
  <c r="I30" i="58"/>
  <c r="I69" i="37"/>
  <c r="I69" i="41" s="1"/>
  <c r="J62" i="37"/>
  <c r="H71" i="37"/>
  <c r="H71" i="41" s="1"/>
  <c r="H17" i="37"/>
  <c r="H17" i="41" s="1"/>
  <c r="I22" i="41"/>
  <c r="J24" i="37"/>
  <c r="J24" i="41" s="1"/>
  <c r="I41" i="37"/>
  <c r="J62" i="58"/>
  <c r="I20" i="58"/>
  <c r="I23" i="58"/>
  <c r="I23" i="41" s="1"/>
  <c r="J71" i="41"/>
  <c r="H162" i="41"/>
  <c r="H67" i="41"/>
  <c r="J65" i="41"/>
  <c r="I63" i="41"/>
  <c r="H18" i="41"/>
  <c r="J440" i="41"/>
  <c r="H22" i="41"/>
  <c r="H19" i="41"/>
  <c r="H39" i="41"/>
  <c r="H63" i="41"/>
  <c r="I15" i="41"/>
  <c r="I39" i="41"/>
  <c r="H441" i="41"/>
  <c r="J15" i="41"/>
  <c r="J61" i="41"/>
  <c r="I446" i="41"/>
  <c r="I35" i="41"/>
  <c r="I436" i="41"/>
  <c r="H58" i="41"/>
  <c r="J63" i="41"/>
  <c r="I47" i="41"/>
  <c r="H45" i="41"/>
  <c r="H23" i="41"/>
  <c r="H51" i="41"/>
  <c r="J34" i="41"/>
  <c r="H450" i="41"/>
  <c r="J67" i="41"/>
  <c r="H55" i="41"/>
  <c r="H47" i="41"/>
  <c r="I31" i="41"/>
  <c r="J47" i="41"/>
  <c r="J58" i="41"/>
  <c r="I58" i="41"/>
  <c r="J54" i="41"/>
  <c r="I29" i="41"/>
  <c r="J436" i="41"/>
  <c r="J51" i="41"/>
  <c r="J447" i="41"/>
  <c r="I163" i="41"/>
  <c r="J450" i="41"/>
  <c r="H440" i="41"/>
  <c r="H46" i="41"/>
  <c r="I313" i="58"/>
  <c r="I313" i="37"/>
  <c r="G10" i="66"/>
  <c r="H429" i="37"/>
  <c r="G112" i="66"/>
  <c r="J427" i="37"/>
  <c r="J428" i="37"/>
  <c r="G124" i="66"/>
  <c r="N124" i="66" s="1"/>
  <c r="I425" i="58"/>
  <c r="G239" i="66"/>
  <c r="I363" i="58"/>
  <c r="I363" i="37"/>
  <c r="I395" i="37"/>
  <c r="I395" i="58"/>
  <c r="J141" i="37"/>
  <c r="J141" i="58"/>
  <c r="I230" i="37"/>
  <c r="I230" i="58"/>
  <c r="H30" i="41"/>
  <c r="H16" i="37"/>
  <c r="H16" i="41" s="1"/>
  <c r="H64" i="41"/>
  <c r="H420" i="37"/>
  <c r="G24" i="66"/>
  <c r="C34" i="63"/>
  <c r="G231" i="66"/>
  <c r="I424" i="58"/>
  <c r="J36" i="37"/>
  <c r="H20" i="37"/>
  <c r="H20" i="41" s="1"/>
  <c r="H68" i="37"/>
  <c r="G187" i="66"/>
  <c r="N187" i="66" s="1"/>
  <c r="H431" i="58"/>
  <c r="I455" i="41"/>
  <c r="E358" i="38"/>
  <c r="K59" i="66" s="1"/>
  <c r="N59" i="66" s="1"/>
  <c r="J48" i="58"/>
  <c r="I52" i="37"/>
  <c r="I52" i="41" s="1"/>
  <c r="G223" i="66"/>
  <c r="I426" i="58"/>
  <c r="G165" i="66"/>
  <c r="N165" i="66" s="1"/>
  <c r="H432" i="58"/>
  <c r="I21" i="58"/>
  <c r="G183" i="66"/>
  <c r="H424" i="58"/>
  <c r="I46" i="37"/>
  <c r="I46" i="41" s="1"/>
  <c r="G46" i="41"/>
  <c r="J60" i="37"/>
  <c r="H59" i="41"/>
  <c r="I68" i="37"/>
  <c r="I68" i="41" s="1"/>
  <c r="G29" i="66"/>
  <c r="H423" i="37"/>
  <c r="J72" i="58"/>
  <c r="H26" i="37"/>
  <c r="H26" i="41" s="1"/>
  <c r="I37" i="37"/>
  <c r="H430" i="37"/>
  <c r="G17" i="66"/>
  <c r="E386" i="38"/>
  <c r="J422" i="58"/>
  <c r="G281" i="66"/>
  <c r="J14" i="37"/>
  <c r="J14" i="41" s="1"/>
  <c r="J41" i="37"/>
  <c r="I48" i="58"/>
  <c r="H49" i="58"/>
  <c r="I64" i="58"/>
  <c r="J53" i="37"/>
  <c r="J53" i="41" s="1"/>
  <c r="H53" i="58"/>
  <c r="I38" i="58"/>
  <c r="J55" i="58"/>
  <c r="G163" i="66"/>
  <c r="H419" i="58"/>
  <c r="G279" i="66"/>
  <c r="J424" i="58"/>
  <c r="I361" i="58"/>
  <c r="I361" i="37"/>
  <c r="I162" i="58"/>
  <c r="I162" i="37"/>
  <c r="H404" i="37"/>
  <c r="H404" i="58"/>
  <c r="F174" i="66" s="1"/>
  <c r="N174" i="66" s="1"/>
  <c r="G175" i="66"/>
  <c r="N175" i="66" s="1"/>
  <c r="H426" i="58"/>
  <c r="I50" i="37"/>
  <c r="J208" i="37"/>
  <c r="J208" i="58"/>
  <c r="J341" i="58"/>
  <c r="J341" i="37"/>
  <c r="I235" i="58"/>
  <c r="I235" i="37"/>
  <c r="J162" i="58"/>
  <c r="J162" i="37"/>
  <c r="H251" i="58"/>
  <c r="H251" i="37"/>
  <c r="J21" i="41"/>
  <c r="H42" i="41"/>
  <c r="I27" i="58"/>
  <c r="I27" i="41" s="1"/>
  <c r="H420" i="58"/>
  <c r="G168" i="66"/>
  <c r="H8" i="41"/>
  <c r="C7" i="63"/>
  <c r="J36" i="58"/>
  <c r="H32" i="58"/>
  <c r="I17" i="41"/>
  <c r="I65" i="41"/>
  <c r="G43" i="66"/>
  <c r="N43" i="66" s="1"/>
  <c r="H431" i="37"/>
  <c r="J56" i="37"/>
  <c r="J48" i="37"/>
  <c r="I66" i="37"/>
  <c r="I66" i="41" s="1"/>
  <c r="H43" i="41"/>
  <c r="J16" i="37"/>
  <c r="G220" i="66"/>
  <c r="I428" i="58"/>
  <c r="G259" i="66"/>
  <c r="J419" i="58"/>
  <c r="J22" i="41"/>
  <c r="G100" i="66"/>
  <c r="J421" i="37"/>
  <c r="J60" i="58"/>
  <c r="H163" i="41"/>
  <c r="J43" i="58"/>
  <c r="J43" i="41" s="1"/>
  <c r="G264" i="66"/>
  <c r="J420" i="58"/>
  <c r="I447" i="41"/>
  <c r="H36" i="37"/>
  <c r="J45" i="37"/>
  <c r="J45" i="41" s="1"/>
  <c r="H38" i="37"/>
  <c r="H38" i="41" s="1"/>
  <c r="I37" i="58"/>
  <c r="H430" i="58"/>
  <c r="G161" i="66"/>
  <c r="E389" i="38"/>
  <c r="G47" i="66"/>
  <c r="N47" i="66" s="1"/>
  <c r="H425" i="37"/>
  <c r="E391" i="38"/>
  <c r="J430" i="58"/>
  <c r="G257" i="66"/>
  <c r="J17" i="37"/>
  <c r="J57" i="37"/>
  <c r="I60" i="37"/>
  <c r="H61" i="58"/>
  <c r="J28" i="37"/>
  <c r="H418" i="58"/>
  <c r="G169" i="66"/>
  <c r="G125" i="66"/>
  <c r="J423" i="37"/>
  <c r="J69" i="58"/>
  <c r="H53" i="37"/>
  <c r="I38" i="37"/>
  <c r="I19" i="37"/>
  <c r="I19" i="41" s="1"/>
  <c r="J55" i="37"/>
  <c r="G19" i="66"/>
  <c r="H419" i="37"/>
  <c r="G135" i="66"/>
  <c r="J424" i="37"/>
  <c r="J181" i="37"/>
  <c r="J181" i="58"/>
  <c r="J292" i="58"/>
  <c r="J292" i="37"/>
  <c r="I157" i="37"/>
  <c r="I157" i="58"/>
  <c r="I283" i="58"/>
  <c r="I283" i="37"/>
  <c r="H175" i="37"/>
  <c r="H175" i="58"/>
  <c r="J276" i="37"/>
  <c r="J276" i="58"/>
  <c r="H152" i="58"/>
  <c r="H152" i="37"/>
  <c r="H54" i="41"/>
  <c r="I421" i="37"/>
  <c r="G52" i="66"/>
  <c r="H428" i="37"/>
  <c r="G28" i="66"/>
  <c r="N28" i="66" s="1"/>
  <c r="J38" i="41"/>
  <c r="G154" i="66"/>
  <c r="H429" i="58"/>
  <c r="H73" i="37"/>
  <c r="H73" i="41" s="1"/>
  <c r="J56" i="58"/>
  <c r="J50" i="58"/>
  <c r="J16" i="58"/>
  <c r="G76" i="66"/>
  <c r="I428" i="37"/>
  <c r="G115" i="66"/>
  <c r="J419" i="37"/>
  <c r="J421" i="58"/>
  <c r="G244" i="66"/>
  <c r="G120" i="66"/>
  <c r="J420" i="37"/>
  <c r="H36" i="58"/>
  <c r="H50" i="37"/>
  <c r="H50" i="41" s="1"/>
  <c r="H425" i="58"/>
  <c r="G191" i="66"/>
  <c r="N191" i="66" s="1"/>
  <c r="G113" i="66"/>
  <c r="E388" i="38"/>
  <c r="J430" i="37"/>
  <c r="J17" i="58"/>
  <c r="J57" i="58"/>
  <c r="I60" i="58"/>
  <c r="H61" i="37"/>
  <c r="J28" i="58"/>
  <c r="H418" i="37"/>
  <c r="G25" i="66"/>
  <c r="J423" i="58"/>
  <c r="G269" i="66"/>
  <c r="J69" i="37"/>
  <c r="H65" i="37"/>
  <c r="H65" i="41" s="1"/>
  <c r="I50" i="58"/>
  <c r="I43" i="37"/>
  <c r="G95" i="66"/>
  <c r="I425" i="37"/>
  <c r="G16" i="66"/>
  <c r="H427" i="37"/>
  <c r="G261" i="66"/>
  <c r="N261" i="66" s="1"/>
  <c r="J432" i="58"/>
  <c r="G117" i="66"/>
  <c r="N117" i="66" s="1"/>
  <c r="J432" i="37"/>
  <c r="G139" i="66"/>
  <c r="N139" i="66" s="1"/>
  <c r="J431" i="37"/>
  <c r="J11" i="58"/>
  <c r="I11" i="58"/>
  <c r="H11" i="58"/>
  <c r="G160" i="66"/>
  <c r="H427" i="58"/>
  <c r="I357" i="37"/>
  <c r="I357" i="58"/>
  <c r="H40" i="41"/>
  <c r="G77" i="66"/>
  <c r="I423" i="37"/>
  <c r="H24" i="37"/>
  <c r="H24" i="41" s="1"/>
  <c r="J46" i="41"/>
  <c r="I419" i="58"/>
  <c r="G211" i="66"/>
  <c r="E359" i="38"/>
  <c r="K57" i="66" s="1"/>
  <c r="N57" i="66" s="1"/>
  <c r="O201" i="66" s="1"/>
  <c r="I456" i="41"/>
  <c r="J455" i="58"/>
  <c r="E382" i="38" s="1"/>
  <c r="K251" i="66" s="1"/>
  <c r="N251" i="66" s="1"/>
  <c r="J453" i="37"/>
  <c r="J453" i="58"/>
  <c r="E380" i="38" s="1"/>
  <c r="K285" i="66" s="1"/>
  <c r="N285" i="66" s="1"/>
  <c r="J455" i="37"/>
  <c r="J454" i="58"/>
  <c r="E381" i="38" s="1"/>
  <c r="K267" i="66" s="1"/>
  <c r="N267" i="66" s="1"/>
  <c r="J454" i="37"/>
  <c r="J456" i="58"/>
  <c r="E383" i="38" s="1"/>
  <c r="K249" i="66" s="1"/>
  <c r="N249" i="66" s="1"/>
  <c r="J456" i="37"/>
  <c r="I30" i="41"/>
  <c r="J40" i="37"/>
  <c r="G69" i="66"/>
  <c r="I432" i="37"/>
  <c r="G256" i="66"/>
  <c r="J427" i="58"/>
  <c r="I20" i="37"/>
  <c r="G268" i="66"/>
  <c r="N268" i="66" s="1"/>
  <c r="J428" i="58"/>
  <c r="H72" i="58"/>
  <c r="J68" i="58"/>
  <c r="I59" i="58"/>
  <c r="I59" i="41" s="1"/>
  <c r="J25" i="37"/>
  <c r="J25" i="41" s="1"/>
  <c r="J441" i="41"/>
  <c r="J20" i="37"/>
  <c r="H27" i="41"/>
  <c r="I24" i="58"/>
  <c r="H25" i="58"/>
  <c r="I16" i="58"/>
  <c r="J52" i="37"/>
  <c r="G31" i="66"/>
  <c r="N31" i="66" s="1"/>
  <c r="H6" i="6" s="1"/>
  <c r="H426" i="37"/>
  <c r="G283" i="66"/>
  <c r="N283" i="66" s="1"/>
  <c r="J431" i="58"/>
  <c r="G11" i="41"/>
  <c r="J11" i="37"/>
  <c r="H11" i="37"/>
  <c r="I11" i="37"/>
  <c r="J30" i="58"/>
  <c r="I14" i="37"/>
  <c r="I62" i="37"/>
  <c r="I62" i="41" s="1"/>
  <c r="G91" i="66"/>
  <c r="I431" i="37"/>
  <c r="H438" i="41"/>
  <c r="J451" i="41"/>
  <c r="I213" i="58"/>
  <c r="I213" i="37"/>
  <c r="I379" i="37"/>
  <c r="I379" i="58"/>
  <c r="J26" i="41"/>
  <c r="H66" i="37"/>
  <c r="H66" i="41" s="1"/>
  <c r="I51" i="41"/>
  <c r="H52" i="37"/>
  <c r="I70" i="41"/>
  <c r="I423" i="58"/>
  <c r="G221" i="66"/>
  <c r="G72" i="66"/>
  <c r="I420" i="37"/>
  <c r="H56" i="37"/>
  <c r="G67" i="66"/>
  <c r="I419" i="37"/>
  <c r="E357" i="38"/>
  <c r="K75" i="66" s="1"/>
  <c r="N75" i="66" s="1"/>
  <c r="I454" i="41"/>
  <c r="H70" i="37"/>
  <c r="H70" i="41" s="1"/>
  <c r="G70" i="41"/>
  <c r="J27" i="58"/>
  <c r="J27" i="41" s="1"/>
  <c r="J66" i="37"/>
  <c r="J66" i="41" s="1"/>
  <c r="I28" i="37"/>
  <c r="I28" i="41" s="1"/>
  <c r="J64" i="58"/>
  <c r="H422" i="58"/>
  <c r="G185" i="66"/>
  <c r="G13" i="41"/>
  <c r="I13" i="37"/>
  <c r="H13" i="37"/>
  <c r="J13" i="37"/>
  <c r="H48" i="37"/>
  <c r="H48" i="41" s="1"/>
  <c r="G233" i="66"/>
  <c r="I422" i="58"/>
  <c r="I32" i="37"/>
  <c r="I32" i="41" s="1"/>
  <c r="C16" i="63"/>
  <c r="I8" i="41"/>
  <c r="I33" i="37"/>
  <c r="I33" i="41" s="1"/>
  <c r="J68" i="37"/>
  <c r="E387" i="38"/>
  <c r="G65" i="66"/>
  <c r="I430" i="37"/>
  <c r="I24" i="37"/>
  <c r="H25" i="37"/>
  <c r="I427" i="37"/>
  <c r="G64" i="66"/>
  <c r="H15" i="37"/>
  <c r="H15" i="41" s="1"/>
  <c r="G15" i="41"/>
  <c r="H29" i="37"/>
  <c r="H29" i="41" s="1"/>
  <c r="I14" i="58"/>
  <c r="I67" i="37"/>
  <c r="I67" i="41" s="1"/>
  <c r="G235" i="66"/>
  <c r="I431" i="58"/>
  <c r="H428" i="58"/>
  <c r="G172" i="66"/>
  <c r="N172" i="66" s="1"/>
  <c r="I453" i="41"/>
  <c r="E356" i="38"/>
  <c r="K93" i="66" s="1"/>
  <c r="N93" i="66" s="1"/>
  <c r="J50" i="37"/>
  <c r="I43" i="58"/>
  <c r="J235" i="58"/>
  <c r="J235" i="37"/>
  <c r="H290" i="37"/>
  <c r="H290" i="58"/>
  <c r="J8" i="58"/>
  <c r="J8" i="37"/>
  <c r="H52" i="58"/>
  <c r="G143" i="66"/>
  <c r="J425" i="37"/>
  <c r="G12" i="41"/>
  <c r="H12" i="37"/>
  <c r="J12" i="37"/>
  <c r="I12" i="37"/>
  <c r="G216" i="66"/>
  <c r="I420" i="58"/>
  <c r="J59" i="58"/>
  <c r="J59" i="41" s="1"/>
  <c r="H56" i="58"/>
  <c r="I41" i="58"/>
  <c r="G148" i="66"/>
  <c r="H421" i="58"/>
  <c r="G127" i="66"/>
  <c r="J426" i="37"/>
  <c r="J32" i="37"/>
  <c r="I42" i="58"/>
  <c r="I42" i="41" s="1"/>
  <c r="J64" i="37"/>
  <c r="G41" i="66"/>
  <c r="H422" i="37"/>
  <c r="I13" i="58"/>
  <c r="J13" i="58"/>
  <c r="H13" i="58"/>
  <c r="G89" i="66"/>
  <c r="I422" i="37"/>
  <c r="J44" i="58"/>
  <c r="I44" i="37"/>
  <c r="I44" i="41" s="1"/>
  <c r="E259" i="38"/>
  <c r="G214" i="66" s="1"/>
  <c r="D18" i="34"/>
  <c r="E214" i="38"/>
  <c r="J438" i="41"/>
  <c r="C43" i="63"/>
  <c r="J29" i="58"/>
  <c r="H14" i="37"/>
  <c r="J49" i="37"/>
  <c r="G209" i="66"/>
  <c r="I430" i="58"/>
  <c r="E390" i="38"/>
  <c r="H451" i="41"/>
  <c r="I36" i="37"/>
  <c r="I36" i="41" s="1"/>
  <c r="H37" i="37"/>
  <c r="H37" i="41" s="1"/>
  <c r="I40" i="37"/>
  <c r="I40" i="41" s="1"/>
  <c r="G208" i="66"/>
  <c r="I427" i="58"/>
  <c r="H436" i="41"/>
  <c r="J35" i="58"/>
  <c r="I26" i="37"/>
  <c r="J31" i="37"/>
  <c r="J31" i="41" s="1"/>
  <c r="G196" i="66"/>
  <c r="I421" i="58"/>
  <c r="G213" i="66"/>
  <c r="I432" i="58"/>
  <c r="I57" i="37"/>
  <c r="I57" i="41" s="1"/>
  <c r="G57" i="41"/>
  <c r="I73" i="37"/>
  <c r="I73" i="41" s="1"/>
  <c r="I418" i="37"/>
  <c r="J230" i="37"/>
  <c r="J230" i="58"/>
  <c r="J266" i="37"/>
  <c r="J266" i="58"/>
  <c r="I208" i="58"/>
  <c r="I208" i="37"/>
  <c r="I298" i="37"/>
  <c r="I298" i="58"/>
  <c r="I256" i="58"/>
  <c r="I256" i="37"/>
  <c r="J18" i="41"/>
  <c r="J42" i="58"/>
  <c r="J42" i="41" s="1"/>
  <c r="I441" i="41"/>
  <c r="G287" i="66"/>
  <c r="N287" i="66" s="1"/>
  <c r="J425" i="58"/>
  <c r="J12" i="58"/>
  <c r="H12" i="58"/>
  <c r="I12" i="58"/>
  <c r="G87" i="66"/>
  <c r="I424" i="37"/>
  <c r="H68" i="58"/>
  <c r="I53" i="41"/>
  <c r="H421" i="37"/>
  <c r="G4" i="66"/>
  <c r="G271" i="66"/>
  <c r="N271" i="66" s="1"/>
  <c r="J426" i="58"/>
  <c r="J32" i="58"/>
  <c r="H69" i="37"/>
  <c r="H69" i="41" s="1"/>
  <c r="I54" i="37"/>
  <c r="I54" i="41" s="1"/>
  <c r="H31" i="41"/>
  <c r="G79" i="66"/>
  <c r="I426" i="37"/>
  <c r="G21" i="66"/>
  <c r="N21" i="66" s="1"/>
  <c r="H432" i="37"/>
  <c r="J446" i="41"/>
  <c r="I21" i="37"/>
  <c r="I34" i="58"/>
  <c r="H424" i="37"/>
  <c r="G39" i="66"/>
  <c r="J44" i="37"/>
  <c r="I56" i="37"/>
  <c r="I56" i="41" s="1"/>
  <c r="J19" i="41"/>
  <c r="G173" i="66"/>
  <c r="H423" i="58"/>
  <c r="J72" i="37"/>
  <c r="H34" i="37"/>
  <c r="H34" i="41" s="1"/>
  <c r="J29" i="37"/>
  <c r="H14" i="58"/>
  <c r="J49" i="58"/>
  <c r="G137" i="66"/>
  <c r="J422" i="37"/>
  <c r="J41" i="58"/>
  <c r="I48" i="37"/>
  <c r="H49" i="37"/>
  <c r="I64" i="37"/>
  <c r="I438" i="41"/>
  <c r="H447" i="41"/>
  <c r="I450" i="41"/>
  <c r="H41" i="37"/>
  <c r="H41" i="41" s="1"/>
  <c r="I26" i="58"/>
  <c r="J163" i="41"/>
  <c r="I440" i="41"/>
  <c r="I451" i="41"/>
  <c r="H7" i="6" l="1"/>
  <c r="M65" i="66"/>
  <c r="M209" i="66"/>
  <c r="M169" i="66"/>
  <c r="M25" i="66"/>
  <c r="G70" i="66"/>
  <c r="Q153" i="66"/>
  <c r="I424" i="41"/>
  <c r="J55" i="41"/>
  <c r="O203" i="66"/>
  <c r="O237" i="66"/>
  <c r="V237" i="66" s="1"/>
  <c r="X237" i="66" s="1"/>
  <c r="G73" i="66"/>
  <c r="I418" i="58"/>
  <c r="G217" i="66"/>
  <c r="J419" i="41"/>
  <c r="U189" i="66"/>
  <c r="Q155" i="66"/>
  <c r="U171" i="66"/>
  <c r="Q171" i="66"/>
  <c r="Q27" i="66"/>
  <c r="U27" i="66"/>
  <c r="Q11" i="66"/>
  <c r="U11" i="66"/>
  <c r="U9" i="66"/>
  <c r="Q9" i="66"/>
  <c r="Q45" i="66"/>
  <c r="U45" i="66"/>
  <c r="I64" i="41"/>
  <c r="J33" i="41"/>
  <c r="H72" i="41"/>
  <c r="I20" i="41"/>
  <c r="J50" i="41"/>
  <c r="H61" i="41"/>
  <c r="H62" i="41"/>
  <c r="J62" i="41"/>
  <c r="H424" i="41"/>
  <c r="H418" i="41"/>
  <c r="J72" i="41"/>
  <c r="H32" i="41"/>
  <c r="J40" i="41"/>
  <c r="I16" i="41"/>
  <c r="I428" i="41"/>
  <c r="I426" i="41"/>
  <c r="H49" i="41"/>
  <c r="I363" i="41"/>
  <c r="J30" i="41"/>
  <c r="J20" i="41"/>
  <c r="I21" i="41"/>
  <c r="J52" i="41"/>
  <c r="I425" i="41"/>
  <c r="H44" i="41"/>
  <c r="I41" i="41"/>
  <c r="J35" i="41"/>
  <c r="J141" i="41"/>
  <c r="H432" i="41"/>
  <c r="O191" i="66"/>
  <c r="Q191" i="66" s="1"/>
  <c r="I48" i="41"/>
  <c r="H68" i="41"/>
  <c r="H419" i="41"/>
  <c r="H422" i="41"/>
  <c r="J235" i="41"/>
  <c r="J420" i="41"/>
  <c r="I420" i="41"/>
  <c r="H175" i="41"/>
  <c r="J181" i="41"/>
  <c r="I213" i="41"/>
  <c r="J431" i="41"/>
  <c r="J29" i="41"/>
  <c r="I26" i="41"/>
  <c r="I422" i="41"/>
  <c r="J432" i="41"/>
  <c r="J64" i="41"/>
  <c r="H290" i="41"/>
  <c r="H431" i="41"/>
  <c r="J424" i="41"/>
  <c r="I313" i="41"/>
  <c r="H152" i="41"/>
  <c r="I361" i="41"/>
  <c r="I208" i="41"/>
  <c r="I38" i="41"/>
  <c r="H423" i="41"/>
  <c r="H25" i="41"/>
  <c r="I24" i="41"/>
  <c r="J292" i="41"/>
  <c r="I235" i="41"/>
  <c r="J428" i="41"/>
  <c r="I427" i="41"/>
  <c r="I43" i="41"/>
  <c r="J230" i="41"/>
  <c r="I423" i="41"/>
  <c r="J422" i="41"/>
  <c r="H14" i="41"/>
  <c r="J68" i="41"/>
  <c r="J69" i="41"/>
  <c r="I283" i="41"/>
  <c r="H53" i="41"/>
  <c r="I60" i="41"/>
  <c r="H251" i="41"/>
  <c r="J36" i="41"/>
  <c r="H285" i="37"/>
  <c r="H285" i="58"/>
  <c r="H365" i="37"/>
  <c r="H365" i="58"/>
  <c r="J327" i="58"/>
  <c r="J327" i="37"/>
  <c r="I356" i="58"/>
  <c r="I356" i="37"/>
  <c r="I243" i="37"/>
  <c r="I243" i="58"/>
  <c r="I140" i="58"/>
  <c r="I140" i="37"/>
  <c r="I137" i="37"/>
  <c r="I137" i="58"/>
  <c r="H387" i="58"/>
  <c r="H387" i="37"/>
  <c r="H319" i="37"/>
  <c r="H319" i="58"/>
  <c r="H236" i="37"/>
  <c r="H236" i="58"/>
  <c r="J172" i="37"/>
  <c r="J172" i="58"/>
  <c r="I310" i="58"/>
  <c r="I310" i="37"/>
  <c r="H375" i="58"/>
  <c r="H375" i="37"/>
  <c r="I287" i="37"/>
  <c r="I287" i="58"/>
  <c r="I152" i="37"/>
  <c r="I152" i="58"/>
  <c r="I207" i="58"/>
  <c r="I207" i="37"/>
  <c r="H232" i="37"/>
  <c r="H232" i="58"/>
  <c r="I380" i="37"/>
  <c r="I380" i="58"/>
  <c r="H253" i="37"/>
  <c r="H253" i="58"/>
  <c r="I227" i="37"/>
  <c r="I227" i="58"/>
  <c r="H280" i="58"/>
  <c r="H280" i="37"/>
  <c r="H346" i="37"/>
  <c r="H346" i="58"/>
  <c r="J335" i="58"/>
  <c r="J335" i="37"/>
  <c r="H371" i="37"/>
  <c r="H371" i="58"/>
  <c r="I228" i="37"/>
  <c r="I228" i="58"/>
  <c r="H208" i="37"/>
  <c r="H208" i="58"/>
  <c r="I144" i="37"/>
  <c r="I144" i="58"/>
  <c r="J140" i="37"/>
  <c r="J140" i="58"/>
  <c r="I337" i="37"/>
  <c r="I337" i="58"/>
  <c r="I294" i="37"/>
  <c r="I294" i="58"/>
  <c r="J137" i="58"/>
  <c r="J137" i="37"/>
  <c r="J344" i="58"/>
  <c r="J344" i="37"/>
  <c r="H348" i="58"/>
  <c r="H348" i="37"/>
  <c r="J174" i="37"/>
  <c r="J174" i="58"/>
  <c r="J328" i="37"/>
  <c r="J328" i="58"/>
  <c r="H369" i="37"/>
  <c r="H369" i="58"/>
  <c r="H123" i="58"/>
  <c r="H123" i="37"/>
  <c r="I400" i="37"/>
  <c r="I400" i="58"/>
  <c r="H262" i="58"/>
  <c r="H262" i="37"/>
  <c r="H149" i="37"/>
  <c r="H149" i="58"/>
  <c r="H264" i="58"/>
  <c r="H264" i="37"/>
  <c r="J151" i="58"/>
  <c r="J151" i="37"/>
  <c r="H197" i="37"/>
  <c r="H197" i="58"/>
  <c r="H353" i="58"/>
  <c r="H353" i="37"/>
  <c r="J155" i="58"/>
  <c r="J155" i="37"/>
  <c r="I277" i="58"/>
  <c r="I277" i="37"/>
  <c r="I145" i="58"/>
  <c r="I145" i="37"/>
  <c r="I175" i="37"/>
  <c r="I175" i="58"/>
  <c r="J206" i="37"/>
  <c r="J206" i="58"/>
  <c r="H314" i="58"/>
  <c r="H314" i="37"/>
  <c r="I203" i="37"/>
  <c r="I203" i="58"/>
  <c r="I141" i="58"/>
  <c r="I141" i="37"/>
  <c r="J266" i="41"/>
  <c r="I379" i="41"/>
  <c r="I14" i="41"/>
  <c r="H426" i="41"/>
  <c r="E365" i="38"/>
  <c r="K105" i="66" s="1"/>
  <c r="N105" i="66" s="1"/>
  <c r="J456" i="41"/>
  <c r="Z117" i="66"/>
  <c r="Z261" i="66"/>
  <c r="Y261" i="66"/>
  <c r="Y117" i="66"/>
  <c r="Z172" i="66"/>
  <c r="Y28" i="66"/>
  <c r="Z28" i="66"/>
  <c r="Y172" i="66"/>
  <c r="J276" i="41"/>
  <c r="M256" i="66"/>
  <c r="J470" i="58"/>
  <c r="J469" i="58"/>
  <c r="F250" i="66" s="1"/>
  <c r="J468" i="58"/>
  <c r="F257" i="66" s="1"/>
  <c r="N257" i="66" s="1"/>
  <c r="J16" i="41"/>
  <c r="O175" i="66"/>
  <c r="I34" i="41"/>
  <c r="Z203" i="66"/>
  <c r="Z59" i="66"/>
  <c r="Y203" i="66"/>
  <c r="Y59" i="66"/>
  <c r="O59" i="66"/>
  <c r="I395" i="41"/>
  <c r="J427" i="41"/>
  <c r="H239" i="58"/>
  <c r="H239" i="37"/>
  <c r="H170" i="58"/>
  <c r="H170" i="37"/>
  <c r="J164" i="58"/>
  <c r="J164" i="37"/>
  <c r="H367" i="58"/>
  <c r="H367" i="37"/>
  <c r="I155" i="58"/>
  <c r="I155" i="37"/>
  <c r="I326" i="37"/>
  <c r="I326" i="58"/>
  <c r="J144" i="58"/>
  <c r="J144" i="37"/>
  <c r="J267" i="58"/>
  <c r="J267" i="37"/>
  <c r="J305" i="37"/>
  <c r="J305" i="58"/>
  <c r="J384" i="37"/>
  <c r="J384" i="58"/>
  <c r="J189" i="37"/>
  <c r="J189" i="58"/>
  <c r="J228" i="58"/>
  <c r="J228" i="37"/>
  <c r="H129" i="37"/>
  <c r="H129" i="58"/>
  <c r="J146" i="58"/>
  <c r="J146" i="37"/>
  <c r="H315" i="37"/>
  <c r="H315" i="58"/>
  <c r="H209" i="37"/>
  <c r="H209" i="58"/>
  <c r="H254" i="37"/>
  <c r="H254" i="58"/>
  <c r="I211" i="58"/>
  <c r="I211" i="37"/>
  <c r="H161" i="58"/>
  <c r="H161" i="37"/>
  <c r="J319" i="37"/>
  <c r="J319" i="58"/>
  <c r="J282" i="58"/>
  <c r="J282" i="37"/>
  <c r="O75" i="66"/>
  <c r="Z219" i="66"/>
  <c r="Y219" i="66"/>
  <c r="Y75" i="66"/>
  <c r="Z75" i="66"/>
  <c r="Z43" i="66"/>
  <c r="Y43" i="66"/>
  <c r="Y187" i="66"/>
  <c r="Z187" i="66"/>
  <c r="I226" i="37"/>
  <c r="I226" i="58"/>
  <c r="H138" i="37"/>
  <c r="H138" i="58"/>
  <c r="J184" i="58"/>
  <c r="J184" i="37"/>
  <c r="I164" i="58"/>
  <c r="I164" i="37"/>
  <c r="J122" i="37"/>
  <c r="J122" i="58"/>
  <c r="H133" i="37"/>
  <c r="H133" i="58"/>
  <c r="I331" i="58"/>
  <c r="I331" i="37"/>
  <c r="J154" i="37"/>
  <c r="J154" i="58"/>
  <c r="H176" i="58"/>
  <c r="H176" i="37"/>
  <c r="I335" i="37"/>
  <c r="I335" i="58"/>
  <c r="H198" i="37"/>
  <c r="H198" i="58"/>
  <c r="I384" i="37"/>
  <c r="I384" i="58"/>
  <c r="I340" i="58"/>
  <c r="I340" i="37"/>
  <c r="J224" i="37"/>
  <c r="J224" i="58"/>
  <c r="H291" i="37"/>
  <c r="H291" i="58"/>
  <c r="H132" i="37"/>
  <c r="H132" i="58"/>
  <c r="H224" i="37"/>
  <c r="H224" i="58"/>
  <c r="J291" i="58"/>
  <c r="J291" i="37"/>
  <c r="J345" i="58"/>
  <c r="J345" i="37"/>
  <c r="I153" i="37"/>
  <c r="I153" i="58"/>
  <c r="I321" i="37"/>
  <c r="I321" i="58"/>
  <c r="I305" i="58"/>
  <c r="I305" i="37"/>
  <c r="J288" i="37"/>
  <c r="J288" i="58"/>
  <c r="I217" i="37"/>
  <c r="I217" i="58"/>
  <c r="I231" i="58"/>
  <c r="I231" i="37"/>
  <c r="J186" i="58"/>
  <c r="J186" i="37"/>
  <c r="I151" i="37"/>
  <c r="I151" i="58"/>
  <c r="J207" i="37"/>
  <c r="J207" i="58"/>
  <c r="H258" i="58"/>
  <c r="H258" i="37"/>
  <c r="I233" i="58"/>
  <c r="I233" i="37"/>
  <c r="J349" i="58"/>
  <c r="J349" i="37"/>
  <c r="H300" i="37"/>
  <c r="H300" i="58"/>
  <c r="J367" i="58"/>
  <c r="J367" i="37"/>
  <c r="I170" i="37"/>
  <c r="I170" i="58"/>
  <c r="H339" i="58"/>
  <c r="H339" i="37"/>
  <c r="J275" i="58"/>
  <c r="J275" i="37"/>
  <c r="J199" i="37"/>
  <c r="J199" i="58"/>
  <c r="H223" i="58"/>
  <c r="H223" i="37"/>
  <c r="I229" i="37"/>
  <c r="I229" i="58"/>
  <c r="J306" i="37"/>
  <c r="J306" i="58"/>
  <c r="H345" i="37"/>
  <c r="H345" i="58"/>
  <c r="J368" i="58"/>
  <c r="J368" i="37"/>
  <c r="J169" i="37"/>
  <c r="J169" i="58"/>
  <c r="H120" i="58"/>
  <c r="H120" i="37"/>
  <c r="J307" i="58"/>
  <c r="J307" i="37"/>
  <c r="J226" i="58"/>
  <c r="J226" i="37"/>
  <c r="I257" i="37"/>
  <c r="I257" i="58"/>
  <c r="J363" i="58"/>
  <c r="J363" i="37"/>
  <c r="H395" i="37"/>
  <c r="H395" i="58"/>
  <c r="J147" i="58"/>
  <c r="J147" i="37"/>
  <c r="J152" i="37"/>
  <c r="J152" i="58"/>
  <c r="J256" i="58"/>
  <c r="J256" i="37"/>
  <c r="I386" i="37"/>
  <c r="I386" i="58"/>
  <c r="J382" i="37"/>
  <c r="J382" i="58"/>
  <c r="J236" i="58"/>
  <c r="J236" i="37"/>
  <c r="J196" i="37"/>
  <c r="J196" i="58"/>
  <c r="H384" i="37"/>
  <c r="H384" i="58"/>
  <c r="H305" i="58"/>
  <c r="H305" i="37"/>
  <c r="J271" i="37"/>
  <c r="J271" i="58"/>
  <c r="I346" i="58"/>
  <c r="I346" i="37"/>
  <c r="J374" i="37"/>
  <c r="J374" i="58"/>
  <c r="J391" i="37"/>
  <c r="J391" i="58"/>
  <c r="H167" i="37"/>
  <c r="H167" i="58"/>
  <c r="H222" i="58"/>
  <c r="H222" i="37"/>
  <c r="I330" i="37"/>
  <c r="I330" i="58"/>
  <c r="H202" i="37"/>
  <c r="H202" i="58"/>
  <c r="J126" i="37"/>
  <c r="J126" i="58"/>
  <c r="J211" i="37"/>
  <c r="J211" i="58"/>
  <c r="H195" i="37"/>
  <c r="H195" i="58"/>
  <c r="H137" i="37"/>
  <c r="H137" i="58"/>
  <c r="J272" i="37"/>
  <c r="J272" i="58"/>
  <c r="J339" i="37"/>
  <c r="J339" i="58"/>
  <c r="J123" i="37"/>
  <c r="J123" i="58"/>
  <c r="H214" i="58"/>
  <c r="H214" i="37"/>
  <c r="H134" i="37"/>
  <c r="H134" i="58"/>
  <c r="H282" i="37"/>
  <c r="H282" i="58"/>
  <c r="H145" i="37"/>
  <c r="H145" i="58"/>
  <c r="I149" i="58"/>
  <c r="I149" i="37"/>
  <c r="H242" i="37"/>
  <c r="H242" i="58"/>
  <c r="H392" i="58"/>
  <c r="H392" i="37"/>
  <c r="H245" i="37"/>
  <c r="H245" i="58"/>
  <c r="H397" i="37"/>
  <c r="H397" i="58"/>
  <c r="J351" i="58"/>
  <c r="J351" i="37"/>
  <c r="I369" i="58"/>
  <c r="I369" i="37"/>
  <c r="I186" i="37"/>
  <c r="I186" i="58"/>
  <c r="H189" i="58"/>
  <c r="H189" i="37"/>
  <c r="I328" i="37"/>
  <c r="I328" i="58"/>
  <c r="I129" i="37"/>
  <c r="I129" i="58"/>
  <c r="J183" i="58"/>
  <c r="J183" i="37"/>
  <c r="J375" i="37"/>
  <c r="J375" i="58"/>
  <c r="I381" i="37"/>
  <c r="I381" i="58"/>
  <c r="J360" i="58"/>
  <c r="J360" i="37"/>
  <c r="I324" i="37"/>
  <c r="I324" i="58"/>
  <c r="H166" i="37"/>
  <c r="H166" i="58"/>
  <c r="J221" i="37"/>
  <c r="J221" i="58"/>
  <c r="I279" i="37"/>
  <c r="I279" i="58"/>
  <c r="J304" i="37"/>
  <c r="J304" i="58"/>
  <c r="J124" i="37"/>
  <c r="J124" i="58"/>
  <c r="I124" i="58"/>
  <c r="I124" i="37"/>
  <c r="J317" i="37"/>
  <c r="J317" i="58"/>
  <c r="I291" i="37"/>
  <c r="I291" i="58"/>
  <c r="H288" i="37"/>
  <c r="H288" i="58"/>
  <c r="I261" i="58"/>
  <c r="I261" i="37"/>
  <c r="J354" i="37"/>
  <c r="J354" i="58"/>
  <c r="J133" i="37"/>
  <c r="J133" i="58"/>
  <c r="I121" i="37"/>
  <c r="I121" i="58"/>
  <c r="J258" i="58"/>
  <c r="J258" i="37"/>
  <c r="I216" i="37"/>
  <c r="I216" i="58"/>
  <c r="H180" i="37"/>
  <c r="H180" i="58"/>
  <c r="I387" i="37"/>
  <c r="I387" i="58"/>
  <c r="J380" i="37"/>
  <c r="J380" i="58"/>
  <c r="J218" i="37"/>
  <c r="J218" i="58"/>
  <c r="I338" i="37"/>
  <c r="I338" i="58"/>
  <c r="J392" i="37"/>
  <c r="J392" i="58"/>
  <c r="H271" i="37"/>
  <c r="H271" i="58"/>
  <c r="I188" i="37"/>
  <c r="I188" i="58"/>
  <c r="J203" i="37"/>
  <c r="J203" i="58"/>
  <c r="I238" i="37"/>
  <c r="I238" i="58"/>
  <c r="I353" i="58"/>
  <c r="I353" i="37"/>
  <c r="H382" i="58"/>
  <c r="H382" i="37"/>
  <c r="H295" i="37"/>
  <c r="H295" i="58"/>
  <c r="I202" i="37"/>
  <c r="I202" i="58"/>
  <c r="H349" i="37"/>
  <c r="H349" i="58"/>
  <c r="I382" i="37"/>
  <c r="I382" i="58"/>
  <c r="H226" i="37"/>
  <c r="H226" i="58"/>
  <c r="H155" i="37"/>
  <c r="H155" i="58"/>
  <c r="J161" i="58"/>
  <c r="J161" i="37"/>
  <c r="I179" i="37"/>
  <c r="I179" i="58"/>
  <c r="H142" i="58"/>
  <c r="H142" i="37"/>
  <c r="H328" i="37"/>
  <c r="H328" i="58"/>
  <c r="H306" i="37"/>
  <c r="H306" i="58"/>
  <c r="J200" i="37"/>
  <c r="J200" i="58"/>
  <c r="J289" i="37"/>
  <c r="J289" i="58"/>
  <c r="I210" i="58"/>
  <c r="I210" i="37"/>
  <c r="J227" i="37"/>
  <c r="J227" i="58"/>
  <c r="H204" i="37"/>
  <c r="H204" i="58"/>
  <c r="H199" i="58"/>
  <c r="H199" i="37"/>
  <c r="I359" i="58"/>
  <c r="I359" i="37"/>
  <c r="H307" i="37"/>
  <c r="H307" i="58"/>
  <c r="H275" i="37"/>
  <c r="H275" i="58"/>
  <c r="H196" i="58"/>
  <c r="H196" i="37"/>
  <c r="H122" i="58"/>
  <c r="H122" i="37"/>
  <c r="H343" i="37"/>
  <c r="H343" i="58"/>
  <c r="H390" i="58"/>
  <c r="H390" i="37"/>
  <c r="J326" i="58"/>
  <c r="J326" i="37"/>
  <c r="I251" i="58"/>
  <c r="I251" i="37"/>
  <c r="J213" i="37"/>
  <c r="J213" i="58"/>
  <c r="J385" i="37"/>
  <c r="J385" i="58"/>
  <c r="J225" i="37"/>
  <c r="J225" i="58"/>
  <c r="I375" i="37"/>
  <c r="I375" i="58"/>
  <c r="J401" i="37"/>
  <c r="J401" i="58"/>
  <c r="H287" i="58"/>
  <c r="H287" i="37"/>
  <c r="I256" i="41"/>
  <c r="M208" i="66"/>
  <c r="I468" i="58"/>
  <c r="F209" i="66" s="1"/>
  <c r="N209" i="66" s="1"/>
  <c r="I469" i="58"/>
  <c r="F202" i="66" s="1"/>
  <c r="I470" i="58"/>
  <c r="J32" i="41"/>
  <c r="J425" i="41"/>
  <c r="J13" i="41"/>
  <c r="C26" i="63"/>
  <c r="Z175" i="66"/>
  <c r="Z31" i="66"/>
  <c r="Y31" i="66"/>
  <c r="O31" i="66"/>
  <c r="Y175" i="66"/>
  <c r="O249" i="66"/>
  <c r="Z57" i="66"/>
  <c r="Z201" i="66"/>
  <c r="Y57" i="66"/>
  <c r="O57" i="66"/>
  <c r="Y201" i="66"/>
  <c r="I418" i="41"/>
  <c r="H428" i="41"/>
  <c r="J28" i="41"/>
  <c r="H425" i="41"/>
  <c r="H36" i="41"/>
  <c r="J421" i="41"/>
  <c r="M16" i="66"/>
  <c r="H469" i="37"/>
  <c r="H470" i="37"/>
  <c r="H468" i="37"/>
  <c r="H173" i="58"/>
  <c r="H173" i="37"/>
  <c r="H130" i="37"/>
  <c r="H130" i="58"/>
  <c r="J149" i="58"/>
  <c r="J149" i="37"/>
  <c r="J365" i="58"/>
  <c r="J365" i="37"/>
  <c r="H237" i="37"/>
  <c r="H237" i="58"/>
  <c r="I396" i="37"/>
  <c r="I396" i="58"/>
  <c r="I166" i="37"/>
  <c r="I166" i="58"/>
  <c r="I273" i="37"/>
  <c r="I273" i="58"/>
  <c r="J259" i="37"/>
  <c r="J259" i="58"/>
  <c r="H376" i="37"/>
  <c r="H376" i="58"/>
  <c r="J260" i="37"/>
  <c r="J260" i="58"/>
  <c r="H292" i="37"/>
  <c r="H292" i="58"/>
  <c r="I289" i="58"/>
  <c r="I289" i="37"/>
  <c r="H327" i="37"/>
  <c r="H327" i="58"/>
  <c r="I286" i="37"/>
  <c r="I286" i="58"/>
  <c r="H140" i="37"/>
  <c r="H140" i="58"/>
  <c r="H400" i="58"/>
  <c r="H400" i="37"/>
  <c r="H370" i="58"/>
  <c r="H370" i="37"/>
  <c r="I355" i="37"/>
  <c r="I355" i="58"/>
  <c r="J241" i="58"/>
  <c r="J241" i="37"/>
  <c r="J299" i="37"/>
  <c r="J299" i="58"/>
  <c r="J378" i="37"/>
  <c r="J378" i="58"/>
  <c r="H165" i="37"/>
  <c r="H165" i="58"/>
  <c r="I374" i="37"/>
  <c r="I374" i="58"/>
  <c r="H334" i="58"/>
  <c r="H334" i="37"/>
  <c r="H284" i="37"/>
  <c r="H284" i="58"/>
  <c r="H188" i="58"/>
  <c r="H188" i="37"/>
  <c r="H396" i="37"/>
  <c r="H396" i="58"/>
  <c r="I259" i="37"/>
  <c r="I259" i="58"/>
  <c r="J356" i="37"/>
  <c r="J356" i="58"/>
  <c r="I268" i="37"/>
  <c r="I268" i="58"/>
  <c r="I199" i="58"/>
  <c r="I199" i="37"/>
  <c r="I319" i="58"/>
  <c r="I319" i="37"/>
  <c r="J240" i="58"/>
  <c r="J240" i="37"/>
  <c r="J298" i="58"/>
  <c r="J298" i="37"/>
  <c r="I376" i="37"/>
  <c r="I376" i="58"/>
  <c r="J388" i="37"/>
  <c r="J388" i="58"/>
  <c r="J355" i="37"/>
  <c r="J355" i="58"/>
  <c r="H299" i="58"/>
  <c r="H299" i="37"/>
  <c r="H200" i="37"/>
  <c r="H200" i="58"/>
  <c r="H362" i="37"/>
  <c r="H362" i="58"/>
  <c r="I343" i="58"/>
  <c r="I343" i="37"/>
  <c r="J386" i="58"/>
  <c r="J386" i="37"/>
  <c r="I311" i="37"/>
  <c r="I311" i="58"/>
  <c r="I271" i="58"/>
  <c r="I271" i="37"/>
  <c r="H298" i="58"/>
  <c r="H298" i="37"/>
  <c r="H286" i="37"/>
  <c r="H286" i="58"/>
  <c r="J202" i="37"/>
  <c r="J202" i="58"/>
  <c r="I349" i="58"/>
  <c r="I349" i="37"/>
  <c r="I339" i="58"/>
  <c r="I339" i="37"/>
  <c r="H267" i="58"/>
  <c r="H267" i="37"/>
  <c r="H192" i="58"/>
  <c r="H192" i="37"/>
  <c r="J297" i="58"/>
  <c r="J297" i="37"/>
  <c r="I354" i="58"/>
  <c r="I354" i="37"/>
  <c r="H393" i="37"/>
  <c r="H393" i="58"/>
  <c r="H159" i="37"/>
  <c r="H159" i="58"/>
  <c r="I270" i="37"/>
  <c r="I270" i="58"/>
  <c r="H252" i="58"/>
  <c r="H252" i="37"/>
  <c r="J156" i="58"/>
  <c r="J156" i="37"/>
  <c r="J348" i="37"/>
  <c r="J348" i="58"/>
  <c r="I366" i="37"/>
  <c r="I366" i="58"/>
  <c r="J321" i="37"/>
  <c r="J321" i="58"/>
  <c r="I267" i="37"/>
  <c r="I267" i="58"/>
  <c r="J399" i="37"/>
  <c r="J399" i="58"/>
  <c r="J166" i="37"/>
  <c r="J166" i="58"/>
  <c r="I237" i="58"/>
  <c r="I237" i="37"/>
  <c r="J249" i="58"/>
  <c r="J249" i="37"/>
  <c r="I393" i="37"/>
  <c r="I393" i="58"/>
  <c r="H340" i="37"/>
  <c r="H340" i="58"/>
  <c r="J261" i="58"/>
  <c r="J261" i="37"/>
  <c r="I234" i="58"/>
  <c r="I234" i="37"/>
  <c r="H270" i="58"/>
  <c r="H270" i="37"/>
  <c r="I204" i="58"/>
  <c r="I204" i="37"/>
  <c r="J329" i="37"/>
  <c r="J329" i="58"/>
  <c r="J121" i="58"/>
  <c r="J121" i="37"/>
  <c r="H321" i="58"/>
  <c r="H321" i="37"/>
  <c r="J201" i="58"/>
  <c r="J201" i="37"/>
  <c r="I201" i="58"/>
  <c r="I201" i="37"/>
  <c r="J393" i="58"/>
  <c r="J393" i="37"/>
  <c r="I316" i="37"/>
  <c r="I316" i="58"/>
  <c r="I371" i="58"/>
  <c r="I371" i="37"/>
  <c r="H356" i="37"/>
  <c r="H356" i="58"/>
  <c r="J361" i="58"/>
  <c r="J361" i="37"/>
  <c r="H179" i="58"/>
  <c r="H179" i="37"/>
  <c r="H332" i="58"/>
  <c r="H332" i="37"/>
  <c r="J145" i="58"/>
  <c r="J145" i="37"/>
  <c r="I178" i="58"/>
  <c r="I178" i="37"/>
  <c r="J222" i="37"/>
  <c r="J222" i="58"/>
  <c r="J283" i="58"/>
  <c r="J283" i="37"/>
  <c r="H234" i="58"/>
  <c r="H234" i="37"/>
  <c r="H121" i="58"/>
  <c r="H121" i="37"/>
  <c r="J287" i="37"/>
  <c r="J287" i="58"/>
  <c r="J138" i="58"/>
  <c r="J138" i="37"/>
  <c r="J362" i="58"/>
  <c r="J362" i="37"/>
  <c r="H283" i="37"/>
  <c r="H283" i="58"/>
  <c r="H230" i="37"/>
  <c r="H230" i="58"/>
  <c r="J394" i="58"/>
  <c r="J394" i="37"/>
  <c r="J178" i="58"/>
  <c r="J178" i="37"/>
  <c r="I184" i="58"/>
  <c r="I184" i="37"/>
  <c r="H178" i="58"/>
  <c r="H178" i="37"/>
  <c r="H331" i="37"/>
  <c r="H331" i="58"/>
  <c r="H377" i="58"/>
  <c r="H377" i="37"/>
  <c r="I193" i="58"/>
  <c r="I193" i="37"/>
  <c r="J182" i="37"/>
  <c r="J182" i="58"/>
  <c r="H311" i="58"/>
  <c r="H311" i="37"/>
  <c r="H203" i="37"/>
  <c r="H203" i="58"/>
  <c r="I244" i="37"/>
  <c r="I244" i="58"/>
  <c r="J274" i="37"/>
  <c r="J274" i="58"/>
  <c r="I350" i="37"/>
  <c r="I350" i="58"/>
  <c r="J158" i="37"/>
  <c r="J158" i="58"/>
  <c r="H235" i="58"/>
  <c r="H235" i="37"/>
  <c r="H191" i="58"/>
  <c r="H191" i="37"/>
  <c r="H309" i="58"/>
  <c r="H309" i="37"/>
  <c r="J397" i="58"/>
  <c r="J397" i="37"/>
  <c r="H228" i="58"/>
  <c r="H228" i="37"/>
  <c r="I296" i="37"/>
  <c r="I296" i="58"/>
  <c r="I325" i="37"/>
  <c r="I325" i="58"/>
  <c r="J357" i="37"/>
  <c r="J357" i="58"/>
  <c r="J379" i="37"/>
  <c r="J379" i="58"/>
  <c r="I292" i="37"/>
  <c r="I292" i="58"/>
  <c r="J197" i="37"/>
  <c r="J197" i="58"/>
  <c r="O219" i="66"/>
  <c r="H12" i="41"/>
  <c r="E229" i="38"/>
  <c r="E274" i="38"/>
  <c r="E18" i="34"/>
  <c r="C35" i="63"/>
  <c r="V201" i="66"/>
  <c r="X201" i="66" s="1"/>
  <c r="U201" i="66"/>
  <c r="Q201" i="66"/>
  <c r="R201" i="66" s="1"/>
  <c r="T201" i="66" s="1"/>
  <c r="N143" i="66"/>
  <c r="G28" i="39"/>
  <c r="C8" i="63"/>
  <c r="H13" i="41"/>
  <c r="I419" i="41"/>
  <c r="I11" i="41"/>
  <c r="I402" i="37"/>
  <c r="I403" i="37"/>
  <c r="E363" i="38"/>
  <c r="K123" i="66" s="1"/>
  <c r="N123" i="66" s="1"/>
  <c r="O267" i="66" s="1"/>
  <c r="J454" i="41"/>
  <c r="H403" i="58"/>
  <c r="E11" i="53" s="1"/>
  <c r="F11" i="53" s="1"/>
  <c r="H5" i="53" s="1"/>
  <c r="H402" i="58"/>
  <c r="F194" i="66" s="1"/>
  <c r="N194" i="66" s="1"/>
  <c r="Y191" i="66"/>
  <c r="Z47" i="66"/>
  <c r="O47" i="66"/>
  <c r="Z191" i="66"/>
  <c r="Y47" i="66"/>
  <c r="J341" i="41"/>
  <c r="H429" i="41"/>
  <c r="J290" i="37"/>
  <c r="J290" i="58"/>
  <c r="H391" i="58"/>
  <c r="H391" i="37"/>
  <c r="J239" i="58"/>
  <c r="J239" i="37"/>
  <c r="I284" i="37"/>
  <c r="I284" i="58"/>
  <c r="J316" i="37"/>
  <c r="J316" i="58"/>
  <c r="H243" i="37"/>
  <c r="H243" i="58"/>
  <c r="J165" i="58"/>
  <c r="J165" i="37"/>
  <c r="J340" i="58"/>
  <c r="J340" i="37"/>
  <c r="I223" i="37"/>
  <c r="I223" i="58"/>
  <c r="I138" i="37"/>
  <c r="I138" i="58"/>
  <c r="I130" i="37"/>
  <c r="I130" i="58"/>
  <c r="H350" i="37"/>
  <c r="H350" i="58"/>
  <c r="H354" i="37"/>
  <c r="H354" i="58"/>
  <c r="I272" i="37"/>
  <c r="I272" i="58"/>
  <c r="I365" i="58"/>
  <c r="I365" i="37"/>
  <c r="J170" i="37"/>
  <c r="J170" i="58"/>
  <c r="H181" i="37"/>
  <c r="H181" i="58"/>
  <c r="I278" i="58"/>
  <c r="I278" i="37"/>
  <c r="J284" i="37"/>
  <c r="J284" i="58"/>
  <c r="I302" i="58"/>
  <c r="I302" i="37"/>
  <c r="I281" i="58"/>
  <c r="I281" i="37"/>
  <c r="H357" i="58"/>
  <c r="H357" i="37"/>
  <c r="I389" i="58"/>
  <c r="I389" i="37"/>
  <c r="J286" i="37"/>
  <c r="J286" i="58"/>
  <c r="J322" i="58"/>
  <c r="J322" i="37"/>
  <c r="H380" i="58"/>
  <c r="H380" i="37"/>
  <c r="I191" i="37"/>
  <c r="I191" i="58"/>
  <c r="J359" i="58"/>
  <c r="J359" i="37"/>
  <c r="H351" i="58"/>
  <c r="H351" i="37"/>
  <c r="I341" i="58"/>
  <c r="I341" i="37"/>
  <c r="J337" i="37"/>
  <c r="J337" i="58"/>
  <c r="J369" i="58"/>
  <c r="J369" i="37"/>
  <c r="J128" i="58"/>
  <c r="J128" i="37"/>
  <c r="J279" i="58"/>
  <c r="J279" i="37"/>
  <c r="J387" i="58"/>
  <c r="J387" i="37"/>
  <c r="I180" i="37"/>
  <c r="I180" i="58"/>
  <c r="I348" i="37"/>
  <c r="I348" i="58"/>
  <c r="I220" i="37"/>
  <c r="I220" i="58"/>
  <c r="I177" i="58"/>
  <c r="I177" i="37"/>
  <c r="J300" i="58"/>
  <c r="J300" i="37"/>
  <c r="H313" i="37"/>
  <c r="H313" i="58"/>
  <c r="I189" i="37"/>
  <c r="I189" i="58"/>
  <c r="J314" i="58"/>
  <c r="J314" i="37"/>
  <c r="I352" i="37"/>
  <c r="I352" i="58"/>
  <c r="H227" i="37"/>
  <c r="H227" i="58"/>
  <c r="J330" i="37"/>
  <c r="J330" i="58"/>
  <c r="I142" i="58"/>
  <c r="I142" i="37"/>
  <c r="H238" i="37"/>
  <c r="H238" i="58"/>
  <c r="I247" i="58"/>
  <c r="I247" i="37"/>
  <c r="I368" i="58"/>
  <c r="I368" i="37"/>
  <c r="H278" i="58"/>
  <c r="H278" i="37"/>
  <c r="J179" i="58"/>
  <c r="J179" i="37"/>
  <c r="H215" i="58"/>
  <c r="H215" i="37"/>
  <c r="J173" i="37"/>
  <c r="J173" i="58"/>
  <c r="H158" i="58"/>
  <c r="H158" i="37"/>
  <c r="H385" i="37"/>
  <c r="H385" i="58"/>
  <c r="J214" i="37"/>
  <c r="J214" i="58"/>
  <c r="J334" i="37"/>
  <c r="J334" i="58"/>
  <c r="H342" i="37"/>
  <c r="H342" i="58"/>
  <c r="I269" i="37"/>
  <c r="I269" i="58"/>
  <c r="H389" i="58"/>
  <c r="H389" i="37"/>
  <c r="I187" i="37"/>
  <c r="I187" i="58"/>
  <c r="J313" i="37"/>
  <c r="J313" i="58"/>
  <c r="I147" i="58"/>
  <c r="I147" i="37"/>
  <c r="I373" i="58"/>
  <c r="I373" i="37"/>
  <c r="J187" i="58"/>
  <c r="J187" i="37"/>
  <c r="J253" i="37"/>
  <c r="J253" i="58"/>
  <c r="I347" i="58"/>
  <c r="I347" i="37"/>
  <c r="I266" i="58"/>
  <c r="I266" i="37"/>
  <c r="Z165" i="66"/>
  <c r="Z21" i="66"/>
  <c r="Y165" i="66"/>
  <c r="Y21" i="66"/>
  <c r="G58" i="66"/>
  <c r="I429" i="37"/>
  <c r="C53" i="63"/>
  <c r="J426" i="41"/>
  <c r="I13" i="41"/>
  <c r="C17" i="63"/>
  <c r="H52" i="41"/>
  <c r="H11" i="41"/>
  <c r="H403" i="37"/>
  <c r="E5" i="53" s="1"/>
  <c r="F5" i="53" s="1"/>
  <c r="H402" i="37"/>
  <c r="I432" i="41"/>
  <c r="I402" i="58"/>
  <c r="F242" i="66" s="1"/>
  <c r="N242" i="66" s="1"/>
  <c r="I403" i="58"/>
  <c r="F241" i="66" s="1"/>
  <c r="H427" i="41"/>
  <c r="I421" i="41"/>
  <c r="M160" i="66"/>
  <c r="H468" i="58"/>
  <c r="F161" i="66" s="1"/>
  <c r="N161" i="66" s="1"/>
  <c r="H470" i="58"/>
  <c r="H469" i="58"/>
  <c r="F154" i="66" s="1"/>
  <c r="N154" i="66" s="1"/>
  <c r="J48" i="41"/>
  <c r="H430" i="41"/>
  <c r="J60" i="41"/>
  <c r="I185" i="37"/>
  <c r="I185" i="58"/>
  <c r="H231" i="37"/>
  <c r="H231" i="58"/>
  <c r="H347" i="58"/>
  <c r="H347" i="37"/>
  <c r="I159" i="58"/>
  <c r="I159" i="37"/>
  <c r="H316" i="37"/>
  <c r="H316" i="58"/>
  <c r="I320" i="37"/>
  <c r="I320" i="58"/>
  <c r="J190" i="37"/>
  <c r="J190" i="58"/>
  <c r="I367" i="58"/>
  <c r="I367" i="37"/>
  <c r="I196" i="37"/>
  <c r="I196" i="58"/>
  <c r="I274" i="37"/>
  <c r="I274" i="58"/>
  <c r="H240" i="58"/>
  <c r="H240" i="37"/>
  <c r="I225" i="37"/>
  <c r="I225" i="58"/>
  <c r="J343" i="58"/>
  <c r="J343" i="37"/>
  <c r="H225" i="37"/>
  <c r="H225" i="58"/>
  <c r="J229" i="37"/>
  <c r="J229" i="58"/>
  <c r="J265" i="58"/>
  <c r="J265" i="37"/>
  <c r="H374" i="58"/>
  <c r="H374" i="37"/>
  <c r="H388" i="37"/>
  <c r="H388" i="58"/>
  <c r="J370" i="58"/>
  <c r="J370" i="37"/>
  <c r="I214" i="37"/>
  <c r="I214" i="58"/>
  <c r="H312" i="37"/>
  <c r="H312" i="58"/>
  <c r="I322" i="37"/>
  <c r="I322" i="58"/>
  <c r="J338" i="37"/>
  <c r="J338" i="58"/>
  <c r="H128" i="37"/>
  <c r="H128" i="58"/>
  <c r="J295" i="58"/>
  <c r="J295" i="37"/>
  <c r="H304" i="37"/>
  <c r="H304" i="58"/>
  <c r="J255" i="37"/>
  <c r="J255" i="58"/>
  <c r="H360" i="58"/>
  <c r="H360" i="37"/>
  <c r="I255" i="37"/>
  <c r="I255" i="58"/>
  <c r="J294" i="37"/>
  <c r="J294" i="58"/>
  <c r="I351" i="58"/>
  <c r="I351" i="37"/>
  <c r="I252" i="37"/>
  <c r="I252" i="58"/>
  <c r="J153" i="58"/>
  <c r="J153" i="37"/>
  <c r="J234" i="58"/>
  <c r="J234" i="37"/>
  <c r="H297" i="58"/>
  <c r="H297" i="37"/>
  <c r="J204" i="58"/>
  <c r="J204" i="37"/>
  <c r="J396" i="58"/>
  <c r="J396" i="37"/>
  <c r="I372" i="58"/>
  <c r="I372" i="37"/>
  <c r="J132" i="37"/>
  <c r="J132" i="58"/>
  <c r="J366" i="37"/>
  <c r="J366" i="58"/>
  <c r="I301" i="37"/>
  <c r="I301" i="58"/>
  <c r="I362" i="58"/>
  <c r="I362" i="37"/>
  <c r="H363" i="37"/>
  <c r="H363" i="58"/>
  <c r="J233" i="37"/>
  <c r="J233" i="58"/>
  <c r="H352" i="58"/>
  <c r="H352" i="37"/>
  <c r="H250" i="58"/>
  <c r="H250" i="37"/>
  <c r="H157" i="37"/>
  <c r="H157" i="58"/>
  <c r="H366" i="58"/>
  <c r="H366" i="37"/>
  <c r="I232" i="58"/>
  <c r="I232" i="37"/>
  <c r="I398" i="37"/>
  <c r="I398" i="58"/>
  <c r="H147" i="37"/>
  <c r="H147" i="58"/>
  <c r="J262" i="58"/>
  <c r="J262" i="37"/>
  <c r="H256" i="58"/>
  <c r="H256" i="37"/>
  <c r="I306" i="58"/>
  <c r="I306" i="37"/>
  <c r="J364" i="58"/>
  <c r="J364" i="37"/>
  <c r="H229" i="37"/>
  <c r="H229" i="58"/>
  <c r="J278" i="37"/>
  <c r="J278" i="58"/>
  <c r="J257" i="58"/>
  <c r="J257" i="37"/>
  <c r="I334" i="37"/>
  <c r="I334" i="58"/>
  <c r="J347" i="58"/>
  <c r="J347" i="37"/>
  <c r="J377" i="37"/>
  <c r="J377" i="58"/>
  <c r="H325" i="58"/>
  <c r="H325" i="37"/>
  <c r="H219" i="37"/>
  <c r="H219" i="58"/>
  <c r="H269" i="37"/>
  <c r="H269" i="58"/>
  <c r="J318" i="37"/>
  <c r="J318" i="58"/>
  <c r="H326" i="37"/>
  <c r="H326" i="58"/>
  <c r="H276" i="58"/>
  <c r="H276" i="37"/>
  <c r="H177" i="37"/>
  <c r="H177" i="58"/>
  <c r="H146" i="37"/>
  <c r="H146" i="58"/>
  <c r="J244" i="58"/>
  <c r="J244" i="37"/>
  <c r="I293" i="37"/>
  <c r="I293" i="58"/>
  <c r="J280" i="58"/>
  <c r="J280" i="37"/>
  <c r="J311" i="58"/>
  <c r="J311" i="37"/>
  <c r="H399" i="58"/>
  <c r="H399" i="37"/>
  <c r="H144" i="37"/>
  <c r="H144" i="58"/>
  <c r="H296" i="37"/>
  <c r="H296" i="58"/>
  <c r="I134" i="58"/>
  <c r="I134" i="37"/>
  <c r="J398" i="58"/>
  <c r="J398" i="37"/>
  <c r="H359" i="58"/>
  <c r="H359" i="37"/>
  <c r="H217" i="37"/>
  <c r="H217" i="58"/>
  <c r="H379" i="58"/>
  <c r="H379" i="37"/>
  <c r="I161" i="37"/>
  <c r="I161" i="58"/>
  <c r="J176" i="37"/>
  <c r="J176" i="58"/>
  <c r="I182" i="58"/>
  <c r="I182" i="37"/>
  <c r="I299" i="58"/>
  <c r="I299" i="37"/>
  <c r="H168" i="58"/>
  <c r="H168" i="37"/>
  <c r="H330" i="37"/>
  <c r="H330" i="58"/>
  <c r="J212" i="37"/>
  <c r="J212" i="58"/>
  <c r="I329" i="37"/>
  <c r="I329" i="58"/>
  <c r="H344" i="37"/>
  <c r="H344" i="58"/>
  <c r="J324" i="58"/>
  <c r="J324" i="37"/>
  <c r="I212" i="37"/>
  <c r="I212" i="58"/>
  <c r="J390" i="58"/>
  <c r="J390" i="37"/>
  <c r="I312" i="37"/>
  <c r="I312" i="58"/>
  <c r="J252" i="37"/>
  <c r="J252" i="58"/>
  <c r="I224" i="37"/>
  <c r="I224" i="58"/>
  <c r="J264" i="58"/>
  <c r="J264" i="37"/>
  <c r="I209" i="58"/>
  <c r="I209" i="37"/>
  <c r="J372" i="37"/>
  <c r="J372" i="58"/>
  <c r="J125" i="37"/>
  <c r="J125" i="58"/>
  <c r="I125" i="58"/>
  <c r="I125" i="37"/>
  <c r="J220" i="58"/>
  <c r="J220" i="37"/>
  <c r="I264" i="37"/>
  <c r="I264" i="58"/>
  <c r="H212" i="37"/>
  <c r="H212" i="58"/>
  <c r="J177" i="58"/>
  <c r="J177" i="37"/>
  <c r="I205" i="58"/>
  <c r="I205" i="37"/>
  <c r="J217" i="37"/>
  <c r="J217" i="58"/>
  <c r="I150" i="37"/>
  <c r="I150" i="58"/>
  <c r="J273" i="58"/>
  <c r="J273" i="37"/>
  <c r="I344" i="58"/>
  <c r="I344" i="37"/>
  <c r="H171" i="58"/>
  <c r="H171" i="37"/>
  <c r="J120" i="37"/>
  <c r="J120" i="58"/>
  <c r="I174" i="37"/>
  <c r="I174" i="58"/>
  <c r="J312" i="58"/>
  <c r="J312" i="37"/>
  <c r="I258" i="58"/>
  <c r="I258" i="37"/>
  <c r="I176" i="37"/>
  <c r="I176" i="58"/>
  <c r="H281" i="37"/>
  <c r="H281" i="58"/>
  <c r="J323" i="37"/>
  <c r="J323" i="58"/>
  <c r="H244" i="37"/>
  <c r="H244" i="58"/>
  <c r="H182" i="37"/>
  <c r="H182" i="58"/>
  <c r="I388" i="58"/>
  <c r="I388" i="37"/>
  <c r="H364" i="58"/>
  <c r="H364" i="37"/>
  <c r="I397" i="37"/>
  <c r="I397" i="58"/>
  <c r="J130" i="58"/>
  <c r="J130" i="37"/>
  <c r="H257" i="58"/>
  <c r="H257" i="37"/>
  <c r="I200" i="58"/>
  <c r="I200" i="37"/>
  <c r="J232" i="58"/>
  <c r="J232" i="37"/>
  <c r="I280" i="37"/>
  <c r="I280" i="58"/>
  <c r="J296" i="58"/>
  <c r="J296" i="37"/>
  <c r="H205" i="58"/>
  <c r="H205" i="37"/>
  <c r="H394" i="37"/>
  <c r="H394" i="58"/>
  <c r="J315" i="58"/>
  <c r="J315" i="37"/>
  <c r="H194" i="37"/>
  <c r="H194" i="58"/>
  <c r="J376" i="37"/>
  <c r="J376" i="58"/>
  <c r="H274" i="58"/>
  <c r="H274" i="37"/>
  <c r="H220" i="58"/>
  <c r="H220" i="37"/>
  <c r="I260" i="58"/>
  <c r="I260" i="37"/>
  <c r="I154" i="58"/>
  <c r="I154" i="37"/>
  <c r="I197" i="37"/>
  <c r="I197" i="58"/>
  <c r="H169" i="58"/>
  <c r="H169" i="37"/>
  <c r="H322" i="37"/>
  <c r="H322" i="58"/>
  <c r="I148" i="58"/>
  <c r="I148" i="37"/>
  <c r="J302" i="58"/>
  <c r="J302" i="37"/>
  <c r="I239" i="37"/>
  <c r="I239" i="58"/>
  <c r="I160" i="37"/>
  <c r="I160" i="58"/>
  <c r="H141" i="58"/>
  <c r="H141" i="37"/>
  <c r="H337" i="37"/>
  <c r="H337" i="58"/>
  <c r="H401" i="37"/>
  <c r="H401" i="58"/>
  <c r="I265" i="37"/>
  <c r="I265" i="58"/>
  <c r="H341" i="37"/>
  <c r="H341" i="58"/>
  <c r="I303" i="58"/>
  <c r="I303" i="37"/>
  <c r="H148" i="37"/>
  <c r="H148" i="58"/>
  <c r="I385" i="37"/>
  <c r="I385" i="58"/>
  <c r="J219" i="58"/>
  <c r="J219" i="37"/>
  <c r="I181" i="58"/>
  <c r="I181" i="37"/>
  <c r="I307" i="58"/>
  <c r="I307" i="37"/>
  <c r="J175" i="37"/>
  <c r="J175" i="58"/>
  <c r="I276" i="37"/>
  <c r="I276" i="58"/>
  <c r="J44" i="41"/>
  <c r="I298" i="41"/>
  <c r="J49" i="41"/>
  <c r="C44" i="63"/>
  <c r="G27" i="39"/>
  <c r="N127" i="66"/>
  <c r="J8" i="41"/>
  <c r="C25" i="63"/>
  <c r="Y237" i="66"/>
  <c r="Z237" i="66"/>
  <c r="Y93" i="66"/>
  <c r="Z93" i="66"/>
  <c r="O93" i="66"/>
  <c r="J11" i="41"/>
  <c r="J402" i="37"/>
  <c r="J403" i="37"/>
  <c r="F145" i="66" s="1"/>
  <c r="E364" i="38"/>
  <c r="K107" i="66" s="1"/>
  <c r="N107" i="66" s="1"/>
  <c r="J455" i="41"/>
  <c r="J403" i="58"/>
  <c r="F289" i="66" s="1"/>
  <c r="J402" i="58"/>
  <c r="F290" i="66" s="1"/>
  <c r="N290" i="66" s="1"/>
  <c r="J430" i="41"/>
  <c r="J57" i="41"/>
  <c r="J56" i="41"/>
  <c r="H404" i="41"/>
  <c r="F30" i="66"/>
  <c r="N30" i="66" s="1"/>
  <c r="I37" i="41"/>
  <c r="I230" i="41"/>
  <c r="I391" i="37"/>
  <c r="I391" i="58"/>
  <c r="J263" i="58"/>
  <c r="J263" i="37"/>
  <c r="H383" i="58"/>
  <c r="H383" i="37"/>
  <c r="H333" i="58"/>
  <c r="H333" i="37"/>
  <c r="I128" i="37"/>
  <c r="I128" i="58"/>
  <c r="I309" i="58"/>
  <c r="I309" i="37"/>
  <c r="H255" i="58"/>
  <c r="H255" i="37"/>
  <c r="J127" i="37"/>
  <c r="J127" i="58"/>
  <c r="I394" i="58"/>
  <c r="I394" i="37"/>
  <c r="J383" i="37"/>
  <c r="J383" i="58"/>
  <c r="H213" i="58"/>
  <c r="H213" i="37"/>
  <c r="I194" i="58"/>
  <c r="I194" i="37"/>
  <c r="H221" i="37"/>
  <c r="H221" i="58"/>
  <c r="I245" i="37"/>
  <c r="I245" i="58"/>
  <c r="H381" i="58"/>
  <c r="H381" i="37"/>
  <c r="I318" i="58"/>
  <c r="I318" i="37"/>
  <c r="I222" i="37"/>
  <c r="I222" i="58"/>
  <c r="J167" i="37"/>
  <c r="J167" i="58"/>
  <c r="H338" i="58"/>
  <c r="H338" i="37"/>
  <c r="H335" i="58"/>
  <c r="H335" i="37"/>
  <c r="H398" i="37"/>
  <c r="H398" i="58"/>
  <c r="J134" i="37"/>
  <c r="J134" i="58"/>
  <c r="I323" i="37"/>
  <c r="I323" i="58"/>
  <c r="I327" i="37"/>
  <c r="I327" i="58"/>
  <c r="I370" i="58"/>
  <c r="I370" i="37"/>
  <c r="J194" i="37"/>
  <c r="J194" i="58"/>
  <c r="J254" i="58"/>
  <c r="J254" i="37"/>
  <c r="H136" i="37"/>
  <c r="H136" i="58"/>
  <c r="H336" i="58"/>
  <c r="H336" i="37"/>
  <c r="I198" i="58"/>
  <c r="I198" i="37"/>
  <c r="I297" i="58"/>
  <c r="I297" i="37"/>
  <c r="I183" i="58"/>
  <c r="I183" i="37"/>
  <c r="J333" i="58"/>
  <c r="J333" i="37"/>
  <c r="H372" i="37"/>
  <c r="H372" i="58"/>
  <c r="I249" i="58"/>
  <c r="I249" i="37"/>
  <c r="J150" i="58"/>
  <c r="J150" i="37"/>
  <c r="I345" i="37"/>
  <c r="I345" i="58"/>
  <c r="I332" i="58"/>
  <c r="I332" i="37"/>
  <c r="I317" i="58"/>
  <c r="I317" i="37"/>
  <c r="J285" i="37"/>
  <c r="J285" i="58"/>
  <c r="I364" i="58"/>
  <c r="I364" i="37"/>
  <c r="H279" i="58"/>
  <c r="H279" i="37"/>
  <c r="I377" i="58"/>
  <c r="I377" i="37"/>
  <c r="H386" i="37"/>
  <c r="H386" i="58"/>
  <c r="H323" i="58"/>
  <c r="H323" i="37"/>
  <c r="I248" i="58"/>
  <c r="I248" i="37"/>
  <c r="H368" i="58"/>
  <c r="H368" i="37"/>
  <c r="H218" i="58"/>
  <c r="H218" i="37"/>
  <c r="I295" i="37"/>
  <c r="I295" i="58"/>
  <c r="H358" i="58"/>
  <c r="H358" i="37"/>
  <c r="H263" i="37"/>
  <c r="H263" i="58"/>
  <c r="J342" i="58"/>
  <c r="J342" i="37"/>
  <c r="J193" i="58"/>
  <c r="J193" i="37"/>
  <c r="J142" i="37"/>
  <c r="J142" i="58"/>
  <c r="H207" i="37"/>
  <c r="H207" i="58"/>
  <c r="H124" i="37"/>
  <c r="H124" i="58"/>
  <c r="J188" i="58"/>
  <c r="J188" i="37"/>
  <c r="I206" i="37"/>
  <c r="I206" i="58"/>
  <c r="J223" i="37"/>
  <c r="J223" i="58"/>
  <c r="J242" i="58"/>
  <c r="J242" i="37"/>
  <c r="H185" i="37"/>
  <c r="H185" i="58"/>
  <c r="H190" i="58"/>
  <c r="H190" i="37"/>
  <c r="I173" i="58"/>
  <c r="I173" i="37"/>
  <c r="I242" i="37"/>
  <c r="I242" i="58"/>
  <c r="J371" i="58"/>
  <c r="J371" i="37"/>
  <c r="J270" i="37"/>
  <c r="J270" i="58"/>
  <c r="I401" i="37"/>
  <c r="I401" i="58"/>
  <c r="J303" i="58"/>
  <c r="J303" i="37"/>
  <c r="J325" i="58"/>
  <c r="J325" i="37"/>
  <c r="I262" i="58"/>
  <c r="I262" i="37"/>
  <c r="I308" i="58"/>
  <c r="I308" i="37"/>
  <c r="H164" i="37"/>
  <c r="H164" i="58"/>
  <c r="F27" i="39"/>
  <c r="G202" i="66"/>
  <c r="I429" i="58"/>
  <c r="I12" i="41"/>
  <c r="F97" i="66"/>
  <c r="C52" i="63"/>
  <c r="H56" i="41"/>
  <c r="I431" i="41"/>
  <c r="M112" i="66"/>
  <c r="J468" i="37"/>
  <c r="J469" i="37"/>
  <c r="J470" i="37"/>
  <c r="J423" i="41"/>
  <c r="J17" i="41"/>
  <c r="Q203" i="66"/>
  <c r="R203" i="66" s="1"/>
  <c r="T203" i="66" s="1"/>
  <c r="U203" i="66"/>
  <c r="V203" i="66"/>
  <c r="X203" i="66" s="1"/>
  <c r="J208" i="41"/>
  <c r="I404" i="37"/>
  <c r="I404" i="58"/>
  <c r="F222" i="66" s="1"/>
  <c r="N222" i="66" s="1"/>
  <c r="J41" i="41"/>
  <c r="H420" i="41"/>
  <c r="H318" i="37"/>
  <c r="H318" i="58"/>
  <c r="H153" i="37"/>
  <c r="H153" i="58"/>
  <c r="I146" i="58"/>
  <c r="I146" i="37"/>
  <c r="H193" i="58"/>
  <c r="H193" i="37"/>
  <c r="I399" i="58"/>
  <c r="I399" i="37"/>
  <c r="J168" i="58"/>
  <c r="J168" i="37"/>
  <c r="I360" i="58"/>
  <c r="I360" i="37"/>
  <c r="I246" i="58"/>
  <c r="I246" i="37"/>
  <c r="H259" i="58"/>
  <c r="H259" i="37"/>
  <c r="H172" i="37"/>
  <c r="H172" i="58"/>
  <c r="I263" i="58"/>
  <c r="I263" i="37"/>
  <c r="J350" i="37"/>
  <c r="J350" i="58"/>
  <c r="H241" i="37"/>
  <c r="H241" i="58"/>
  <c r="J246" i="58"/>
  <c r="J246" i="37"/>
  <c r="J331" i="37"/>
  <c r="J331" i="58"/>
  <c r="I253" i="58"/>
  <c r="I253" i="37"/>
  <c r="I172" i="58"/>
  <c r="I172" i="37"/>
  <c r="H329" i="37"/>
  <c r="H329" i="58"/>
  <c r="I241" i="37"/>
  <c r="I241" i="58"/>
  <c r="H206" i="58"/>
  <c r="H206" i="37"/>
  <c r="H210" i="58"/>
  <c r="H210" i="37"/>
  <c r="J358" i="58"/>
  <c r="J358" i="37"/>
  <c r="H246" i="37"/>
  <c r="H246" i="58"/>
  <c r="H302" i="37"/>
  <c r="H302" i="58"/>
  <c r="J148" i="58"/>
  <c r="J148" i="37"/>
  <c r="H268" i="58"/>
  <c r="H268" i="37"/>
  <c r="H125" i="58"/>
  <c r="H125" i="37"/>
  <c r="I123" i="58"/>
  <c r="I123" i="37"/>
  <c r="H273" i="37"/>
  <c r="H273" i="58"/>
  <c r="J171" i="37"/>
  <c r="J171" i="58"/>
  <c r="I300" i="58"/>
  <c r="I300" i="37"/>
  <c r="J198" i="58"/>
  <c r="J198" i="37"/>
  <c r="J336" i="37"/>
  <c r="J336" i="58"/>
  <c r="J209" i="37"/>
  <c r="J209" i="58"/>
  <c r="J237" i="58"/>
  <c r="J237" i="37"/>
  <c r="I195" i="37"/>
  <c r="I195" i="58"/>
  <c r="I378" i="58"/>
  <c r="I378" i="37"/>
  <c r="J205" i="37"/>
  <c r="J205" i="58"/>
  <c r="H156" i="37"/>
  <c r="H156" i="58"/>
  <c r="I192" i="37"/>
  <c r="I192" i="58"/>
  <c r="I136" i="37"/>
  <c r="I136" i="58"/>
  <c r="J231" i="58"/>
  <c r="J231" i="37"/>
  <c r="J301" i="37"/>
  <c r="J301" i="58"/>
  <c r="I133" i="37"/>
  <c r="I133" i="58"/>
  <c r="I132" i="37"/>
  <c r="I132" i="58"/>
  <c r="J245" i="58"/>
  <c r="J245" i="37"/>
  <c r="I314" i="58"/>
  <c r="I314" i="37"/>
  <c r="H308" i="37"/>
  <c r="H308" i="58"/>
  <c r="J353" i="58"/>
  <c r="J353" i="37"/>
  <c r="J389" i="58"/>
  <c r="J389" i="37"/>
  <c r="J160" i="58"/>
  <c r="J160" i="37"/>
  <c r="J251" i="37"/>
  <c r="J251" i="58"/>
  <c r="H233" i="58"/>
  <c r="H233" i="37"/>
  <c r="I275" i="37"/>
  <c r="I275" i="58"/>
  <c r="I383" i="37"/>
  <c r="I383" i="58"/>
  <c r="J215" i="37"/>
  <c r="J215" i="58"/>
  <c r="I236" i="58"/>
  <c r="I236" i="37"/>
  <c r="J238" i="58"/>
  <c r="J238" i="37"/>
  <c r="J269" i="58"/>
  <c r="J269" i="37"/>
  <c r="H174" i="58"/>
  <c r="H174" i="37"/>
  <c r="H160" i="37"/>
  <c r="H160" i="58"/>
  <c r="J395" i="58"/>
  <c r="J395" i="37"/>
  <c r="J250" i="37"/>
  <c r="J250" i="58"/>
  <c r="J210" i="37"/>
  <c r="J210" i="58"/>
  <c r="I167" i="37"/>
  <c r="I167" i="58"/>
  <c r="H317" i="58"/>
  <c r="H317" i="37"/>
  <c r="H320" i="58"/>
  <c r="H320" i="37"/>
  <c r="I358" i="37"/>
  <c r="I358" i="58"/>
  <c r="I250" i="37"/>
  <c r="I250" i="58"/>
  <c r="I254" i="58"/>
  <c r="I254" i="37"/>
  <c r="H310" i="58"/>
  <c r="H310" i="37"/>
  <c r="H183" i="37"/>
  <c r="H183" i="58"/>
  <c r="I342" i="58"/>
  <c r="I342" i="37"/>
  <c r="H248" i="37"/>
  <c r="H248" i="58"/>
  <c r="I122" i="58"/>
  <c r="I122" i="37"/>
  <c r="J346" i="37"/>
  <c r="J346" i="58"/>
  <c r="J281" i="58"/>
  <c r="J281" i="37"/>
  <c r="H301" i="37"/>
  <c r="H301" i="58"/>
  <c r="H211" i="58"/>
  <c r="H211" i="37"/>
  <c r="J352" i="58"/>
  <c r="J352" i="37"/>
  <c r="J191" i="37"/>
  <c r="J191" i="58"/>
  <c r="H373" i="37"/>
  <c r="H373" i="58"/>
  <c r="I315" i="58"/>
  <c r="I315" i="37"/>
  <c r="H272" i="58"/>
  <c r="H272" i="37"/>
  <c r="H277" i="58"/>
  <c r="H277" i="37"/>
  <c r="J159" i="37"/>
  <c r="J159" i="58"/>
  <c r="I285" i="37"/>
  <c r="I285" i="58"/>
  <c r="H261" i="58"/>
  <c r="H261" i="37"/>
  <c r="J129" i="58"/>
  <c r="J129" i="37"/>
  <c r="I171" i="58"/>
  <c r="I171" i="37"/>
  <c r="J309" i="58"/>
  <c r="J309" i="37"/>
  <c r="I282" i="58"/>
  <c r="I282" i="37"/>
  <c r="J195" i="37"/>
  <c r="J195" i="58"/>
  <c r="I156" i="37"/>
  <c r="I156" i="58"/>
  <c r="J180" i="37"/>
  <c r="J180" i="58"/>
  <c r="I168" i="37"/>
  <c r="I168" i="58"/>
  <c r="J320" i="37"/>
  <c r="J320" i="58"/>
  <c r="I336" i="58"/>
  <c r="I336" i="37"/>
  <c r="H324" i="37"/>
  <c r="H324" i="58"/>
  <c r="J192" i="37"/>
  <c r="J192" i="58"/>
  <c r="I221" i="37"/>
  <c r="I221" i="58"/>
  <c r="J332" i="37"/>
  <c r="J332" i="58"/>
  <c r="J136" i="58"/>
  <c r="J136" i="37"/>
  <c r="I165" i="58"/>
  <c r="I165" i="37"/>
  <c r="I333" i="37"/>
  <c r="I333" i="58"/>
  <c r="H378" i="37"/>
  <c r="H378" i="58"/>
  <c r="J216" i="37"/>
  <c r="J216" i="58"/>
  <c r="I304" i="58"/>
  <c r="I304" i="37"/>
  <c r="J381" i="37"/>
  <c r="J381" i="58"/>
  <c r="I288" i="58"/>
  <c r="I288" i="37"/>
  <c r="I120" i="58"/>
  <c r="I120" i="37"/>
  <c r="J243" i="58"/>
  <c r="J243" i="37"/>
  <c r="I143" i="58"/>
  <c r="I143" i="37"/>
  <c r="I218" i="58"/>
  <c r="I218" i="37"/>
  <c r="H126" i="58"/>
  <c r="H126" i="37"/>
  <c r="J268" i="58"/>
  <c r="J268" i="37"/>
  <c r="H150" i="58"/>
  <c r="H150" i="37"/>
  <c r="H303" i="37"/>
  <c r="H303" i="58"/>
  <c r="I190" i="37"/>
  <c r="I190" i="58"/>
  <c r="H289" i="37"/>
  <c r="H289" i="58"/>
  <c r="I158" i="37"/>
  <c r="I158" i="58"/>
  <c r="H216" i="37"/>
  <c r="H216" i="58"/>
  <c r="H355" i="58"/>
  <c r="H355" i="37"/>
  <c r="H247" i="58"/>
  <c r="H247" i="37"/>
  <c r="J248" i="58"/>
  <c r="J248" i="37"/>
  <c r="I169" i="37"/>
  <c r="I169" i="58"/>
  <c r="J185" i="58"/>
  <c r="J185" i="37"/>
  <c r="H249" i="58"/>
  <c r="H249" i="37"/>
  <c r="I215" i="58"/>
  <c r="I215" i="37"/>
  <c r="J247" i="58"/>
  <c r="J247" i="37"/>
  <c r="J293" i="58"/>
  <c r="J293" i="37"/>
  <c r="J310" i="37"/>
  <c r="J310" i="58"/>
  <c r="H186" i="58"/>
  <c r="H186" i="37"/>
  <c r="H361" i="37"/>
  <c r="H361" i="58"/>
  <c r="I290" i="58"/>
  <c r="I290" i="37"/>
  <c r="H265" i="37"/>
  <c r="H265" i="58"/>
  <c r="H151" i="58"/>
  <c r="H151" i="37"/>
  <c r="H266" i="37"/>
  <c r="H266" i="58"/>
  <c r="H201" i="37"/>
  <c r="H201" i="58"/>
  <c r="H154" i="37"/>
  <c r="H154" i="58"/>
  <c r="J277" i="37"/>
  <c r="J277" i="58"/>
  <c r="H260" i="58"/>
  <c r="H260" i="37"/>
  <c r="H293" i="37"/>
  <c r="H293" i="58"/>
  <c r="H184" i="58"/>
  <c r="H184" i="37"/>
  <c r="J400" i="37"/>
  <c r="J400" i="58"/>
  <c r="H187" i="58"/>
  <c r="H187" i="37"/>
  <c r="I126" i="58"/>
  <c r="I126" i="37"/>
  <c r="I392" i="58"/>
  <c r="I392" i="37"/>
  <c r="I240" i="37"/>
  <c r="I240" i="58"/>
  <c r="I219" i="37"/>
  <c r="I219" i="58"/>
  <c r="J373" i="37"/>
  <c r="J373" i="58"/>
  <c r="H294" i="58"/>
  <c r="H294" i="37"/>
  <c r="J157" i="37"/>
  <c r="J157" i="58"/>
  <c r="I390" i="37"/>
  <c r="I390" i="58"/>
  <c r="J308" i="58"/>
  <c r="J308" i="37"/>
  <c r="H421" i="41"/>
  <c r="J12" i="41"/>
  <c r="M64" i="66"/>
  <c r="I468" i="37"/>
  <c r="I469" i="37"/>
  <c r="I470" i="37"/>
  <c r="E362" i="38"/>
  <c r="K141" i="66" s="1"/>
  <c r="N141" i="66" s="1"/>
  <c r="J453" i="41"/>
  <c r="I357" i="41"/>
  <c r="Y139" i="66"/>
  <c r="Y283" i="66"/>
  <c r="Z139" i="66"/>
  <c r="Z283" i="66"/>
  <c r="F28" i="39"/>
  <c r="I157" i="41"/>
  <c r="J162" i="41"/>
  <c r="I50" i="41"/>
  <c r="I162" i="41"/>
  <c r="Y268" i="66"/>
  <c r="Y124" i="66"/>
  <c r="Z268" i="66"/>
  <c r="Z124" i="66"/>
  <c r="O271" i="66" l="1"/>
  <c r="J6" i="6"/>
  <c r="O287" i="66"/>
  <c r="J7" i="6"/>
  <c r="M216" i="66"/>
  <c r="M72" i="66"/>
  <c r="M87" i="66"/>
  <c r="M231" i="66"/>
  <c r="M91" i="66"/>
  <c r="N91" i="66" s="1"/>
  <c r="M235" i="66"/>
  <c r="N235" i="66" s="1"/>
  <c r="M196" i="66"/>
  <c r="M52" i="66"/>
  <c r="M79" i="66"/>
  <c r="N79" i="66" s="1"/>
  <c r="I6" i="6" s="1"/>
  <c r="M223" i="66"/>
  <c r="N223" i="66" s="1"/>
  <c r="M213" i="66"/>
  <c r="N213" i="66" s="1"/>
  <c r="M69" i="66"/>
  <c r="N69" i="66" s="1"/>
  <c r="M217" i="66"/>
  <c r="M73" i="66"/>
  <c r="M202" i="66"/>
  <c r="M58" i="66"/>
  <c r="M239" i="66"/>
  <c r="N239" i="66" s="1"/>
  <c r="M95" i="66"/>
  <c r="N95" i="66" s="1"/>
  <c r="I7" i="6" s="1"/>
  <c r="M77" i="66"/>
  <c r="M221" i="66"/>
  <c r="M76" i="66"/>
  <c r="N76" i="66" s="1"/>
  <c r="M220" i="66"/>
  <c r="N220" i="66" s="1"/>
  <c r="M233" i="66"/>
  <c r="M89" i="66"/>
  <c r="U191" i="66"/>
  <c r="Q237" i="66"/>
  <c r="R237" i="66" s="1"/>
  <c r="T237" i="66" s="1"/>
  <c r="U237" i="66"/>
  <c r="G262" i="66"/>
  <c r="G265" i="66"/>
  <c r="J418" i="58"/>
  <c r="G118" i="66"/>
  <c r="J418" i="37"/>
  <c r="G121" i="66"/>
  <c r="H158" i="41"/>
  <c r="H278" i="41"/>
  <c r="I142" i="41"/>
  <c r="J314" i="41"/>
  <c r="I177" i="41"/>
  <c r="J387" i="41"/>
  <c r="I389" i="41"/>
  <c r="I365" i="41"/>
  <c r="J165" i="41"/>
  <c r="J239" i="41"/>
  <c r="J327" i="41"/>
  <c r="H367" i="41"/>
  <c r="J147" i="41"/>
  <c r="J226" i="41"/>
  <c r="J368" i="41"/>
  <c r="H223" i="41"/>
  <c r="I233" i="41"/>
  <c r="I305" i="41"/>
  <c r="J291" i="41"/>
  <c r="J401" i="41"/>
  <c r="J213" i="41"/>
  <c r="H343" i="41"/>
  <c r="H307" i="41"/>
  <c r="J227" i="41"/>
  <c r="H306" i="41"/>
  <c r="H349" i="41"/>
  <c r="H271" i="41"/>
  <c r="J380" i="41"/>
  <c r="J221" i="41"/>
  <c r="I381" i="41"/>
  <c r="I328" i="41"/>
  <c r="H242" i="41"/>
  <c r="H134" i="41"/>
  <c r="J272" i="41"/>
  <c r="J126" i="41"/>
  <c r="H167" i="41"/>
  <c r="J271" i="41"/>
  <c r="J306" i="41"/>
  <c r="J207" i="41"/>
  <c r="I217" i="41"/>
  <c r="I153" i="41"/>
  <c r="H132" i="41"/>
  <c r="I384" i="41"/>
  <c r="J154" i="41"/>
  <c r="H254" i="41"/>
  <c r="H129" i="41"/>
  <c r="J305" i="41"/>
  <c r="J384" i="41"/>
  <c r="I141" i="41"/>
  <c r="H353" i="41"/>
  <c r="J344" i="41"/>
  <c r="J175" i="41"/>
  <c r="I385" i="41"/>
  <c r="I265" i="41"/>
  <c r="I160" i="41"/>
  <c r="H322" i="41"/>
  <c r="H194" i="41"/>
  <c r="H281" i="41"/>
  <c r="I174" i="41"/>
  <c r="I329" i="41"/>
  <c r="H146" i="41"/>
  <c r="J318" i="41"/>
  <c r="J377" i="41"/>
  <c r="J278" i="41"/>
  <c r="I301" i="41"/>
  <c r="I255" i="41"/>
  <c r="H312" i="41"/>
  <c r="J192" i="41"/>
  <c r="J346" i="41"/>
  <c r="H183" i="41"/>
  <c r="I358" i="41"/>
  <c r="J210" i="41"/>
  <c r="J215" i="41"/>
  <c r="J251" i="41"/>
  <c r="H308" i="41"/>
  <c r="I133" i="41"/>
  <c r="I192" i="41"/>
  <c r="I195" i="41"/>
  <c r="H302" i="41"/>
  <c r="I225" i="41"/>
  <c r="H337" i="41"/>
  <c r="I197" i="41"/>
  <c r="H394" i="41"/>
  <c r="I397" i="41"/>
  <c r="H244" i="41"/>
  <c r="J217" i="41"/>
  <c r="J372" i="41"/>
  <c r="J252" i="41"/>
  <c r="H330" i="41"/>
  <c r="J176" i="41"/>
  <c r="I293" i="41"/>
  <c r="H219" i="41"/>
  <c r="I334" i="41"/>
  <c r="H147" i="41"/>
  <c r="H157" i="41"/>
  <c r="H363" i="41"/>
  <c r="J132" i="41"/>
  <c r="J255" i="41"/>
  <c r="J338" i="41"/>
  <c r="J229" i="41"/>
  <c r="I251" i="41"/>
  <c r="H122" i="41"/>
  <c r="I210" i="41"/>
  <c r="I238" i="41"/>
  <c r="H189" i="41"/>
  <c r="I149" i="41"/>
  <c r="H214" i="41"/>
  <c r="H305" i="41"/>
  <c r="I331" i="41"/>
  <c r="J184" i="41"/>
  <c r="J197" i="41"/>
  <c r="I325" i="41"/>
  <c r="I350" i="41"/>
  <c r="H331" i="41"/>
  <c r="H340" i="41"/>
  <c r="J166" i="41"/>
  <c r="I270" i="41"/>
  <c r="H362" i="41"/>
  <c r="J388" i="41"/>
  <c r="I259" i="41"/>
  <c r="J299" i="41"/>
  <c r="J259" i="41"/>
  <c r="H237" i="41"/>
  <c r="J385" i="41"/>
  <c r="H275" i="41"/>
  <c r="J200" i="41"/>
  <c r="I179" i="41"/>
  <c r="I382" i="41"/>
  <c r="I188" i="41"/>
  <c r="J218" i="41"/>
  <c r="I216" i="41"/>
  <c r="J354" i="41"/>
  <c r="J317" i="41"/>
  <c r="I279" i="41"/>
  <c r="I129" i="41"/>
  <c r="J339" i="41"/>
  <c r="J211" i="41"/>
  <c r="J196" i="41"/>
  <c r="I386" i="41"/>
  <c r="H395" i="41"/>
  <c r="H345" i="41"/>
  <c r="J199" i="41"/>
  <c r="I321" i="41"/>
  <c r="H224" i="41"/>
  <c r="J122" i="41"/>
  <c r="I226" i="41"/>
  <c r="J267" i="41"/>
  <c r="I140" i="41"/>
  <c r="I347" i="41"/>
  <c r="I147" i="41"/>
  <c r="J179" i="41"/>
  <c r="J369" i="41"/>
  <c r="J359" i="41"/>
  <c r="I302" i="41"/>
  <c r="J340" i="41"/>
  <c r="H339" i="41"/>
  <c r="J349" i="41"/>
  <c r="J345" i="41"/>
  <c r="H213" i="41"/>
  <c r="H255" i="41"/>
  <c r="H383" i="41"/>
  <c r="J270" i="41"/>
  <c r="J142" i="41"/>
  <c r="H372" i="41"/>
  <c r="J134" i="41"/>
  <c r="I245" i="41"/>
  <c r="I276" i="41"/>
  <c r="H341" i="41"/>
  <c r="J376" i="41"/>
  <c r="J323" i="41"/>
  <c r="I312" i="41"/>
  <c r="H344" i="41"/>
  <c r="I161" i="41"/>
  <c r="H326" i="41"/>
  <c r="I398" i="41"/>
  <c r="J294" i="41"/>
  <c r="H304" i="41"/>
  <c r="I322" i="41"/>
  <c r="H388" i="41"/>
  <c r="H225" i="41"/>
  <c r="H241" i="41"/>
  <c r="H318" i="41"/>
  <c r="I206" i="41"/>
  <c r="J194" i="41"/>
  <c r="J167" i="41"/>
  <c r="J325" i="41"/>
  <c r="J371" i="41"/>
  <c r="J188" i="41"/>
  <c r="J193" i="41"/>
  <c r="H323" i="41"/>
  <c r="I364" i="41"/>
  <c r="J333" i="41"/>
  <c r="H336" i="41"/>
  <c r="I370" i="41"/>
  <c r="J357" i="41"/>
  <c r="J158" i="41"/>
  <c r="H203" i="41"/>
  <c r="H356" i="41"/>
  <c r="J329" i="41"/>
  <c r="J321" i="41"/>
  <c r="J356" i="41"/>
  <c r="H284" i="41"/>
  <c r="J378" i="41"/>
  <c r="H327" i="41"/>
  <c r="H376" i="41"/>
  <c r="I396" i="41"/>
  <c r="H130" i="41"/>
  <c r="J335" i="41"/>
  <c r="H265" i="41"/>
  <c r="J308" i="41"/>
  <c r="J373" i="41"/>
  <c r="I126" i="41"/>
  <c r="I290" i="41"/>
  <c r="J293" i="41"/>
  <c r="J185" i="41"/>
  <c r="H355" i="41"/>
  <c r="H126" i="41"/>
  <c r="J136" i="41"/>
  <c r="J309" i="41"/>
  <c r="I315" i="41"/>
  <c r="H211" i="41"/>
  <c r="I122" i="41"/>
  <c r="H310" i="41"/>
  <c r="H320" i="41"/>
  <c r="J269" i="41"/>
  <c r="J160" i="41"/>
  <c r="I314" i="41"/>
  <c r="J237" i="41"/>
  <c r="H125" i="41"/>
  <c r="I263" i="41"/>
  <c r="I360" i="41"/>
  <c r="I146" i="41"/>
  <c r="J303" i="41"/>
  <c r="J242" i="41"/>
  <c r="J342" i="41"/>
  <c r="H218" i="41"/>
  <c r="J150" i="41"/>
  <c r="I183" i="41"/>
  <c r="H335" i="41"/>
  <c r="I318" i="41"/>
  <c r="H221" i="41"/>
  <c r="I128" i="41"/>
  <c r="I391" i="41"/>
  <c r="I307" i="41"/>
  <c r="H169" i="41"/>
  <c r="H220" i="41"/>
  <c r="J315" i="41"/>
  <c r="J130" i="41"/>
  <c r="I182" i="41"/>
  <c r="J280" i="41"/>
  <c r="J347" i="41"/>
  <c r="J262" i="41"/>
  <c r="H360" i="41"/>
  <c r="J265" i="41"/>
  <c r="J326" i="41"/>
  <c r="H196" i="41"/>
  <c r="H199" i="41"/>
  <c r="H142" i="41"/>
  <c r="J183" i="41"/>
  <c r="I207" i="41"/>
  <c r="I310" i="41"/>
  <c r="H387" i="41"/>
  <c r="I356" i="41"/>
  <c r="H187" i="41"/>
  <c r="H260" i="41"/>
  <c r="J247" i="41"/>
  <c r="H303" i="41"/>
  <c r="I218" i="41"/>
  <c r="I288" i="41"/>
  <c r="I336" i="41"/>
  <c r="I156" i="41"/>
  <c r="I171" i="41"/>
  <c r="I254" i="41"/>
  <c r="H317" i="41"/>
  <c r="J395" i="41"/>
  <c r="J238" i="41"/>
  <c r="J389" i="41"/>
  <c r="J245" i="41"/>
  <c r="J231" i="41"/>
  <c r="H268" i="41"/>
  <c r="J358" i="41"/>
  <c r="I308" i="41"/>
  <c r="I173" i="41"/>
  <c r="H368" i="41"/>
  <c r="I377" i="41"/>
  <c r="I317" i="41"/>
  <c r="I249" i="41"/>
  <c r="I297" i="41"/>
  <c r="J254" i="41"/>
  <c r="H338" i="41"/>
  <c r="H381" i="41"/>
  <c r="H240" i="41"/>
  <c r="H347" i="41"/>
  <c r="I187" i="41"/>
  <c r="J334" i="41"/>
  <c r="J173" i="41"/>
  <c r="J330" i="41"/>
  <c r="I189" i="41"/>
  <c r="I220" i="41"/>
  <c r="I272" i="41"/>
  <c r="I138" i="41"/>
  <c r="H243" i="41"/>
  <c r="I145" i="41"/>
  <c r="H262" i="41"/>
  <c r="J137" i="41"/>
  <c r="H151" i="41"/>
  <c r="I215" i="41"/>
  <c r="J248" i="41"/>
  <c r="H150" i="41"/>
  <c r="I143" i="41"/>
  <c r="J129" i="41"/>
  <c r="H277" i="41"/>
  <c r="J281" i="41"/>
  <c r="I342" i="41"/>
  <c r="I236" i="41"/>
  <c r="H233" i="41"/>
  <c r="J353" i="41"/>
  <c r="I378" i="41"/>
  <c r="J148" i="41"/>
  <c r="H210" i="41"/>
  <c r="J214" i="41"/>
  <c r="H227" i="41"/>
  <c r="H313" i="41"/>
  <c r="H181" i="41"/>
  <c r="H354" i="41"/>
  <c r="I223" i="41"/>
  <c r="J316" i="41"/>
  <c r="J290" i="41"/>
  <c r="H191" i="41"/>
  <c r="H178" i="41"/>
  <c r="H179" i="41"/>
  <c r="H321" i="41"/>
  <c r="H270" i="41"/>
  <c r="H192" i="41"/>
  <c r="I199" i="41"/>
  <c r="J241" i="41"/>
  <c r="J365" i="41"/>
  <c r="H314" i="41"/>
  <c r="I277" i="41"/>
  <c r="J151" i="41"/>
  <c r="H208" i="41"/>
  <c r="J383" i="41"/>
  <c r="H235" i="41"/>
  <c r="I193" i="41"/>
  <c r="I184" i="41"/>
  <c r="I178" i="41"/>
  <c r="J361" i="41"/>
  <c r="J393" i="41"/>
  <c r="I234" i="41"/>
  <c r="J249" i="41"/>
  <c r="J156" i="41"/>
  <c r="H267" i="41"/>
  <c r="J386" i="41"/>
  <c r="H299" i="41"/>
  <c r="J298" i="41"/>
  <c r="H188" i="41"/>
  <c r="J149" i="41"/>
  <c r="H315" i="41"/>
  <c r="J189" i="41"/>
  <c r="H375" i="41"/>
  <c r="H154" i="41"/>
  <c r="J310" i="41"/>
  <c r="H289" i="41"/>
  <c r="J350" i="41"/>
  <c r="F193" i="66"/>
  <c r="J206" i="41"/>
  <c r="I337" i="41"/>
  <c r="V271" i="66"/>
  <c r="X271" i="66" s="1"/>
  <c r="Q271" i="66"/>
  <c r="R271" i="66" s="1"/>
  <c r="T271" i="66" s="1"/>
  <c r="U271" i="66"/>
  <c r="J246" i="41"/>
  <c r="D36" i="57"/>
  <c r="F110" i="66"/>
  <c r="N110" i="66" s="1"/>
  <c r="I127" i="58"/>
  <c r="I127" i="37"/>
  <c r="I168" i="41"/>
  <c r="F72" i="66"/>
  <c r="D20" i="57"/>
  <c r="D61" i="57"/>
  <c r="F221" i="66"/>
  <c r="D62" i="57"/>
  <c r="F206" i="66"/>
  <c r="N206" i="66" s="1"/>
  <c r="Q287" i="66"/>
  <c r="R287" i="66" s="1"/>
  <c r="T287" i="66" s="1"/>
  <c r="V287" i="66"/>
  <c r="X287" i="66" s="1"/>
  <c r="U287" i="66"/>
  <c r="I309" i="41"/>
  <c r="J263" i="41"/>
  <c r="Z30" i="66"/>
  <c r="Z174" i="66"/>
  <c r="Y174" i="66"/>
  <c r="Y30" i="66"/>
  <c r="I181" i="41"/>
  <c r="I303" i="41"/>
  <c r="J302" i="41"/>
  <c r="H274" i="41"/>
  <c r="J232" i="41"/>
  <c r="I258" i="41"/>
  <c r="H171" i="41"/>
  <c r="F225" i="66"/>
  <c r="N225" i="66" s="1"/>
  <c r="D63" i="57"/>
  <c r="J324" i="41"/>
  <c r="F109" i="66"/>
  <c r="N109" i="66" s="1"/>
  <c r="D38" i="57"/>
  <c r="H359" i="41"/>
  <c r="D45" i="57"/>
  <c r="F162" i="66"/>
  <c r="N162" i="66" s="1"/>
  <c r="H276" i="41"/>
  <c r="J364" i="41"/>
  <c r="H297" i="41"/>
  <c r="I351" i="41"/>
  <c r="J370" i="41"/>
  <c r="G106" i="66"/>
  <c r="J429" i="37"/>
  <c r="D8" i="57"/>
  <c r="M3" i="37"/>
  <c r="H228" i="41"/>
  <c r="F41" i="66"/>
  <c r="H115" i="66"/>
  <c r="E2" i="53"/>
  <c r="H121" i="41"/>
  <c r="H19" i="66"/>
  <c r="F19" i="66"/>
  <c r="H67" i="66"/>
  <c r="E26" i="53"/>
  <c r="J121" i="41"/>
  <c r="F115" i="66"/>
  <c r="H469" i="41"/>
  <c r="F10" i="66"/>
  <c r="N10" i="66" s="1"/>
  <c r="N202" i="66"/>
  <c r="F169" i="66"/>
  <c r="D41" i="57"/>
  <c r="H471" i="37"/>
  <c r="E392" i="38"/>
  <c r="M38" i="66" s="1"/>
  <c r="D4" i="57"/>
  <c r="H300" i="41"/>
  <c r="F38" i="66"/>
  <c r="H472" i="37"/>
  <c r="H161" i="41"/>
  <c r="J144" i="41"/>
  <c r="F114" i="66"/>
  <c r="N114" i="66" s="1"/>
  <c r="D32" i="57"/>
  <c r="J164" i="41"/>
  <c r="V59" i="66"/>
  <c r="X59" i="66" s="1"/>
  <c r="U59" i="66"/>
  <c r="Q59" i="66"/>
  <c r="R59" i="66" s="1"/>
  <c r="T59" i="66" s="1"/>
  <c r="I400" i="41"/>
  <c r="J174" i="41"/>
  <c r="I294" i="41"/>
  <c r="H346" i="41"/>
  <c r="I380" i="41"/>
  <c r="I287" i="41"/>
  <c r="H236" i="41"/>
  <c r="H365" i="41"/>
  <c r="I120" i="41"/>
  <c r="F73" i="66"/>
  <c r="D15" i="57"/>
  <c r="D51" i="57"/>
  <c r="F157" i="66"/>
  <c r="N157" i="66" s="1"/>
  <c r="I300" i="41"/>
  <c r="E393" i="38"/>
  <c r="M86" i="66" s="1"/>
  <c r="D17" i="57"/>
  <c r="I471" i="37"/>
  <c r="I472" i="37"/>
  <c r="F86" i="66"/>
  <c r="F158" i="66"/>
  <c r="N158" i="66" s="1"/>
  <c r="D49" i="57"/>
  <c r="G5" i="53"/>
  <c r="H11" i="53"/>
  <c r="G11" i="53" s="1"/>
  <c r="Y107" i="66"/>
  <c r="Y251" i="66"/>
  <c r="Z251" i="66"/>
  <c r="O107" i="66"/>
  <c r="Z107" i="66"/>
  <c r="Q93" i="66"/>
  <c r="R93" i="66" s="1"/>
  <c r="T93" i="66" s="1"/>
  <c r="V93" i="66"/>
  <c r="X93" i="66" s="1"/>
  <c r="U93" i="66"/>
  <c r="Y127" i="66"/>
  <c r="Y271" i="66"/>
  <c r="Z271" i="66"/>
  <c r="Z127" i="66"/>
  <c r="O127" i="66"/>
  <c r="I264" i="41"/>
  <c r="F81" i="66"/>
  <c r="N81" i="66" s="1"/>
  <c r="D24" i="57"/>
  <c r="D77" i="57"/>
  <c r="F253" i="66"/>
  <c r="N253" i="66" s="1"/>
  <c r="F18" i="66"/>
  <c r="N18" i="66" s="1"/>
  <c r="H144" i="41"/>
  <c r="D6" i="57"/>
  <c r="J253" i="41"/>
  <c r="J313" i="41"/>
  <c r="H342" i="41"/>
  <c r="J337" i="41"/>
  <c r="I191" i="41"/>
  <c r="J284" i="41"/>
  <c r="I130" i="41"/>
  <c r="Z267" i="66"/>
  <c r="Y267" i="66"/>
  <c r="Y123" i="66"/>
  <c r="O123" i="66"/>
  <c r="Z123" i="66"/>
  <c r="Y143" i="66"/>
  <c r="Z287" i="66"/>
  <c r="Y287" i="66"/>
  <c r="Z143" i="66"/>
  <c r="O143" i="66"/>
  <c r="J379" i="41"/>
  <c r="F185" i="66"/>
  <c r="D47" i="57"/>
  <c r="M3" i="58"/>
  <c r="I244" i="41"/>
  <c r="H283" i="41"/>
  <c r="H259" i="66"/>
  <c r="H163" i="66"/>
  <c r="E8" i="53"/>
  <c r="H211" i="66"/>
  <c r="F163" i="66"/>
  <c r="E32" i="53"/>
  <c r="F259" i="66"/>
  <c r="I267" i="41"/>
  <c r="H393" i="41"/>
  <c r="H286" i="41"/>
  <c r="I268" i="41"/>
  <c r="H165" i="41"/>
  <c r="I355" i="41"/>
  <c r="I286" i="41"/>
  <c r="J260" i="41"/>
  <c r="I166" i="41"/>
  <c r="U57" i="66"/>
  <c r="Q57" i="66"/>
  <c r="R57" i="66" s="1"/>
  <c r="T57" i="66" s="1"/>
  <c r="V57" i="66"/>
  <c r="X57" i="66" s="1"/>
  <c r="E20" i="53"/>
  <c r="F211" i="66"/>
  <c r="D71" i="57"/>
  <c r="F258" i="66"/>
  <c r="N258" i="66" s="1"/>
  <c r="J155" i="41"/>
  <c r="F33" i="66"/>
  <c r="N33" i="66" s="1"/>
  <c r="H264" i="41"/>
  <c r="D11" i="57"/>
  <c r="H123" i="41"/>
  <c r="H348" i="41"/>
  <c r="D13" i="57"/>
  <c r="F23" i="66"/>
  <c r="N23" i="66" s="1"/>
  <c r="D60" i="57"/>
  <c r="F233" i="66"/>
  <c r="N3" i="58"/>
  <c r="H280" i="41"/>
  <c r="J168" i="41"/>
  <c r="D33" i="57"/>
  <c r="F120" i="66"/>
  <c r="N120" i="66" s="1"/>
  <c r="I402" i="41"/>
  <c r="F98" i="66"/>
  <c r="N98" i="66" s="1"/>
  <c r="J135" i="58"/>
  <c r="C49" i="63" s="1"/>
  <c r="J135" i="37"/>
  <c r="C22" i="63" s="1"/>
  <c r="I135" i="37"/>
  <c r="C13" i="63" s="1"/>
  <c r="I135" i="58"/>
  <c r="C40" i="63" s="1"/>
  <c r="H139" i="37"/>
  <c r="H139" i="58"/>
  <c r="H135" i="58"/>
  <c r="C31" i="63" s="1"/>
  <c r="H135" i="37"/>
  <c r="H143" i="37"/>
  <c r="H143" i="58"/>
  <c r="F56" i="66"/>
  <c r="D44" i="39"/>
  <c r="E110" i="38" s="1"/>
  <c r="I470" i="41"/>
  <c r="D17" i="39" s="1"/>
  <c r="H293" i="41"/>
  <c r="H201" i="41"/>
  <c r="I190" i="41"/>
  <c r="F217" i="66"/>
  <c r="D54" i="57"/>
  <c r="J216" i="41"/>
  <c r="F13" i="66"/>
  <c r="N13" i="66" s="1"/>
  <c r="D12" i="57"/>
  <c r="H324" i="41"/>
  <c r="J180" i="41"/>
  <c r="I285" i="41"/>
  <c r="J250" i="41"/>
  <c r="I383" i="41"/>
  <c r="J301" i="41"/>
  <c r="H156" i="41"/>
  <c r="I471" i="58"/>
  <c r="F231" i="66" s="1"/>
  <c r="N231" i="66" s="1"/>
  <c r="I472" i="58"/>
  <c r="F230" i="66"/>
  <c r="D56" i="57"/>
  <c r="E396" i="38"/>
  <c r="M230" i="66" s="1"/>
  <c r="D10" i="57"/>
  <c r="F14" i="66"/>
  <c r="N14" i="66" s="1"/>
  <c r="H246" i="41"/>
  <c r="I241" i="41"/>
  <c r="J331" i="41"/>
  <c r="H185" i="41"/>
  <c r="I295" i="41"/>
  <c r="I345" i="41"/>
  <c r="H398" i="41"/>
  <c r="I222" i="41"/>
  <c r="I394" i="41"/>
  <c r="J219" i="41"/>
  <c r="H141" i="41"/>
  <c r="I148" i="41"/>
  <c r="I154" i="41"/>
  <c r="H205" i="41"/>
  <c r="I200" i="41"/>
  <c r="H364" i="41"/>
  <c r="J312" i="41"/>
  <c r="I344" i="41"/>
  <c r="I205" i="41"/>
  <c r="J220" i="41"/>
  <c r="I209" i="41"/>
  <c r="H168" i="41"/>
  <c r="D7" i="57"/>
  <c r="F24" i="66"/>
  <c r="N24" i="66" s="1"/>
  <c r="J398" i="41"/>
  <c r="H399" i="41"/>
  <c r="J244" i="41"/>
  <c r="H325" i="41"/>
  <c r="J257" i="41"/>
  <c r="I306" i="41"/>
  <c r="H250" i="41"/>
  <c r="I362" i="41"/>
  <c r="I372" i="41"/>
  <c r="J234" i="41"/>
  <c r="J190" i="41"/>
  <c r="J187" i="41"/>
  <c r="I368" i="41"/>
  <c r="J279" i="41"/>
  <c r="I341" i="41"/>
  <c r="H380" i="41"/>
  <c r="H357" i="41"/>
  <c r="I278" i="41"/>
  <c r="H391" i="41"/>
  <c r="E17" i="53"/>
  <c r="F17" i="53" s="1"/>
  <c r="H23" i="53" s="1"/>
  <c r="I403" i="41"/>
  <c r="J397" i="41"/>
  <c r="H377" i="41"/>
  <c r="J178" i="41"/>
  <c r="J362" i="41"/>
  <c r="H234" i="41"/>
  <c r="J145" i="41"/>
  <c r="I201" i="41"/>
  <c r="J261" i="41"/>
  <c r="I237" i="41"/>
  <c r="H252" i="41"/>
  <c r="I354" i="41"/>
  <c r="I339" i="41"/>
  <c r="H298" i="41"/>
  <c r="I343" i="41"/>
  <c r="J355" i="41"/>
  <c r="J240" i="41"/>
  <c r="H370" i="41"/>
  <c r="I375" i="41"/>
  <c r="I359" i="41"/>
  <c r="H328" i="41"/>
  <c r="H155" i="41"/>
  <c r="I202" i="41"/>
  <c r="J392" i="41"/>
  <c r="I387" i="41"/>
  <c r="I121" i="41"/>
  <c r="E14" i="53"/>
  <c r="F67" i="66"/>
  <c r="H288" i="41"/>
  <c r="J124" i="41"/>
  <c r="H166" i="41"/>
  <c r="J375" i="41"/>
  <c r="H397" i="41"/>
  <c r="H137" i="41"/>
  <c r="H202" i="41"/>
  <c r="J391" i="41"/>
  <c r="J382" i="41"/>
  <c r="J152" i="41"/>
  <c r="I257" i="41"/>
  <c r="J169" i="41"/>
  <c r="I229" i="41"/>
  <c r="I151" i="41"/>
  <c r="J288" i="41"/>
  <c r="H291" i="41"/>
  <c r="H198" i="41"/>
  <c r="I211" i="41"/>
  <c r="J146" i="41"/>
  <c r="I326" i="41"/>
  <c r="H170" i="41"/>
  <c r="F248" i="66"/>
  <c r="M44" i="39"/>
  <c r="E178" i="38" s="1"/>
  <c r="F177" i="66"/>
  <c r="N177" i="66" s="1"/>
  <c r="D50" i="57"/>
  <c r="D52" i="57"/>
  <c r="F167" i="66"/>
  <c r="N167" i="66" s="1"/>
  <c r="D21" i="57"/>
  <c r="I228" i="41"/>
  <c r="N3" i="37"/>
  <c r="F89" i="66"/>
  <c r="H232" i="41"/>
  <c r="H319" i="41"/>
  <c r="I243" i="41"/>
  <c r="H285" i="41"/>
  <c r="Q267" i="66"/>
  <c r="R267" i="66" s="1"/>
  <c r="T267" i="66" s="1"/>
  <c r="V267" i="66"/>
  <c r="X267" i="66" s="1"/>
  <c r="U267" i="66"/>
  <c r="U219" i="66"/>
  <c r="Q219" i="66"/>
  <c r="R219" i="66" s="1"/>
  <c r="T219" i="66" s="1"/>
  <c r="V219" i="66"/>
  <c r="X219" i="66" s="1"/>
  <c r="F208" i="66"/>
  <c r="D57" i="57"/>
  <c r="U75" i="66"/>
  <c r="V75" i="66"/>
  <c r="X75" i="66" s="1"/>
  <c r="Q75" i="66"/>
  <c r="R75" i="66" s="1"/>
  <c r="T75" i="66" s="1"/>
  <c r="F65" i="66"/>
  <c r="N65" i="66" s="1"/>
  <c r="I468" i="41"/>
  <c r="H266" i="41"/>
  <c r="H361" i="41"/>
  <c r="I169" i="41"/>
  <c r="H216" i="41"/>
  <c r="H378" i="41"/>
  <c r="J332" i="41"/>
  <c r="J159" i="41"/>
  <c r="H373" i="41"/>
  <c r="H301" i="41"/>
  <c r="H248" i="41"/>
  <c r="I275" i="41"/>
  <c r="J205" i="41"/>
  <c r="J209" i="41"/>
  <c r="J171" i="41"/>
  <c r="H329" i="41"/>
  <c r="D75" i="57"/>
  <c r="F254" i="66"/>
  <c r="N254" i="66" s="1"/>
  <c r="H172" i="41"/>
  <c r="F264" i="66"/>
  <c r="N264" i="66" s="1"/>
  <c r="D72" i="57"/>
  <c r="H153" i="41"/>
  <c r="J404" i="37"/>
  <c r="J404" i="58"/>
  <c r="F270" i="66" s="1"/>
  <c r="N270" i="66" s="1"/>
  <c r="F106" i="66"/>
  <c r="J469" i="41"/>
  <c r="H164" i="41"/>
  <c r="M7" i="41" s="1"/>
  <c r="I242" i="41"/>
  <c r="H124" i="41"/>
  <c r="H386" i="41"/>
  <c r="J285" i="41"/>
  <c r="H136" i="41"/>
  <c r="I327" i="41"/>
  <c r="I194" i="41"/>
  <c r="H333" i="41"/>
  <c r="I260" i="41"/>
  <c r="J296" i="41"/>
  <c r="H257" i="41"/>
  <c r="I388" i="41"/>
  <c r="J273" i="41"/>
  <c r="J177" i="41"/>
  <c r="I125" i="41"/>
  <c r="F129" i="66"/>
  <c r="N129" i="66" s="1"/>
  <c r="J264" i="41"/>
  <c r="D37" i="57"/>
  <c r="J390" i="41"/>
  <c r="I299" i="41"/>
  <c r="H379" i="41"/>
  <c r="I134" i="41"/>
  <c r="J311" i="41"/>
  <c r="H256" i="41"/>
  <c r="I232" i="41"/>
  <c r="H352" i="41"/>
  <c r="J396" i="41"/>
  <c r="J153" i="41"/>
  <c r="J295" i="41"/>
  <c r="H374" i="41"/>
  <c r="J343" i="41"/>
  <c r="I274" i="41"/>
  <c r="I320" i="41"/>
  <c r="H231" i="41"/>
  <c r="F152" i="66"/>
  <c r="K44" i="39"/>
  <c r="E144" i="38" s="1"/>
  <c r="I266" i="41"/>
  <c r="I373" i="41"/>
  <c r="H389" i="41"/>
  <c r="H215" i="41"/>
  <c r="I247" i="41"/>
  <c r="D65" i="57"/>
  <c r="F215" i="66"/>
  <c r="N215" i="66" s="1"/>
  <c r="J128" i="41"/>
  <c r="H351" i="41"/>
  <c r="J322" i="41"/>
  <c r="I281" i="41"/>
  <c r="H309" i="41"/>
  <c r="H311" i="41"/>
  <c r="J394" i="41"/>
  <c r="J138" i="41"/>
  <c r="J283" i="41"/>
  <c r="H332" i="41"/>
  <c r="I371" i="41"/>
  <c r="J201" i="41"/>
  <c r="I204" i="41"/>
  <c r="D16" i="57"/>
  <c r="F52" i="66"/>
  <c r="F226" i="66"/>
  <c r="E22" i="53"/>
  <c r="F22" i="53" s="1"/>
  <c r="H16" i="53" s="1"/>
  <c r="D66" i="57"/>
  <c r="J297" i="41"/>
  <c r="I349" i="41"/>
  <c r="I271" i="41"/>
  <c r="I319" i="41"/>
  <c r="H334" i="41"/>
  <c r="H400" i="41"/>
  <c r="I289" i="41"/>
  <c r="H173" i="41"/>
  <c r="E23" i="53"/>
  <c r="F23" i="53" s="1"/>
  <c r="J225" i="41"/>
  <c r="J289" i="41"/>
  <c r="H226" i="41"/>
  <c r="H295" i="41"/>
  <c r="J203" i="41"/>
  <c r="I338" i="41"/>
  <c r="H180" i="41"/>
  <c r="J133" i="41"/>
  <c r="I291" i="41"/>
  <c r="J304" i="41"/>
  <c r="D25" i="57"/>
  <c r="F61" i="66"/>
  <c r="N61" i="66" s="1"/>
  <c r="I324" i="41"/>
  <c r="F64" i="66"/>
  <c r="D18" i="57"/>
  <c r="I186" i="41"/>
  <c r="H245" i="41"/>
  <c r="H145" i="41"/>
  <c r="J123" i="41"/>
  <c r="H195" i="41"/>
  <c r="I330" i="41"/>
  <c r="J374" i="41"/>
  <c r="H384" i="41"/>
  <c r="I170" i="41"/>
  <c r="F256" i="66"/>
  <c r="D70" i="57"/>
  <c r="J224" i="41"/>
  <c r="I335" i="41"/>
  <c r="H133" i="41"/>
  <c r="H138" i="41"/>
  <c r="F125" i="66"/>
  <c r="J282" i="41"/>
  <c r="D35" i="57"/>
  <c r="I155" i="41"/>
  <c r="H239" i="41"/>
  <c r="I175" i="41"/>
  <c r="H149" i="41"/>
  <c r="H369" i="41"/>
  <c r="J140" i="41"/>
  <c r="H371" i="41"/>
  <c r="I227" i="41"/>
  <c r="J139" i="58"/>
  <c r="C50" i="63" s="1"/>
  <c r="J139" i="37"/>
  <c r="C23" i="63" s="1"/>
  <c r="I219" i="41"/>
  <c r="I131" i="37"/>
  <c r="I131" i="58"/>
  <c r="C42" i="63" s="1"/>
  <c r="H186" i="41"/>
  <c r="F16" i="66"/>
  <c r="D5" i="57"/>
  <c r="I172" i="41"/>
  <c r="H259" i="41"/>
  <c r="I399" i="41"/>
  <c r="J468" i="41"/>
  <c r="F113" i="66"/>
  <c r="N113" i="66" s="1"/>
  <c r="J127" i="41"/>
  <c r="D76" i="57"/>
  <c r="F273" i="66"/>
  <c r="N273" i="66" s="1"/>
  <c r="H402" i="41"/>
  <c r="F50" i="66"/>
  <c r="N50" i="66" s="1"/>
  <c r="I348" i="41"/>
  <c r="F71" i="66"/>
  <c r="N71" i="66" s="1"/>
  <c r="D26" i="57"/>
  <c r="F196" i="66"/>
  <c r="N196" i="66" s="1"/>
  <c r="D55" i="57"/>
  <c r="I366" i="41"/>
  <c r="D27" i="57"/>
  <c r="F82" i="66"/>
  <c r="E16" i="53"/>
  <c r="F16" i="53" s="1"/>
  <c r="H22" i="53" s="1"/>
  <c r="V249" i="66"/>
  <c r="X249" i="66" s="1"/>
  <c r="U249" i="66"/>
  <c r="Q249" i="66"/>
  <c r="R249" i="66" s="1"/>
  <c r="T249" i="66" s="1"/>
  <c r="H287" i="41"/>
  <c r="H390" i="41"/>
  <c r="F148" i="66"/>
  <c r="N148" i="66" s="1"/>
  <c r="D42" i="57"/>
  <c r="H382" i="41"/>
  <c r="J360" i="41"/>
  <c r="I369" i="41"/>
  <c r="H392" i="41"/>
  <c r="D48" i="57"/>
  <c r="F173" i="66"/>
  <c r="H222" i="41"/>
  <c r="I346" i="41"/>
  <c r="J307" i="41"/>
  <c r="J367" i="41"/>
  <c r="H258" i="41"/>
  <c r="I231" i="41"/>
  <c r="I340" i="41"/>
  <c r="H176" i="41"/>
  <c r="D74" i="57"/>
  <c r="F269" i="66"/>
  <c r="F210" i="66"/>
  <c r="N210" i="66" s="1"/>
  <c r="D58" i="57"/>
  <c r="I469" i="41"/>
  <c r="F58" i="66"/>
  <c r="N58" i="66" s="1"/>
  <c r="I404" i="41"/>
  <c r="F78" i="66"/>
  <c r="N78" i="66" s="1"/>
  <c r="F168" i="66"/>
  <c r="N168" i="66" s="1"/>
  <c r="D46" i="57"/>
  <c r="Q47" i="66"/>
  <c r="U47" i="66"/>
  <c r="F205" i="66"/>
  <c r="N205" i="66" s="1"/>
  <c r="D64" i="57"/>
  <c r="D31" i="57"/>
  <c r="F112" i="66"/>
  <c r="J186" i="41"/>
  <c r="Z285" i="66"/>
  <c r="Z141" i="66"/>
  <c r="Y285" i="66"/>
  <c r="Y141" i="66"/>
  <c r="O141" i="66"/>
  <c r="J277" i="41"/>
  <c r="F160" i="66"/>
  <c r="D44" i="57"/>
  <c r="I333" i="41"/>
  <c r="J195" i="41"/>
  <c r="J191" i="41"/>
  <c r="H160" i="41"/>
  <c r="I136" i="41"/>
  <c r="H273" i="41"/>
  <c r="I401" i="41"/>
  <c r="J223" i="41"/>
  <c r="H207" i="41"/>
  <c r="H263" i="41"/>
  <c r="I323" i="41"/>
  <c r="E29" i="53"/>
  <c r="F29" i="53" s="1"/>
  <c r="H35" i="53" s="1"/>
  <c r="J403" i="41"/>
  <c r="F265" i="66"/>
  <c r="D67" i="57"/>
  <c r="F34" i="66"/>
  <c r="D14" i="57"/>
  <c r="E4" i="53"/>
  <c r="F4" i="53" s="1"/>
  <c r="H10" i="53" s="1"/>
  <c r="H366" i="41"/>
  <c r="F274" i="66"/>
  <c r="E34" i="53"/>
  <c r="F34" i="53" s="1"/>
  <c r="D79" i="57"/>
  <c r="F100" i="66"/>
  <c r="N100" i="66" s="1"/>
  <c r="D29" i="57"/>
  <c r="J204" i="41"/>
  <c r="O251" i="66"/>
  <c r="I196" i="41"/>
  <c r="H316" i="41"/>
  <c r="I185" i="41"/>
  <c r="F49" i="66"/>
  <c r="H403" i="41"/>
  <c r="E394" i="38"/>
  <c r="M134" i="66" s="1"/>
  <c r="J472" i="37"/>
  <c r="J471" i="37"/>
  <c r="F134" i="66"/>
  <c r="J300" i="41"/>
  <c r="D30" i="57"/>
  <c r="D78" i="57"/>
  <c r="F263" i="66"/>
  <c r="N263" i="66" s="1"/>
  <c r="F17" i="66"/>
  <c r="N17" i="66" s="1"/>
  <c r="H468" i="41"/>
  <c r="D3" i="57"/>
  <c r="F4" i="66"/>
  <c r="N4" i="66" s="1"/>
  <c r="H204" i="41"/>
  <c r="D9" i="57"/>
  <c r="H282" i="41"/>
  <c r="F29" i="66"/>
  <c r="D34" i="57"/>
  <c r="J228" i="41"/>
  <c r="F137" i="66"/>
  <c r="O3" i="37"/>
  <c r="U175" i="66"/>
  <c r="Q175" i="66"/>
  <c r="Z249" i="66"/>
  <c r="O105" i="66"/>
  <c r="Z105" i="66"/>
  <c r="Y249" i="66"/>
  <c r="Y105" i="66"/>
  <c r="I203" i="41"/>
  <c r="H197" i="41"/>
  <c r="J328" i="41"/>
  <c r="I144" i="41"/>
  <c r="F66" i="66"/>
  <c r="N66" i="66" s="1"/>
  <c r="D19" i="57"/>
  <c r="H253" i="41"/>
  <c r="I152" i="41"/>
  <c r="J172" i="41"/>
  <c r="I137" i="41"/>
  <c r="H127" i="37"/>
  <c r="H127" i="58"/>
  <c r="F104" i="66"/>
  <c r="E44" i="39"/>
  <c r="E127" i="38" s="1"/>
  <c r="J470" i="41"/>
  <c r="E17" i="39" s="1"/>
  <c r="I390" i="41"/>
  <c r="J131" i="37"/>
  <c r="J131" i="58"/>
  <c r="H131" i="37"/>
  <c r="H131" i="58"/>
  <c r="O95" i="66"/>
  <c r="Y95" i="66"/>
  <c r="Z95" i="66"/>
  <c r="Z239" i="66"/>
  <c r="Y239" i="66"/>
  <c r="J157" i="41"/>
  <c r="I240" i="41"/>
  <c r="J400" i="41"/>
  <c r="I158" i="41"/>
  <c r="J381" i="41"/>
  <c r="I221" i="41"/>
  <c r="J320" i="41"/>
  <c r="I250" i="41"/>
  <c r="I167" i="41"/>
  <c r="I132" i="41"/>
  <c r="J336" i="41"/>
  <c r="I139" i="58"/>
  <c r="I139" i="37"/>
  <c r="J143" i="37"/>
  <c r="J143" i="58"/>
  <c r="H294" i="41"/>
  <c r="I392" i="41"/>
  <c r="H184" i="41"/>
  <c r="H249" i="41"/>
  <c r="H247" i="41"/>
  <c r="J268" i="41"/>
  <c r="J243" i="41"/>
  <c r="I304" i="41"/>
  <c r="I165" i="41"/>
  <c r="F216" i="66"/>
  <c r="N216" i="66" s="1"/>
  <c r="D59" i="57"/>
  <c r="I282" i="41"/>
  <c r="D22" i="57"/>
  <c r="F77" i="66"/>
  <c r="H261" i="41"/>
  <c r="H272" i="41"/>
  <c r="J352" i="41"/>
  <c r="H174" i="41"/>
  <c r="J198" i="41"/>
  <c r="I123" i="41"/>
  <c r="H206" i="41"/>
  <c r="I253" i="41"/>
  <c r="D23" i="57"/>
  <c r="F62" i="66"/>
  <c r="N62" i="66" s="1"/>
  <c r="I246" i="41"/>
  <c r="H193" i="41"/>
  <c r="O285" i="66"/>
  <c r="I262" i="41"/>
  <c r="H190" i="41"/>
  <c r="H358" i="41"/>
  <c r="I248" i="41"/>
  <c r="H279" i="41"/>
  <c r="I332" i="41"/>
  <c r="I198" i="41"/>
  <c r="J402" i="41"/>
  <c r="F146" i="66"/>
  <c r="N146" i="66" s="1"/>
  <c r="H148" i="41"/>
  <c r="H401" i="41"/>
  <c r="I239" i="41"/>
  <c r="I280" i="41"/>
  <c r="H182" i="41"/>
  <c r="I176" i="41"/>
  <c r="D28" i="57"/>
  <c r="F121" i="66"/>
  <c r="J120" i="41"/>
  <c r="I150" i="41"/>
  <c r="H212" i="41"/>
  <c r="J125" i="41"/>
  <c r="I224" i="41"/>
  <c r="I212" i="41"/>
  <c r="J212" i="41"/>
  <c r="H217" i="41"/>
  <c r="H296" i="41"/>
  <c r="H177" i="41"/>
  <c r="H269" i="41"/>
  <c r="H229" i="41"/>
  <c r="D53" i="57"/>
  <c r="F178" i="66"/>
  <c r="E10" i="53"/>
  <c r="F10" i="53" s="1"/>
  <c r="J233" i="41"/>
  <c r="J366" i="41"/>
  <c r="F130" i="66"/>
  <c r="D40" i="57"/>
  <c r="E28" i="53"/>
  <c r="F28" i="53" s="1"/>
  <c r="H34" i="53" s="1"/>
  <c r="D68" i="57"/>
  <c r="F244" i="66"/>
  <c r="N244" i="66" s="1"/>
  <c r="I252" i="41"/>
  <c r="H128" i="41"/>
  <c r="I214" i="41"/>
  <c r="I367" i="41"/>
  <c r="I159" i="41"/>
  <c r="O239" i="66"/>
  <c r="E35" i="53"/>
  <c r="F35" i="53" s="1"/>
  <c r="I269" i="41"/>
  <c r="H385" i="41"/>
  <c r="H238" i="41"/>
  <c r="I352" i="41"/>
  <c r="J472" i="58"/>
  <c r="D69" i="57"/>
  <c r="J471" i="58"/>
  <c r="F279" i="66" s="1"/>
  <c r="N279" i="66" s="1"/>
  <c r="F278" i="66"/>
  <c r="E397" i="38"/>
  <c r="M278" i="66" s="1"/>
  <c r="I180" i="41"/>
  <c r="J286" i="41"/>
  <c r="J170" i="41"/>
  <c r="H350" i="41"/>
  <c r="I284" i="41"/>
  <c r="G250" i="66"/>
  <c r="N250" i="66" s="1"/>
  <c r="J429" i="58"/>
  <c r="I292" i="41"/>
  <c r="I296" i="41"/>
  <c r="J274" i="41"/>
  <c r="J182" i="41"/>
  <c r="H230" i="41"/>
  <c r="J287" i="41"/>
  <c r="J222" i="41"/>
  <c r="I316" i="41"/>
  <c r="I393" i="41"/>
  <c r="J399" i="41"/>
  <c r="D39" i="57"/>
  <c r="F119" i="66"/>
  <c r="N119" i="66" s="1"/>
  <c r="J348" i="41"/>
  <c r="H159" i="41"/>
  <c r="J202" i="41"/>
  <c r="I311" i="41"/>
  <c r="H200" i="41"/>
  <c r="I376" i="41"/>
  <c r="H396" i="41"/>
  <c r="I374" i="41"/>
  <c r="H140" i="41"/>
  <c r="H292" i="41"/>
  <c r="I273" i="41"/>
  <c r="C44" i="39"/>
  <c r="E93" i="38" s="1"/>
  <c r="F8" i="66"/>
  <c r="H470" i="41"/>
  <c r="C17" i="39" s="1"/>
  <c r="U31" i="66"/>
  <c r="Q31" i="66"/>
  <c r="F200" i="66"/>
  <c r="L44" i="39"/>
  <c r="E161" i="38" s="1"/>
  <c r="J161" i="41"/>
  <c r="I353" i="41"/>
  <c r="J258" i="41"/>
  <c r="I261" i="41"/>
  <c r="I124" i="41"/>
  <c r="J351" i="41"/>
  <c r="J236" i="41"/>
  <c r="J256" i="41"/>
  <c r="J363" i="41"/>
  <c r="D2" i="57"/>
  <c r="F25" i="66"/>
  <c r="H120" i="41"/>
  <c r="J275" i="41"/>
  <c r="D43" i="57"/>
  <c r="H471" i="58"/>
  <c r="F183" i="66" s="1"/>
  <c r="N183" i="66" s="1"/>
  <c r="E395" i="38"/>
  <c r="M182" i="66" s="1"/>
  <c r="H472" i="58"/>
  <c r="F182" i="66"/>
  <c r="I164" i="41"/>
  <c r="J319" i="41"/>
  <c r="H209" i="41"/>
  <c r="O3" i="58"/>
  <c r="D73" i="57"/>
  <c r="F281" i="66"/>
  <c r="H5" i="6" l="1"/>
  <c r="J5" i="6"/>
  <c r="N52" i="66"/>
  <c r="I5" i="6" s="1"/>
  <c r="Y223" i="66"/>
  <c r="O79" i="66"/>
  <c r="Y79" i="66"/>
  <c r="N72" i="66"/>
  <c r="Z223" i="66"/>
  <c r="Z79" i="66"/>
  <c r="O223" i="66"/>
  <c r="Q223" i="66" s="1"/>
  <c r="R223" i="66" s="1"/>
  <c r="T223" i="66" s="1"/>
  <c r="Y69" i="66"/>
  <c r="Y213" i="66"/>
  <c r="Z213" i="66"/>
  <c r="Z69" i="66"/>
  <c r="Y220" i="66"/>
  <c r="Y76" i="66"/>
  <c r="Z220" i="66"/>
  <c r="Z76" i="66"/>
  <c r="Y235" i="66"/>
  <c r="Y91" i="66"/>
  <c r="Z91" i="66"/>
  <c r="Z235" i="66"/>
  <c r="O7" i="41"/>
  <c r="J418" i="41"/>
  <c r="L50" i="39"/>
  <c r="E165" i="38" s="1"/>
  <c r="J221" i="66" s="1"/>
  <c r="F23" i="39"/>
  <c r="G17" i="39"/>
  <c r="N7" i="41"/>
  <c r="E50" i="39"/>
  <c r="E131" i="38" s="1"/>
  <c r="J442" i="37" s="1"/>
  <c r="N106" i="66"/>
  <c r="Y250" i="66" s="1"/>
  <c r="C50" i="39"/>
  <c r="E97" i="38" s="1"/>
  <c r="J29" i="66" s="1"/>
  <c r="G22" i="39"/>
  <c r="G22" i="53"/>
  <c r="E316" i="38" s="1"/>
  <c r="E48" i="39"/>
  <c r="E129" i="38" s="1"/>
  <c r="J434" i="37" s="1"/>
  <c r="H143" i="41"/>
  <c r="K49" i="39"/>
  <c r="E147" i="38" s="1"/>
  <c r="J160" i="66" s="1"/>
  <c r="M48" i="39"/>
  <c r="E180" i="38" s="1"/>
  <c r="J434" i="58" s="1"/>
  <c r="K51" i="39"/>
  <c r="E149" i="38" s="1"/>
  <c r="J185" i="66" s="1"/>
  <c r="N185" i="66" s="1"/>
  <c r="M51" i="39"/>
  <c r="E183" i="38" s="1"/>
  <c r="J281" i="66" s="1"/>
  <c r="C33" i="63"/>
  <c r="C49" i="39"/>
  <c r="E96" i="38" s="1"/>
  <c r="J16" i="66" s="1"/>
  <c r="N16" i="66" s="1"/>
  <c r="N182" i="66"/>
  <c r="N38" i="66"/>
  <c r="L48" i="39"/>
  <c r="E163" i="38" s="1"/>
  <c r="J217" i="66" s="1"/>
  <c r="D50" i="39"/>
  <c r="E114" i="38" s="1"/>
  <c r="J77" i="66" s="1"/>
  <c r="J143" i="41"/>
  <c r="E51" i="39"/>
  <c r="E132" i="38" s="1"/>
  <c r="J137" i="66" s="1"/>
  <c r="N137" i="66" s="1"/>
  <c r="E49" i="39"/>
  <c r="E130" i="38" s="1"/>
  <c r="J435" i="37" s="1"/>
  <c r="M50" i="39"/>
  <c r="E182" i="38" s="1"/>
  <c r="J442" i="58" s="1"/>
  <c r="D47" i="39"/>
  <c r="E111" i="38" s="1"/>
  <c r="I433" i="37" s="1"/>
  <c r="C47" i="39"/>
  <c r="E94" i="38" s="1"/>
  <c r="J19" i="66" s="1"/>
  <c r="K48" i="39"/>
  <c r="E146" i="38" s="1"/>
  <c r="J169" i="66" s="1"/>
  <c r="N169" i="66" s="1"/>
  <c r="L49" i="39"/>
  <c r="E164" i="38" s="1"/>
  <c r="J208" i="66" s="1"/>
  <c r="M49" i="39"/>
  <c r="E181" i="38" s="1"/>
  <c r="J256" i="66" s="1"/>
  <c r="N256" i="66" s="1"/>
  <c r="E401" i="38"/>
  <c r="H474" i="58" s="1"/>
  <c r="H135" i="41"/>
  <c r="N230" i="66"/>
  <c r="C51" i="39"/>
  <c r="E98" i="38" s="1"/>
  <c r="H443" i="37" s="1"/>
  <c r="E403" i="38"/>
  <c r="J475" i="58" s="1"/>
  <c r="K50" i="39"/>
  <c r="E148" i="38" s="1"/>
  <c r="H442" i="58" s="1"/>
  <c r="L51" i="39"/>
  <c r="E166" i="38" s="1"/>
  <c r="J233" i="66" s="1"/>
  <c r="E402" i="38"/>
  <c r="I475" i="58" s="1"/>
  <c r="Z253" i="66"/>
  <c r="Y253" i="66"/>
  <c r="Z109" i="66"/>
  <c r="Y109" i="66"/>
  <c r="C41" i="63"/>
  <c r="Y161" i="66"/>
  <c r="Z161" i="66"/>
  <c r="Z17" i="66"/>
  <c r="Y17" i="66"/>
  <c r="Y242" i="66"/>
  <c r="Y98" i="66"/>
  <c r="Z98" i="66"/>
  <c r="Z242" i="66"/>
  <c r="V143" i="66"/>
  <c r="X143" i="66" s="1"/>
  <c r="Q143" i="66"/>
  <c r="R143" i="66" s="1"/>
  <c r="T143" i="66" s="1"/>
  <c r="U143" i="66"/>
  <c r="E33" i="53"/>
  <c r="F33" i="53" s="1"/>
  <c r="F280" i="66"/>
  <c r="Z206" i="66"/>
  <c r="Y206" i="66"/>
  <c r="Y62" i="66"/>
  <c r="Z62" i="66"/>
  <c r="C51" i="63"/>
  <c r="Z100" i="66"/>
  <c r="Z244" i="66"/>
  <c r="Y100" i="66"/>
  <c r="Y244" i="66"/>
  <c r="F22" i="39"/>
  <c r="G16" i="53"/>
  <c r="J152" i="66"/>
  <c r="H449" i="58"/>
  <c r="F232" i="66"/>
  <c r="E21" i="53"/>
  <c r="F21" i="53" s="1"/>
  <c r="H15" i="53" s="1"/>
  <c r="Z177" i="66"/>
  <c r="Y177" i="66"/>
  <c r="Z33" i="66"/>
  <c r="Y33" i="66"/>
  <c r="K47" i="39"/>
  <c r="E145" i="38" s="1"/>
  <c r="Z254" i="66"/>
  <c r="Y254" i="66"/>
  <c r="Y110" i="66"/>
  <c r="Z110" i="66"/>
  <c r="C6" i="63"/>
  <c r="H131" i="41"/>
  <c r="J131" i="41"/>
  <c r="C24" i="63"/>
  <c r="Y120" i="66"/>
  <c r="Y264" i="66"/>
  <c r="Z120" i="66"/>
  <c r="Z264" i="66"/>
  <c r="Y167" i="66"/>
  <c r="Y23" i="66"/>
  <c r="Z23" i="66"/>
  <c r="Z167" i="66"/>
  <c r="Q127" i="66"/>
  <c r="R127" i="66" s="1"/>
  <c r="T127" i="66" s="1"/>
  <c r="V127" i="66"/>
  <c r="X127" i="66" s="1"/>
  <c r="U127" i="66"/>
  <c r="Y10" i="66"/>
  <c r="Y154" i="66"/>
  <c r="Z154" i="66"/>
  <c r="Z10" i="66"/>
  <c r="J200" i="66"/>
  <c r="I449" i="58"/>
  <c r="H127" i="41"/>
  <c r="C5" i="63"/>
  <c r="Z202" i="66"/>
  <c r="Z58" i="66"/>
  <c r="Y202" i="66"/>
  <c r="Y58" i="66"/>
  <c r="Z225" i="66"/>
  <c r="Z81" i="66"/>
  <c r="Y225" i="66"/>
  <c r="Y81" i="66"/>
  <c r="E287" i="38"/>
  <c r="E281" i="38"/>
  <c r="Y263" i="66"/>
  <c r="Z263" i="66"/>
  <c r="Z119" i="66"/>
  <c r="Y119" i="66"/>
  <c r="C48" i="39"/>
  <c r="E95" i="38" s="1"/>
  <c r="E398" i="38"/>
  <c r="H28" i="53"/>
  <c r="G28" i="53" s="1"/>
  <c r="G34" i="53"/>
  <c r="Y71" i="66"/>
  <c r="Y215" i="66"/>
  <c r="Z71" i="66"/>
  <c r="Z215" i="66"/>
  <c r="Z257" i="66"/>
  <c r="Z113" i="66"/>
  <c r="Y113" i="66"/>
  <c r="Y257" i="66"/>
  <c r="Y205" i="66"/>
  <c r="Z61" i="66"/>
  <c r="Y61" i="66"/>
  <c r="Z205" i="66"/>
  <c r="Y52" i="66"/>
  <c r="Z52" i="66"/>
  <c r="Y196" i="66"/>
  <c r="Z196" i="66"/>
  <c r="Y209" i="66"/>
  <c r="Z65" i="66"/>
  <c r="Y65" i="66"/>
  <c r="Z209" i="66"/>
  <c r="Y157" i="66"/>
  <c r="Z13" i="66"/>
  <c r="Z157" i="66"/>
  <c r="Y13" i="66"/>
  <c r="D29" i="39"/>
  <c r="D32" i="39"/>
  <c r="D33" i="39" s="1"/>
  <c r="H139" i="41"/>
  <c r="U107" i="66"/>
  <c r="V107" i="66"/>
  <c r="X107" i="66" s="1"/>
  <c r="Q107" i="66"/>
  <c r="R107" i="66" s="1"/>
  <c r="T107" i="66" s="1"/>
  <c r="N86" i="66"/>
  <c r="D48" i="39"/>
  <c r="E112" i="38" s="1"/>
  <c r="P17" i="39"/>
  <c r="C32" i="39"/>
  <c r="C33" i="39" s="1"/>
  <c r="C29" i="39"/>
  <c r="J17" i="39" s="1"/>
  <c r="G10" i="53"/>
  <c r="H4" i="53"/>
  <c r="G4" i="53" s="1"/>
  <c r="G21" i="39"/>
  <c r="Y290" i="66"/>
  <c r="Z146" i="66"/>
  <c r="Z290" i="66"/>
  <c r="Y146" i="66"/>
  <c r="I442" i="37"/>
  <c r="E32" i="39"/>
  <c r="E33" i="39" s="1"/>
  <c r="E29" i="39"/>
  <c r="L17" i="39" s="1"/>
  <c r="F126" i="66"/>
  <c r="N126" i="66" s="1"/>
  <c r="J404" i="41"/>
  <c r="D51" i="39"/>
  <c r="E115" i="38" s="1"/>
  <c r="Q79" i="66"/>
  <c r="R79" i="66" s="1"/>
  <c r="T79" i="66" s="1"/>
  <c r="U79" i="66"/>
  <c r="V79" i="66"/>
  <c r="X79" i="66" s="1"/>
  <c r="Z158" i="66"/>
  <c r="Y158" i="66"/>
  <c r="Y14" i="66"/>
  <c r="Z14" i="66"/>
  <c r="J56" i="66"/>
  <c r="I449" i="37"/>
  <c r="Y18" i="66"/>
  <c r="Z162" i="66"/>
  <c r="Z18" i="66"/>
  <c r="Y162" i="66"/>
  <c r="I472" i="41"/>
  <c r="E15" i="53"/>
  <c r="F15" i="53" s="1"/>
  <c r="H21" i="53" s="1"/>
  <c r="F88" i="66"/>
  <c r="Z258" i="66"/>
  <c r="Y114" i="66"/>
  <c r="Y258" i="66"/>
  <c r="Z114" i="66"/>
  <c r="H471" i="41"/>
  <c r="F39" i="66"/>
  <c r="N39" i="66" s="1"/>
  <c r="E47" i="39"/>
  <c r="E128" i="38" s="1"/>
  <c r="I139" i="41"/>
  <c r="J104" i="66"/>
  <c r="J449" i="37"/>
  <c r="G24" i="39"/>
  <c r="Z4" i="66"/>
  <c r="Y4" i="66"/>
  <c r="Y148" i="66"/>
  <c r="Z148" i="66"/>
  <c r="N134" i="66"/>
  <c r="Z50" i="66"/>
  <c r="Z194" i="66"/>
  <c r="Y194" i="66"/>
  <c r="Y50" i="66"/>
  <c r="I131" i="41"/>
  <c r="N9" i="41" s="1"/>
  <c r="C15" i="63"/>
  <c r="G23" i="39"/>
  <c r="Z273" i="66"/>
  <c r="Y273" i="66"/>
  <c r="Y129" i="66"/>
  <c r="Z129" i="66"/>
  <c r="F24" i="39"/>
  <c r="E399" i="38"/>
  <c r="F17" i="39"/>
  <c r="I135" i="41"/>
  <c r="L47" i="39"/>
  <c r="E162" i="38" s="1"/>
  <c r="M47" i="39"/>
  <c r="E179" i="38" s="1"/>
  <c r="F87" i="66"/>
  <c r="N87" i="66" s="1"/>
  <c r="I471" i="41"/>
  <c r="F21" i="39"/>
  <c r="E400" i="38"/>
  <c r="J429" i="41"/>
  <c r="Z216" i="66"/>
  <c r="Z72" i="66"/>
  <c r="Y72" i="66"/>
  <c r="Y216" i="66"/>
  <c r="H449" i="37"/>
  <c r="J8" i="66"/>
  <c r="N278" i="66"/>
  <c r="H29" i="53"/>
  <c r="G29" i="53" s="1"/>
  <c r="G35" i="53"/>
  <c r="Q285" i="66"/>
  <c r="R285" i="66" s="1"/>
  <c r="T285" i="66" s="1"/>
  <c r="V285" i="66"/>
  <c r="X285" i="66" s="1"/>
  <c r="U285" i="66"/>
  <c r="Q95" i="66"/>
  <c r="R95" i="66" s="1"/>
  <c r="T95" i="66" s="1"/>
  <c r="U95" i="66"/>
  <c r="V95" i="66"/>
  <c r="X95" i="66" s="1"/>
  <c r="J471" i="41"/>
  <c r="F135" i="66"/>
  <c r="N135" i="66" s="1"/>
  <c r="Q251" i="66"/>
  <c r="R251" i="66" s="1"/>
  <c r="T251" i="66" s="1"/>
  <c r="V251" i="66"/>
  <c r="X251" i="66" s="1"/>
  <c r="U251" i="66"/>
  <c r="Y222" i="66"/>
  <c r="Y78" i="66"/>
  <c r="Z78" i="66"/>
  <c r="Z222" i="66"/>
  <c r="D49" i="39"/>
  <c r="E113" i="38" s="1"/>
  <c r="J449" i="58"/>
  <c r="J248" i="66"/>
  <c r="N248" i="66" s="1"/>
  <c r="J135" i="41"/>
  <c r="C4" i="63"/>
  <c r="Q123" i="66"/>
  <c r="R123" i="66" s="1"/>
  <c r="T123" i="66" s="1"/>
  <c r="V123" i="66"/>
  <c r="X123" i="66" s="1"/>
  <c r="U123" i="66"/>
  <c r="G20" i="39"/>
  <c r="E9" i="53"/>
  <c r="F9" i="53" s="1"/>
  <c r="F184" i="66"/>
  <c r="U239" i="66"/>
  <c r="Q239" i="66"/>
  <c r="R239" i="66" s="1"/>
  <c r="T239" i="66" s="1"/>
  <c r="V239" i="66"/>
  <c r="X239" i="66" s="1"/>
  <c r="I442" i="58"/>
  <c r="C32" i="63"/>
  <c r="Y66" i="66"/>
  <c r="Z66" i="66"/>
  <c r="Z210" i="66"/>
  <c r="Y210" i="66"/>
  <c r="Q105" i="66"/>
  <c r="R105" i="66" s="1"/>
  <c r="T105" i="66" s="1"/>
  <c r="U105" i="66"/>
  <c r="V105" i="66"/>
  <c r="X105" i="66" s="1"/>
  <c r="E27" i="53"/>
  <c r="F27" i="53" s="1"/>
  <c r="H33" i="53" s="1"/>
  <c r="J472" i="41"/>
  <c r="F136" i="66"/>
  <c r="V141" i="66"/>
  <c r="X141" i="66" s="1"/>
  <c r="Q141" i="66"/>
  <c r="R141" i="66" s="1"/>
  <c r="T141" i="66" s="1"/>
  <c r="U141" i="66"/>
  <c r="J139" i="41"/>
  <c r="O8" i="41" s="1"/>
  <c r="H17" i="53"/>
  <c r="G17" i="53" s="1"/>
  <c r="G23" i="53"/>
  <c r="F20" i="39"/>
  <c r="Z24" i="66"/>
  <c r="Y24" i="66"/>
  <c r="Y168" i="66"/>
  <c r="Z168" i="66"/>
  <c r="E299" i="38"/>
  <c r="M193" i="66" s="1"/>
  <c r="E293" i="38"/>
  <c r="H472" i="41"/>
  <c r="E3" i="53"/>
  <c r="F3" i="53" s="1"/>
  <c r="H9" i="53" s="1"/>
  <c r="F40" i="66"/>
  <c r="C14" i="63"/>
  <c r="I127" i="41"/>
  <c r="E322" i="38" l="1"/>
  <c r="M226" i="66" s="1"/>
  <c r="M9" i="41"/>
  <c r="U223" i="66"/>
  <c r="V223" i="66"/>
  <c r="X223" i="66" s="1"/>
  <c r="J125" i="66"/>
  <c r="N125" i="66" s="1"/>
  <c r="Y106" i="66"/>
  <c r="Z106" i="66"/>
  <c r="Z250" i="66"/>
  <c r="J435" i="58"/>
  <c r="H442" i="37"/>
  <c r="D2" i="53"/>
  <c r="F2" i="53" s="1"/>
  <c r="H8" i="53" s="1"/>
  <c r="J443" i="58"/>
  <c r="O9" i="41"/>
  <c r="J269" i="66"/>
  <c r="N269" i="66" s="1"/>
  <c r="J265" i="66"/>
  <c r="N265" i="66" s="1"/>
  <c r="H435" i="58"/>
  <c r="H443" i="58"/>
  <c r="H443" i="41" s="1"/>
  <c r="Z182" i="66"/>
  <c r="Y38" i="66"/>
  <c r="D14" i="53"/>
  <c r="F14" i="53" s="1"/>
  <c r="H20" i="53" s="1"/>
  <c r="J474" i="58"/>
  <c r="F276" i="66" s="1"/>
  <c r="J121" i="66"/>
  <c r="N121" i="66" s="1"/>
  <c r="Z38" i="66"/>
  <c r="I473" i="58"/>
  <c r="C46" i="63" s="1"/>
  <c r="H435" i="37"/>
  <c r="G21" i="53"/>
  <c r="E315" i="38" s="1"/>
  <c r="Y182" i="66"/>
  <c r="H473" i="58"/>
  <c r="C37" i="63" s="1"/>
  <c r="H433" i="37"/>
  <c r="J473" i="58"/>
  <c r="I474" i="58"/>
  <c r="F228" i="66" s="1"/>
  <c r="I434" i="58"/>
  <c r="N8" i="41"/>
  <c r="J67" i="66"/>
  <c r="S67" i="66" s="1"/>
  <c r="J112" i="66"/>
  <c r="W112" i="66" s="1"/>
  <c r="H434" i="58"/>
  <c r="H442" i="41"/>
  <c r="I443" i="58"/>
  <c r="J173" i="66"/>
  <c r="N173" i="66" s="1"/>
  <c r="H449" i="41"/>
  <c r="J41" i="66"/>
  <c r="N41" i="66" s="1"/>
  <c r="O185" i="66" s="1"/>
  <c r="E30" i="39"/>
  <c r="I435" i="58"/>
  <c r="H475" i="58"/>
  <c r="F179" i="66" s="1"/>
  <c r="J443" i="37"/>
  <c r="Y230" i="66"/>
  <c r="Z230" i="66"/>
  <c r="Y86" i="66"/>
  <c r="Z86" i="66"/>
  <c r="D30" i="39"/>
  <c r="K16" i="39"/>
  <c r="AB5" i="39"/>
  <c r="K18" i="39"/>
  <c r="K23" i="39"/>
  <c r="K21" i="39"/>
  <c r="AB6" i="39"/>
  <c r="K14" i="39"/>
  <c r="D31" i="39"/>
  <c r="K27" i="39"/>
  <c r="K25" i="39"/>
  <c r="K26" i="39"/>
  <c r="K13" i="39"/>
  <c r="K15" i="39"/>
  <c r="K24" i="39"/>
  <c r="K19" i="39"/>
  <c r="K22" i="39"/>
  <c r="K12" i="39"/>
  <c r="K28" i="39"/>
  <c r="K20" i="39"/>
  <c r="I449" i="41"/>
  <c r="I442" i="41"/>
  <c r="E286" i="38"/>
  <c r="E280" i="38"/>
  <c r="N29" i="66"/>
  <c r="W29" i="66"/>
  <c r="R29" i="66"/>
  <c r="P29" i="66"/>
  <c r="V29" i="66" s="1"/>
  <c r="S29" i="66"/>
  <c r="J25" i="66"/>
  <c r="H434" i="37"/>
  <c r="N152" i="66"/>
  <c r="R152" i="66"/>
  <c r="S152" i="66"/>
  <c r="W152" i="66"/>
  <c r="P152" i="66"/>
  <c r="V152" i="66" s="1"/>
  <c r="P16" i="66"/>
  <c r="V16" i="66" s="1"/>
  <c r="R16" i="66"/>
  <c r="W16" i="66"/>
  <c r="S16" i="66"/>
  <c r="F275" i="66"/>
  <c r="E414" i="38"/>
  <c r="J433" i="58"/>
  <c r="J259" i="66"/>
  <c r="D32" i="53"/>
  <c r="F32" i="53" s="1"/>
  <c r="H26" i="53" s="1"/>
  <c r="N221" i="66"/>
  <c r="W221" i="66"/>
  <c r="P221" i="66"/>
  <c r="S221" i="66"/>
  <c r="J64" i="66"/>
  <c r="I435" i="37"/>
  <c r="Y135" i="66"/>
  <c r="Y279" i="66"/>
  <c r="Z135" i="66"/>
  <c r="Z279" i="66"/>
  <c r="E341" i="38"/>
  <c r="E347" i="38"/>
  <c r="M289" i="66" s="1"/>
  <c r="Z87" i="66"/>
  <c r="Y231" i="66"/>
  <c r="Y87" i="66"/>
  <c r="Z231" i="66"/>
  <c r="N56" i="66"/>
  <c r="P56" i="66"/>
  <c r="W56" i="66"/>
  <c r="S56" i="66"/>
  <c r="J89" i="66"/>
  <c r="I443" i="37"/>
  <c r="N77" i="66"/>
  <c r="P77" i="66"/>
  <c r="S77" i="66"/>
  <c r="W77" i="66"/>
  <c r="E292" i="38"/>
  <c r="E298" i="38"/>
  <c r="M178" i="66" s="1"/>
  <c r="K17" i="39"/>
  <c r="E304" i="38"/>
  <c r="E310" i="38"/>
  <c r="F227" i="66"/>
  <c r="E412" i="38"/>
  <c r="J435" i="41"/>
  <c r="L193" i="66"/>
  <c r="E335" i="38"/>
  <c r="E329" i="38"/>
  <c r="J433" i="37"/>
  <c r="D26" i="53"/>
  <c r="F26" i="53" s="1"/>
  <c r="J115" i="66"/>
  <c r="I434" i="37"/>
  <c r="J73" i="66"/>
  <c r="M8" i="41"/>
  <c r="J442" i="41"/>
  <c r="N217" i="66"/>
  <c r="P217" i="66"/>
  <c r="S217" i="66"/>
  <c r="W217" i="66"/>
  <c r="Y126" i="66"/>
  <c r="Z270" i="66"/>
  <c r="Z126" i="66"/>
  <c r="Y270" i="66"/>
  <c r="C30" i="39"/>
  <c r="J19" i="39"/>
  <c r="J23" i="39"/>
  <c r="AA6" i="39"/>
  <c r="J27" i="39"/>
  <c r="J22" i="39"/>
  <c r="J15" i="39"/>
  <c r="J28" i="39"/>
  <c r="J14" i="39"/>
  <c r="J21" i="39"/>
  <c r="J13" i="39"/>
  <c r="J25" i="39"/>
  <c r="AA5" i="39"/>
  <c r="J24" i="39"/>
  <c r="J20" i="39"/>
  <c r="J26" i="39"/>
  <c r="C31" i="39"/>
  <c r="J16" i="39"/>
  <c r="J12" i="39"/>
  <c r="J18" i="39"/>
  <c r="N8" i="66"/>
  <c r="W8" i="66"/>
  <c r="R8" i="66"/>
  <c r="S8" i="66"/>
  <c r="P8" i="66"/>
  <c r="V8" i="66" s="1"/>
  <c r="D20" i="53"/>
  <c r="F20" i="53" s="1"/>
  <c r="H14" i="53" s="1"/>
  <c r="I433" i="58"/>
  <c r="I433" i="41" s="1"/>
  <c r="J211" i="66"/>
  <c r="N200" i="66"/>
  <c r="S200" i="66"/>
  <c r="P200" i="66"/>
  <c r="W200" i="66"/>
  <c r="G15" i="53"/>
  <c r="P185" i="66"/>
  <c r="V185" i="66" s="1"/>
  <c r="S185" i="66"/>
  <c r="R185" i="66"/>
  <c r="W185" i="66"/>
  <c r="W169" i="66"/>
  <c r="R169" i="66"/>
  <c r="P169" i="66"/>
  <c r="V169" i="66" s="1"/>
  <c r="S169" i="66"/>
  <c r="S19" i="66"/>
  <c r="W19" i="66"/>
  <c r="E411" i="38"/>
  <c r="F180" i="66"/>
  <c r="J474" i="37"/>
  <c r="J474" i="41" s="1"/>
  <c r="J475" i="37"/>
  <c r="J473" i="37"/>
  <c r="J449" i="41"/>
  <c r="Q17" i="39"/>
  <c r="P29" i="39"/>
  <c r="Q29" i="39" s="1"/>
  <c r="E340" i="38"/>
  <c r="E346" i="38"/>
  <c r="M274" i="66" s="1"/>
  <c r="P256" i="66"/>
  <c r="W256" i="66"/>
  <c r="S256" i="66"/>
  <c r="Z183" i="66"/>
  <c r="Y39" i="66"/>
  <c r="Y183" i="66"/>
  <c r="Z39" i="66"/>
  <c r="W208" i="66"/>
  <c r="S208" i="66"/>
  <c r="P208" i="66"/>
  <c r="E317" i="38"/>
  <c r="E323" i="38"/>
  <c r="M241" i="66" s="1"/>
  <c r="E311" i="38"/>
  <c r="E305" i="38"/>
  <c r="G9" i="53"/>
  <c r="H3" i="53"/>
  <c r="G3" i="53" s="1"/>
  <c r="Y278" i="66"/>
  <c r="Y134" i="66"/>
  <c r="Z134" i="66"/>
  <c r="Z278" i="66"/>
  <c r="N104" i="66"/>
  <c r="S104" i="66"/>
  <c r="W104" i="66"/>
  <c r="P104" i="66"/>
  <c r="L26" i="39"/>
  <c r="L23" i="39"/>
  <c r="L13" i="39"/>
  <c r="L28" i="39"/>
  <c r="L22" i="39"/>
  <c r="AC6" i="39"/>
  <c r="L19" i="39"/>
  <c r="L25" i="39"/>
  <c r="L27" i="39"/>
  <c r="L12" i="39"/>
  <c r="L24" i="39"/>
  <c r="L18" i="39"/>
  <c r="L21" i="39"/>
  <c r="AC5" i="39"/>
  <c r="L20" i="39"/>
  <c r="L14" i="39"/>
  <c r="L15" i="39"/>
  <c r="E31" i="39"/>
  <c r="L16" i="39"/>
  <c r="E334" i="38"/>
  <c r="E328" i="38"/>
  <c r="L49" i="66"/>
  <c r="N160" i="66"/>
  <c r="O160" i="66" s="1"/>
  <c r="W160" i="66"/>
  <c r="R160" i="66"/>
  <c r="S160" i="66"/>
  <c r="P160" i="66"/>
  <c r="V160" i="66" s="1"/>
  <c r="N208" i="66"/>
  <c r="W265" i="66"/>
  <c r="P265" i="66"/>
  <c r="S265" i="66"/>
  <c r="W233" i="66"/>
  <c r="S233" i="66"/>
  <c r="P233" i="66"/>
  <c r="P248" i="66"/>
  <c r="S248" i="66"/>
  <c r="W248" i="66"/>
  <c r="N281" i="66"/>
  <c r="O281" i="66" s="1"/>
  <c r="W281" i="66"/>
  <c r="S281" i="66"/>
  <c r="P281" i="66"/>
  <c r="I475" i="37"/>
  <c r="I474" i="37"/>
  <c r="I473" i="37"/>
  <c r="L226" i="66"/>
  <c r="H475" i="37"/>
  <c r="H473" i="37"/>
  <c r="H474" i="37"/>
  <c r="M49" i="66"/>
  <c r="B20" i="8"/>
  <c r="N233" i="66"/>
  <c r="D8" i="53"/>
  <c r="F8" i="53" s="1"/>
  <c r="H2" i="53" s="1"/>
  <c r="G2" i="53" s="1"/>
  <c r="H433" i="58"/>
  <c r="H433" i="41" s="1"/>
  <c r="J163" i="66"/>
  <c r="G33" i="53"/>
  <c r="H27" i="53"/>
  <c r="G27" i="53" s="1"/>
  <c r="J434" i="41"/>
  <c r="S137" i="66"/>
  <c r="P137" i="66"/>
  <c r="W137" i="66"/>
  <c r="Z125" i="66" l="1"/>
  <c r="S125" i="66"/>
  <c r="P125" i="66"/>
  <c r="W125" i="66"/>
  <c r="R173" i="66"/>
  <c r="O269" i="66"/>
  <c r="Q269" i="66" s="1"/>
  <c r="R269" i="66" s="1"/>
  <c r="J443" i="41"/>
  <c r="H475" i="41"/>
  <c r="E410" i="38"/>
  <c r="L179" i="66" s="1"/>
  <c r="G14" i="53"/>
  <c r="Y265" i="66"/>
  <c r="Z265" i="66"/>
  <c r="Y121" i="66"/>
  <c r="O121" i="66"/>
  <c r="Q121" i="66" s="1"/>
  <c r="R121" i="66" s="1"/>
  <c r="Z121" i="66"/>
  <c r="O265" i="66"/>
  <c r="Q265" i="66" s="1"/>
  <c r="R265" i="66" s="1"/>
  <c r="T265" i="66" s="1"/>
  <c r="E415" i="38"/>
  <c r="L276" i="66" s="1"/>
  <c r="P276" i="66" s="1"/>
  <c r="Y269" i="66"/>
  <c r="P269" i="66"/>
  <c r="S269" i="66"/>
  <c r="W269" i="66"/>
  <c r="Y125" i="66"/>
  <c r="O125" i="66"/>
  <c r="Q125" i="66" s="1"/>
  <c r="R125" i="66" s="1"/>
  <c r="T125" i="66" s="1"/>
  <c r="Z269" i="66"/>
  <c r="H435" i="41"/>
  <c r="P173" i="66"/>
  <c r="V173" i="66" s="1"/>
  <c r="S173" i="66"/>
  <c r="T173" i="66" s="1"/>
  <c r="P121" i="66"/>
  <c r="E413" i="38"/>
  <c r="W173" i="66"/>
  <c r="S121" i="66"/>
  <c r="W121" i="66"/>
  <c r="C38" i="63"/>
  <c r="C29" i="63"/>
  <c r="W67" i="66"/>
  <c r="E321" i="38"/>
  <c r="M232" i="66" s="1"/>
  <c r="S112" i="66"/>
  <c r="P112" i="66"/>
  <c r="P41" i="66"/>
  <c r="V41" i="66" s="1"/>
  <c r="O173" i="66"/>
  <c r="U173" i="66" s="1"/>
  <c r="N112" i="66"/>
  <c r="O256" i="66" s="1"/>
  <c r="Q256" i="66" s="1"/>
  <c r="R256" i="66" s="1"/>
  <c r="T256" i="66" s="1"/>
  <c r="I443" i="41"/>
  <c r="C55" i="63"/>
  <c r="C47" i="63"/>
  <c r="T185" i="66"/>
  <c r="I434" i="41"/>
  <c r="R41" i="66"/>
  <c r="Z41" i="66"/>
  <c r="S41" i="66"/>
  <c r="Y185" i="66"/>
  <c r="Y41" i="66"/>
  <c r="W41" i="66"/>
  <c r="O41" i="66"/>
  <c r="U41" i="66" s="1"/>
  <c r="Z185" i="66"/>
  <c r="O200" i="66"/>
  <c r="U200" i="66" s="1"/>
  <c r="I435" i="41"/>
  <c r="H434" i="41"/>
  <c r="Q185" i="66"/>
  <c r="U185" i="66"/>
  <c r="T16" i="66"/>
  <c r="O137" i="66"/>
  <c r="U137" i="66" s="1"/>
  <c r="T152" i="66"/>
  <c r="U269" i="66"/>
  <c r="T169" i="66"/>
  <c r="Y137" i="66"/>
  <c r="G20" i="53"/>
  <c r="E320" i="38" s="1"/>
  <c r="M211" i="66" s="1"/>
  <c r="Z160" i="66"/>
  <c r="Y281" i="66"/>
  <c r="U160" i="66"/>
  <c r="Q160" i="66"/>
  <c r="E302" i="38"/>
  <c r="E308" i="38"/>
  <c r="E284" i="38"/>
  <c r="E278" i="38"/>
  <c r="C19" i="8"/>
  <c r="M82" i="66"/>
  <c r="C19" i="63"/>
  <c r="I473" i="41"/>
  <c r="N3" i="41" s="1"/>
  <c r="C11" i="63"/>
  <c r="T160" i="66"/>
  <c r="E297" i="38"/>
  <c r="M184" i="66" s="1"/>
  <c r="E291" i="38"/>
  <c r="C28" i="63"/>
  <c r="J473" i="41"/>
  <c r="C20" i="63"/>
  <c r="Z281" i="66"/>
  <c r="T8" i="66"/>
  <c r="S73" i="66"/>
  <c r="W73" i="66"/>
  <c r="P73" i="66"/>
  <c r="N73" i="66"/>
  <c r="O217" i="66" s="1"/>
  <c r="O221" i="66"/>
  <c r="L275" i="66"/>
  <c r="P275" i="66" s="1"/>
  <c r="X152" i="66"/>
  <c r="X29" i="66"/>
  <c r="E407" i="38"/>
  <c r="F84" i="66"/>
  <c r="I474" i="41"/>
  <c r="L97" i="66"/>
  <c r="O16" i="66"/>
  <c r="F131" i="66"/>
  <c r="E408" i="38"/>
  <c r="J475" i="41"/>
  <c r="X169" i="66"/>
  <c r="L145" i="66"/>
  <c r="L227" i="66"/>
  <c r="P227" i="66" s="1"/>
  <c r="Z77" i="66"/>
  <c r="O77" i="66"/>
  <c r="Z221" i="66"/>
  <c r="Y221" i="66"/>
  <c r="Y77" i="66"/>
  <c r="T29" i="66"/>
  <c r="I475" i="41"/>
  <c r="E406" i="38"/>
  <c r="F83" i="66"/>
  <c r="Z248" i="66"/>
  <c r="O104" i="66"/>
  <c r="Z104" i="66"/>
  <c r="Y248" i="66"/>
  <c r="Y104" i="66"/>
  <c r="M97" i="66"/>
  <c r="C20" i="8"/>
  <c r="Y16" i="66"/>
  <c r="F132" i="66"/>
  <c r="E409" i="38"/>
  <c r="Z8" i="66"/>
  <c r="Z152" i="66"/>
  <c r="Y8" i="66"/>
  <c r="O8" i="66"/>
  <c r="Y152" i="66"/>
  <c r="D20" i="8"/>
  <c r="M145" i="66"/>
  <c r="W259" i="66"/>
  <c r="S259" i="66"/>
  <c r="G8" i="53"/>
  <c r="E405" i="38"/>
  <c r="F36" i="66"/>
  <c r="H474" i="41"/>
  <c r="N89" i="66"/>
  <c r="O233" i="66" s="1"/>
  <c r="S89" i="66"/>
  <c r="W89" i="66"/>
  <c r="P89" i="66"/>
  <c r="E339" i="38"/>
  <c r="E345" i="38"/>
  <c r="M280" i="66" s="1"/>
  <c r="Z16" i="66"/>
  <c r="L274" i="66"/>
  <c r="E303" i="38"/>
  <c r="E309" i="38"/>
  <c r="O248" i="66"/>
  <c r="W115" i="66"/>
  <c r="S115" i="66"/>
  <c r="P193" i="66"/>
  <c r="V193" i="66" s="1"/>
  <c r="X193" i="66" s="1"/>
  <c r="R193" i="66"/>
  <c r="T193" i="66" s="1"/>
  <c r="N193" i="66"/>
  <c r="L82" i="66"/>
  <c r="W64" i="66"/>
  <c r="P64" i="66"/>
  <c r="S64" i="66"/>
  <c r="N64" i="66"/>
  <c r="O208" i="66" s="1"/>
  <c r="O152" i="66"/>
  <c r="L34" i="66"/>
  <c r="Y29" i="66"/>
  <c r="Y173" i="66"/>
  <c r="Z29" i="66"/>
  <c r="Z173" i="66"/>
  <c r="O29" i="66"/>
  <c r="K29" i="39"/>
  <c r="W163" i="66"/>
  <c r="S163" i="66"/>
  <c r="L241" i="66"/>
  <c r="Y160" i="66"/>
  <c r="H32" i="53"/>
  <c r="G32" i="53" s="1"/>
  <c r="G26" i="53"/>
  <c r="L178" i="66"/>
  <c r="M34" i="66"/>
  <c r="B19" i="8"/>
  <c r="S211" i="66"/>
  <c r="W211" i="66"/>
  <c r="L232" i="66"/>
  <c r="C10" i="63"/>
  <c r="H473" i="41"/>
  <c r="C2" i="63"/>
  <c r="P226" i="66"/>
  <c r="N226" i="66"/>
  <c r="Q281" i="66"/>
  <c r="R281" i="66" s="1"/>
  <c r="T281" i="66" s="1"/>
  <c r="U281" i="66"/>
  <c r="V281" i="66"/>
  <c r="X281" i="66" s="1"/>
  <c r="X160" i="66"/>
  <c r="M130" i="66"/>
  <c r="D19" i="8"/>
  <c r="L180" i="66"/>
  <c r="N180" i="66" s="1"/>
  <c r="X8" i="66"/>
  <c r="J29" i="39"/>
  <c r="J433" i="41"/>
  <c r="L289" i="66"/>
  <c r="P25" i="66"/>
  <c r="V25" i="66" s="1"/>
  <c r="W25" i="66"/>
  <c r="R25" i="66"/>
  <c r="S25" i="66"/>
  <c r="N25" i="66"/>
  <c r="T269" i="66"/>
  <c r="E327" i="38"/>
  <c r="E333" i="38"/>
  <c r="P49" i="66"/>
  <c r="V49" i="66" s="1"/>
  <c r="X49" i="66" s="1"/>
  <c r="R49" i="66"/>
  <c r="T49" i="66" s="1"/>
  <c r="N49" i="66"/>
  <c r="E404" i="38"/>
  <c r="F35" i="66"/>
  <c r="L130" i="66"/>
  <c r="L29" i="39"/>
  <c r="E279" i="38"/>
  <c r="E285" i="38"/>
  <c r="Z137" i="66"/>
  <c r="X185" i="66"/>
  <c r="Z56" i="66"/>
  <c r="Z200" i="66"/>
  <c r="O56" i="66"/>
  <c r="Y56" i="66"/>
  <c r="Y200" i="66"/>
  <c r="X16" i="66"/>
  <c r="U125" i="66" l="1"/>
  <c r="V125" i="66"/>
  <c r="X125" i="66" s="1"/>
  <c r="U265" i="66"/>
  <c r="V269" i="66"/>
  <c r="X269" i="66" s="1"/>
  <c r="E314" i="38"/>
  <c r="V265" i="66"/>
  <c r="X265" i="66" s="1"/>
  <c r="L228" i="66"/>
  <c r="P228" i="66" s="1"/>
  <c r="V121" i="66"/>
  <c r="X121" i="66" s="1"/>
  <c r="U121" i="66"/>
  <c r="X173" i="66"/>
  <c r="Q41" i="66"/>
  <c r="U256" i="66"/>
  <c r="Z256" i="66"/>
  <c r="Z112" i="66"/>
  <c r="T121" i="66"/>
  <c r="O112" i="66"/>
  <c r="Q112" i="66" s="1"/>
  <c r="R112" i="66" s="1"/>
  <c r="T112" i="66" s="1"/>
  <c r="V256" i="66"/>
  <c r="X256" i="66" s="1"/>
  <c r="Y112" i="66"/>
  <c r="Y256" i="66"/>
  <c r="Q173" i="66"/>
  <c r="X41" i="66"/>
  <c r="Q200" i="66"/>
  <c r="R200" i="66" s="1"/>
  <c r="T200" i="66" s="1"/>
  <c r="V200" i="66"/>
  <c r="X200" i="66" s="1"/>
  <c r="T41" i="66"/>
  <c r="V137" i="66"/>
  <c r="X137" i="66" s="1"/>
  <c r="Q137" i="66"/>
  <c r="R137" i="66" s="1"/>
  <c r="T137" i="66" s="1"/>
  <c r="N227" i="66"/>
  <c r="N275" i="66"/>
  <c r="N276" i="66"/>
  <c r="O193" i="66"/>
  <c r="U193" i="66" s="1"/>
  <c r="X25" i="66"/>
  <c r="Q233" i="66"/>
  <c r="R233" i="66" s="1"/>
  <c r="T233" i="66" s="1"/>
  <c r="U233" i="66"/>
  <c r="V233" i="66"/>
  <c r="X233" i="66" s="1"/>
  <c r="V217" i="66"/>
  <c r="X217" i="66" s="1"/>
  <c r="U217" i="66"/>
  <c r="Q217" i="66"/>
  <c r="R217" i="66" s="1"/>
  <c r="T217" i="66" s="1"/>
  <c r="Q208" i="66"/>
  <c r="R208" i="66" s="1"/>
  <c r="T208" i="66" s="1"/>
  <c r="V208" i="66"/>
  <c r="X208" i="66" s="1"/>
  <c r="U208" i="66"/>
  <c r="R179" i="66"/>
  <c r="T179" i="66" s="1"/>
  <c r="P179" i="66"/>
  <c r="V179" i="66" s="1"/>
  <c r="X179" i="66" s="1"/>
  <c r="P145" i="66"/>
  <c r="N145" i="66"/>
  <c r="L19" i="66"/>
  <c r="M88" i="66"/>
  <c r="C18" i="8"/>
  <c r="Z49" i="66"/>
  <c r="Z193" i="66"/>
  <c r="Y49" i="66"/>
  <c r="O49" i="66"/>
  <c r="Y193" i="66"/>
  <c r="Q152" i="66"/>
  <c r="U152" i="66"/>
  <c r="L88" i="66"/>
  <c r="L280" i="66"/>
  <c r="L132" i="66"/>
  <c r="P132" i="66" s="1"/>
  <c r="U104" i="66"/>
  <c r="Q104" i="66"/>
  <c r="R104" i="66" s="1"/>
  <c r="T104" i="66" s="1"/>
  <c r="V104" i="66"/>
  <c r="X104" i="66" s="1"/>
  <c r="Q16" i="66"/>
  <c r="U16" i="66"/>
  <c r="L84" i="66"/>
  <c r="P84" i="66" s="1"/>
  <c r="M19" i="66"/>
  <c r="R34" i="66"/>
  <c r="T34" i="66" s="1"/>
  <c r="P34" i="66"/>
  <c r="V34" i="66" s="1"/>
  <c r="X34" i="66" s="1"/>
  <c r="N34" i="66"/>
  <c r="M40" i="66"/>
  <c r="B18" i="8"/>
  <c r="T25" i="66"/>
  <c r="Q29" i="66"/>
  <c r="U29" i="66"/>
  <c r="Y208" i="66"/>
  <c r="Z64" i="66"/>
  <c r="O64" i="66"/>
  <c r="Y64" i="66"/>
  <c r="Z208" i="66"/>
  <c r="Q8" i="66"/>
  <c r="U8" i="66"/>
  <c r="L35" i="66"/>
  <c r="N35" i="66" s="1"/>
  <c r="O25" i="66"/>
  <c r="Z25" i="66"/>
  <c r="Y25" i="66"/>
  <c r="Y169" i="66"/>
  <c r="Z169" i="66"/>
  <c r="O169" i="66"/>
  <c r="P241" i="66"/>
  <c r="N241" i="66"/>
  <c r="L40" i="66"/>
  <c r="P232" i="66"/>
  <c r="N232" i="66"/>
  <c r="R178" i="66"/>
  <c r="T178" i="66" s="1"/>
  <c r="P178" i="66"/>
  <c r="V178" i="66" s="1"/>
  <c r="X178" i="66" s="1"/>
  <c r="N178" i="66"/>
  <c r="L36" i="66"/>
  <c r="Q77" i="66"/>
  <c r="R77" i="66" s="1"/>
  <c r="T77" i="66" s="1"/>
  <c r="U77" i="66"/>
  <c r="V77" i="66"/>
  <c r="X77" i="66" s="1"/>
  <c r="P97" i="66"/>
  <c r="N97" i="66"/>
  <c r="V56" i="66"/>
  <c r="X56" i="66" s="1"/>
  <c r="U56" i="66"/>
  <c r="Q56" i="66"/>
  <c r="R56" i="66" s="1"/>
  <c r="T56" i="66" s="1"/>
  <c r="N179" i="66"/>
  <c r="E326" i="38"/>
  <c r="E332" i="38"/>
  <c r="L83" i="66"/>
  <c r="P83" i="66" s="1"/>
  <c r="M67" i="66"/>
  <c r="C17" i="8"/>
  <c r="P130" i="66"/>
  <c r="N130" i="66"/>
  <c r="M136" i="66"/>
  <c r="D18" i="8"/>
  <c r="P180" i="66"/>
  <c r="V180" i="66" s="1"/>
  <c r="X180" i="66" s="1"/>
  <c r="R180" i="66"/>
  <c r="T180" i="66" s="1"/>
  <c r="E338" i="38"/>
  <c r="E344" i="38"/>
  <c r="M259" i="66" s="1"/>
  <c r="O89" i="66"/>
  <c r="Z89" i="66"/>
  <c r="Y89" i="66"/>
  <c r="Y233" i="66"/>
  <c r="Z233" i="66"/>
  <c r="L184" i="66"/>
  <c r="N228" i="66"/>
  <c r="L67" i="66"/>
  <c r="L136" i="66"/>
  <c r="P289" i="66"/>
  <c r="N289" i="66"/>
  <c r="P274" i="66"/>
  <c r="N274" i="66"/>
  <c r="E296" i="38"/>
  <c r="M163" i="66" s="1"/>
  <c r="E290" i="38"/>
  <c r="U221" i="66"/>
  <c r="Q221" i="66"/>
  <c r="R221" i="66" s="1"/>
  <c r="T221" i="66" s="1"/>
  <c r="V221" i="66"/>
  <c r="X221" i="66" s="1"/>
  <c r="P82" i="66"/>
  <c r="N82" i="66"/>
  <c r="U248" i="66"/>
  <c r="Q248" i="66"/>
  <c r="R248" i="66" s="1"/>
  <c r="T248" i="66" s="1"/>
  <c r="V248" i="66"/>
  <c r="X248" i="66" s="1"/>
  <c r="L131" i="66"/>
  <c r="P131" i="66" s="1"/>
  <c r="Z217" i="66"/>
  <c r="Y217" i="66"/>
  <c r="O73" i="66"/>
  <c r="Z73" i="66"/>
  <c r="Y73" i="66"/>
  <c r="O274" i="66" l="1"/>
  <c r="Q274" i="66" s="1"/>
  <c r="R274" i="66" s="1"/>
  <c r="T274" i="66" s="1"/>
  <c r="L211" i="66"/>
  <c r="U112" i="66"/>
  <c r="V112" i="66"/>
  <c r="X112" i="66" s="1"/>
  <c r="O289" i="66"/>
  <c r="V289" i="66" s="1"/>
  <c r="X289" i="66" s="1"/>
  <c r="O178" i="66"/>
  <c r="U178" i="66" s="1"/>
  <c r="Q193" i="66"/>
  <c r="N67" i="66"/>
  <c r="P67" i="66"/>
  <c r="N83" i="66"/>
  <c r="P40" i="66"/>
  <c r="V40" i="66" s="1"/>
  <c r="X40" i="66" s="1"/>
  <c r="R40" i="66"/>
  <c r="T40" i="66" s="1"/>
  <c r="N40" i="66"/>
  <c r="P280" i="66"/>
  <c r="N280" i="66"/>
  <c r="Q25" i="66"/>
  <c r="U25" i="66"/>
  <c r="N84" i="66"/>
  <c r="O228" i="66" s="1"/>
  <c r="N36" i="66"/>
  <c r="P36" i="66"/>
  <c r="V36" i="66" s="1"/>
  <c r="X36" i="66" s="1"/>
  <c r="R36" i="66"/>
  <c r="T36" i="66" s="1"/>
  <c r="O241" i="66"/>
  <c r="R35" i="66"/>
  <c r="T35" i="66" s="1"/>
  <c r="P35" i="66"/>
  <c r="V35" i="66" s="1"/>
  <c r="X35" i="66" s="1"/>
  <c r="V64" i="66"/>
  <c r="X64" i="66" s="1"/>
  <c r="Q64" i="66"/>
  <c r="R64" i="66" s="1"/>
  <c r="T64" i="66" s="1"/>
  <c r="U64" i="66"/>
  <c r="Y178" i="66"/>
  <c r="O34" i="66"/>
  <c r="Z34" i="66"/>
  <c r="Y34" i="66"/>
  <c r="Z178" i="66"/>
  <c r="N131" i="66"/>
  <c r="Y145" i="66"/>
  <c r="Y289" i="66"/>
  <c r="O145" i="66"/>
  <c r="Z145" i="66"/>
  <c r="Z289" i="66"/>
  <c r="M115" i="66"/>
  <c r="D17" i="8"/>
  <c r="O97" i="66"/>
  <c r="Z97" i="66"/>
  <c r="Y241" i="66"/>
  <c r="Y97" i="66"/>
  <c r="Z241" i="66"/>
  <c r="P88" i="66"/>
  <c r="N88" i="66"/>
  <c r="O232" i="66" s="1"/>
  <c r="Y226" i="66"/>
  <c r="Z226" i="66"/>
  <c r="O82" i="66"/>
  <c r="Y82" i="66"/>
  <c r="Z82" i="66"/>
  <c r="L115" i="66"/>
  <c r="U169" i="66"/>
  <c r="Q169" i="66"/>
  <c r="U89" i="66"/>
  <c r="V89" i="66"/>
  <c r="X89" i="66" s="1"/>
  <c r="Q89" i="66"/>
  <c r="R89" i="66" s="1"/>
  <c r="T89" i="66" s="1"/>
  <c r="Y274" i="66"/>
  <c r="Z130" i="66"/>
  <c r="Y130" i="66"/>
  <c r="Z274" i="66"/>
  <c r="O130" i="66"/>
  <c r="P211" i="66"/>
  <c r="N211" i="66"/>
  <c r="L259" i="66"/>
  <c r="N132" i="66"/>
  <c r="B17" i="8"/>
  <c r="O226" i="66"/>
  <c r="O179" i="66"/>
  <c r="V73" i="66"/>
  <c r="X73" i="66" s="1"/>
  <c r="Q73" i="66"/>
  <c r="R73" i="66" s="1"/>
  <c r="T73" i="66" s="1"/>
  <c r="U73" i="66"/>
  <c r="R184" i="66"/>
  <c r="T184" i="66" s="1"/>
  <c r="P184" i="66"/>
  <c r="V184" i="66" s="1"/>
  <c r="X184" i="66" s="1"/>
  <c r="N184" i="66"/>
  <c r="Y35" i="66"/>
  <c r="Z179" i="66"/>
  <c r="O35" i="66"/>
  <c r="Y179" i="66"/>
  <c r="Z35" i="66"/>
  <c r="L163" i="66"/>
  <c r="P136" i="66"/>
  <c r="N136" i="66"/>
  <c r="U49" i="66"/>
  <c r="Q49" i="66"/>
  <c r="N19" i="66"/>
  <c r="P19" i="66"/>
  <c r="V19" i="66" s="1"/>
  <c r="X19" i="66" s="1"/>
  <c r="R19" i="66"/>
  <c r="T19" i="66" s="1"/>
  <c r="U274" i="66" l="1"/>
  <c r="V274" i="66"/>
  <c r="X274" i="66" s="1"/>
  <c r="Q289" i="66"/>
  <c r="R289" i="66" s="1"/>
  <c r="T289" i="66" s="1"/>
  <c r="U289" i="66"/>
  <c r="O211" i="66"/>
  <c r="U211" i="66" s="1"/>
  <c r="Q178" i="66"/>
  <c r="O184" i="66"/>
  <c r="Q184" i="66" s="1"/>
  <c r="V228" i="66"/>
  <c r="X228" i="66" s="1"/>
  <c r="U228" i="66"/>
  <c r="Q228" i="66"/>
  <c r="R228" i="66" s="1"/>
  <c r="T228" i="66" s="1"/>
  <c r="O280" i="66"/>
  <c r="P115" i="66"/>
  <c r="N115" i="66"/>
  <c r="V97" i="66"/>
  <c r="X97" i="66" s="1"/>
  <c r="U97" i="66"/>
  <c r="Q97" i="66"/>
  <c r="R97" i="66" s="1"/>
  <c r="T97" i="66" s="1"/>
  <c r="Z275" i="66"/>
  <c r="Y131" i="66"/>
  <c r="Z131" i="66"/>
  <c r="Y275" i="66"/>
  <c r="O131" i="66"/>
  <c r="O275" i="66"/>
  <c r="Z84" i="66"/>
  <c r="Z228" i="66"/>
  <c r="Y84" i="66"/>
  <c r="Y228" i="66"/>
  <c r="O84" i="66"/>
  <c r="Y184" i="66"/>
  <c r="O40" i="66"/>
  <c r="Z184" i="66"/>
  <c r="Y40" i="66"/>
  <c r="Z40" i="66"/>
  <c r="R163" i="66"/>
  <c r="T163" i="66" s="1"/>
  <c r="P163" i="66"/>
  <c r="V163" i="66" s="1"/>
  <c r="X163" i="66" s="1"/>
  <c r="N163" i="66"/>
  <c r="O163" i="66" s="1"/>
  <c r="V82" i="66"/>
  <c r="X82" i="66" s="1"/>
  <c r="Q82" i="66"/>
  <c r="R82" i="66" s="1"/>
  <c r="T82" i="66" s="1"/>
  <c r="U82" i="66"/>
  <c r="Y132" i="66"/>
  <c r="O132" i="66"/>
  <c r="Z276" i="66"/>
  <c r="Z132" i="66"/>
  <c r="Y276" i="66"/>
  <c r="O276" i="66"/>
  <c r="U35" i="66"/>
  <c r="Q35" i="66"/>
  <c r="P259" i="66"/>
  <c r="N259" i="66"/>
  <c r="Y88" i="66"/>
  <c r="Z232" i="66"/>
  <c r="Z88" i="66"/>
  <c r="O88" i="66"/>
  <c r="Y232" i="66"/>
  <c r="U232" i="66"/>
  <c r="Q232" i="66"/>
  <c r="R232" i="66" s="1"/>
  <c r="T232" i="66" s="1"/>
  <c r="V232" i="66"/>
  <c r="X232" i="66" s="1"/>
  <c r="V241" i="66"/>
  <c r="X241" i="66" s="1"/>
  <c r="U241" i="66"/>
  <c r="Q241" i="66"/>
  <c r="R241" i="66" s="1"/>
  <c r="T241" i="66" s="1"/>
  <c r="Z136" i="66"/>
  <c r="Y280" i="66"/>
  <c r="Y136" i="66"/>
  <c r="O136" i="66"/>
  <c r="Z280" i="66"/>
  <c r="U179" i="66"/>
  <c r="Q179" i="66"/>
  <c r="U34" i="66"/>
  <c r="Q34" i="66"/>
  <c r="Y83" i="66"/>
  <c r="Z227" i="66"/>
  <c r="Y227" i="66"/>
  <c r="O83" i="66"/>
  <c r="Z83" i="66"/>
  <c r="O227" i="66"/>
  <c r="U226" i="66"/>
  <c r="Q226" i="66"/>
  <c r="R226" i="66" s="1"/>
  <c r="T226" i="66" s="1"/>
  <c r="V226" i="66"/>
  <c r="X226" i="66" s="1"/>
  <c r="V145" i="66"/>
  <c r="X145" i="66" s="1"/>
  <c r="U145" i="66"/>
  <c r="Q145" i="66"/>
  <c r="R145" i="66" s="1"/>
  <c r="T145" i="66" s="1"/>
  <c r="U130" i="66"/>
  <c r="V130" i="66"/>
  <c r="X130" i="66" s="1"/>
  <c r="Q130" i="66"/>
  <c r="R130" i="66" s="1"/>
  <c r="T130" i="66" s="1"/>
  <c r="O36" i="66"/>
  <c r="Z180" i="66"/>
  <c r="Y180" i="66"/>
  <c r="Y36" i="66"/>
  <c r="Z36" i="66"/>
  <c r="O180" i="66"/>
  <c r="Y211" i="66"/>
  <c r="Z67" i="66"/>
  <c r="O67" i="66"/>
  <c r="Y67" i="66"/>
  <c r="Z211" i="66"/>
  <c r="U184" i="66" l="1"/>
  <c r="Q211" i="66"/>
  <c r="R211" i="66" s="1"/>
  <c r="T211" i="66" s="1"/>
  <c r="V211" i="66"/>
  <c r="X211" i="66" s="1"/>
  <c r="Y19" i="66"/>
  <c r="O259" i="66"/>
  <c r="V259" i="66" s="1"/>
  <c r="X259" i="66" s="1"/>
  <c r="Q163" i="66"/>
  <c r="U163" i="66"/>
  <c r="U67" i="66"/>
  <c r="Q67" i="66"/>
  <c r="R67" i="66" s="1"/>
  <c r="T67" i="66" s="1"/>
  <c r="V67" i="66"/>
  <c r="X67" i="66" s="1"/>
  <c r="Q36" i="66"/>
  <c r="U36" i="66"/>
  <c r="Q132" i="66"/>
  <c r="R132" i="66" s="1"/>
  <c r="T132" i="66" s="1"/>
  <c r="V132" i="66"/>
  <c r="X132" i="66" s="1"/>
  <c r="U132" i="66"/>
  <c r="Q40" i="66"/>
  <c r="U40" i="66"/>
  <c r="V275" i="66"/>
  <c r="X275" i="66" s="1"/>
  <c r="Q275" i="66"/>
  <c r="R275" i="66" s="1"/>
  <c r="T275" i="66" s="1"/>
  <c r="U275" i="66"/>
  <c r="V136" i="66"/>
  <c r="X136" i="66" s="1"/>
  <c r="Q136" i="66"/>
  <c r="R136" i="66" s="1"/>
  <c r="T136" i="66" s="1"/>
  <c r="U136" i="66"/>
  <c r="U131" i="66"/>
  <c r="Q131" i="66"/>
  <c r="R131" i="66" s="1"/>
  <c r="T131" i="66" s="1"/>
  <c r="V131" i="66"/>
  <c r="X131" i="66" s="1"/>
  <c r="O115" i="66"/>
  <c r="Y115" i="66"/>
  <c r="Z259" i="66"/>
  <c r="Z115" i="66"/>
  <c r="Y259" i="66"/>
  <c r="Q227" i="66"/>
  <c r="R227" i="66" s="1"/>
  <c r="T227" i="66" s="1"/>
  <c r="U227" i="66"/>
  <c r="V227" i="66"/>
  <c r="X227" i="66" s="1"/>
  <c r="Z19" i="66"/>
  <c r="U84" i="66"/>
  <c r="V84" i="66"/>
  <c r="X84" i="66" s="1"/>
  <c r="Q84" i="66"/>
  <c r="R84" i="66" s="1"/>
  <c r="T84" i="66" s="1"/>
  <c r="U280" i="66"/>
  <c r="Q280" i="66"/>
  <c r="R280" i="66" s="1"/>
  <c r="T280" i="66" s="1"/>
  <c r="V280" i="66"/>
  <c r="X280" i="66" s="1"/>
  <c r="U180" i="66"/>
  <c r="Q180" i="66"/>
  <c r="Q88" i="66"/>
  <c r="R88" i="66" s="1"/>
  <c r="T88" i="66" s="1"/>
  <c r="V88" i="66"/>
  <c r="X88" i="66" s="1"/>
  <c r="U88" i="66"/>
  <c r="U276" i="66"/>
  <c r="V276" i="66"/>
  <c r="X276" i="66" s="1"/>
  <c r="Q276" i="66"/>
  <c r="R276" i="66" s="1"/>
  <c r="T276" i="66" s="1"/>
  <c r="Y163" i="66"/>
  <c r="V83" i="66"/>
  <c r="X83" i="66" s="1"/>
  <c r="Q83" i="66"/>
  <c r="R83" i="66" s="1"/>
  <c r="T83" i="66" s="1"/>
  <c r="U83" i="66"/>
  <c r="O19" i="66"/>
  <c r="Z163" i="66"/>
  <c r="Q259" i="66" l="1"/>
  <c r="R259" i="66" s="1"/>
  <c r="T259" i="66" s="1"/>
  <c r="U259" i="66"/>
  <c r="Q19" i="66"/>
  <c r="U19" i="66"/>
  <c r="Q115" i="66"/>
  <c r="R115" i="66" s="1"/>
  <c r="T115" i="66" s="1"/>
  <c r="V115" i="66"/>
  <c r="X115" i="66" s="1"/>
  <c r="U115" i="66"/>
  <c r="J466" i="58" l="1"/>
  <c r="J466" i="37"/>
  <c r="H466" i="58"/>
  <c r="H466" i="37"/>
  <c r="J465" i="58"/>
  <c r="J465" i="37"/>
  <c r="I466" i="58"/>
  <c r="I466" i="37"/>
  <c r="I465" i="58"/>
  <c r="I465" i="37"/>
  <c r="H465" i="58"/>
  <c r="H465" i="37"/>
  <c r="H465" i="41" l="1"/>
  <c r="J465" i="41"/>
  <c r="I465" i="41"/>
  <c r="H466" i="41"/>
  <c r="I466" i="41"/>
  <c r="J466" i="41"/>
  <c r="J6" i="58" l="1"/>
  <c r="J6" i="37"/>
  <c r="H6" i="58"/>
  <c r="H6" i="37"/>
  <c r="I6" i="58"/>
  <c r="I6" i="37"/>
  <c r="I6" i="41" l="1"/>
  <c r="F70" i="66"/>
  <c r="D46" i="39"/>
  <c r="E108" i="38" s="1"/>
  <c r="F214" i="66"/>
  <c r="L46" i="39"/>
  <c r="E159" i="38" s="1"/>
  <c r="H6" i="41"/>
  <c r="C46" i="39"/>
  <c r="E91" i="38" s="1"/>
  <c r="F22" i="66"/>
  <c r="F262" i="66"/>
  <c r="M46" i="39"/>
  <c r="E176" i="38" s="1"/>
  <c r="F166" i="66"/>
  <c r="K46" i="39"/>
  <c r="E142" i="38" s="1"/>
  <c r="J6" i="41"/>
  <c r="F118" i="66"/>
  <c r="E46" i="39"/>
  <c r="E125" i="38" s="1"/>
  <c r="J118" i="66" l="1"/>
  <c r="N118" i="66" s="1"/>
  <c r="J445" i="37"/>
  <c r="G19" i="39"/>
  <c r="J22" i="66"/>
  <c r="N22" i="66" s="1"/>
  <c r="H445" i="37"/>
  <c r="J166" i="66"/>
  <c r="N166" i="66" s="1"/>
  <c r="H445" i="58"/>
  <c r="J214" i="66"/>
  <c r="I445" i="58"/>
  <c r="J70" i="66"/>
  <c r="N70" i="66" s="1"/>
  <c r="I445" i="37"/>
  <c r="F19" i="39"/>
  <c r="J262" i="66"/>
  <c r="J445" i="58"/>
  <c r="H445" i="41" l="1"/>
  <c r="I445" i="41"/>
  <c r="I461" i="58"/>
  <c r="I461" i="37"/>
  <c r="P214" i="66"/>
  <c r="W214" i="66"/>
  <c r="S214" i="66"/>
  <c r="P262" i="66"/>
  <c r="S262" i="66"/>
  <c r="W262" i="66"/>
  <c r="H460" i="37"/>
  <c r="H460" i="58"/>
  <c r="I460" i="58"/>
  <c r="I460" i="37"/>
  <c r="J5" i="58"/>
  <c r="J5" i="37"/>
  <c r="H5" i="37"/>
  <c r="H5" i="58"/>
  <c r="N262" i="66"/>
  <c r="O262" i="66" s="1"/>
  <c r="R166" i="66"/>
  <c r="W166" i="66"/>
  <c r="S166" i="66"/>
  <c r="P166" i="66"/>
  <c r="V166" i="66" s="1"/>
  <c r="S22" i="66"/>
  <c r="R22" i="66"/>
  <c r="W22" i="66"/>
  <c r="P22" i="66"/>
  <c r="V22" i="66" s="1"/>
  <c r="I5" i="37"/>
  <c r="I5" i="58"/>
  <c r="N214" i="66"/>
  <c r="O214" i="66" s="1"/>
  <c r="P70" i="66"/>
  <c r="W70" i="66"/>
  <c r="S70" i="66"/>
  <c r="O166" i="66"/>
  <c r="J445" i="41"/>
  <c r="J460" i="58"/>
  <c r="J460" i="37"/>
  <c r="J460" i="41" s="1"/>
  <c r="Y22" i="66"/>
  <c r="Y166" i="66"/>
  <c r="Z166" i="66"/>
  <c r="Z22" i="66"/>
  <c r="O22" i="66"/>
  <c r="S118" i="66"/>
  <c r="P118" i="66"/>
  <c r="W118" i="66"/>
  <c r="X22" i="66" l="1"/>
  <c r="I460" i="41"/>
  <c r="T166" i="66"/>
  <c r="I461" i="41"/>
  <c r="H460" i="41"/>
  <c r="U262" i="66"/>
  <c r="V262" i="66"/>
  <c r="X262" i="66" s="1"/>
  <c r="Q262" i="66"/>
  <c r="R262" i="66" s="1"/>
  <c r="T262" i="66" s="1"/>
  <c r="V214" i="66"/>
  <c r="X214" i="66" s="1"/>
  <c r="Q214" i="66"/>
  <c r="R214" i="66" s="1"/>
  <c r="T214" i="66" s="1"/>
  <c r="U214" i="66"/>
  <c r="H459" i="37"/>
  <c r="H459" i="58"/>
  <c r="I462" i="37"/>
  <c r="I462" i="58"/>
  <c r="Y262" i="66"/>
  <c r="Z118" i="66"/>
  <c r="I459" i="37"/>
  <c r="I459" i="58"/>
  <c r="J462" i="37"/>
  <c r="J462" i="58"/>
  <c r="J5" i="41"/>
  <c r="M52" i="39" s="1"/>
  <c r="E184" i="38" s="1"/>
  <c r="F116" i="66"/>
  <c r="E30" i="53"/>
  <c r="O118" i="66"/>
  <c r="H461" i="37"/>
  <c r="H461" i="58"/>
  <c r="E36" i="53"/>
  <c r="F260" i="66"/>
  <c r="Z262" i="66"/>
  <c r="U22" i="66"/>
  <c r="Q22" i="66"/>
  <c r="Y118" i="66"/>
  <c r="H462" i="37"/>
  <c r="H462" i="58"/>
  <c r="J461" i="37"/>
  <c r="J461" i="58"/>
  <c r="T22" i="66"/>
  <c r="X166" i="66"/>
  <c r="J459" i="37"/>
  <c r="J459" i="58"/>
  <c r="U166" i="66"/>
  <c r="Q166" i="66"/>
  <c r="Y70" i="66"/>
  <c r="F212" i="66"/>
  <c r="E24" i="53"/>
  <c r="Y214" i="66"/>
  <c r="F68" i="66"/>
  <c r="E18" i="53"/>
  <c r="I5" i="41"/>
  <c r="L52" i="39" s="1"/>
  <c r="E167" i="38" s="1"/>
  <c r="O70" i="66"/>
  <c r="Z70" i="66"/>
  <c r="F164" i="66"/>
  <c r="E12" i="53"/>
  <c r="Z214" i="66"/>
  <c r="E6" i="53"/>
  <c r="F20" i="66"/>
  <c r="H5" i="41"/>
  <c r="K52" i="39" s="1"/>
  <c r="E150" i="38" s="1"/>
  <c r="E52" i="39" l="1"/>
  <c r="E133" i="38" s="1"/>
  <c r="D30" i="53" s="1"/>
  <c r="F30" i="53" s="1"/>
  <c r="D52" i="39"/>
  <c r="E116" i="38" s="1"/>
  <c r="J68" i="66" s="1"/>
  <c r="H461" i="41"/>
  <c r="C52" i="39"/>
  <c r="E99" i="38" s="1"/>
  <c r="J459" i="41"/>
  <c r="D12" i="53"/>
  <c r="F12" i="53" s="1"/>
  <c r="H6" i="53" s="1"/>
  <c r="J164" i="66"/>
  <c r="H448" i="58"/>
  <c r="U118" i="66"/>
  <c r="Q118" i="66"/>
  <c r="R118" i="66" s="1"/>
  <c r="T118" i="66" s="1"/>
  <c r="V118" i="66"/>
  <c r="X118" i="66" s="1"/>
  <c r="H459" i="41"/>
  <c r="H462" i="41"/>
  <c r="G25" i="39"/>
  <c r="V70" i="66"/>
  <c r="X70" i="66" s="1"/>
  <c r="Q70" i="66"/>
  <c r="R70" i="66" s="1"/>
  <c r="T70" i="66" s="1"/>
  <c r="U70" i="66"/>
  <c r="D36" i="53"/>
  <c r="F36" i="53" s="1"/>
  <c r="H30" i="53" s="1"/>
  <c r="J260" i="66"/>
  <c r="J448" i="58"/>
  <c r="D24" i="53"/>
  <c r="F24" i="53" s="1"/>
  <c r="H18" i="53" s="1"/>
  <c r="J212" i="66"/>
  <c r="I448" i="58"/>
  <c r="J462" i="41"/>
  <c r="F25" i="39"/>
  <c r="J461" i="41"/>
  <c r="I459" i="41"/>
  <c r="I462" i="41"/>
  <c r="J448" i="37" l="1"/>
  <c r="J448" i="41" s="1"/>
  <c r="J116" i="66"/>
  <c r="W116" i="66" s="1"/>
  <c r="I448" i="37"/>
  <c r="I448" i="41" s="1"/>
  <c r="D18" i="53"/>
  <c r="F18" i="53" s="1"/>
  <c r="H24" i="53" s="1"/>
  <c r="G24" i="53" s="1"/>
  <c r="W164" i="66"/>
  <c r="S164" i="66"/>
  <c r="S212" i="66"/>
  <c r="W212" i="66"/>
  <c r="S68" i="66"/>
  <c r="W68" i="66"/>
  <c r="G30" i="53"/>
  <c r="H36" i="53"/>
  <c r="G36" i="53" s="1"/>
  <c r="D6" i="53"/>
  <c r="F6" i="53" s="1"/>
  <c r="J20" i="66"/>
  <c r="H448" i="37"/>
  <c r="H448" i="41" s="1"/>
  <c r="S260" i="66"/>
  <c r="W260" i="66"/>
  <c r="I4" i="37"/>
  <c r="I4" i="58"/>
  <c r="J4" i="58"/>
  <c r="J4" i="37"/>
  <c r="S116" i="66" l="1"/>
  <c r="G18" i="53"/>
  <c r="E312" i="38" s="1"/>
  <c r="S20" i="66"/>
  <c r="W20" i="66"/>
  <c r="H12" i="53"/>
  <c r="G12" i="53" s="1"/>
  <c r="G6" i="53"/>
  <c r="E342" i="38"/>
  <c r="E348" i="38"/>
  <c r="M260" i="66" s="1"/>
  <c r="E336" i="38"/>
  <c r="E330" i="38"/>
  <c r="E306" i="38"/>
  <c r="E324" i="38"/>
  <c r="M212" i="66" s="1"/>
  <c r="E318" i="38"/>
  <c r="J4" i="41"/>
  <c r="E45" i="39" s="1"/>
  <c r="F101" i="66"/>
  <c r="E31" i="53"/>
  <c r="H4" i="37"/>
  <c r="H4" i="58"/>
  <c r="O4" i="58"/>
  <c r="F245" i="66"/>
  <c r="E37" i="53"/>
  <c r="N4" i="58"/>
  <c r="F197" i="66"/>
  <c r="E25" i="53"/>
  <c r="F53" i="66"/>
  <c r="I4" i="41"/>
  <c r="D45" i="39" s="1"/>
  <c r="E19" i="53"/>
  <c r="L260" i="66" l="1"/>
  <c r="J463" i="58"/>
  <c r="L212" i="66"/>
  <c r="I463" i="58"/>
  <c r="E282" i="38"/>
  <c r="E288" i="38"/>
  <c r="E294" i="38"/>
  <c r="E300" i="38"/>
  <c r="M164" i="66" s="1"/>
  <c r="M68" i="66"/>
  <c r="C21" i="8"/>
  <c r="L68" i="66"/>
  <c r="I463" i="37"/>
  <c r="L116" i="66"/>
  <c r="J463" i="37"/>
  <c r="M116" i="66"/>
  <c r="D21" i="8"/>
  <c r="L45" i="39"/>
  <c r="L56" i="39" s="1"/>
  <c r="M45" i="39"/>
  <c r="M56" i="39" s="1"/>
  <c r="F18" i="39"/>
  <c r="D59" i="39"/>
  <c r="D60" i="39" s="1"/>
  <c r="D56" i="39"/>
  <c r="E107" i="38"/>
  <c r="M4" i="58"/>
  <c r="F149" i="66"/>
  <c r="E13" i="53"/>
  <c r="F5" i="66"/>
  <c r="H4" i="41"/>
  <c r="K45" i="39" s="1"/>
  <c r="E7" i="53"/>
  <c r="G18" i="39"/>
  <c r="E124" i="38"/>
  <c r="E56" i="39"/>
  <c r="E59" i="39"/>
  <c r="E60" i="39" s="1"/>
  <c r="J463" i="41" l="1"/>
  <c r="M20" i="66"/>
  <c r="B21" i="8"/>
  <c r="L20" i="66"/>
  <c r="H463" i="37"/>
  <c r="I463" i="41"/>
  <c r="P68" i="66"/>
  <c r="N68" i="66"/>
  <c r="N116" i="66"/>
  <c r="P116" i="66"/>
  <c r="P212" i="66"/>
  <c r="N212" i="66"/>
  <c r="L164" i="66"/>
  <c r="H463" i="58"/>
  <c r="P260" i="66"/>
  <c r="N260" i="66"/>
  <c r="L59" i="39"/>
  <c r="L60" i="39" s="1"/>
  <c r="E158" i="38"/>
  <c r="D25" i="53" s="1"/>
  <c r="F25" i="53" s="1"/>
  <c r="E175" i="38"/>
  <c r="J452" i="58" s="1"/>
  <c r="M59" i="39"/>
  <c r="M60" i="39" s="1"/>
  <c r="C45" i="39"/>
  <c r="C59" i="39" s="1"/>
  <c r="C60" i="39" s="1"/>
  <c r="E57" i="39"/>
  <c r="E58" i="39"/>
  <c r="J452" i="37"/>
  <c r="J101" i="66"/>
  <c r="D31" i="53"/>
  <c r="F31" i="53" s="1"/>
  <c r="H37" i="53" s="1"/>
  <c r="J444" i="37"/>
  <c r="L58" i="39"/>
  <c r="L57" i="39"/>
  <c r="J53" i="66"/>
  <c r="I452" i="37"/>
  <c r="D19" i="53"/>
  <c r="F19" i="53" s="1"/>
  <c r="H25" i="53" s="1"/>
  <c r="I444" i="37"/>
  <c r="D57" i="39"/>
  <c r="D58" i="39"/>
  <c r="K59" i="39"/>
  <c r="K60" i="39" s="1"/>
  <c r="E141" i="38"/>
  <c r="K56" i="39"/>
  <c r="D37" i="53"/>
  <c r="F37" i="53" s="1"/>
  <c r="M58" i="39"/>
  <c r="M57" i="39"/>
  <c r="H463" i="41" l="1"/>
  <c r="O212" i="66"/>
  <c r="V212" i="66" s="1"/>
  <c r="X212" i="66" s="1"/>
  <c r="O260" i="66"/>
  <c r="N164" i="66"/>
  <c r="P164" i="66"/>
  <c r="V164" i="66" s="1"/>
  <c r="X164" i="66" s="1"/>
  <c r="R164" i="66"/>
  <c r="T164" i="66" s="1"/>
  <c r="Y212" i="66"/>
  <c r="Y68" i="66"/>
  <c r="Z212" i="66"/>
  <c r="Z68" i="66"/>
  <c r="O68" i="66"/>
  <c r="U212" i="66"/>
  <c r="Z116" i="66"/>
  <c r="Y116" i="66"/>
  <c r="O116" i="66"/>
  <c r="Z260" i="66"/>
  <c r="Y260" i="66"/>
  <c r="P20" i="66"/>
  <c r="V20" i="66" s="1"/>
  <c r="X20" i="66" s="1"/>
  <c r="R20" i="66"/>
  <c r="T20" i="66" s="1"/>
  <c r="N20" i="66"/>
  <c r="J245" i="66"/>
  <c r="S245" i="66" s="1"/>
  <c r="J444" i="58"/>
  <c r="J444" i="41" s="1"/>
  <c r="J197" i="66"/>
  <c r="S197" i="66" s="1"/>
  <c r="I444" i="58"/>
  <c r="F198" i="66" s="1"/>
  <c r="I452" i="58"/>
  <c r="I452" i="41" s="1"/>
  <c r="C56" i="39"/>
  <c r="C57" i="39" s="1"/>
  <c r="E90" i="38"/>
  <c r="H444" i="37" s="1"/>
  <c r="W53" i="66"/>
  <c r="S53" i="66"/>
  <c r="K57" i="39"/>
  <c r="K58" i="39"/>
  <c r="H452" i="58"/>
  <c r="D13" i="53"/>
  <c r="F13" i="53" s="1"/>
  <c r="H7" i="53" s="1"/>
  <c r="J149" i="66"/>
  <c r="H444" i="58"/>
  <c r="G25" i="53"/>
  <c r="H19" i="53"/>
  <c r="G19" i="53" s="1"/>
  <c r="H31" i="53"/>
  <c r="G31" i="53" s="1"/>
  <c r="G37" i="53"/>
  <c r="I467" i="37"/>
  <c r="F54" i="66"/>
  <c r="J467" i="37"/>
  <c r="F102" i="66"/>
  <c r="I457" i="37"/>
  <c r="F55" i="66"/>
  <c r="S101" i="66"/>
  <c r="W101" i="66"/>
  <c r="F103" i="66"/>
  <c r="J452" i="41"/>
  <c r="J457" i="37"/>
  <c r="J457" i="58"/>
  <c r="F247" i="66"/>
  <c r="Q212" i="66" l="1"/>
  <c r="R212" i="66" s="1"/>
  <c r="T212" i="66" s="1"/>
  <c r="O164" i="66"/>
  <c r="Y164" i="66"/>
  <c r="Z164" i="66"/>
  <c r="Z20" i="66"/>
  <c r="Y20" i="66"/>
  <c r="O20" i="66"/>
  <c r="U68" i="66"/>
  <c r="V68" i="66"/>
  <c r="X68" i="66" s="1"/>
  <c r="Q68" i="66"/>
  <c r="R68" i="66" s="1"/>
  <c r="T68" i="66" s="1"/>
  <c r="V116" i="66"/>
  <c r="X116" i="66" s="1"/>
  <c r="U116" i="66"/>
  <c r="Q116" i="66"/>
  <c r="R116" i="66" s="1"/>
  <c r="T116" i="66" s="1"/>
  <c r="U260" i="66"/>
  <c r="V260" i="66"/>
  <c r="X260" i="66" s="1"/>
  <c r="Q260" i="66"/>
  <c r="R260" i="66" s="1"/>
  <c r="T260" i="66" s="1"/>
  <c r="F246" i="66"/>
  <c r="L246" i="66" s="1"/>
  <c r="P246" i="66" s="1"/>
  <c r="J467" i="58"/>
  <c r="J467" i="41" s="1"/>
  <c r="O3" i="41" s="1"/>
  <c r="W245" i="66"/>
  <c r="W197" i="66"/>
  <c r="I457" i="58"/>
  <c r="E378" i="38" s="1"/>
  <c r="K199" i="66" s="1"/>
  <c r="I467" i="58"/>
  <c r="I467" i="41" s="1"/>
  <c r="F199" i="66"/>
  <c r="I444" i="41"/>
  <c r="H452" i="37"/>
  <c r="H452" i="41" s="1"/>
  <c r="C58" i="39"/>
  <c r="D7" i="53"/>
  <c r="F7" i="53" s="1"/>
  <c r="G7" i="53" s="1"/>
  <c r="J5" i="66"/>
  <c r="W5" i="66" s="1"/>
  <c r="E384" i="38"/>
  <c r="K247" i="66" s="1"/>
  <c r="N247" i="66" s="1"/>
  <c r="J458" i="58"/>
  <c r="E385" i="38" s="1"/>
  <c r="K266" i="66" s="1"/>
  <c r="N266" i="66" s="1"/>
  <c r="H467" i="37"/>
  <c r="F6" i="66"/>
  <c r="H444" i="41"/>
  <c r="E313" i="38"/>
  <c r="E307" i="38"/>
  <c r="L102" i="66"/>
  <c r="P102" i="66" s="1"/>
  <c r="E325" i="38"/>
  <c r="M197" i="66" s="1"/>
  <c r="E319" i="38"/>
  <c r="E366" i="38"/>
  <c r="K103" i="66" s="1"/>
  <c r="N103" i="66" s="1"/>
  <c r="J457" i="41"/>
  <c r="J458" i="37"/>
  <c r="L54" i="66"/>
  <c r="P54" i="66" s="1"/>
  <c r="F150" i="66"/>
  <c r="H467" i="58"/>
  <c r="E349" i="38"/>
  <c r="M245" i="66" s="1"/>
  <c r="E343" i="38"/>
  <c r="S149" i="66"/>
  <c r="W149" i="66"/>
  <c r="F151" i="66"/>
  <c r="H457" i="58"/>
  <c r="L198" i="66"/>
  <c r="P198" i="66" s="1"/>
  <c r="E337" i="38"/>
  <c r="E331" i="38"/>
  <c r="E360" i="38"/>
  <c r="K55" i="66" s="1"/>
  <c r="N55" i="66" s="1"/>
  <c r="I458" i="37"/>
  <c r="I457" i="41" l="1"/>
  <c r="I458" i="58"/>
  <c r="E379" i="38" s="1"/>
  <c r="K218" i="66" s="1"/>
  <c r="N218" i="66" s="1"/>
  <c r="Q20" i="66"/>
  <c r="U20" i="66"/>
  <c r="Q164" i="66"/>
  <c r="U164" i="66"/>
  <c r="N199" i="66"/>
  <c r="Y199" i="66" s="1"/>
  <c r="H13" i="53"/>
  <c r="G13" i="53" s="1"/>
  <c r="E295" i="38" s="1"/>
  <c r="F7" i="66"/>
  <c r="S5" i="66"/>
  <c r="H457" i="37"/>
  <c r="E354" i="38" s="1"/>
  <c r="K7" i="66" s="1"/>
  <c r="N246" i="66"/>
  <c r="H467" i="41"/>
  <c r="M3" i="41" s="1"/>
  <c r="Y55" i="66"/>
  <c r="E372" i="38"/>
  <c r="K151" i="66" s="1"/>
  <c r="N151" i="66" s="1"/>
  <c r="H458" i="58"/>
  <c r="E373" i="38" s="1"/>
  <c r="K170" i="66" s="1"/>
  <c r="N170" i="66" s="1"/>
  <c r="N54" i="66"/>
  <c r="L6" i="66"/>
  <c r="P6" i="66" s="1"/>
  <c r="V6" i="66" s="1"/>
  <c r="X6" i="66" s="1"/>
  <c r="Z247" i="66"/>
  <c r="Y103" i="66"/>
  <c r="Z103" i="66"/>
  <c r="Y247" i="66"/>
  <c r="Z55" i="66"/>
  <c r="J464" i="37"/>
  <c r="L101" i="66"/>
  <c r="D22" i="8"/>
  <c r="M101" i="66"/>
  <c r="N102" i="66"/>
  <c r="L53" i="66"/>
  <c r="I464" i="37"/>
  <c r="J458" i="41"/>
  <c r="E367" i="38"/>
  <c r="K122" i="66" s="1"/>
  <c r="N122" i="66" s="1"/>
  <c r="I464" i="58"/>
  <c r="L197" i="66"/>
  <c r="J464" i="58"/>
  <c r="L245" i="66"/>
  <c r="N198" i="66"/>
  <c r="C22" i="8"/>
  <c r="M53" i="66"/>
  <c r="E361" i="38"/>
  <c r="K74" i="66" s="1"/>
  <c r="N74" i="66" s="1"/>
  <c r="I458" i="41"/>
  <c r="E289" i="38"/>
  <c r="E283" i="38"/>
  <c r="L150" i="66"/>
  <c r="P150" i="66" s="1"/>
  <c r="V150" i="66" s="1"/>
  <c r="X150" i="66" s="1"/>
  <c r="Z199" i="66" l="1"/>
  <c r="N7" i="66"/>
  <c r="H458" i="37"/>
  <c r="H458" i="41" s="1"/>
  <c r="H457" i="41"/>
  <c r="E301" i="38"/>
  <c r="M149" i="66" s="1"/>
  <c r="O246" i="66"/>
  <c r="Q246" i="66" s="1"/>
  <c r="N150" i="66"/>
  <c r="J464" i="41"/>
  <c r="N6" i="66"/>
  <c r="Z266" i="66"/>
  <c r="Y122" i="66"/>
  <c r="Z122" i="66"/>
  <c r="Y266" i="66"/>
  <c r="I464" i="41"/>
  <c r="Z218" i="66"/>
  <c r="Y218" i="66"/>
  <c r="Y74" i="66"/>
  <c r="Z74" i="66"/>
  <c r="P53" i="66"/>
  <c r="N53" i="66"/>
  <c r="E355" i="38"/>
  <c r="K26" i="66" s="1"/>
  <c r="N26" i="66" s="1"/>
  <c r="M5" i="66"/>
  <c r="Y7" i="66"/>
  <c r="Z7" i="66"/>
  <c r="Y151" i="66"/>
  <c r="Z151" i="66"/>
  <c r="H464" i="37"/>
  <c r="L5" i="66"/>
  <c r="Y198" i="66"/>
  <c r="O198" i="66"/>
  <c r="H464" i="58"/>
  <c r="L149" i="66"/>
  <c r="P245" i="66"/>
  <c r="N245" i="66"/>
  <c r="Y102" i="66"/>
  <c r="O102" i="66"/>
  <c r="Z246" i="66"/>
  <c r="Z102" i="66"/>
  <c r="Y246" i="66"/>
  <c r="N101" i="66"/>
  <c r="P101" i="66"/>
  <c r="N197" i="66"/>
  <c r="P197" i="66"/>
  <c r="Y54" i="66"/>
  <c r="O54" i="66"/>
  <c r="Z198" i="66"/>
  <c r="Z54" i="66"/>
  <c r="B22" i="8" l="1"/>
  <c r="V246" i="66"/>
  <c r="X246" i="66" s="1"/>
  <c r="U246" i="66"/>
  <c r="O6" i="66"/>
  <c r="U6" i="66" s="1"/>
  <c r="Y6" i="66"/>
  <c r="Z150" i="66"/>
  <c r="Z6" i="66"/>
  <c r="Y150" i="66"/>
  <c r="O197" i="66"/>
  <c r="V197" i="66" s="1"/>
  <c r="X197" i="66" s="1"/>
  <c r="O150" i="66"/>
  <c r="U150" i="66" s="1"/>
  <c r="H464" i="41"/>
  <c r="O245" i="66"/>
  <c r="Q245" i="66" s="1"/>
  <c r="R245" i="66" s="1"/>
  <c r="T245" i="66" s="1"/>
  <c r="R149" i="66"/>
  <c r="T149" i="66" s="1"/>
  <c r="N149" i="66"/>
  <c r="P149" i="66"/>
  <c r="V149" i="66" s="1"/>
  <c r="X149" i="66" s="1"/>
  <c r="U54" i="66"/>
  <c r="V54" i="66"/>
  <c r="X54" i="66" s="1"/>
  <c r="Q54" i="66"/>
  <c r="U198" i="66"/>
  <c r="V198" i="66"/>
  <c r="X198" i="66" s="1"/>
  <c r="Q198" i="66"/>
  <c r="Y53" i="66"/>
  <c r="Y197" i="66"/>
  <c r="Z53" i="66"/>
  <c r="Z197" i="66"/>
  <c r="O53" i="66"/>
  <c r="P5" i="66"/>
  <c r="V5" i="66" s="1"/>
  <c r="X5" i="66" s="1"/>
  <c r="R5" i="66"/>
  <c r="T5" i="66" s="1"/>
  <c r="N5" i="66"/>
  <c r="U102" i="66"/>
  <c r="V102" i="66"/>
  <c r="X102" i="66" s="1"/>
  <c r="Q102" i="66"/>
  <c r="Y101" i="66"/>
  <c r="O101" i="66"/>
  <c r="Z101" i="66"/>
  <c r="Z245" i="66"/>
  <c r="Y245" i="66"/>
  <c r="Y170" i="66"/>
  <c r="Z26" i="66"/>
  <c r="Y26" i="66"/>
  <c r="Z170" i="66"/>
  <c r="Q6" i="66" l="1"/>
  <c r="U197" i="66"/>
  <c r="Q197" i="66"/>
  <c r="R197" i="66" s="1"/>
  <c r="T197" i="66" s="1"/>
  <c r="Q150" i="66"/>
  <c r="V245" i="66"/>
  <c r="X245" i="66" s="1"/>
  <c r="U245" i="66"/>
  <c r="O149" i="66"/>
  <c r="Q149" i="66" s="1"/>
  <c r="Z5" i="66"/>
  <c r="Y5" i="66"/>
  <c r="Z149" i="66"/>
  <c r="O5" i="66"/>
  <c r="Y149" i="66"/>
  <c r="V101" i="66"/>
  <c r="X101" i="66" s="1"/>
  <c r="U101" i="66"/>
  <c r="Q101" i="66"/>
  <c r="R101" i="66" s="1"/>
  <c r="T101" i="66" s="1"/>
  <c r="V53" i="66"/>
  <c r="X53" i="66" s="1"/>
  <c r="Q53" i="66"/>
  <c r="R53" i="66" s="1"/>
  <c r="T53" i="66" s="1"/>
  <c r="U53" i="66"/>
  <c r="U149" i="66" l="1"/>
  <c r="Q5" i="66"/>
  <c r="U5" i="6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C5" authorId="0" shapeId="0" xr:uid="{7B3A682B-CB39-44D1-83E5-F12AAA74702E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DST OEKO11, landbrugsafgrøder I alt/ DST AFG5, landbrug og gartneri I alt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B12" authorId="0" shapeId="0" xr:uid="{A91C1065-A448-4F71-89E0-3DB0A7ECD248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I følge tabel 4.1 i Kortlægning af dagrenovation i Danmark: https://www2.mst.dk/Udgiv/publikationer/2014/05/978-87-93178-52-6.pdf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8B44984-51DF-405A-B824-9A5B4C68ECED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20BDCCF-814E-46A0-AA1F-F618834D54F8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<sst xmlns="http://schemas.openxmlformats.org/spreadsheetml/2006/main" count="4042" uniqueCount="340">
  <si>
    <t>Kort beskrivelse:</t>
  </si>
  <si>
    <t>Foderforbrug/komposition</t>
  </si>
  <si>
    <t>Tab/spild hos forbruger</t>
  </si>
  <si>
    <t>Køer</t>
  </si>
  <si>
    <t>Fjerkræ</t>
  </si>
  <si>
    <t>Afgrøder</t>
  </si>
  <si>
    <t>Grøntsager</t>
  </si>
  <si>
    <t>Konventionel</t>
  </si>
  <si>
    <t>Økologisk</t>
  </si>
  <si>
    <t>Landbrugsafgrøder</t>
  </si>
  <si>
    <t>Skov</t>
  </si>
  <si>
    <t>Ikke klassificeret</t>
  </si>
  <si>
    <t>Kartofler</t>
  </si>
  <si>
    <t>Svinekød</t>
  </si>
  <si>
    <t>Oksekød</t>
  </si>
  <si>
    <t>Æg</t>
  </si>
  <si>
    <t>g/indb/dag</t>
  </si>
  <si>
    <t>%</t>
  </si>
  <si>
    <t>Sum okse+svin+div kød</t>
  </si>
  <si>
    <t>Fisk</t>
  </si>
  <si>
    <t>Heraf Okse</t>
  </si>
  <si>
    <t>Heraf Svinekød</t>
  </si>
  <si>
    <t>Svin</t>
  </si>
  <si>
    <t>Vestdanmark</t>
  </si>
  <si>
    <t>Østdanmark</t>
  </si>
  <si>
    <t>Arket indeholder data på forbrugerniveau af madvarer</t>
  </si>
  <si>
    <t>Antal dyr</t>
  </si>
  <si>
    <t>Vest</t>
  </si>
  <si>
    <t>Øst</t>
  </si>
  <si>
    <t>Antal hektar med afgrøde</t>
  </si>
  <si>
    <t>Total</t>
  </si>
  <si>
    <t>Produktion af dyr i fht. basisår</t>
  </si>
  <si>
    <t>Bebyggelse &amp; infrastruktur</t>
  </si>
  <si>
    <t>Natur</t>
  </si>
  <si>
    <t>Fra</t>
  </si>
  <si>
    <t>Til</t>
  </si>
  <si>
    <t>Landbrug til skov</t>
  </si>
  <si>
    <t>Økologisk produktion % af total produktion</t>
  </si>
  <si>
    <t>Permanent græs</t>
  </si>
  <si>
    <t>Jordbundstype</t>
  </si>
  <si>
    <t>OC12</t>
  </si>
  <si>
    <t>OC6</t>
  </si>
  <si>
    <t>JB1</t>
  </si>
  <si>
    <t>Jordtyper</t>
  </si>
  <si>
    <t>Ikke organogen jord</t>
  </si>
  <si>
    <t>Jord med OC mellem 6-12%</t>
  </si>
  <si>
    <t>Jord med OC over 12%</t>
  </si>
  <si>
    <t>Arealnavne</t>
  </si>
  <si>
    <t>Korn</t>
  </si>
  <si>
    <t>Bælgsæd</t>
  </si>
  <si>
    <t>Raps</t>
  </si>
  <si>
    <t>Græs</t>
  </si>
  <si>
    <t>Roer</t>
  </si>
  <si>
    <t>Majs</t>
  </si>
  <si>
    <t>Frugt</t>
  </si>
  <si>
    <t>Øvrige</t>
  </si>
  <si>
    <t>Juletræer</t>
  </si>
  <si>
    <t>Afgrøde</t>
  </si>
  <si>
    <t>År</t>
  </si>
  <si>
    <t>Kon/Øko</t>
  </si>
  <si>
    <t>Row Labels</t>
  </si>
  <si>
    <t>Grand Total</t>
  </si>
  <si>
    <t>Column Labels</t>
  </si>
  <si>
    <t>Jordbund</t>
  </si>
  <si>
    <t>Region</t>
  </si>
  <si>
    <t>Kilde</t>
  </si>
  <si>
    <t>Antaget samme stigning som for afgrøder</t>
  </si>
  <si>
    <t>Produktion og forbrug i landbruget</t>
  </si>
  <si>
    <t>Halm</t>
  </si>
  <si>
    <t>Skovbrug</t>
  </si>
  <si>
    <t>Landbrug</t>
  </si>
  <si>
    <t>Økologisk produktion</t>
  </si>
  <si>
    <t>Produktion af husdyr</t>
  </si>
  <si>
    <t>Halmudbytte</t>
  </si>
  <si>
    <t>Halmopsamling</t>
  </si>
  <si>
    <t>Afgrødefordeling på areal</t>
  </si>
  <si>
    <t>Befolkning</t>
  </si>
  <si>
    <t>Forbrug</t>
  </si>
  <si>
    <t>Værdi</t>
  </si>
  <si>
    <t>Areal</t>
  </si>
  <si>
    <t>Sum of Værdi</t>
  </si>
  <si>
    <t>(All)</t>
  </si>
  <si>
    <t>Kon/øko</t>
  </si>
  <si>
    <t>Dyr</t>
  </si>
  <si>
    <t>Omfordeling af jord</t>
  </si>
  <si>
    <t>Halmopsamling af total</t>
  </si>
  <si>
    <t>Arealanvendelse</t>
  </si>
  <si>
    <t>Udbytte, hovedafgrøde</t>
  </si>
  <si>
    <t>Sum of Arealanvendelse</t>
  </si>
  <si>
    <t>Potentielt til bioenergi</t>
  </si>
  <si>
    <t>Bioenergi-navn</t>
  </si>
  <si>
    <t>Halmudbytte i forhold til basisår</t>
  </si>
  <si>
    <t>Havbrug</t>
  </si>
  <si>
    <t>Areal til havbrug</t>
  </si>
  <si>
    <t>Årstal</t>
  </si>
  <si>
    <t>Fra "Danskernes kostvaner 2011-2013" publiceret af DTU Fødevareinstituttet</t>
  </si>
  <si>
    <t>Pil &amp; poppel</t>
  </si>
  <si>
    <t>Fjerkrækød</t>
  </si>
  <si>
    <t>Navn i model</t>
  </si>
  <si>
    <t>Musling</t>
  </si>
  <si>
    <t>Tang</t>
  </si>
  <si>
    <t>Outputenhed</t>
  </si>
  <si>
    <t>Dybstrøelse</t>
  </si>
  <si>
    <t>Bioaffald</t>
  </si>
  <si>
    <t>Industriaffald</t>
  </si>
  <si>
    <t>Total til biogas</t>
  </si>
  <si>
    <t>Tørstofindhold</t>
  </si>
  <si>
    <t>Muslinger</t>
  </si>
  <si>
    <t>Slagteriaffald til foder</t>
  </si>
  <si>
    <t>Mælk til foder</t>
  </si>
  <si>
    <t>Biogas</t>
  </si>
  <si>
    <t>Biogasgylle</t>
  </si>
  <si>
    <t>CO2 - atmosfære</t>
  </si>
  <si>
    <t>Foder</t>
  </si>
  <si>
    <t>Frø</t>
  </si>
  <si>
    <t>Gødning</t>
  </si>
  <si>
    <t>Kunstgødning</t>
  </si>
  <si>
    <t>Mejeriprodukter</t>
  </si>
  <si>
    <t>Råmælk</t>
  </si>
  <si>
    <t>Træmaterialer</t>
  </si>
  <si>
    <t>Træ til energi</t>
  </si>
  <si>
    <t>Energi</t>
  </si>
  <si>
    <t>Slagteriaffald til andet</t>
  </si>
  <si>
    <t>PJ</t>
  </si>
  <si>
    <t>Tørstofindhold i blandingen</t>
  </si>
  <si>
    <t>Strøelse</t>
  </si>
  <si>
    <t>Produktion</t>
  </si>
  <si>
    <t>Sum of Produktion</t>
  </si>
  <si>
    <t>Fødevarer</t>
  </si>
  <si>
    <t>Commodity</t>
  </si>
  <si>
    <t>Til energi</t>
  </si>
  <si>
    <t>Potentiale til energi [ton]</t>
  </si>
  <si>
    <t>Potentiale til energi [PJ]</t>
  </si>
  <si>
    <t>Produktion [ton]</t>
  </si>
  <si>
    <t>% af FE</t>
  </si>
  <si>
    <t>Udbytte og halm</t>
  </si>
  <si>
    <t>Svinegylle</t>
  </si>
  <si>
    <t>Kvæggylle</t>
  </si>
  <si>
    <t>Fjerkrægylle</t>
  </si>
  <si>
    <t>% af alt produceret</t>
  </si>
  <si>
    <t>ton input</t>
  </si>
  <si>
    <t>Spildevandsslam</t>
  </si>
  <si>
    <t>Udbyttestigning per afgrøde i forhold til basisår</t>
  </si>
  <si>
    <t>Biogasproduktion</t>
  </si>
  <si>
    <t>m3 CH4</t>
  </si>
  <si>
    <t>Biogasoutput</t>
  </si>
  <si>
    <t xml:space="preserve">Svarer til fjerkrægylle </t>
  </si>
  <si>
    <t>Svarer til: Halm</t>
  </si>
  <si>
    <t>Svarer til: Majs</t>
  </si>
  <si>
    <t>Svarer til: Roer</t>
  </si>
  <si>
    <t>Ikke inkluderet</t>
  </si>
  <si>
    <t>% af produceret, der bruges til gødning</t>
  </si>
  <si>
    <t>Grøntsagsareal i væksthus - procentdel af samlet areal til grøntsager</t>
  </si>
  <si>
    <t>Antaget her +1% for hver</t>
  </si>
  <si>
    <t xml:space="preserve">Total diæt </t>
  </si>
  <si>
    <t>Erstatning</t>
  </si>
  <si>
    <t>Mængde [ton]</t>
  </si>
  <si>
    <t>Svarer til: Anden husdyrgødning + Andre typer af anden organisk gødning + Øvrige typer af anden organisk gødning</t>
  </si>
  <si>
    <t>Svarer til: Korn</t>
  </si>
  <si>
    <t>Glycerin</t>
  </si>
  <si>
    <t>Import af foder</t>
  </si>
  <si>
    <t>Energiafgrøder i blandingen</t>
  </si>
  <si>
    <t>Svarer til: Glycerin</t>
  </si>
  <si>
    <t>Have/parkaffald</t>
  </si>
  <si>
    <t>Svarer til: have og park affald</t>
  </si>
  <si>
    <t>Materialer</t>
  </si>
  <si>
    <t>Produktion minus halmforbrug i stalde</t>
  </si>
  <si>
    <t>Tilrådighed</t>
  </si>
  <si>
    <t>Grisestald</t>
  </si>
  <si>
    <t>Kostald</t>
  </si>
  <si>
    <t>Fjerkræbrug</t>
  </si>
  <si>
    <t>Reference III – Det danske skovareal</t>
  </si>
  <si>
    <t>I: Blandet løv med indblanding af nål</t>
  </si>
  <si>
    <t>II: Hurtigvoksende kultur, ½ douglasgran og ½ rødgran med lærk</t>
  </si>
  <si>
    <t>Type</t>
  </si>
  <si>
    <t>Sum of Mængde [ton]</t>
  </si>
  <si>
    <t>ha</t>
  </si>
  <si>
    <t>Produktion af træ til materialer og til energi</t>
  </si>
  <si>
    <t>Skovtype1</t>
  </si>
  <si>
    <t>Skovtype2</t>
  </si>
  <si>
    <t>Skovtype3</t>
  </si>
  <si>
    <t>Skovtype4</t>
  </si>
  <si>
    <t>Skovtype5</t>
  </si>
  <si>
    <t>-</t>
  </si>
  <si>
    <t>Basisskov</t>
  </si>
  <si>
    <t>Skovtype</t>
  </si>
  <si>
    <t>Hektar</t>
  </si>
  <si>
    <t>Maks. Alder</t>
  </si>
  <si>
    <t>I: Løv, eg eller bøg</t>
  </si>
  <si>
    <t>II: Hurtigvoksende kultur, bøg eller eg med poppel</t>
  </si>
  <si>
    <t>III: Naturlig tilgroning</t>
  </si>
  <si>
    <t>MEGET OBS HER! Der er forskellige formler hele vejen ned</t>
  </si>
  <si>
    <t>Forbrug energi [ton/m3]</t>
  </si>
  <si>
    <t>Forbrug-produktion</t>
  </si>
  <si>
    <t>Sum of Produktion [ton]</t>
  </si>
  <si>
    <t>Husdyr</t>
  </si>
  <si>
    <t>Marker</t>
  </si>
  <si>
    <t>Muslingefarm</t>
  </si>
  <si>
    <t>Tangfarm</t>
  </si>
  <si>
    <t>Skovproduktion</t>
  </si>
  <si>
    <t>Sum of Total</t>
  </si>
  <si>
    <t>Sted</t>
  </si>
  <si>
    <t>Hav</t>
  </si>
  <si>
    <t>Sted2</t>
  </si>
  <si>
    <t>% af indhold i biogassen</t>
  </si>
  <si>
    <t>Græsprotein</t>
  </si>
  <si>
    <t>Fiberfraktion</t>
  </si>
  <si>
    <t>Her kunne evt. Vægtes med indhold af protein I forhold til kød</t>
  </si>
  <si>
    <t>Kunstigt kød</t>
  </si>
  <si>
    <t>Produktion af kunstigt kød er ikke tilføjet som proces men erstatter blot kødforbrug</t>
  </si>
  <si>
    <t>Brun saft</t>
  </si>
  <si>
    <t>Proteinproces</t>
  </si>
  <si>
    <t>Resterende potentiale (produktion - forbrug til foder, strøelse og biogas)</t>
  </si>
  <si>
    <t>Forbrug af biomasse</t>
  </si>
  <si>
    <t>Procentdel af vægten</t>
  </si>
  <si>
    <t>Svarer til ca.: Svinegylle + 2/3 (blandet gylle -fjerkrægylle celle C14)</t>
  </si>
  <si>
    <t>Svarer til ca.: Kvæggylle + 1/3 (blandet gylle -fjerkrægylle celle C14)</t>
  </si>
  <si>
    <t>Fra ENS's biomasse oversigt (gennemsnit over 2018-2020 bortset fra fjerkrægylle - her  2019/2020)</t>
  </si>
  <si>
    <t>-  Halm</t>
  </si>
  <si>
    <t>-  Træpiller</t>
  </si>
  <si>
    <t>-  Træaffald</t>
  </si>
  <si>
    <t>-  Affald, bionedbrydeligt</t>
  </si>
  <si>
    <t>-  Brænde</t>
  </si>
  <si>
    <t>Planteprotein*</t>
  </si>
  <si>
    <t>* Planteprotein antages her at være produceret af bælgsæd</t>
  </si>
  <si>
    <t>Husdyrgødning</t>
  </si>
  <si>
    <t>Materialer og processer</t>
  </si>
  <si>
    <t>Græs og urter</t>
  </si>
  <si>
    <t>Vedmasse</t>
  </si>
  <si>
    <t>Havbiomasse</t>
  </si>
  <si>
    <t>Halm og strå</t>
  </si>
  <si>
    <t>Tilrådighed anden landsdel</t>
  </si>
  <si>
    <t>Tørstof</t>
  </si>
  <si>
    <t>Bionedbrydeligt affald</t>
  </si>
  <si>
    <t>Rapsolie</t>
  </si>
  <si>
    <t>Forbrug/potentiale [PJ]</t>
  </si>
  <si>
    <t>Biogasproduktion [PJ]</t>
  </si>
  <si>
    <t>Forbrug/potentiale [Ton TS]</t>
  </si>
  <si>
    <t>Potentiale til energi [Ton TS]</t>
  </si>
  <si>
    <t>Biogasproduktion [Ton TS]</t>
  </si>
  <si>
    <t>Rapskageproduktion</t>
  </si>
  <si>
    <t>Rapskage</t>
  </si>
  <si>
    <t>Sum of Forbrug/potentiale [Ton TS]</t>
  </si>
  <si>
    <t>Baseret på "Blå biomasse – potentialer og udfordringer for opdræt af muslinger og tang": https://backend.orbit.dtu.dk/ws/portalfiles/portal/125057614/Publishers_version.pdf</t>
  </si>
  <si>
    <t>Kapacitet i 2019 er fra: https://fiskeristatistik.fiskeristyrelsen.dk/stat/Akvakultur_tab/kapacitet_19.html</t>
  </si>
  <si>
    <t>OBS: tangproduktionen I 2019 fra akvakulturstatistikken er væsentligt lavere end angivet i "Blå biomasse[…]"-rapporten</t>
  </si>
  <si>
    <t>Antal hektar som 1% svarer til</t>
  </si>
  <si>
    <t>Total hektar omlagt</t>
  </si>
  <si>
    <t>Sum of Biogasproduktion [PJ]</t>
  </si>
  <si>
    <t>Total Sum of Biogasproduktion [PJ]</t>
  </si>
  <si>
    <t>Sat til 98% i basisåret for at nå 0.14 PJ til energiproduktion (efter ENS' energistatistik)</t>
  </si>
  <si>
    <t>På de følgende kun tabeller der vedrører afgrøder/dyrehold fra landbrug eller arealanvendelse</t>
  </si>
  <si>
    <t>Forbrug i ton (træ i m3)</t>
  </si>
  <si>
    <t>Typer af skov:</t>
  </si>
  <si>
    <t>Avancerede ark</t>
  </si>
  <si>
    <t>Her rettes kun, hvis der tilføjes nye processer eller input typer</t>
  </si>
  <si>
    <t>Overblik over biomasseforbrug og produktion</t>
  </si>
  <si>
    <t>Produktion minus forbrug [ton]</t>
  </si>
  <si>
    <t>Fra resultatark</t>
  </si>
  <si>
    <t>Udregning dette ark</t>
  </si>
  <si>
    <t>Sum of Produktion minus forbrug [ton]</t>
  </si>
  <si>
    <t>Fordeling af type ny skov der plantes</t>
  </si>
  <si>
    <t>Udbyttestigning</t>
  </si>
  <si>
    <t>Organogene jorde til permanent græs</t>
  </si>
  <si>
    <t>Erstatning af kødforbrug</t>
  </si>
  <si>
    <t>Udsorteringsgrad</t>
  </si>
  <si>
    <t>Undgåeligt madaffald fra service sektor</t>
  </si>
  <si>
    <t>Forbrug af materialer</t>
  </si>
  <si>
    <t>Forbrug af danske materialer, %-del af restprodukter</t>
  </si>
  <si>
    <t>Biogasanlæg</t>
  </si>
  <si>
    <t>Inputmængder til biogasanlæg</t>
  </si>
  <si>
    <t>Total omlagt i Danmark</t>
  </si>
  <si>
    <t>Total omlagt til permanent græs i Danmark</t>
  </si>
  <si>
    <t>Organogen jord +12% til natur</t>
  </si>
  <si>
    <t>Organogen jord 6-12% til natur</t>
  </si>
  <si>
    <t>15.000 ha lavbundsjorde vådlægges uden høst af biomasse - BAU2030</t>
  </si>
  <si>
    <t xml:space="preserve">Antaget fordeling hhv. 7000 og 8000 </t>
  </si>
  <si>
    <t>2019 er skaleret til at ramme DST</t>
  </si>
  <si>
    <t>Resume af resultater</t>
  </si>
  <si>
    <t>Biomasse-scenariet fra MFVM-projekt</t>
  </si>
  <si>
    <t>JB1-10</t>
  </si>
  <si>
    <t>Dette er en scenariefil for DK-BioRes. Her indstilles de parametre (stilleskruer), som er defineret som indstillelige i modellen. De kan findes på følgende ark:</t>
  </si>
  <si>
    <t>Scenariefil til DK-BioRes</t>
  </si>
  <si>
    <t>Her ses hovedeffekterne af ændringerne, der laves i scenariet</t>
  </si>
  <si>
    <t>Til Resume</t>
  </si>
  <si>
    <t>Ændring i brug af areal til afgrøde på alm. jorde (% af regionsareal sammenlignet med basisår)</t>
  </si>
  <si>
    <t>Svin - konventionel</t>
  </si>
  <si>
    <t>Køer - konventionel</t>
  </si>
  <si>
    <t>Fjerkræ - konventionel</t>
  </si>
  <si>
    <t>Svin - økologisk</t>
  </si>
  <si>
    <t>Køer - økologisk</t>
  </si>
  <si>
    <t>Fjerkræ - økologisk</t>
  </si>
  <si>
    <t>Import at least one year</t>
  </si>
  <si>
    <t>Type af rejst skov (inkl. foryngelse og ny skov)</t>
  </si>
  <si>
    <t>Foryngelse af skov, % per år</t>
  </si>
  <si>
    <t>Omfordeling af jord sammenlignet med basisår [ha]. Hvis 2030 og 2050 er ens sker der ingen ændring til 2050</t>
  </si>
  <si>
    <t>Husk at trykke ctrl+alt+F5 for at opdatere figurer og tabeller</t>
  </si>
  <si>
    <t>Biomasser til energi eksl. biogas [Ton TS]</t>
  </si>
  <si>
    <t>Biomasser til energi eksl. biogas [PJ]</t>
  </si>
  <si>
    <t>Sum of Biomasser til energi eksl. biogas [PJ]</t>
  </si>
  <si>
    <t>Total Sum of Biomasser til energi eksl. biogas [PJ]</t>
  </si>
  <si>
    <t>Organogene jorde allokeret til landbrug, der benyttes til permanent græs (indeholder ikke areal allerede allokeret til natur), total % af regionsareal</t>
  </si>
  <si>
    <t>Opsummering af skovtyper</t>
  </si>
  <si>
    <t>Total (skal summes til 0%)</t>
  </si>
  <si>
    <t xml:space="preserve">Svarer til: Kildesorteret organisk dagrenovation og dagrenovationslignende affald + Kasserede afgrøder + Andre restprodukter fra produktion af primærafgrøder + Inaktiveret og kalkstabiliseret biomasse </t>
  </si>
  <si>
    <t>Svarer til: Industriaffald</t>
  </si>
  <si>
    <t>Svarer til:  Spildevandsslam</t>
  </si>
  <si>
    <t>Svarer til: Græs + Kløvergræs + Økologisk kløvergræs + Naturpleje biomasse</t>
  </si>
  <si>
    <t>*Tal fra 2017-2018</t>
  </si>
  <si>
    <t>Andel af overskydende produkter, der skal bruges til materialer, kemi og eksport</t>
  </si>
  <si>
    <t>Biogas outputfaktor for at opnå resultaterne fra ENS energistatistik (antaget at industri+bioaffald er mest usikker)</t>
  </si>
  <si>
    <t>Resultatark</t>
  </si>
  <si>
    <t>Tilbage til overblik</t>
  </si>
  <si>
    <t>Tryk ctrl+alt+F5 for at opdatere figurer og tabeller</t>
  </si>
  <si>
    <t>Vest Danmark</t>
  </si>
  <si>
    <t>Øst Danmark</t>
  </si>
  <si>
    <t>Export at least one year</t>
  </si>
  <si>
    <t>BAU-scenariet fra MFVM-projekt</t>
  </si>
  <si>
    <t>% erstattet kødforbrug (fra husdyr)</t>
  </si>
  <si>
    <t>Adfærd</t>
  </si>
  <si>
    <t>Fodersammensætning</t>
  </si>
  <si>
    <t>Hele Danmark</t>
  </si>
  <si>
    <t>Sum of Import</t>
  </si>
  <si>
    <t>Pyrolysegas</t>
  </si>
  <si>
    <t>Pyrolyseolie</t>
  </si>
  <si>
    <t>Mængde af halm til pyrolyseanlæg</t>
  </si>
  <si>
    <t>Ikke til restprodukt</t>
  </si>
  <si>
    <t>Pyrolyseproces</t>
  </si>
  <si>
    <t>Biomassekategori</t>
  </si>
  <si>
    <t>Pyrolyseprodukter</t>
  </si>
  <si>
    <t>Inkl. Ost</t>
  </si>
  <si>
    <t>Note</t>
  </si>
  <si>
    <t>Udregnes fra græsprotein</t>
  </si>
  <si>
    <t>Skal summe til 100%</t>
  </si>
  <si>
    <t>Procent af potentielle areal</t>
  </si>
  <si>
    <t>Potentiale, ha</t>
  </si>
  <si>
    <t>2030 baseret på "sikre" arealer, https://dce.au.dk/fileadmin/dce.au.dk/Udgivelser/NLK/Notat_Miljoemuslinger_april_2013.pdf</t>
  </si>
  <si>
    <t>Madspild hos forbrugeren</t>
  </si>
  <si>
    <t>Madspild udsorteret til bioaffald hos forbrugere</t>
  </si>
  <si>
    <t>Produktion minus forbrug, ton per år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</si>
</sst>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(* #,##0.00_);_(* \(#,##0.00\);_(* &quot;-&quot;??_);_(@_)"/>
    <numFmt numFmtId="165" formatCode="_-* #,##0_-;\-* #,##0_-;_-* &quot;-&quot;??_-;_-@_-"/>
    <numFmt numFmtId="166" formatCode="0.00000"/>
    <numFmt numFmtId="167" formatCode="0.0%"/>
    <numFmt numFmtId="168" formatCode="_-* #,##0.00\ _k_r_-;\-* #,##0.00\ _k_r_-;_-* &quot;-&quot;??\ _k_r_-;_-@_-"/>
    <numFmt numFmtId="169" formatCode="###\ ###\ ##0;[Red]###\ ###\ ##0;&quot;-&quot;"/>
    <numFmt numFmtId="170" formatCode="_(* #,##0.0_);_(* \(#,##0.0\);_(* &quot;-&quot;??_);_(@_)"/>
    <numFmt numFmtId="171" formatCode="_(* #,##0_);_(* \(#,##0\);_(* &quot;-&quot;??_);_(@_)"/>
    <numFmt numFmtId="172" formatCode="#,##0.0,,"/>
    <numFmt numFmtId="173" formatCode="_(* #,##0.0000_);_(* \(#,##0.0000\);_(* &quot;-&quot;??_);_(@_)"/>
    <numFmt numFmtId="174" formatCode="0.000%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Helvetica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8"/>
      <color theme="0"/>
      <name val="Calibri"/>
      <family val="2"/>
      <scheme val="minor"/>
    </font>
    <font>
      <b/>
      <u/>
      <sz val="8"/>
      <color indexed="9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2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2" fillId="0" borderId="0" applyNumberFormat="0" applyBorder="0" applyAlignment="0"/>
    <xf numFmtId="9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16" fillId="0" borderId="0"/>
    <xf numFmtId="168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375">
    <xf numFmtId="0" fontId="0" fillId="0" borderId="0" xfId="0"/>
    <xf numFmtId="0" fontId="0" fillId="2" borderId="0" xfId="0" applyFill="1"/>
    <xf numFmtId="0" fontId="0" fillId="2" borderId="1" xfId="0" applyFill="1" applyBorder="1"/>
    <xf numFmtId="9" fontId="0" fillId="3" borderId="1" xfId="0" applyNumberFormat="1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0" xfId="0" applyFont="1" applyFill="1"/>
    <xf numFmtId="9" fontId="0" fillId="4" borderId="1" xfId="2" applyFont="1" applyFill="1" applyBorder="1"/>
    <xf numFmtId="9" fontId="0" fillId="3" borderId="1" xfId="2" applyFont="1" applyFill="1" applyBorder="1"/>
    <xf numFmtId="165" fontId="0" fillId="3" borderId="1" xfId="5" applyNumberFormat="1" applyFont="1" applyFill="1" applyBorder="1"/>
    <xf numFmtId="1" fontId="0" fillId="4" borderId="1" xfId="2" applyNumberFormat="1" applyFont="1" applyFill="1" applyBorder="1"/>
    <xf numFmtId="1" fontId="0" fillId="5" borderId="1" xfId="2" applyNumberFormat="1" applyFont="1" applyFill="1" applyBorder="1"/>
    <xf numFmtId="0" fontId="0" fillId="2" borderId="0" xfId="0" applyFill="1" applyBorder="1"/>
    <xf numFmtId="9" fontId="0" fillId="2" borderId="0" xfId="2" applyFont="1" applyFill="1" applyBorder="1"/>
    <xf numFmtId="9" fontId="0" fillId="2" borderId="0" xfId="0" applyNumberFormat="1" applyFill="1" applyBorder="1"/>
    <xf numFmtId="9" fontId="0" fillId="2" borderId="0" xfId="2" applyFont="1" applyFill="1"/>
    <xf numFmtId="1" fontId="0" fillId="5" borderId="5" xfId="2" applyNumberFormat="1" applyFont="1" applyFill="1" applyBorder="1"/>
    <xf numFmtId="165" fontId="0" fillId="4" borderId="1" xfId="5" applyNumberFormat="1" applyFont="1" applyFill="1" applyBorder="1"/>
    <xf numFmtId="165" fontId="0" fillId="5" borderId="1" xfId="5" applyNumberFormat="1" applyFont="1" applyFill="1" applyBorder="1"/>
    <xf numFmtId="165" fontId="0" fillId="4" borderId="5" xfId="5" applyNumberFormat="1" applyFont="1" applyFill="1" applyBorder="1"/>
    <xf numFmtId="165" fontId="1" fillId="4" borderId="2" xfId="5" applyNumberFormat="1" applyFont="1" applyFill="1" applyBorder="1"/>
    <xf numFmtId="165" fontId="1" fillId="5" borderId="2" xfId="5" applyNumberFormat="1" applyFont="1" applyFill="1" applyBorder="1"/>
    <xf numFmtId="165" fontId="0" fillId="3" borderId="18" xfId="5" applyNumberFormat="1" applyFont="1" applyFill="1" applyBorder="1"/>
    <xf numFmtId="1" fontId="0" fillId="5" borderId="9" xfId="2" applyNumberFormat="1" applyFont="1" applyFill="1" applyBorder="1"/>
    <xf numFmtId="1" fontId="0" fillId="5" borderId="11" xfId="2" applyNumberFormat="1" applyFont="1" applyFill="1" applyBorder="1"/>
    <xf numFmtId="0" fontId="1" fillId="2" borderId="1" xfId="0" applyFont="1" applyFill="1" applyBorder="1"/>
    <xf numFmtId="0" fontId="6" fillId="2" borderId="1" xfId="1" applyFont="1" applyFill="1" applyBorder="1" applyAlignment="1" applyProtection="1">
      <alignment horizontal="left"/>
    </xf>
    <xf numFmtId="0" fontId="6" fillId="2" borderId="5" xfId="1" applyFont="1" applyFill="1" applyBorder="1" applyAlignment="1" applyProtection="1">
      <alignment horizontal="left"/>
    </xf>
    <xf numFmtId="0" fontId="6" fillId="2" borderId="2" xfId="1" applyFont="1" applyFill="1" applyBorder="1" applyAlignment="1" applyProtection="1">
      <alignment horizontal="left"/>
    </xf>
    <xf numFmtId="0" fontId="1" fillId="2" borderId="8" xfId="0" applyFont="1" applyFill="1" applyBorder="1"/>
    <xf numFmtId="0" fontId="1" fillId="2" borderId="9" xfId="0" applyFont="1" applyFill="1" applyBorder="1"/>
    <xf numFmtId="0" fontId="1" fillId="2" borderId="32" xfId="0" applyFont="1" applyFill="1" applyBorder="1"/>
    <xf numFmtId="0" fontId="8" fillId="2" borderId="32" xfId="0" applyFont="1" applyFill="1" applyBorder="1"/>
    <xf numFmtId="0" fontId="1" fillId="2" borderId="24" xfId="0" applyFont="1" applyFill="1" applyBorder="1"/>
    <xf numFmtId="1" fontId="0" fillId="4" borderId="24" xfId="2" applyNumberFormat="1" applyFont="1" applyFill="1" applyBorder="1"/>
    <xf numFmtId="1" fontId="0" fillId="4" borderId="8" xfId="2" applyNumberFormat="1" applyFont="1" applyFill="1" applyBorder="1"/>
    <xf numFmtId="1" fontId="1" fillId="4" borderId="33" xfId="2" applyNumberFormat="1" applyFont="1" applyFill="1" applyBorder="1"/>
    <xf numFmtId="1" fontId="1" fillId="4" borderId="34" xfId="2" applyNumberFormat="1" applyFont="1" applyFill="1" applyBorder="1"/>
    <xf numFmtId="1" fontId="1" fillId="5" borderId="34" xfId="2" applyNumberFormat="1" applyFont="1" applyFill="1" applyBorder="1"/>
    <xf numFmtId="1" fontId="1" fillId="5" borderId="35" xfId="2" applyNumberFormat="1" applyFont="1" applyFill="1" applyBorder="1"/>
    <xf numFmtId="0" fontId="8" fillId="2" borderId="36" xfId="0" applyFont="1" applyFill="1" applyBorder="1"/>
    <xf numFmtId="0" fontId="1" fillId="2" borderId="30" xfId="0" applyFont="1" applyFill="1" applyBorder="1"/>
    <xf numFmtId="0" fontId="1" fillId="2" borderId="37" xfId="0" applyFont="1" applyFill="1" applyBorder="1"/>
    <xf numFmtId="0" fontId="1" fillId="2" borderId="38" xfId="0" applyFont="1" applyFill="1" applyBorder="1"/>
    <xf numFmtId="1" fontId="1" fillId="2" borderId="38" xfId="0" applyNumberFormat="1" applyFont="1" applyFill="1" applyBorder="1"/>
    <xf numFmtId="0" fontId="1" fillId="2" borderId="29" xfId="0" applyFont="1" applyFill="1" applyBorder="1"/>
    <xf numFmtId="0" fontId="1" fillId="2" borderId="39" xfId="0" applyFont="1" applyFill="1" applyBorder="1"/>
    <xf numFmtId="1" fontId="0" fillId="4" borderId="31" xfId="2" applyNumberFormat="1" applyFont="1" applyFill="1" applyBorder="1"/>
    <xf numFmtId="1" fontId="0" fillId="4" borderId="10" xfId="2" applyNumberFormat="1" applyFont="1" applyFill="1" applyBorder="1"/>
    <xf numFmtId="0" fontId="0" fillId="2" borderId="29" xfId="0" applyFill="1" applyBorder="1"/>
    <xf numFmtId="1" fontId="0" fillId="4" borderId="24" xfId="0" applyNumberFormat="1" applyFill="1" applyBorder="1"/>
    <xf numFmtId="1" fontId="0" fillId="4" borderId="31" xfId="0" applyNumberFormat="1" applyFill="1" applyBorder="1"/>
    <xf numFmtId="0" fontId="0" fillId="6" borderId="0" xfId="0" applyFill="1" applyBorder="1"/>
    <xf numFmtId="0" fontId="0" fillId="6" borderId="7" xfId="0" applyFill="1" applyBorder="1"/>
    <xf numFmtId="0" fontId="0" fillId="6" borderId="14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25" xfId="0" applyFill="1" applyBorder="1"/>
    <xf numFmtId="0" fontId="0" fillId="6" borderId="13" xfId="0" applyFill="1" applyBorder="1"/>
    <xf numFmtId="0" fontId="0" fillId="6" borderId="12" xfId="0" applyFill="1" applyBorder="1"/>
    <xf numFmtId="0" fontId="8" fillId="2" borderId="40" xfId="0" applyFont="1" applyFill="1" applyBorder="1"/>
    <xf numFmtId="0" fontId="0" fillId="7" borderId="6" xfId="0" applyFill="1" applyBorder="1"/>
    <xf numFmtId="0" fontId="1" fillId="7" borderId="7" xfId="0" applyFont="1" applyFill="1" applyBorder="1"/>
    <xf numFmtId="0" fontId="1" fillId="7" borderId="17" xfId="0" applyFont="1" applyFill="1" applyBorder="1"/>
    <xf numFmtId="0" fontId="0" fillId="7" borderId="25" xfId="0" applyFill="1" applyBorder="1"/>
    <xf numFmtId="0" fontId="1" fillId="7" borderId="14" xfId="0" applyFont="1" applyFill="1" applyBorder="1"/>
    <xf numFmtId="0" fontId="0" fillId="7" borderId="14" xfId="0" applyFill="1" applyBorder="1"/>
    <xf numFmtId="0" fontId="0" fillId="7" borderId="17" xfId="0" applyFill="1" applyBorder="1"/>
    <xf numFmtId="0" fontId="0" fillId="7" borderId="12" xfId="0" applyFill="1" applyBorder="1"/>
    <xf numFmtId="0" fontId="0" fillId="7" borderId="0" xfId="0" applyFill="1" applyBorder="1"/>
    <xf numFmtId="0" fontId="0" fillId="7" borderId="13" xfId="0" applyFill="1" applyBorder="1"/>
    <xf numFmtId="0" fontId="0" fillId="7" borderId="7" xfId="0" applyFill="1" applyBorder="1"/>
    <xf numFmtId="0" fontId="0" fillId="7" borderId="0" xfId="0" applyFill="1" applyBorder="1" applyAlignment="1">
      <alignment horizontal="center"/>
    </xf>
    <xf numFmtId="1" fontId="0" fillId="7" borderId="0" xfId="2" applyNumberFormat="1" applyFont="1" applyFill="1" applyBorder="1"/>
    <xf numFmtId="0" fontId="1" fillId="2" borderId="0" xfId="0" applyFont="1" applyFill="1" applyBorder="1"/>
    <xf numFmtId="0" fontId="7" fillId="2" borderId="0" xfId="0" applyFont="1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2" borderId="41" xfId="2" applyFont="1" applyFill="1" applyBorder="1"/>
    <xf numFmtId="0" fontId="0" fillId="2" borderId="23" xfId="0" applyFill="1" applyBorder="1"/>
    <xf numFmtId="0" fontId="1" fillId="2" borderId="42" xfId="0" applyFont="1" applyFill="1" applyBorder="1"/>
    <xf numFmtId="0" fontId="0" fillId="2" borderId="42" xfId="0" applyFill="1" applyBorder="1"/>
    <xf numFmtId="1" fontId="1" fillId="2" borderId="1" xfId="2" applyNumberFormat="1" applyFont="1" applyFill="1" applyBorder="1"/>
    <xf numFmtId="166" fontId="0" fillId="2" borderId="0" xfId="0" applyNumberFormat="1" applyFill="1"/>
    <xf numFmtId="9" fontId="0" fillId="4" borderId="1" xfId="2" applyNumberFormat="1" applyFont="1" applyFill="1" applyBorder="1"/>
    <xf numFmtId="9" fontId="0" fillId="4" borderId="1" xfId="0" applyNumberFormat="1" applyFill="1" applyBorder="1"/>
    <xf numFmtId="0" fontId="8" fillId="2" borderId="1" xfId="0" applyFont="1" applyFill="1" applyBorder="1"/>
    <xf numFmtId="167" fontId="0" fillId="3" borderId="1" xfId="0" applyNumberFormat="1" applyFill="1" applyBorder="1"/>
    <xf numFmtId="167" fontId="0" fillId="4" borderId="1" xfId="0" applyNumberFormat="1" applyFill="1" applyBorder="1"/>
    <xf numFmtId="167" fontId="0" fillId="3" borderId="1" xfId="2" applyNumberFormat="1" applyFont="1" applyFill="1" applyBorder="1"/>
    <xf numFmtId="165" fontId="0" fillId="5" borderId="5" xfId="5" applyNumberFormat="1" applyFont="1" applyFill="1" applyBorder="1"/>
    <xf numFmtId="0" fontId="0" fillId="2" borderId="0" xfId="0" applyFont="1" applyFill="1"/>
    <xf numFmtId="1" fontId="0" fillId="7" borderId="0" xfId="0" applyNumberFormat="1" applyFill="1" applyBorder="1"/>
    <xf numFmtId="1" fontId="0" fillId="7" borderId="7" xfId="0" applyNumberFormat="1" applyFill="1" applyBorder="1"/>
    <xf numFmtId="0" fontId="1" fillId="0" borderId="0" xfId="0" applyFont="1"/>
    <xf numFmtId="1" fontId="0" fillId="8" borderId="0" xfId="0" applyNumberFormat="1" applyFill="1"/>
    <xf numFmtId="3" fontId="0" fillId="0" borderId="0" xfId="5" applyNumberFormat="1" applyFont="1"/>
    <xf numFmtId="3" fontId="0" fillId="0" borderId="0" xfId="0" applyNumberFormat="1"/>
    <xf numFmtId="0" fontId="0" fillId="0" borderId="0" xfId="0" applyBorder="1"/>
    <xf numFmtId="0" fontId="11" fillId="0" borderId="44" xfId="0" applyFont="1" applyBorder="1" applyAlignment="1">
      <alignment horizontal="left" vertical="top"/>
    </xf>
    <xf numFmtId="0" fontId="0" fillId="0" borderId="41" xfId="0" applyBorder="1"/>
    <xf numFmtId="0" fontId="0" fillId="4" borderId="0" xfId="0" applyFill="1"/>
    <xf numFmtId="0" fontId="0" fillId="0" borderId="0" xfId="0" applyFill="1"/>
    <xf numFmtId="1" fontId="0" fillId="2" borderId="0" xfId="0" applyNumberFormat="1" applyFill="1" applyBorder="1"/>
    <xf numFmtId="9" fontId="0" fillId="4" borderId="0" xfId="0" applyNumberFormat="1" applyFill="1"/>
    <xf numFmtId="0" fontId="0" fillId="8" borderId="0" xfId="0" applyFill="1"/>
    <xf numFmtId="0" fontId="0" fillId="9" borderId="0" xfId="0" applyFill="1"/>
    <xf numFmtId="0" fontId="0" fillId="0" borderId="1" xfId="0" applyBorder="1"/>
    <xf numFmtId="0" fontId="0" fillId="4" borderId="1" xfId="0" applyFill="1" applyBorder="1"/>
    <xf numFmtId="0" fontId="0" fillId="3" borderId="1" xfId="0" applyFill="1" applyBorder="1"/>
    <xf numFmtId="0" fontId="13" fillId="2" borderId="0" xfId="0" applyFont="1" applyFill="1"/>
    <xf numFmtId="0" fontId="8" fillId="2" borderId="1" xfId="0" applyFont="1" applyFill="1" applyBorder="1" applyAlignment="1">
      <alignment wrapText="1"/>
    </xf>
    <xf numFmtId="10" fontId="0" fillId="4" borderId="1" xfId="2" applyNumberFormat="1" applyFont="1" applyFill="1" applyBorder="1"/>
    <xf numFmtId="9" fontId="0" fillId="2" borderId="0" xfId="0" applyNumberFormat="1" applyFill="1"/>
    <xf numFmtId="1" fontId="0" fillId="4" borderId="1" xfId="0" applyNumberFormat="1" applyFill="1" applyBorder="1"/>
    <xf numFmtId="1" fontId="0" fillId="4" borderId="19" xfId="0" applyNumberFormat="1" applyFill="1" applyBorder="1"/>
    <xf numFmtId="9" fontId="0" fillId="4" borderId="42" xfId="0" applyNumberFormat="1" applyFill="1" applyBorder="1"/>
    <xf numFmtId="1" fontId="0" fillId="2" borderId="0" xfId="0" applyNumberFormat="1" applyFill="1"/>
    <xf numFmtId="167" fontId="0" fillId="4" borderId="0" xfId="2" applyNumberFormat="1" applyFont="1" applyFill="1" applyBorder="1"/>
    <xf numFmtId="167" fontId="1" fillId="4" borderId="12" xfId="2" applyNumberFormat="1" applyFont="1" applyFill="1" applyBorder="1"/>
    <xf numFmtId="167" fontId="1" fillId="4" borderId="45" xfId="2" applyNumberFormat="1" applyFont="1" applyFill="1" applyBorder="1"/>
    <xf numFmtId="0" fontId="14" fillId="0" borderId="0" xfId="0" applyFont="1" applyAlignment="1">
      <alignment wrapText="1"/>
    </xf>
    <xf numFmtId="0" fontId="14" fillId="0" borderId="0" xfId="0" applyFont="1" applyFill="1"/>
    <xf numFmtId="0" fontId="14" fillId="0" borderId="0" xfId="0" applyFont="1"/>
    <xf numFmtId="0" fontId="15" fillId="0" borderId="0" xfId="0" applyFont="1"/>
    <xf numFmtId="9" fontId="15" fillId="4" borderId="0" xfId="0" applyNumberFormat="1" applyFont="1" applyFill="1"/>
    <xf numFmtId="0" fontId="15" fillId="0" borderId="0" xfId="0" applyFont="1" applyBorder="1"/>
    <xf numFmtId="0" fontId="15" fillId="0" borderId="0" xfId="0" applyFont="1" applyFill="1" applyBorder="1"/>
    <xf numFmtId="0" fontId="15" fillId="0" borderId="0" xfId="0" applyFont="1" applyFill="1"/>
    <xf numFmtId="1" fontId="15" fillId="0" borderId="0" xfId="0" applyNumberFormat="1" applyFont="1" applyFill="1"/>
    <xf numFmtId="0" fontId="14" fillId="4" borderId="0" xfId="0" applyFont="1" applyFill="1"/>
    <xf numFmtId="0" fontId="15" fillId="0" borderId="41" xfId="0" applyFont="1" applyBorder="1"/>
    <xf numFmtId="3" fontId="15" fillId="4" borderId="41" xfId="0" applyNumberFormat="1" applyFont="1" applyFill="1" applyBorder="1"/>
    <xf numFmtId="9" fontId="15" fillId="4" borderId="41" xfId="2" applyFont="1" applyFill="1" applyBorder="1"/>
    <xf numFmtId="2" fontId="15" fillId="4" borderId="41" xfId="2" applyNumberFormat="1" applyFont="1" applyFill="1" applyBorder="1"/>
    <xf numFmtId="3" fontId="15" fillId="4" borderId="0" xfId="0" applyNumberFormat="1" applyFont="1" applyFill="1" applyBorder="1"/>
    <xf numFmtId="9" fontId="15" fillId="4" borderId="0" xfId="2" applyFont="1" applyFill="1" applyBorder="1"/>
    <xf numFmtId="2" fontId="15" fillId="4" borderId="0" xfId="2" applyNumberFormat="1" applyFont="1" applyFill="1" applyBorder="1"/>
    <xf numFmtId="0" fontId="15" fillId="10" borderId="0" xfId="0" applyFont="1" applyFill="1"/>
    <xf numFmtId="1" fontId="15" fillId="10" borderId="0" xfId="0" applyNumberFormat="1" applyFont="1" applyFill="1"/>
    <xf numFmtId="1" fontId="15" fillId="0" borderId="0" xfId="0" applyNumberFormat="1" applyFont="1"/>
    <xf numFmtId="0" fontId="15" fillId="0" borderId="14" xfId="0" applyFont="1" applyBorder="1"/>
    <xf numFmtId="9" fontId="15" fillId="4" borderId="14" xfId="2" applyFont="1" applyFill="1" applyBorder="1"/>
    <xf numFmtId="2" fontId="15" fillId="4" borderId="14" xfId="2" applyNumberFormat="1" applyFont="1" applyFill="1" applyBorder="1"/>
    <xf numFmtId="1" fontId="15" fillId="4" borderId="0" xfId="2" applyNumberFormat="1" applyFont="1" applyFill="1"/>
    <xf numFmtId="0" fontId="15" fillId="4" borderId="0" xfId="0" applyFont="1" applyFill="1"/>
    <xf numFmtId="9" fontId="15" fillId="4" borderId="0" xfId="2" applyFont="1" applyFill="1"/>
    <xf numFmtId="2" fontId="14" fillId="0" borderId="0" xfId="0" applyNumberFormat="1" applyFont="1" applyFill="1"/>
    <xf numFmtId="9" fontId="14" fillId="4" borderId="0" xfId="2" applyFont="1" applyFill="1"/>
    <xf numFmtId="9" fontId="15" fillId="0" borderId="0" xfId="0" applyNumberFormat="1" applyFont="1"/>
    <xf numFmtId="0" fontId="0" fillId="11" borderId="0" xfId="0" applyFill="1"/>
    <xf numFmtId="3" fontId="15" fillId="0" borderId="0" xfId="0" applyNumberFormat="1" applyFont="1"/>
    <xf numFmtId="49" fontId="0" fillId="2" borderId="0" xfId="0" applyNumberFormat="1" applyFill="1"/>
    <xf numFmtId="0" fontId="0" fillId="2" borderId="0" xfId="0" applyFill="1" applyAlignment="1">
      <alignment horizontal="left"/>
    </xf>
    <xf numFmtId="49" fontId="0" fillId="0" borderId="0" xfId="0" applyNumberFormat="1"/>
    <xf numFmtId="0" fontId="0" fillId="10" borderId="0" xfId="0" applyFill="1"/>
    <xf numFmtId="3" fontId="0" fillId="0" borderId="0" xfId="0" applyNumberFormat="1" applyFill="1"/>
    <xf numFmtId="9" fontId="15" fillId="0" borderId="0" xfId="0" applyNumberFormat="1" applyFont="1" applyFill="1"/>
    <xf numFmtId="164" fontId="15" fillId="0" borderId="0" xfId="0" applyNumberFormat="1" applyFont="1"/>
    <xf numFmtId="9" fontId="14" fillId="0" borderId="0" xfId="2" applyFont="1" applyFill="1"/>
    <xf numFmtId="0" fontId="15" fillId="12" borderId="0" xfId="0" applyFont="1" applyFill="1"/>
    <xf numFmtId="1" fontId="15" fillId="12" borderId="0" xfId="0" applyNumberFormat="1" applyFont="1" applyFill="1"/>
    <xf numFmtId="0" fontId="15" fillId="13" borderId="0" xfId="0" applyFont="1" applyFill="1"/>
    <xf numFmtId="1" fontId="15" fillId="13" borderId="0" xfId="0" applyNumberFormat="1" applyFont="1" applyFill="1"/>
    <xf numFmtId="0" fontId="15" fillId="8" borderId="0" xfId="0" applyFont="1" applyFill="1"/>
    <xf numFmtId="1" fontId="15" fillId="8" borderId="0" xfId="0" applyNumberFormat="1" applyFont="1" applyFill="1"/>
    <xf numFmtId="0" fontId="15" fillId="14" borderId="0" xfId="0" applyFont="1" applyFill="1"/>
    <xf numFmtId="169" fontId="17" fillId="0" borderId="0" xfId="0" applyNumberFormat="1" applyFont="1"/>
    <xf numFmtId="169" fontId="16" fillId="0" borderId="0" xfId="0" applyNumberFormat="1" applyFont="1"/>
    <xf numFmtId="169" fontId="16" fillId="0" borderId="0" xfId="0" quotePrefix="1" applyNumberFormat="1" applyFont="1"/>
    <xf numFmtId="0" fontId="0" fillId="0" borderId="0" xfId="0"/>
    <xf numFmtId="0" fontId="1" fillId="2" borderId="3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5" fillId="4" borderId="6" xfId="0" applyFont="1" applyFill="1" applyBorder="1"/>
    <xf numFmtId="9" fontId="15" fillId="4" borderId="7" xfId="0" applyNumberFormat="1" applyFont="1" applyFill="1" applyBorder="1"/>
    <xf numFmtId="0" fontId="15" fillId="4" borderId="7" xfId="0" applyFont="1" applyFill="1" applyBorder="1"/>
    <xf numFmtId="0" fontId="15" fillId="4" borderId="25" xfId="0" applyFont="1" applyFill="1" applyBorder="1"/>
    <xf numFmtId="0" fontId="15" fillId="4" borderId="17" xfId="0" applyFont="1" applyFill="1" applyBorder="1"/>
    <xf numFmtId="3" fontId="15" fillId="4" borderId="14" xfId="0" applyNumberFormat="1" applyFont="1" applyFill="1" applyBorder="1"/>
    <xf numFmtId="0" fontId="15" fillId="0" borderId="1" xfId="0" applyFont="1" applyBorder="1"/>
    <xf numFmtId="9" fontId="15" fillId="3" borderId="1" xfId="0" applyNumberFormat="1" applyFont="1" applyFill="1" applyBorder="1"/>
    <xf numFmtId="3" fontId="0" fillId="2" borderId="0" xfId="0" applyNumberFormat="1" applyFill="1"/>
    <xf numFmtId="0" fontId="0" fillId="0" borderId="8" xfId="0" applyBorder="1"/>
    <xf numFmtId="0" fontId="0" fillId="2" borderId="19" xfId="0" applyFill="1" applyBorder="1"/>
    <xf numFmtId="9" fontId="0" fillId="4" borderId="19" xfId="2" applyFont="1" applyFill="1" applyBorder="1"/>
    <xf numFmtId="0" fontId="0" fillId="2" borderId="1" xfId="0" applyFill="1" applyBorder="1" applyAlignment="1">
      <alignment horizontal="left"/>
    </xf>
    <xf numFmtId="49" fontId="0" fillId="4" borderId="1" xfId="0" applyNumberFormat="1" applyFill="1" applyBorder="1"/>
    <xf numFmtId="0" fontId="0" fillId="4" borderId="1" xfId="0" applyNumberFormat="1" applyFill="1" applyBorder="1" applyAlignment="1">
      <alignment horizontal="right"/>
    </xf>
    <xf numFmtId="1" fontId="0" fillId="4" borderId="1" xfId="0" applyNumberFormat="1" applyFill="1" applyBorder="1" applyAlignment="1">
      <alignment horizontal="right"/>
    </xf>
    <xf numFmtId="0" fontId="1" fillId="0" borderId="0" xfId="0" applyFont="1" applyFill="1"/>
    <xf numFmtId="0" fontId="0" fillId="0" borderId="49" xfId="0" applyFill="1" applyBorder="1"/>
    <xf numFmtId="0" fontId="0" fillId="0" borderId="0" xfId="0" applyFill="1" applyBorder="1"/>
    <xf numFmtId="0" fontId="0" fillId="0" borderId="50" xfId="0" applyFill="1" applyBorder="1"/>
    <xf numFmtId="0" fontId="2" fillId="0" borderId="0" xfId="1" applyFill="1" applyBorder="1"/>
    <xf numFmtId="3" fontId="0" fillId="0" borderId="0" xfId="0" applyNumberFormat="1" applyFill="1" applyBorder="1"/>
    <xf numFmtId="0" fontId="0" fillId="0" borderId="51" xfId="0" applyFill="1" applyBorder="1"/>
    <xf numFmtId="0" fontId="0" fillId="0" borderId="52" xfId="0" applyFill="1" applyBorder="1"/>
    <xf numFmtId="0" fontId="0" fillId="0" borderId="53" xfId="0" applyFill="1" applyBorder="1"/>
    <xf numFmtId="0" fontId="1" fillId="0" borderId="0" xfId="0" applyFont="1" applyFill="1" applyBorder="1"/>
    <xf numFmtId="0" fontId="1" fillId="0" borderId="49" xfId="0" applyFont="1" applyFill="1" applyBorder="1"/>
    <xf numFmtId="0" fontId="1" fillId="0" borderId="50" xfId="0" applyFont="1" applyFill="1" applyBorder="1"/>
    <xf numFmtId="0" fontId="1" fillId="0" borderId="6" xfId="0" applyFont="1" applyFill="1" applyBorder="1"/>
    <xf numFmtId="0" fontId="1" fillId="0" borderId="7" xfId="0" applyFont="1" applyFill="1" applyBorder="1"/>
    <xf numFmtId="3" fontId="0" fillId="0" borderId="6" xfId="0" applyNumberFormat="1" applyFill="1" applyBorder="1"/>
    <xf numFmtId="3" fontId="0" fillId="0" borderId="7" xfId="0" applyNumberFormat="1" applyFill="1" applyBorder="1"/>
    <xf numFmtId="3" fontId="0" fillId="0" borderId="25" xfId="0" applyNumberFormat="1" applyFill="1" applyBorder="1"/>
    <xf numFmtId="3" fontId="0" fillId="0" borderId="14" xfId="0" applyNumberFormat="1" applyFill="1" applyBorder="1"/>
    <xf numFmtId="3" fontId="0" fillId="0" borderId="17" xfId="0" applyNumberFormat="1" applyFill="1" applyBorder="1"/>
    <xf numFmtId="0" fontId="0" fillId="2" borderId="49" xfId="0" applyFill="1" applyBorder="1"/>
    <xf numFmtId="0" fontId="0" fillId="2" borderId="50" xfId="0" applyFill="1" applyBorder="1"/>
    <xf numFmtId="0" fontId="0" fillId="2" borderId="49" xfId="0" applyFont="1" applyFill="1" applyBorder="1"/>
    <xf numFmtId="0" fontId="0" fillId="2" borderId="51" xfId="0" applyFill="1" applyBorder="1"/>
    <xf numFmtId="0" fontId="0" fillId="2" borderId="53" xfId="0" applyFill="1" applyBorder="1"/>
    <xf numFmtId="10" fontId="0" fillId="3" borderId="1" xfId="0" applyNumberFormat="1" applyFill="1" applyBorder="1"/>
    <xf numFmtId="1" fontId="1" fillId="4" borderId="1" xfId="0" applyNumberFormat="1" applyFont="1" applyFill="1" applyBorder="1"/>
    <xf numFmtId="0" fontId="1" fillId="15" borderId="46" xfId="0" applyFont="1" applyFill="1" applyBorder="1"/>
    <xf numFmtId="0" fontId="0" fillId="15" borderId="48" xfId="0" applyFill="1" applyBorder="1"/>
    <xf numFmtId="0" fontId="0" fillId="15" borderId="49" xfId="0" applyFill="1" applyBorder="1"/>
    <xf numFmtId="0" fontId="0" fillId="15" borderId="50" xfId="0" applyFill="1" applyBorder="1"/>
    <xf numFmtId="0" fontId="1" fillId="15" borderId="49" xfId="0" applyFont="1" applyFill="1" applyBorder="1"/>
    <xf numFmtId="0" fontId="11" fillId="15" borderId="49" xfId="0" applyFont="1" applyFill="1" applyBorder="1"/>
    <xf numFmtId="0" fontId="12" fillId="15" borderId="49" xfId="0" applyFont="1" applyFill="1" applyBorder="1"/>
    <xf numFmtId="0" fontId="0" fillId="15" borderId="51" xfId="0" applyFill="1" applyBorder="1"/>
    <xf numFmtId="0" fontId="0" fillId="15" borderId="53" xfId="0" applyFill="1" applyBorder="1"/>
    <xf numFmtId="0" fontId="0" fillId="2" borderId="1" xfId="0" applyFill="1" applyBorder="1" applyAlignment="1">
      <alignment wrapText="1"/>
    </xf>
    <xf numFmtId="0" fontId="19" fillId="2" borderId="49" xfId="11" applyFont="1" applyFill="1" applyBorder="1"/>
    <xf numFmtId="0" fontId="19" fillId="2" borderId="50" xfId="11" applyFont="1" applyFill="1" applyBorder="1"/>
    <xf numFmtId="0" fontId="0" fillId="8" borderId="1" xfId="0" applyFill="1" applyBorder="1" applyAlignment="1">
      <alignment wrapText="1"/>
    </xf>
    <xf numFmtId="0" fontId="1" fillId="0" borderId="0" xfId="0" applyFont="1" applyFill="1" applyAlignment="1">
      <alignment wrapText="1"/>
    </xf>
    <xf numFmtId="0" fontId="20" fillId="0" borderId="0" xfId="0" applyFont="1" applyFill="1"/>
    <xf numFmtId="0" fontId="22" fillId="16" borderId="0" xfId="11" applyFont="1" applyFill="1" applyAlignment="1">
      <alignment wrapText="1"/>
    </xf>
    <xf numFmtId="0" fontId="22" fillId="16" borderId="0" xfId="11" applyFont="1" applyFill="1"/>
    <xf numFmtId="0" fontId="22" fillId="16" borderId="0" xfId="11" applyFont="1" applyFill="1" applyBorder="1"/>
    <xf numFmtId="0" fontId="22" fillId="16" borderId="1" xfId="11" applyFont="1" applyFill="1" applyBorder="1" applyAlignment="1">
      <alignment wrapText="1"/>
    </xf>
    <xf numFmtId="0" fontId="14" fillId="0" borderId="1" xfId="0" applyFont="1" applyFill="1" applyBorder="1"/>
    <xf numFmtId="9" fontId="15" fillId="4" borderId="1" xfId="0" applyNumberFormat="1" applyFont="1" applyFill="1" applyBorder="1"/>
    <xf numFmtId="1" fontId="0" fillId="4" borderId="54" xfId="0" applyNumberFormat="1" applyFill="1" applyBorder="1"/>
    <xf numFmtId="1" fontId="0" fillId="4" borderId="55" xfId="0" applyNumberFormat="1" applyFill="1" applyBorder="1"/>
    <xf numFmtId="1" fontId="0" fillId="4" borderId="56" xfId="0" applyNumberFormat="1" applyFill="1" applyBorder="1"/>
    <xf numFmtId="1" fontId="0" fillId="2" borderId="57" xfId="0" applyNumberFormat="1" applyFill="1" applyBorder="1"/>
    <xf numFmtId="1" fontId="0" fillId="2" borderId="58" xfId="0" applyNumberFormat="1" applyFill="1" applyBorder="1"/>
    <xf numFmtId="0" fontId="0" fillId="2" borderId="43" xfId="0" applyFill="1" applyBorder="1"/>
    <xf numFmtId="1" fontId="0" fillId="2" borderId="45" xfId="0" applyNumberFormat="1" applyFill="1" applyBorder="1"/>
    <xf numFmtId="171" fontId="0" fillId="0" borderId="0" xfId="5" applyNumberFormat="1" applyFon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3" fontId="15" fillId="4" borderId="41" xfId="5" applyNumberFormat="1" applyFont="1" applyFill="1" applyBorder="1"/>
    <xf numFmtId="3" fontId="15" fillId="4" borderId="0" xfId="5" applyNumberFormat="1" applyFont="1" applyFill="1" applyBorder="1"/>
    <xf numFmtId="3" fontId="15" fillId="4" borderId="14" xfId="5" applyNumberFormat="1" applyFont="1" applyFill="1" applyBorder="1"/>
    <xf numFmtId="167" fontId="0" fillId="2" borderId="0" xfId="2" applyNumberFormat="1" applyFont="1" applyFill="1"/>
    <xf numFmtId="0" fontId="1" fillId="2" borderId="12" xfId="0" applyFont="1" applyFill="1" applyBorder="1"/>
    <xf numFmtId="0" fontId="15" fillId="17" borderId="0" xfId="0" applyFont="1" applyFill="1"/>
    <xf numFmtId="1" fontId="15" fillId="17" borderId="0" xfId="0" applyNumberFormat="1" applyFont="1" applyFill="1"/>
    <xf numFmtId="171" fontId="15" fillId="0" borderId="0" xfId="5" applyNumberFormat="1" applyFont="1"/>
    <xf numFmtId="171" fontId="15" fillId="4" borderId="0" xfId="5" applyNumberFormat="1" applyFont="1" applyFill="1" applyBorder="1"/>
    <xf numFmtId="171" fontId="15" fillId="3" borderId="0" xfId="5" applyNumberFormat="1" applyFont="1" applyFill="1" applyBorder="1"/>
    <xf numFmtId="171" fontId="15" fillId="4" borderId="14" xfId="5" applyNumberFormat="1" applyFont="1" applyFill="1" applyBorder="1"/>
    <xf numFmtId="171" fontId="15" fillId="3" borderId="14" xfId="5" applyNumberFormat="1" applyFont="1" applyFill="1" applyBorder="1"/>
    <xf numFmtId="173" fontId="15" fillId="0" borderId="0" xfId="0" applyNumberFormat="1" applyFont="1"/>
    <xf numFmtId="0" fontId="23" fillId="18" borderId="0" xfId="0" applyFont="1" applyFill="1" applyAlignment="1">
      <alignment vertical="center"/>
    </xf>
    <xf numFmtId="0" fontId="24" fillId="18" borderId="0" xfId="11" applyFont="1" applyFill="1"/>
    <xf numFmtId="0" fontId="18" fillId="2" borderId="48" xfId="11" applyFill="1" applyBorder="1"/>
    <xf numFmtId="0" fontId="18" fillId="2" borderId="46" xfId="11" applyFill="1" applyBorder="1"/>
    <xf numFmtId="0" fontId="18" fillId="2" borderId="49" xfId="11" applyFill="1" applyBorder="1"/>
    <xf numFmtId="0" fontId="25" fillId="2" borderId="0" xfId="0" applyFont="1" applyFill="1"/>
    <xf numFmtId="0" fontId="26" fillId="2" borderId="0" xfId="0" applyFont="1" applyFill="1"/>
    <xf numFmtId="0" fontId="25" fillId="2" borderId="1" xfId="0" applyFont="1" applyFill="1" applyBorder="1"/>
    <xf numFmtId="0" fontId="26" fillId="2" borderId="1" xfId="0" applyFont="1" applyFill="1" applyBorder="1"/>
    <xf numFmtId="0" fontId="27" fillId="2" borderId="1" xfId="1" applyFont="1" applyFill="1" applyBorder="1" applyAlignment="1" applyProtection="1">
      <alignment horizontal="left"/>
    </xf>
    <xf numFmtId="0" fontId="27" fillId="2" borderId="5" xfId="1" applyFont="1" applyFill="1" applyBorder="1" applyAlignment="1" applyProtection="1">
      <alignment horizontal="left"/>
    </xf>
    <xf numFmtId="0" fontId="27" fillId="2" borderId="2" xfId="1" applyFont="1" applyFill="1" applyBorder="1" applyAlignment="1" applyProtection="1">
      <alignment horizontal="left"/>
    </xf>
    <xf numFmtId="0" fontId="27" fillId="2" borderId="0" xfId="1" applyFont="1" applyFill="1" applyBorder="1" applyAlignment="1" applyProtection="1">
      <alignment horizontal="left"/>
    </xf>
    <xf numFmtId="165" fontId="26" fillId="2" borderId="0" xfId="5" applyNumberFormat="1" applyFont="1" applyFill="1" applyBorder="1"/>
    <xf numFmtId="164" fontId="26" fillId="2" borderId="0" xfId="5" applyNumberFormat="1" applyFont="1" applyFill="1" applyBorder="1"/>
    <xf numFmtId="165" fontId="25" fillId="12" borderId="1" xfId="5" applyNumberFormat="1" applyFont="1" applyFill="1" applyBorder="1"/>
    <xf numFmtId="165" fontId="25" fillId="12" borderId="5" xfId="5" applyNumberFormat="1" applyFont="1" applyFill="1" applyBorder="1"/>
    <xf numFmtId="165" fontId="26" fillId="12" borderId="2" xfId="5" applyNumberFormat="1" applyFont="1" applyFill="1" applyBorder="1"/>
    <xf numFmtId="165" fontId="25" fillId="15" borderId="1" xfId="5" applyNumberFormat="1" applyFont="1" applyFill="1" applyBorder="1"/>
    <xf numFmtId="165" fontId="25" fillId="15" borderId="5" xfId="5" applyNumberFormat="1" applyFont="1" applyFill="1" applyBorder="1"/>
    <xf numFmtId="165" fontId="26" fillId="15" borderId="2" xfId="5" applyNumberFormat="1" applyFont="1" applyFill="1" applyBorder="1"/>
    <xf numFmtId="3" fontId="0" fillId="0" borderId="15" xfId="5" applyNumberFormat="1" applyFont="1" applyBorder="1"/>
    <xf numFmtId="3" fontId="0" fillId="0" borderId="13" xfId="5" applyNumberFormat="1" applyFont="1" applyBorder="1"/>
    <xf numFmtId="3" fontId="0" fillId="0" borderId="16" xfId="5" applyNumberFormat="1" applyFont="1" applyBorder="1"/>
    <xf numFmtId="3" fontId="0" fillId="0" borderId="6" xfId="5" applyNumberFormat="1" applyFont="1" applyBorder="1"/>
    <xf numFmtId="3" fontId="0" fillId="0" borderId="0" xfId="5" applyNumberFormat="1" applyFont="1" applyBorder="1"/>
    <xf numFmtId="3" fontId="0" fillId="0" borderId="7" xfId="5" applyNumberFormat="1" applyFont="1" applyBorder="1"/>
    <xf numFmtId="3" fontId="0" fillId="0" borderId="25" xfId="5" applyNumberFormat="1" applyFont="1" applyBorder="1"/>
    <xf numFmtId="3" fontId="0" fillId="0" borderId="14" xfId="5" applyNumberFormat="1" applyFont="1" applyBorder="1"/>
    <xf numFmtId="3" fontId="0" fillId="0" borderId="17" xfId="5" applyNumberFormat="1" applyFont="1" applyBorder="1"/>
    <xf numFmtId="3" fontId="0" fillId="19" borderId="6" xfId="5" applyNumberFormat="1" applyFont="1" applyFill="1" applyBorder="1"/>
    <xf numFmtId="3" fontId="0" fillId="19" borderId="0" xfId="5" applyNumberFormat="1" applyFont="1" applyFill="1" applyBorder="1"/>
    <xf numFmtId="3" fontId="0" fillId="19" borderId="7" xfId="5" applyNumberFormat="1" applyFont="1" applyFill="1" applyBorder="1"/>
    <xf numFmtId="4" fontId="0" fillId="0" borderId="6" xfId="5" applyNumberFormat="1" applyFont="1" applyBorder="1"/>
    <xf numFmtId="4" fontId="0" fillId="9" borderId="6" xfId="5" applyNumberFormat="1" applyFont="1" applyFill="1" applyBorder="1"/>
    <xf numFmtId="4" fontId="0" fillId="0" borderId="0" xfId="5" applyNumberFormat="1" applyFont="1" applyBorder="1"/>
    <xf numFmtId="4" fontId="0" fillId="0" borderId="7" xfId="5" applyNumberFormat="1" applyFont="1" applyBorder="1"/>
    <xf numFmtId="4" fontId="0" fillId="19" borderId="6" xfId="5" applyNumberFormat="1" applyFont="1" applyFill="1" applyBorder="1"/>
    <xf numFmtId="4" fontId="0" fillId="19" borderId="0" xfId="5" applyNumberFormat="1" applyFont="1" applyFill="1" applyBorder="1"/>
    <xf numFmtId="4" fontId="0" fillId="19" borderId="7" xfId="5" applyNumberFormat="1" applyFont="1" applyFill="1" applyBorder="1"/>
    <xf numFmtId="3" fontId="0" fillId="0" borderId="6" xfId="5" applyNumberFormat="1" applyFont="1" applyFill="1" applyBorder="1"/>
    <xf numFmtId="3" fontId="0" fillId="0" borderId="0" xfId="5" applyNumberFormat="1" applyFont="1" applyFill="1" applyBorder="1"/>
    <xf numFmtId="3" fontId="0" fillId="0" borderId="7" xfId="5" applyNumberFormat="1" applyFont="1" applyFill="1" applyBorder="1"/>
    <xf numFmtId="3" fontId="0" fillId="0" borderId="25" xfId="5" applyNumberFormat="1" applyFont="1" applyFill="1" applyBorder="1"/>
    <xf numFmtId="3" fontId="0" fillId="0" borderId="14" xfId="5" applyNumberFormat="1" applyFont="1" applyFill="1" applyBorder="1"/>
    <xf numFmtId="3" fontId="0" fillId="0" borderId="17" xfId="5" applyNumberFormat="1" applyFont="1" applyFill="1" applyBorder="1"/>
    <xf numFmtId="3" fontId="0" fillId="15" borderId="6" xfId="5" applyNumberFormat="1" applyFont="1" applyFill="1" applyBorder="1"/>
    <xf numFmtId="3" fontId="0" fillId="15" borderId="0" xfId="5" applyNumberFormat="1" applyFont="1" applyFill="1" applyBorder="1"/>
    <xf numFmtId="3" fontId="0" fillId="15" borderId="7" xfId="5" applyNumberFormat="1" applyFont="1" applyFill="1" applyBorder="1"/>
    <xf numFmtId="3" fontId="0" fillId="15" borderId="15" xfId="5" applyNumberFormat="1" applyFont="1" applyFill="1" applyBorder="1"/>
    <xf numFmtId="3" fontId="0" fillId="15" borderId="13" xfId="5" applyNumberFormat="1" applyFont="1" applyFill="1" applyBorder="1"/>
    <xf numFmtId="3" fontId="0" fillId="15" borderId="16" xfId="5" applyNumberFormat="1" applyFont="1" applyFill="1" applyBorder="1"/>
    <xf numFmtId="3" fontId="0" fillId="15" borderId="25" xfId="5" applyNumberFormat="1" applyFont="1" applyFill="1" applyBorder="1"/>
    <xf numFmtId="3" fontId="0" fillId="15" borderId="14" xfId="5" applyNumberFormat="1" applyFont="1" applyFill="1" applyBorder="1"/>
    <xf numFmtId="3" fontId="0" fillId="15" borderId="17" xfId="5" applyNumberFormat="1" applyFont="1" applyFill="1" applyBorder="1"/>
    <xf numFmtId="0" fontId="22" fillId="2" borderId="0" xfId="11" applyFont="1" applyFill="1"/>
    <xf numFmtId="164" fontId="0" fillId="0" borderId="0" xfId="5" applyFont="1"/>
    <xf numFmtId="1" fontId="1" fillId="4" borderId="0" xfId="0" applyNumberFormat="1" applyFont="1" applyFill="1"/>
    <xf numFmtId="0" fontId="1" fillId="2" borderId="3" xfId="0" applyFont="1" applyFill="1" applyBorder="1"/>
    <xf numFmtId="0" fontId="0" fillId="2" borderId="0" xfId="0" applyFill="1" applyAlignment="1">
      <alignment horizontal="left" vertical="top" wrapText="1"/>
    </xf>
    <xf numFmtId="0" fontId="9" fillId="2" borderId="0" xfId="0" applyFont="1" applyFill="1" applyAlignment="1">
      <alignment horizontal="left"/>
    </xf>
    <xf numFmtId="0" fontId="0" fillId="2" borderId="50" xfId="0" applyFill="1" applyBorder="1" applyAlignment="1">
      <alignment horizontal="left" vertical="top" wrapText="1"/>
    </xf>
    <xf numFmtId="0" fontId="23" fillId="18" borderId="0" xfId="0" applyFont="1" applyFill="1" applyAlignment="1">
      <alignment horizontal="center" vertical="center"/>
    </xf>
    <xf numFmtId="0" fontId="8" fillId="2" borderId="19" xfId="0" applyFont="1" applyFill="1" applyBorder="1" applyAlignment="1">
      <alignment horizontal="left" wrapText="1"/>
    </xf>
    <xf numFmtId="0" fontId="8" fillId="2" borderId="2" xfId="0" applyFont="1" applyFill="1" applyBorder="1" applyAlignment="1">
      <alignment horizontal="left" wrapText="1"/>
    </xf>
    <xf numFmtId="0" fontId="8" fillId="2" borderId="1" xfId="0" applyFont="1" applyFill="1" applyBorder="1" applyAlignment="1">
      <alignment horizontal="left" wrapText="1"/>
    </xf>
    <xf numFmtId="0" fontId="1" fillId="2" borderId="19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4" fillId="4" borderId="0" xfId="0" applyFont="1" applyFill="1" applyBorder="1" applyAlignment="1">
      <alignment horizontal="center" wrapText="1"/>
    </xf>
    <xf numFmtId="1" fontId="14" fillId="4" borderId="0" xfId="0" applyNumberFormat="1" applyFon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14" fillId="0" borderId="15" xfId="0" applyFont="1" applyBorder="1" applyAlignment="1">
      <alignment horizontal="left" wrapText="1"/>
    </xf>
    <xf numFmtId="0" fontId="14" fillId="0" borderId="16" xfId="0" applyFont="1" applyBorder="1" applyAlignment="1">
      <alignment horizontal="left" wrapText="1"/>
    </xf>
    <xf numFmtId="0" fontId="0" fillId="0" borderId="47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0" fillId="0" borderId="46" xfId="0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9" fillId="7" borderId="15" xfId="0" applyFont="1" applyFill="1" applyBorder="1" applyAlignment="1">
      <alignment horizontal="left"/>
    </xf>
    <xf numFmtId="0" fontId="9" fillId="7" borderId="13" xfId="0" applyFont="1" applyFill="1" applyBorder="1" applyAlignment="1">
      <alignment horizontal="left"/>
    </xf>
    <xf numFmtId="0" fontId="9" fillId="7" borderId="16" xfId="0" applyFont="1" applyFill="1" applyBorder="1" applyAlignment="1">
      <alignment horizontal="left"/>
    </xf>
    <xf numFmtId="0" fontId="9" fillId="6" borderId="15" xfId="0" applyFont="1" applyFill="1" applyBorder="1" applyAlignment="1">
      <alignment horizontal="left"/>
    </xf>
    <xf numFmtId="0" fontId="9" fillId="6" borderId="13" xfId="0" applyFont="1" applyFill="1" applyBorder="1" applyAlignment="1">
      <alignment horizontal="left"/>
    </xf>
    <xf numFmtId="0" fontId="9" fillId="6" borderId="16" xfId="0" applyFont="1" applyFill="1" applyBorder="1" applyAlignment="1">
      <alignment horizontal="left"/>
    </xf>
    <xf numFmtId="0" fontId="1" fillId="2" borderId="29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9" fontId="0" fillId="2" borderId="23" xfId="2" applyFont="1" applyFill="1" applyBorder="1"/>
    <xf numFmtId="167" fontId="0" fillId="3" borderId="0" xfId="2" applyNumberFormat="1" applyFont="1" applyFill="1" applyBorder="1"/>
    <xf numFmtId="0" fontId="0" fillId="2" borderId="14" xfId="0" applyFill="1" applyBorder="1"/>
    <xf numFmtId="0" fontId="0" fillId="2" borderId="2" xfId="0" applyFill="1" applyBorder="1"/>
    <xf numFmtId="9" fontId="0" fillId="0" borderId="0" xfId="2" applyFont="1"/>
    <xf numFmtId="0" fontId="0" fillId="2" borderId="59" xfId="0" applyFill="1" applyBorder="1"/>
    <xf numFmtId="0" fontId="21" fillId="16" borderId="19" xfId="11" applyFont="1" applyFill="1" applyBorder="1"/>
    <xf numFmtId="0" fontId="21" fillId="2" borderId="0" xfId="11" applyFont="1" applyFill="1" applyBorder="1"/>
    <xf numFmtId="0" fontId="7" fillId="2" borderId="0" xfId="0" applyFont="1" applyFill="1" applyBorder="1"/>
    <xf numFmtId="0" fontId="11" fillId="2" borderId="0" xfId="11" applyFont="1" applyFill="1" applyBorder="1"/>
    <xf numFmtId="0" fontId="11" fillId="2" borderId="0" xfId="0" applyFont="1" applyFill="1"/>
    <xf numFmtId="0" fontId="11" fillId="3" borderId="1" xfId="0" applyFont="1" applyFill="1" applyBorder="1"/>
    <xf numFmtId="174" fontId="0" fillId="4" borderId="1" xfId="2" applyNumberFormat="1" applyFont="1" applyFill="1" applyBorder="1"/>
    <xf numFmtId="0" fontId="11" fillId="2" borderId="60" xfId="11" applyFont="1" applyFill="1" applyBorder="1"/>
    <xf numFmtId="0" fontId="12" fillId="2" borderId="1" xfId="0" applyFont="1" applyFill="1" applyBorder="1"/>
    <xf numFmtId="0" fontId="12" fillId="2" borderId="1" xfId="11" applyFont="1" applyFill="1" applyBorder="1" applyAlignment="1">
      <alignment horizontal="center"/>
    </xf>
    <xf numFmtId="0" fontId="0" fillId="2" borderId="3" xfId="0" applyFill="1" applyBorder="1" applyAlignment="1">
      <alignment horizontal="left" wrapText="1"/>
    </xf>
    <xf numFmtId="0" fontId="0" fillId="0" borderId="3" xfId="0" applyBorder="1" applyAlignment="1">
      <alignment horizontal="left" wrapText="1"/>
    </xf>
  </cellXfs>
  <cellStyles count="12">
    <cellStyle name="Comma" xfId="5" builtinId="3"/>
    <cellStyle name="Comma 2" xfId="3" xr:uid="{2564CFC0-CAEB-4D58-BAA9-E36139761C4C}"/>
    <cellStyle name="Hyperlink" xfId="11" builtinId="8"/>
    <cellStyle name="Komma 2" xfId="8" xr:uid="{C4F2C2A1-EF2E-45E2-B05A-CF07C24C9151}"/>
    <cellStyle name="Normal" xfId="0" builtinId="0"/>
    <cellStyle name="Normal 2" xfId="1" xr:uid="{494B2BB5-8380-4053-A1BF-0BB51EA62B49}"/>
    <cellStyle name="Normal 2 2" xfId="9" xr:uid="{C6F9D1AF-1312-490B-A7C1-9D4EB3D22250}"/>
    <cellStyle name="Normal 3" xfId="7" xr:uid="{A997A50E-185A-48C2-9B23-88E1CF38E98D}"/>
    <cellStyle name="Normal 7 2 2" xfId="6" xr:uid="{FD59C46C-8C4E-4382-A225-8B80B5546992}"/>
    <cellStyle name="Percent" xfId="2" builtinId="5"/>
    <cellStyle name="Percent 2" xfId="4" xr:uid="{3B36D7D0-6D55-4376-A1A6-DAE2250322BE}"/>
    <cellStyle name="Procent 2" xfId="10" xr:uid="{9C2727F8-1858-4EF8-A41D-CC43EC0C2538}"/>
  </cellStyles>
  <dxfs count="19"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3" formatCode="#,##0"/>
    </dxf>
    <dxf>
      <numFmt numFmtId="35" formatCode="_-* #,##0.00_-;\-* #,##0.00_-;_-* &quot;-&quot;??_-;_-@_-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3" formatCode="#,##0"/>
    </dxf>
    <dxf>
      <numFmt numFmtId="1" formatCode="0"/>
    </dxf>
    <dxf>
      <numFmt numFmtId="1" formatCode="0"/>
    </dxf>
    <dxf>
      <numFmt numFmtId="172" formatCode="#,##0.0,,"/>
    </dxf>
    <dxf>
      <numFmt numFmtId="171" formatCode="_(* #,##0_);_(* \(#,##0\);_(* &quot;-&quot;??_);_(@_)"/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6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pivotCacheDefinition" Target="pivotCache/pivotCacheDefinition4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8.xml"/><Relationship Id="rId52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7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[Bau.xlsx]Arealanvendelse -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Arealanvendelse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91285644743856"/>
          <c:y val="9.3492521677740387E-2"/>
          <c:w val="0.67773725392639061"/>
          <c:h val="0.539069579426216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4-478D-AB3A-A40B3BAABE17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4-478D-AB3A-A40B3BAABE17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2542469.9999999995</c:v>
                </c:pt>
                <c:pt idx="2">
                  <c:v>2504470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4-478D-AB3A-A40B3BAABE17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487920</c:v>
                </c:pt>
                <c:pt idx="2">
                  <c:v>487920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4-478D-AB3A-A40B3BAABE17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582800</c:v>
                </c:pt>
                <c:pt idx="2">
                  <c:v>620800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74-478D-AB3A-A40B3BAA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 [ha]</a:t>
                </a:r>
              </a:p>
            </c:rich>
          </c:tx>
          <c:layout>
            <c:manualLayout>
              <c:xMode val="edge"/>
              <c:yMode val="edge"/>
              <c:x val="0.13150227156968861"/>
              <c:y val="0.11026400441810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[Bau.xlsx]CO2-pivot!PivotTable1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>
                <a:effectLst/>
              </a:rPr>
              <a:t>Udledning af drivhusgasser per år </a:t>
            </a:r>
          </a:p>
          <a:p>
            <a:pPr>
              <a:defRPr/>
            </a:pPr>
            <a:r>
              <a:rPr lang="en-GB" sz="1200">
                <a:effectLst/>
              </a:rPr>
              <a:t>"Marker" indeholder både LULUCF og</a:t>
            </a:r>
            <a:r>
              <a:rPr lang="en-GB" sz="1200" baseline="0">
                <a:effectLst/>
              </a:rPr>
              <a:t> emissionerne relateret til markerne som rapporteret i Denmark's national inventory report 2020</a:t>
            </a:r>
            <a:r>
              <a:rPr lang="en-GB" sz="1200">
                <a:effectLst/>
              </a:rPr>
              <a:t> </a:t>
            </a:r>
            <a:endParaRPr lang="en-DK" sz="1050">
              <a:effectLst/>
            </a:endParaRPr>
          </a:p>
        </c:rich>
      </c:tx>
      <c:layout>
        <c:manualLayout>
          <c:xMode val="edge"/>
          <c:yMode val="edge"/>
          <c:x val="0.1819249592169657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590504082585109"/>
          <c:y val="0.13122832094326414"/>
          <c:w val="0.73409495917414891"/>
          <c:h val="0.55781733103580611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9-4334-9442-499208BF0D07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C9-4334-9442-499208BF0D07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9296833.4976137169</c:v>
                </c:pt>
                <c:pt idx="2">
                  <c:v>9211339.4377100542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C9-4334-9442-499208BF0D07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C9-4334-9442-499208BF0D07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-427424.28054807242</c:v>
                </c:pt>
                <c:pt idx="2">
                  <c:v>-416519.2646097627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0-4604-822E-4715D9F3AA1F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1-41F4-884D-1C959E938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lineChart>
        <c:grouping val="standard"/>
        <c:varyColors val="0"/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13678705.754892571</c:v>
                </c:pt>
                <c:pt idx="2">
                  <c:v>12682634.669579279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C9-4334-9442-499208BF0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96064"/>
        <c:axId val="449195648"/>
      </c:line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CO2-eq</a:t>
                </a:r>
              </a:p>
            </c:rich>
          </c:tx>
          <c:layout>
            <c:manualLayout>
              <c:xMode val="edge"/>
              <c:yMode val="edge"/>
              <c:x val="8.9178901576943997E-2"/>
              <c:y val="0.342632032115428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[Bau.xlsx]Pivot chart - landbrug!PivotTable1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>
                <a:effectLst/>
              </a:rPr>
              <a:t>Afgrødefordeling landbrugsjord</a:t>
            </a:r>
            <a:endParaRPr lang="en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6.0289188657619334E-2"/>
          <c:w val="0.78773324343127116"/>
          <c:h val="0.44140538634221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75894.211512917434</c:v>
                </c:pt>
                <c:pt idx="2">
                  <c:v>74611.772091610444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1-482C-AAB5-60D2374ED6D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5061.7462007604217</c:v>
                </c:pt>
                <c:pt idx="2">
                  <c:v>4992.9413474389539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1-482C-AAB5-60D2374ED6DB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282589.13188024791</c:v>
                </c:pt>
                <c:pt idx="2">
                  <c:v>278445.99362396839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61-482C-AAB5-60D2374ED6DB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12639.370816764706</c:v>
                </c:pt>
                <c:pt idx="2">
                  <c:v>12457.143108539938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61-482C-AAB5-60D2374ED6DB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18710.553661240276</c:v>
                </c:pt>
                <c:pt idx="2">
                  <c:v>18409.47067327406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61-482C-AAB5-60D2374ED6DB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54298.35247077707</c:v>
                </c:pt>
                <c:pt idx="2">
                  <c:v>53367.370861566276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1-482C-AAB5-60D2374ED6DB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1323109.1146040615</c:v>
                </c:pt>
                <c:pt idx="2">
                  <c:v>1303035.234021947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1-482C-AAB5-60D2374ED6DB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177819.27950831145</c:v>
                </c:pt>
                <c:pt idx="2">
                  <c:v>174714.53228951979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61-482C-AAB5-60D2374ED6DB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69104.195969111795</c:v>
                </c:pt>
                <c:pt idx="2">
                  <c:v>68021.901921824086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61-482C-AAB5-60D2374ED6DB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159802.81644068591</c:v>
                </c:pt>
                <c:pt idx="2">
                  <c:v>157421.73721827005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61-482C-AAB5-60D2374ED6DB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33795.467038967829</c:v>
                </c:pt>
                <c:pt idx="2">
                  <c:v>33512.483920016224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C61-482C-AAB5-60D2374ED6DB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214938.45789911941</c:v>
                </c:pt>
                <c:pt idx="2">
                  <c:v>212209.58099609043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C61-482C-AAB5-60D2374ED6DB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8385.8091715253049</c:v>
                </c:pt>
                <c:pt idx="2">
                  <c:v>8272.9113069354553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C61-482C-AAB5-60D2374ED6DB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106321.49282550839</c:v>
                </c:pt>
                <c:pt idx="2">
                  <c:v>104996.92661899899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C61-482C-AAB5-60D2374ED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4.7923345195207974E-2"/>
              <c:y val="4.3964543191790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[Bau.xlsx]Resultat-Potentiale til energi!PivotTable3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0"/>
              <a:t>Potentiale til energianvendelse</a:t>
            </a:r>
            <a:endParaRPr lang="en-DK" i="0"/>
          </a:p>
          <a:p>
            <a:pPr>
              <a:defRPr i="0"/>
            </a:pPr>
            <a:r>
              <a:rPr lang="en-GB" i="0"/>
              <a:t>Venstre kolonne indeholder alle biomasser ikke allokeret til biogasproduktion - </a:t>
            </a:r>
            <a:endParaRPr lang="en-DK" i="0"/>
          </a:p>
          <a:p>
            <a:pPr>
              <a:defRPr i="0"/>
            </a:pPr>
            <a:r>
              <a:rPr lang="en-GB" i="0"/>
              <a:t>hvis biomassen kun kan bruges til biogasproduktion er mængden af biogas fra biomassen brugt som brændværdi</a:t>
            </a:r>
            <a:endParaRPr lang="en-DK" i="0"/>
          </a:p>
        </c:rich>
      </c:tx>
      <c:layout>
        <c:manualLayout>
          <c:xMode val="edge"/>
          <c:yMode val="edge"/>
          <c:x val="0.1414285714285714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0.16395027011690255"/>
          <c:w val="0.78070685675750118"/>
          <c:h val="0.415322200850160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19.810752704992638</c:v>
                </c:pt>
                <c:pt idx="2">
                  <c:v>19.90496446847807</c:v>
                </c:pt>
                <c:pt idx="3">
                  <c:v>7.4504602234640007</c:v>
                </c:pt>
                <c:pt idx="4">
                  <c:v>5.332280506183527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F-4FFF-8E54-385D4017F98A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2.1694819870080004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1-4C40-B336-7774A1495BA6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19.850360529489279</c:v>
                </c:pt>
                <c:pt idx="2">
                  <c:v>18.206836134418594</c:v>
                </c:pt>
                <c:pt idx="3">
                  <c:v>1.4201719861750002</c:v>
                </c:pt>
                <c:pt idx="4">
                  <c:v>1.4201719861750004</c:v>
                </c:pt>
                <c:pt idx="5">
                  <c:v>1.4201719861750002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1-4C40-B336-7774A1495BA6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26.93090541898259</c:v>
                </c:pt>
                <c:pt idx="2">
                  <c:v>24.858803548597574</c:v>
                </c:pt>
                <c:pt idx="3">
                  <c:v>0.45076703431999998</c:v>
                </c:pt>
                <c:pt idx="4">
                  <c:v>0.45076703431999993</c:v>
                </c:pt>
                <c:pt idx="5">
                  <c:v>0.45076703432000004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31-4C40-B336-7774A1495BA6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0.14905139749376281</c:v>
                </c:pt>
                <c:pt idx="2">
                  <c:v>0.25889068207643468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31-4C40-B336-7774A1495BA6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2.5858784763692717</c:v>
                </c:pt>
                <c:pt idx="2">
                  <c:v>2.6714132137350775</c:v>
                </c:pt>
                <c:pt idx="3">
                  <c:v>5.0922829580050024</c:v>
                </c:pt>
                <c:pt idx="4">
                  <c:v>12.53543651233441</c:v>
                </c:pt>
                <c:pt idx="5">
                  <c:v>12.420463246039292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31-4C40-B336-7774A1495BA6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7.9766231601288453</c:v>
                </c:pt>
                <c:pt idx="2">
                  <c:v>7.7078751185296177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31-4C40-B336-7774A1495BA6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45.280222691386172</c:v>
                </c:pt>
                <c:pt idx="2">
                  <c:v>41.352452170508407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31-4C40-B336-7774A1495BA6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E-43EF-AFF5-278050938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PJ/år</a:t>
                </a:r>
              </a:p>
            </c:rich>
          </c:tx>
          <c:layout>
            <c:manualLayout>
              <c:xMode val="edge"/>
              <c:yMode val="edge"/>
              <c:x val="0.10926591808527195"/>
              <c:y val="0.147584302241119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i="1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[Bau.xlsx]Resultat-Tørstof til energi!PivotTable1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Potentiale til energianvendelse i tørstof</a:t>
            </a:r>
            <a:endParaRPr lang="en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9.5578770599643342E-2"/>
          <c:w val="0.80231790500786004"/>
          <c:h val="0.48593127476416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5-4D17-888B-2D8D03542383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0-4758-A59B-5B2FBE26F82D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2348840.8844847302</c:v>
                </c:pt>
                <c:pt idx="2">
                  <c:v>2164142.1080060382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0-4758-A59B-5B2FBE26F82D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2349166.8466086611</c:v>
                </c:pt>
                <c:pt idx="2">
                  <c:v>2170312.3964539068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0-4758-A59B-5B2FBE26F82D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40-4758-A59B-5B2FBE26F82D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2078868.7997796992</c:v>
                </c:pt>
                <c:pt idx="2">
                  <c:v>2077438.0772637748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40-4758-A59B-5B2FBE26F82D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207392.20216335001</c:v>
                </c:pt>
                <c:pt idx="2">
                  <c:v>200404.75308177009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40-4758-A59B-5B2FBE26F82D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1498974.2460576054</c:v>
                </c:pt>
                <c:pt idx="2">
                  <c:v>1366366.1366558613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40-4758-A59B-5B2FBE26F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TS</a:t>
                </a:r>
              </a:p>
            </c:rich>
          </c:tx>
          <c:layout>
            <c:manualLayout>
              <c:xMode val="edge"/>
              <c:yMode val="edge"/>
              <c:x val="1.0077118738536058E-2"/>
              <c:y val="0.18472675890923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[Bau.xlsx]Resultat-Forbrug af biomasse!PivotTable1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3.1871347287703175E-2"/>
          <c:w val="0.88975870372134169"/>
          <c:h val="0.59620949595580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biomasse'!$B$5:$B$33</c:f>
              <c:numCache>
                <c:formatCode>#,##0.0,,</c:formatCode>
                <c:ptCount val="21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2-4B93-9D8E-F7E05A7B5288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biomasse'!$C$5:$C$33</c:f>
              <c:numCache>
                <c:formatCode>#,##0.0,,</c:formatCode>
                <c:ptCount val="21"/>
                <c:pt idx="3">
                  <c:v>72415.092228932088</c:v>
                </c:pt>
                <c:pt idx="4">
                  <c:v>72415.092228932073</c:v>
                </c:pt>
                <c:pt idx="5">
                  <c:v>72415.092228932073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2-4B93-9D8E-F7E05A7B5288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biomasse'!$D$5:$D$33</c:f>
              <c:numCache>
                <c:formatCode>#,##0.0,,</c:formatCode>
                <c:ptCount val="21"/>
                <c:pt idx="0">
                  <c:v>729134</c:v>
                </c:pt>
                <c:pt idx="1">
                  <c:v>363995</c:v>
                </c:pt>
                <c:pt idx="2">
                  <c:v>369777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32-4B93-9D8E-F7E05A7B5288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biomasse'!$E$5:$E$33</c:f>
              <c:numCache>
                <c:formatCode>#,##0.0,,</c:formatCode>
                <c:ptCount val="21"/>
                <c:pt idx="0">
                  <c:v>757087.00000000012</c:v>
                </c:pt>
                <c:pt idx="1">
                  <c:v>1505490.464025514</c:v>
                </c:pt>
                <c:pt idx="2">
                  <c:v>1577517.9173522878</c:v>
                </c:pt>
                <c:pt idx="15">
                  <c:v>823764.99285714305</c:v>
                </c:pt>
                <c:pt idx="16">
                  <c:v>569935.67566680163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32-4B93-9D8E-F7E05A7B5288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biomasse'!$F$5:$F$33</c:f>
              <c:numCache>
                <c:formatCode>#,##0.0,,</c:formatCode>
                <c:ptCount val="21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32-4B93-9D8E-F7E05A7B5288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biomasse'!$G$5:$G$33</c:f>
              <c:numCache>
                <c:formatCode>#,##0.0,,</c:formatCode>
                <c:ptCount val="21"/>
                <c:pt idx="0">
                  <c:v>4441.5</c:v>
                </c:pt>
                <c:pt idx="1">
                  <c:v>4521.4640303491688</c:v>
                </c:pt>
                <c:pt idx="2">
                  <c:v>4669.3150599254868</c:v>
                </c:pt>
                <c:pt idx="15">
                  <c:v>3362.8500000000004</c:v>
                </c:pt>
                <c:pt idx="16">
                  <c:v>3423.3941944072276</c:v>
                </c:pt>
                <c:pt idx="17">
                  <c:v>3535.3385453721544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32-4B93-9D8E-F7E05A7B5288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biomasse'!$H$5:$H$33</c:f>
              <c:numCache>
                <c:formatCode>#,##0.0,,</c:formatCode>
                <c:ptCount val="21"/>
                <c:pt idx="6">
                  <c:v>63270.025647837821</c:v>
                </c:pt>
                <c:pt idx="7">
                  <c:v>65854.885067430776</c:v>
                </c:pt>
                <c:pt idx="8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32-4B93-9D8E-F7E05A7B5288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biomasse'!$I$5:$I$33</c:f>
              <c:numCache>
                <c:formatCode>#,##0.0,,</c:formatCode>
                <c:ptCount val="21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32-4B93-9D8E-F7E05A7B5288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biomasse'!$J$5:$J$33</c:f>
              <c:numCache>
                <c:formatCode>#,##0.0,,</c:formatCode>
                <c:ptCount val="21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2-4B93-9D8E-F7E05A7B5288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biomasse'!$K$5:$K$33</c:f>
              <c:numCache>
                <c:formatCode>#,##0.0,,</c:formatCode>
                <c:ptCount val="21"/>
                <c:pt idx="0">
                  <c:v>85676.999999999985</c:v>
                </c:pt>
                <c:pt idx="1">
                  <c:v>85677.000000000029</c:v>
                </c:pt>
                <c:pt idx="2">
                  <c:v>85677</c:v>
                </c:pt>
                <c:pt idx="3">
                  <c:v>13739757.985270014</c:v>
                </c:pt>
                <c:pt idx="4">
                  <c:v>13739757.985270012</c:v>
                </c:pt>
                <c:pt idx="5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32-4B93-9D8E-F7E05A7B5288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biomasse'!$L$5:$L$33</c:f>
              <c:numCache>
                <c:formatCode>#,##0.0,,</c:formatCode>
                <c:ptCount val="21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E32-4B93-9D8E-F7E05A7B5288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biomasse'!$M$5:$M$33</c:f>
              <c:numCache>
                <c:formatCode>#,##0.0,,</c:formatCode>
                <c:ptCount val="21"/>
                <c:pt idx="0">
                  <c:v>75934</c:v>
                </c:pt>
                <c:pt idx="1">
                  <c:v>75933.999999999985</c:v>
                </c:pt>
                <c:pt idx="2">
                  <c:v>75934</c:v>
                </c:pt>
                <c:pt idx="3">
                  <c:v>867975.34157733875</c:v>
                </c:pt>
                <c:pt idx="4">
                  <c:v>867975.34157733864</c:v>
                </c:pt>
                <c:pt idx="5">
                  <c:v>867975.34157733864</c:v>
                </c:pt>
                <c:pt idx="9">
                  <c:v>1893765.2125355615</c:v>
                </c:pt>
                <c:pt idx="10">
                  <c:v>1802534.1213624873</c:v>
                </c:pt>
                <c:pt idx="11">
                  <c:v>1700816.4269679631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E32-4B93-9D8E-F7E05A7B5288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biomasse'!$N$5:$N$33</c:f>
              <c:numCache>
                <c:formatCode>#,##0.0,,</c:formatCode>
                <c:ptCount val="21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9">
                  <c:v>982731</c:v>
                </c:pt>
                <c:pt idx="10">
                  <c:v>982731</c:v>
                </c:pt>
                <c:pt idx="11">
                  <c:v>982731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E32-4B93-9D8E-F7E05A7B5288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biomasse'!$O$5:$O$33</c:f>
              <c:numCache>
                <c:formatCode>#,##0.0,,</c:formatCode>
                <c:ptCount val="21"/>
                <c:pt idx="3">
                  <c:v>5421074.2654714445</c:v>
                </c:pt>
                <c:pt idx="4">
                  <c:v>5421074.2654714435</c:v>
                </c:pt>
                <c:pt idx="5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E32-4B93-9D8E-F7E05A7B5288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biomasse'!$P$5:$P$33</c:f>
              <c:numCache>
                <c:formatCode>#,##0.0,,</c:formatCode>
                <c:ptCount val="21"/>
                <c:pt idx="0">
                  <c:v>995654</c:v>
                </c:pt>
                <c:pt idx="1">
                  <c:v>725967.99999999977</c:v>
                </c:pt>
                <c:pt idx="2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E32-4B93-9D8E-F7E05A7B5288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biomasse'!$Q$5:$Q$33</c:f>
              <c:numCache>
                <c:formatCode>#,##0.0,,</c:formatCode>
                <c:ptCount val="2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E32-4B93-9D8E-F7E05A7B5288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biomasse'!$R$5:$R$33</c:f>
              <c:numCache>
                <c:formatCode>#,##0.0,,</c:formatCode>
                <c:ptCount val="21"/>
                <c:pt idx="0">
                  <c:v>3785.9999999999991</c:v>
                </c:pt>
                <c:pt idx="1">
                  <c:v>3786.0000000000009</c:v>
                </c:pt>
                <c:pt idx="2">
                  <c:v>3786</c:v>
                </c:pt>
                <c:pt idx="3">
                  <c:v>6600836.8097011279</c:v>
                </c:pt>
                <c:pt idx="4">
                  <c:v>6600836.809701127</c:v>
                </c:pt>
                <c:pt idx="5">
                  <c:v>6600836.809701127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E32-4B93-9D8E-F7E05A7B5288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biomasse'!$S$5:$S$33</c:f>
              <c:numCache>
                <c:formatCode>#,##0.0,,</c:formatCode>
                <c:ptCount val="21"/>
                <c:pt idx="0">
                  <c:v>4353509.666666667</c:v>
                </c:pt>
                <c:pt idx="1">
                  <c:v>10568777.271841513</c:v>
                </c:pt>
                <c:pt idx="2">
                  <c:v>10366827.811054559</c:v>
                </c:pt>
                <c:pt idx="15">
                  <c:v>6423924.8458333323</c:v>
                </c:pt>
                <c:pt idx="16">
                  <c:v>2211099.4555563163</c:v>
                </c:pt>
                <c:pt idx="17">
                  <c:v>2168849.5025758878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32-4B93-9D8E-F7E05A7B5288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biomasse'!$T$5:$T$33</c:f>
              <c:numCache>
                <c:formatCode>#,##0.0,,</c:formatCode>
                <c:ptCount val="21"/>
                <c:pt idx="3">
                  <c:v>1701754.6673799041</c:v>
                </c:pt>
                <c:pt idx="4">
                  <c:v>1701754.6673799036</c:v>
                </c:pt>
                <c:pt idx="5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E32-4B93-9D8E-F7E05A7B5288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biomasse'!$U$5:$U$33</c:f>
              <c:numCache>
                <c:formatCode>#,##0.0,,</c:formatCode>
                <c:ptCount val="21"/>
                <c:pt idx="0">
                  <c:v>330026</c:v>
                </c:pt>
                <c:pt idx="1">
                  <c:v>330026</c:v>
                </c:pt>
                <c:pt idx="2">
                  <c:v>330026</c:v>
                </c:pt>
                <c:pt idx="3">
                  <c:v>6351407.0475792512</c:v>
                </c:pt>
                <c:pt idx="4">
                  <c:v>6351407.0475792503</c:v>
                </c:pt>
                <c:pt idx="5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E32-4B93-9D8E-F7E05A7B5288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biomasse'!$V$5:$V$33</c:f>
              <c:numCache>
                <c:formatCode>#,##0.0,,</c:formatCode>
                <c:ptCount val="21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E32-4B93-9D8E-F7E05A7B5288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biomasse'!$W$5:$W$33</c:f>
              <c:numCache>
                <c:formatCode>#,##0.0,,</c:formatCode>
                <c:ptCount val="21"/>
                <c:pt idx="6">
                  <c:v>107607.71285182264</c:v>
                </c:pt>
                <c:pt idx="7">
                  <c:v>112003.96221853035</c:v>
                </c:pt>
                <c:pt idx="8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E32-4B93-9D8E-F7E05A7B5288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biomasse'!$X$5:$X$33</c:f>
              <c:numCache>
                <c:formatCode>#,##0.0,,</c:formatCode>
                <c:ptCount val="21"/>
                <c:pt idx="18">
                  <c:v>678407.81727843033</c:v>
                </c:pt>
                <c:pt idx="19">
                  <c:v>712198.49644007557</c:v>
                </c:pt>
                <c:pt idx="20">
                  <c:v>688203.13558300154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E32-4B93-9D8E-F7E05A7B5288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biomasse'!$Y$5:$Y$33</c:f>
              <c:numCache>
                <c:formatCode>#,##0.0,,</c:formatCode>
                <c:ptCount val="21"/>
                <c:pt idx="0">
                  <c:v>28645.000000000004</c:v>
                </c:pt>
                <c:pt idx="1">
                  <c:v>28644.999999999996</c:v>
                </c:pt>
                <c:pt idx="2">
                  <c:v>28644.999999999996</c:v>
                </c:pt>
                <c:pt idx="3">
                  <c:v>944413.49448565592</c:v>
                </c:pt>
                <c:pt idx="4">
                  <c:v>944413.49448565592</c:v>
                </c:pt>
                <c:pt idx="5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E32-4B93-9D8E-F7E05A7B5288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biomasse'!$Z$5:$Z$33</c:f>
              <c:numCache>
                <c:formatCode>#,##0.0,,</c:formatCode>
                <c:ptCount val="21"/>
                <c:pt idx="3">
                  <c:v>44253.667473236274</c:v>
                </c:pt>
                <c:pt idx="4">
                  <c:v>44253.667473236274</c:v>
                </c:pt>
                <c:pt idx="5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5-4401-AD73-EE72E29B786B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biomasse'!$AA$5:$AA$33</c:f>
              <c:numCache>
                <c:formatCode>#,##0.0,,</c:formatCode>
                <c:ptCount val="21"/>
                <c:pt idx="0">
                  <c:v>2668834</c:v>
                </c:pt>
                <c:pt idx="1">
                  <c:v>2775329.8009308982</c:v>
                </c:pt>
                <c:pt idx="2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5-4401-AD73-EE72E29B786B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biomasse'!$AB$5:$AB$33</c:f>
              <c:numCache>
                <c:formatCode>#,##0.0,,</c:formatCode>
                <c:ptCount val="21"/>
                <c:pt idx="0">
                  <c:v>2914869.3333333335</c:v>
                </c:pt>
                <c:pt idx="1">
                  <c:v>9147340.4973796755</c:v>
                </c:pt>
                <c:pt idx="2">
                  <c:v>8757449.2808849197</c:v>
                </c:pt>
                <c:pt idx="15">
                  <c:v>14742130.666666664</c:v>
                </c:pt>
                <c:pt idx="16">
                  <c:v>8111792.5165442396</c:v>
                </c:pt>
                <c:pt idx="17">
                  <c:v>7766039.9283319106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5-4401-AD73-EE72E29B786B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biomasse'!$AC$5:$AC$33</c:f>
              <c:numCache>
                <c:formatCode>#,##0.0,,</c:formatCode>
                <c:ptCount val="21"/>
                <c:pt idx="6">
                  <c:v>218476.26548703379</c:v>
                </c:pt>
                <c:pt idx="7">
                  <c:v>227401.98389822827</c:v>
                </c:pt>
                <c:pt idx="8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05-4401-AD73-EE72E29B786B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biomasse'!$AD$5:$AD$33</c:f>
              <c:numCache>
                <c:formatCode>#,##0.0,,</c:formatCode>
                <c:ptCount val="21"/>
                <c:pt idx="9">
                  <c:v>209782.38739500003</c:v>
                </c:pt>
                <c:pt idx="10">
                  <c:v>216936.14364827855</c:v>
                </c:pt>
                <c:pt idx="11">
                  <c:v>210245.15308472581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05-4401-AD73-EE72E29B786B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biomasse'!$AE$5:$AE$33</c:f>
              <c:numCache>
                <c:formatCode>#,##0.0,,</c:formatCode>
                <c:ptCount val="21"/>
                <c:pt idx="9">
                  <c:v>3010238.4923246857</c:v>
                </c:pt>
                <c:pt idx="10">
                  <c:v>2848752.9835421797</c:v>
                </c:pt>
                <c:pt idx="11">
                  <c:v>2586246.4663030161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05-4401-AD73-EE72E29B786B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biomasse'!$AF$5:$AF$33</c:f>
              <c:numCache>
                <c:formatCode>#,##0.0,,</c:formatCode>
                <c:ptCount val="21"/>
                <c:pt idx="3">
                  <c:v>240377.87559326066</c:v>
                </c:pt>
                <c:pt idx="4">
                  <c:v>240377.87559326063</c:v>
                </c:pt>
                <c:pt idx="5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B-4F68-B969-9724CD1A1BA8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biomasse'!$AG$5:$AG$33</c:f>
              <c:numCache>
                <c:formatCode>#,##0.0,,</c:formatCode>
                <c:ptCount val="21"/>
                <c:pt idx="9">
                  <c:v>4341.810030581958</c:v>
                </c:pt>
                <c:pt idx="10">
                  <c:v>227903.51886082417</c:v>
                </c:pt>
                <c:pt idx="11">
                  <c:v>220225.00338656051</c:v>
                </c:pt>
                <c:pt idx="12">
                  <c:v>212748.69149851578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E-45FA-B5D4-8E02C7445BED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biomasse'!$AH$5:$AH$33</c:f>
              <c:numCache>
                <c:formatCode>#,##0.0,,</c:formatCode>
                <c:ptCount val="21"/>
                <c:pt idx="15">
                  <c:v>8803491.7355084848</c:v>
                </c:pt>
                <c:pt idx="16">
                  <c:v>20758258.546328586</c:v>
                </c:pt>
                <c:pt idx="17">
                  <c:v>20250396.100444585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E-45FA-B5D4-8E02C7445BED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biomasse'!$AI$5:$AI$33</c:f>
              <c:numCache>
                <c:formatCode>#,##0.0,,</c:formatCode>
                <c:ptCount val="21"/>
                <c:pt idx="15">
                  <c:v>1108490.5539925825</c:v>
                </c:pt>
                <c:pt idx="16">
                  <c:v>992426.54344299308</c:v>
                </c:pt>
                <c:pt idx="17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E-45FA-B5D4-8E02C7445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Millioner ton VV (for træ m3)</a:t>
                </a:r>
              </a:p>
            </c:rich>
          </c:tx>
          <c:layout>
            <c:manualLayout>
              <c:xMode val="edge"/>
              <c:yMode val="edge"/>
              <c:x val="4.4858331538355924E-2"/>
              <c:y val="7.163631436186951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[Bau.xlsx]Resultat-Import!Import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 af biomasse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62822715398556"/>
          <c:y val="6.848216683866043E-2"/>
          <c:w val="0.74114032971688137"/>
          <c:h val="0.465758916580669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A-4075-975B-39670C840D85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210965.35838487741</c:v>
                </c:pt>
                <c:pt idx="2">
                  <c:v>241953.74133540038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3A-4075-975B-39670C840D85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075-975B-39670C840D85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992426.54344299308</c:v>
                </c:pt>
                <c:pt idx="2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075-975B-39670C840D85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075-975B-39670C840D85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075-975B-39670C840D85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437443.77822737186</c:v>
                </c:pt>
                <c:pt idx="2">
                  <c:v>459349.41813660081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075-975B-39670C840D85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075-975B-39670C84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[Bau.xlsx]Resultat-Eksport!PivotTable3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 (overproduktion)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080317010217118"/>
          <c:y val="4.8191139993663694E-2"/>
          <c:w val="0.7281189426535114"/>
          <c:h val="0.2636205952979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8-400D-BF8D-21AF5E59CD25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226255.77627432195</c:v>
                </c:pt>
                <c:pt idx="2">
                  <c:v>215894.74074247692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8-400D-BF8D-21AF5E59CD25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2921356.2946739867</c:v>
                </c:pt>
                <c:pt idx="2">
                  <c:v>3060146.2519406481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8-400D-BF8D-21AF5E59CD25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8-400D-BF8D-21AF5E59CD25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8-400D-BF8D-21AF5E59CD25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1570157.2016349281</c:v>
                </c:pt>
                <c:pt idx="2">
                  <c:v>1522723.6559768345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58-400D-BF8D-21AF5E59CD25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4828921.2485613981</c:v>
                </c:pt>
                <c:pt idx="2">
                  <c:v>4438214.8515691292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58-400D-BF8D-21AF5E59CD25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58-400D-BF8D-21AF5E59CD25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2134206.5118205468</c:v>
                </c:pt>
                <c:pt idx="2">
                  <c:v>2041999.0273120813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58-400D-BF8D-21AF5E59CD25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2423533.1724211206</c:v>
                </c:pt>
                <c:pt idx="2">
                  <c:v>2125486.6888101231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58-400D-BF8D-21AF5E59CD25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58-400D-BF8D-21AF5E59CD25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1690869.0750561175</c:v>
                </c:pt>
                <c:pt idx="2">
                  <c:v>1488865.2333387681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58-400D-BF8D-21AF5E59CD25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558-400D-BF8D-21AF5E59CD25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58-400D-BF8D-21AF5E59CD25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558-400D-BF8D-21AF5E59CD25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558-400D-BF8D-21AF5E59CD25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1803779.2618535154</c:v>
                </c:pt>
                <c:pt idx="2">
                  <c:v>1730280.0978252576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558-400D-BF8D-21AF5E59CD25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558-400D-BF8D-21AF5E59CD25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58-400D-BF8D-21AF5E59CD25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558-400D-BF8D-21AF5E59CD25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558-400D-BF8D-21AF5E59CD25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558-400D-BF8D-21AF5E59CD25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1104885.5956518676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558-400D-BF8D-21AF5E59CD25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1098.0698359419412</c:v>
                </c:pt>
                <c:pt idx="2">
                  <c:v>1133.9765145533327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558-400D-BF8D-21AF5E59CD25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558-400D-BF8D-21AF5E59CD25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954977.96501922607</c:v>
                </c:pt>
                <c:pt idx="2">
                  <c:v>922616.4144434646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558-400D-BF8D-21AF5E59CD25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2101303.8465657956</c:v>
                </c:pt>
                <c:pt idx="2">
                  <c:v>2030965.6070747143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558-400D-BF8D-21AF5E59CD25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115721.37262677713</c:v>
                </c:pt>
                <c:pt idx="2">
                  <c:v>103723.69219824017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558-400D-BF8D-21AF5E59C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2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[Bau.xlsx]Arealanvendelse - 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3753241724072"/>
          <c:y val="3.866687871155608E-2"/>
          <c:w val="0.56773351170149933"/>
          <c:h val="0.754169152385363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9-4CA9-A0FA-39DEAF03F441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9-4CA9-A0FA-39DEAF03F441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2542469.9999999995</c:v>
                </c:pt>
                <c:pt idx="2">
                  <c:v>2504470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9-4CA9-A0FA-39DEAF03F441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487920</c:v>
                </c:pt>
                <c:pt idx="2">
                  <c:v>487920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9-4CA9-A0FA-39DEAF03F441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582800</c:v>
                </c:pt>
                <c:pt idx="2">
                  <c:v>620800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89-4CA9-A0FA-39DEAF03F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Arealanvendelse, 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73587429738195"/>
          <c:y val="0.25761925367595839"/>
          <c:w val="0.25738681102362204"/>
          <c:h val="0.50044773815037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[Bau.xlsx]CO2-pivot!PivotTable1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894262323288255E-2"/>
          <c:y val="3.5842241235597434E-2"/>
          <c:w val="0.57935743530167183"/>
          <c:h val="0.88181607498537695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7-4F79-958E-DED4D3A0C209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7-4F79-958E-DED4D3A0C209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9296833.4976137169</c:v>
                </c:pt>
                <c:pt idx="2">
                  <c:v>9211339.4377100542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7-4F79-958E-DED4D3A0C209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B7-4F79-958E-DED4D3A0C209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-427424.28054807242</c:v>
                </c:pt>
                <c:pt idx="2">
                  <c:v>-416519.2646097627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3-44B5-8349-8FA716253940}"/>
            </c:ext>
          </c:extLst>
        </c:ser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13678705.754892571</c:v>
                </c:pt>
                <c:pt idx="2">
                  <c:v>12682634.669579279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B7-4F79-958E-DED4D3A0C209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4-48F5-81B3-742DD944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2725344644750796E-2"/>
                <c:y val="0.19178906504152157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CO2e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[Bau.xlsx]Pivot chart - landbrug!PivotTable1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3.8366512484762964E-2"/>
          <c:w val="0.62291424819995034"/>
          <c:h val="0.688755180560832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75894.211512917434</c:v>
                </c:pt>
                <c:pt idx="2">
                  <c:v>74611.772091610444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6-4978-988F-EEA50195553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5061.7462007604217</c:v>
                </c:pt>
                <c:pt idx="2">
                  <c:v>4992.9413474389539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777-9F9A-F8EF4C3D28C7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282589.13188024791</c:v>
                </c:pt>
                <c:pt idx="2">
                  <c:v>278445.99362396839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82-4777-9F9A-F8EF4C3D28C7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12639.370816764706</c:v>
                </c:pt>
                <c:pt idx="2">
                  <c:v>12457.143108539938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82-4777-9F9A-F8EF4C3D28C7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18710.553661240276</c:v>
                </c:pt>
                <c:pt idx="2">
                  <c:v>18409.47067327406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82-4777-9F9A-F8EF4C3D28C7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54298.35247077707</c:v>
                </c:pt>
                <c:pt idx="2">
                  <c:v>53367.370861566276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82-4777-9F9A-F8EF4C3D28C7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1323109.1146040615</c:v>
                </c:pt>
                <c:pt idx="2">
                  <c:v>1303035.234021947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82-4777-9F9A-F8EF4C3D28C7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177819.27950831145</c:v>
                </c:pt>
                <c:pt idx="2">
                  <c:v>174714.53228951979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82-4777-9F9A-F8EF4C3D28C7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69104.195969111795</c:v>
                </c:pt>
                <c:pt idx="2">
                  <c:v>68021.901921824086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82-4777-9F9A-F8EF4C3D28C7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159802.81644068591</c:v>
                </c:pt>
                <c:pt idx="2">
                  <c:v>157421.73721827005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82-4777-9F9A-F8EF4C3D28C7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33795.467038967829</c:v>
                </c:pt>
                <c:pt idx="2">
                  <c:v>33512.483920016224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82-4777-9F9A-F8EF4C3D28C7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214938.45789911941</c:v>
                </c:pt>
                <c:pt idx="2">
                  <c:v>212209.58099609043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82-4777-9F9A-F8EF4C3D28C7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8385.8091715253049</c:v>
                </c:pt>
                <c:pt idx="2">
                  <c:v>8272.9113069354553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82-4777-9F9A-F8EF4C3D28C7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106321.49282550839</c:v>
                </c:pt>
                <c:pt idx="2">
                  <c:v>104996.92661899899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2-48BF-9797-C64F3AFCC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3.1803441627364426E-2"/>
              <c:y val="0.23350739052355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18035986470926"/>
          <c:y val="2.789550988015134E-2"/>
          <c:w val="0.17324210098683013"/>
          <c:h val="0.82485519051497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666836471793347"/>
          <c:y val="3.5189263012359001E-2"/>
          <c:w val="0.57376891431380739"/>
          <c:h val="0.851727492932278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'Landbrugsareal - resultat'!$W$2</c:f>
              <c:strCache>
                <c:ptCount val="1"/>
                <c:pt idx="0">
                  <c:v>Svin - konventionel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resultat'!$X$2:$Z$2</c:f>
              <c:numCache>
                <c:formatCode>0</c:formatCode>
                <c:ptCount val="3"/>
                <c:pt idx="0">
                  <c:v>11808068</c:v>
                </c:pt>
                <c:pt idx="1">
                  <c:v>11613981.348523566</c:v>
                </c:pt>
                <c:pt idx="2">
                  <c:v>11168804.040691316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8-4339-9D67-4F6A093C40DE}"/>
            </c:ext>
          </c:extLst>
        </c:ser>
        <c:ser>
          <c:idx val="1"/>
          <c:order val="1"/>
          <c:tx>
            <c:strRef>
              <c:f>'Landbrugsareal - resultat'!$W$3</c:f>
              <c:strCache>
                <c:ptCount val="1"/>
                <c:pt idx="0">
                  <c:v>Køer - konventionel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resultat'!$X$3:$Z$3</c:f>
              <c:numCache>
                <c:formatCode>0</c:formatCode>
                <c:ptCount val="3"/>
                <c:pt idx="0">
                  <c:v>1267084</c:v>
                </c:pt>
                <c:pt idx="1">
                  <c:v>1232959.2457426467</c:v>
                </c:pt>
                <c:pt idx="2">
                  <c:v>1172869.6474243198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8-4339-9D67-4F6A093C40DE}"/>
            </c:ext>
          </c:extLst>
        </c:ser>
        <c:ser>
          <c:idx val="2"/>
          <c:order val="2"/>
          <c:tx>
            <c:strRef>
              <c:f>'Landbrugsareal - resultat'!$W$4</c:f>
              <c:strCache>
                <c:ptCount val="1"/>
                <c:pt idx="0">
                  <c:v>Fjerkræ - konventionel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resultat'!$X$4:$Z$4</c:f>
              <c:numCache>
                <c:formatCode>0</c:formatCode>
                <c:ptCount val="3"/>
                <c:pt idx="0">
                  <c:v>19782594</c:v>
                </c:pt>
                <c:pt idx="1">
                  <c:v>19328402.782654595</c:v>
                </c:pt>
                <c:pt idx="2">
                  <c:v>18416921.146918636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8-4339-9D67-4F6A093C40DE}"/>
            </c:ext>
          </c:extLst>
        </c:ser>
        <c:ser>
          <c:idx val="3"/>
          <c:order val="3"/>
          <c:tx>
            <c:strRef>
              <c:f>'Landbrugsareal - resultat'!$W$5</c:f>
              <c:strCache>
                <c:ptCount val="1"/>
                <c:pt idx="0">
                  <c:v>Svin - økologisk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resultat'!$X$5:$Z$5</c:f>
              <c:numCache>
                <c:formatCode>0</c:formatCode>
                <c:ptCount val="3"/>
                <c:pt idx="0">
                  <c:v>490924</c:v>
                </c:pt>
                <c:pt idx="1">
                  <c:v>685010.65147643292</c:v>
                </c:pt>
                <c:pt idx="2">
                  <c:v>1130187.9593086836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8-4339-9D67-4F6A093C40DE}"/>
            </c:ext>
          </c:extLst>
        </c:ser>
        <c:ser>
          <c:idx val="4"/>
          <c:order val="4"/>
          <c:tx>
            <c:strRef>
              <c:f>'Landbrugsareal - resultat'!$W$6</c:f>
              <c:strCache>
                <c:ptCount val="1"/>
                <c:pt idx="0">
                  <c:v>Køer - økologisk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resultat'!$X$6:$Z$6</c:f>
              <c:numCache>
                <c:formatCode>0</c:formatCode>
                <c:ptCount val="3"/>
                <c:pt idx="0">
                  <c:v>224348</c:v>
                </c:pt>
                <c:pt idx="1">
                  <c:v>258472.75425735323</c:v>
                </c:pt>
                <c:pt idx="2">
                  <c:v>318562.35257568007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D8-4339-9D67-4F6A093C40DE}"/>
            </c:ext>
          </c:extLst>
        </c:ser>
        <c:ser>
          <c:idx val="5"/>
          <c:order val="5"/>
          <c:tx>
            <c:strRef>
              <c:f>'Landbrugsareal - resultat'!$W$7</c:f>
              <c:strCache>
                <c:ptCount val="1"/>
                <c:pt idx="0">
                  <c:v>Fjerkræ - økologisk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resultat'!$X$7:$Z$7</c:f>
              <c:numCache>
                <c:formatCode>0</c:formatCode>
                <c:ptCount val="3"/>
                <c:pt idx="0">
                  <c:v>3277287</c:v>
                </c:pt>
                <c:pt idx="1">
                  <c:v>3731478.2173454049</c:v>
                </c:pt>
                <c:pt idx="2">
                  <c:v>4642959.853081366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D8-4339-9D67-4F6A093C4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789343"/>
        <c:axId val="291789263"/>
      </c:barChart>
      <c:catAx>
        <c:axId val="89178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91789263"/>
        <c:crosses val="autoZero"/>
        <c:auto val="1"/>
        <c:lblAlgn val="ctr"/>
        <c:lblOffset val="100"/>
        <c:noMultiLvlLbl val="0"/>
      </c:catAx>
      <c:valAx>
        <c:axId val="2917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Gennemsnitligt antal levende dyr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89178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80579926010261"/>
          <c:y val="5.5163085657459601E-2"/>
          <c:w val="0.22464062114525613"/>
          <c:h val="0.82702699503034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[Bau.xlsx]Produktion afgrøder-pivot!PivotTable1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'Produktion afgrøder-pivot'!$B$1:$B$2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afgrøder-pivot'!$B$3:$B$12</c:f>
              <c:numCache>
                <c:formatCode>#,##0</c:formatCode>
                <c:ptCount val="6"/>
                <c:pt idx="0">
                  <c:v>258086.32953598633</c:v>
                </c:pt>
                <c:pt idx="1">
                  <c:v>27039.772448692573</c:v>
                </c:pt>
                <c:pt idx="2">
                  <c:v>270118.44306124689</c:v>
                </c:pt>
                <c:pt idx="3">
                  <c:v>28552.425442007137</c:v>
                </c:pt>
                <c:pt idx="4">
                  <c:v>260463.0327135307</c:v>
                </c:pt>
                <c:pt idx="5">
                  <c:v>27846.800257878294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6-400A-9F9A-9416FC3ADDC4}"/>
            </c:ext>
          </c:extLst>
        </c:ser>
        <c:ser>
          <c:idx val="1"/>
          <c:order val="1"/>
          <c:tx>
            <c:strRef>
              <c:f>'Produktion afgrøder-pivot'!$C$1:$C$2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afgrøder-pivot'!$C$3:$C$12</c:f>
              <c:numCache>
                <c:formatCode>#,##0</c:formatCode>
                <c:ptCount val="6"/>
                <c:pt idx="0">
                  <c:v>890042.58416558511</c:v>
                </c:pt>
                <c:pt idx="1">
                  <c:v>612515.4514426298</c:v>
                </c:pt>
                <c:pt idx="2">
                  <c:v>925155.87360935542</c:v>
                </c:pt>
                <c:pt idx="3">
                  <c:v>645001.32802557282</c:v>
                </c:pt>
                <c:pt idx="4">
                  <c:v>893493.81900150096</c:v>
                </c:pt>
                <c:pt idx="5">
                  <c:v>629229.83697533351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6-400A-9F9A-9416FC3ADDC4}"/>
            </c:ext>
          </c:extLst>
        </c:ser>
        <c:ser>
          <c:idx val="2"/>
          <c:order val="2"/>
          <c:tx>
            <c:strRef>
              <c:f>'Produktion afgrøder-pivot'!$D$1:$D$2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afgrøder-pivot'!$D$3:$D$12</c:f>
              <c:numCache>
                <c:formatCode>#,##0</c:formatCode>
                <c:ptCount val="6"/>
                <c:pt idx="0">
                  <c:v>25923.363510878662</c:v>
                </c:pt>
                <c:pt idx="1">
                  <c:v>15804.526381892863</c:v>
                </c:pt>
                <c:pt idx="2">
                  <c:v>27117.337735936886</c:v>
                </c:pt>
                <c:pt idx="3">
                  <c:v>16686.121067916127</c:v>
                </c:pt>
                <c:pt idx="4">
                  <c:v>26150.496751056631</c:v>
                </c:pt>
                <c:pt idx="5">
                  <c:v>16274.021455837808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6-400A-9F9A-9416FC3ADDC4}"/>
            </c:ext>
          </c:extLst>
        </c:ser>
        <c:ser>
          <c:idx val="3"/>
          <c:order val="3"/>
          <c:tx>
            <c:strRef>
              <c:f>'Produktion afgrøder-pivot'!$E$1:$E$2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afgrøder-pivot'!$E$3:$E$12</c:f>
              <c:numCache>
                <c:formatCode>#,##0</c:formatCode>
                <c:ptCount val="6"/>
                <c:pt idx="0">
                  <c:v>15863611.568544758</c:v>
                </c:pt>
                <c:pt idx="1">
                  <c:v>2079827.1270254222</c:v>
                </c:pt>
                <c:pt idx="2">
                  <c:v>16463363.602305863</c:v>
                </c:pt>
                <c:pt idx="3">
                  <c:v>2190992.6315255472</c:v>
                </c:pt>
                <c:pt idx="4">
                  <c:v>16099999.551723864</c:v>
                </c:pt>
                <c:pt idx="5">
                  <c:v>2163650.2851152783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6-400A-9F9A-9416FC3ADDC4}"/>
            </c:ext>
          </c:extLst>
        </c:ser>
        <c:ser>
          <c:idx val="4"/>
          <c:order val="4"/>
          <c:tx>
            <c:strRef>
              <c:f>'Produktion afgrøder-pivot'!$F$1:$F$2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afgrøder-pivot'!$F$3:$F$12</c:f>
              <c:numCache>
                <c:formatCode>#,##0</c:formatCode>
                <c:ptCount val="6"/>
                <c:pt idx="0">
                  <c:v>184529.62070571107</c:v>
                </c:pt>
                <c:pt idx="1">
                  <c:v>96079.800747233821</c:v>
                </c:pt>
                <c:pt idx="2">
                  <c:v>192243.07548074043</c:v>
                </c:pt>
                <c:pt idx="3">
                  <c:v>100834.72491971773</c:v>
                </c:pt>
                <c:pt idx="4">
                  <c:v>185255.23058853028</c:v>
                </c:pt>
                <c:pt idx="5">
                  <c:v>98333.203509519633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46-400A-9F9A-9416FC3ADDC4}"/>
            </c:ext>
          </c:extLst>
        </c:ser>
        <c:ser>
          <c:idx val="5"/>
          <c:order val="5"/>
          <c:tx>
            <c:strRef>
              <c:f>'Produktion afgrøder-pivot'!$G$1:$G$2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afgrøder-pivot'!$G$3:$G$12</c:f>
              <c:numCache>
                <c:formatCode>#,##0</c:formatCode>
                <c:ptCount val="6"/>
                <c:pt idx="0">
                  <c:v>765723.03528474667</c:v>
                </c:pt>
                <c:pt idx="1">
                  <c:v>145851.60720031991</c:v>
                </c:pt>
                <c:pt idx="2">
                  <c:v>800990.58717012103</c:v>
                </c:pt>
                <c:pt idx="3">
                  <c:v>153987.37784910508</c:v>
                </c:pt>
                <c:pt idx="4">
                  <c:v>772432.08575229661</c:v>
                </c:pt>
                <c:pt idx="5">
                  <c:v>150184.32869116802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46-400A-9F9A-9416FC3ADDC4}"/>
            </c:ext>
          </c:extLst>
        </c:ser>
        <c:ser>
          <c:idx val="6"/>
          <c:order val="6"/>
          <c:tx>
            <c:strRef>
              <c:f>'Produktion afgrøder-pivot'!$H$1:$H$2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afgrøder-pivot'!$H$3:$H$12</c:f>
              <c:numCache>
                <c:formatCode>#,##0</c:formatCode>
                <c:ptCount val="6"/>
                <c:pt idx="0">
                  <c:v>2145904.0489790672</c:v>
                </c:pt>
                <c:pt idx="1">
                  <c:v>116414.7916544996</c:v>
                </c:pt>
                <c:pt idx="2">
                  <c:v>2241845.3275075206</c:v>
                </c:pt>
                <c:pt idx="3">
                  <c:v>122853.28204903381</c:v>
                </c:pt>
                <c:pt idx="4">
                  <c:v>2162497.7416876755</c:v>
                </c:pt>
                <c:pt idx="5">
                  <c:v>119824.59197839584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46-400A-9F9A-9416FC3ADDC4}"/>
            </c:ext>
          </c:extLst>
        </c:ser>
        <c:ser>
          <c:idx val="7"/>
          <c:order val="7"/>
          <c:tx>
            <c:strRef>
              <c:f>'Produktion afgrøder-pivot'!$I$1:$I$2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afgrøder-pivot'!$I$3:$I$12</c:f>
              <c:numCache>
                <c:formatCode>#,##0</c:formatCode>
                <c:ptCount val="6"/>
                <c:pt idx="0">
                  <c:v>6833990.0005322779</c:v>
                </c:pt>
                <c:pt idx="1">
                  <c:v>2275797.9689121391</c:v>
                </c:pt>
                <c:pt idx="2">
                  <c:v>7171156.7599390233</c:v>
                </c:pt>
                <c:pt idx="3">
                  <c:v>2409167.1046716827</c:v>
                </c:pt>
                <c:pt idx="4">
                  <c:v>6945589.6789912721</c:v>
                </c:pt>
                <c:pt idx="5">
                  <c:v>2360239.3885877775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46-400A-9F9A-9416FC3ADDC4}"/>
            </c:ext>
          </c:extLst>
        </c:ser>
        <c:ser>
          <c:idx val="8"/>
          <c:order val="8"/>
          <c:tx>
            <c:strRef>
              <c:f>'Produktion afgrøder-pivot'!$J$1:$J$2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afgrøder-pivot'!$J$3:$J$12</c:f>
              <c:numCache>
                <c:formatCode>#,##0</c:formatCode>
                <c:ptCount val="6"/>
                <c:pt idx="0">
                  <c:v>7581538.5357748987</c:v>
                </c:pt>
                <c:pt idx="1">
                  <c:v>366156.75807184458</c:v>
                </c:pt>
                <c:pt idx="2">
                  <c:v>7983307.7524896674</c:v>
                </c:pt>
                <c:pt idx="3">
                  <c:v>388994.37014569982</c:v>
                </c:pt>
                <c:pt idx="4">
                  <c:v>7786550.4071108392</c:v>
                </c:pt>
                <c:pt idx="5">
                  <c:v>383747.87380717852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46-400A-9F9A-9416FC3ADDC4}"/>
            </c:ext>
          </c:extLst>
        </c:ser>
        <c:ser>
          <c:idx val="9"/>
          <c:order val="9"/>
          <c:tx>
            <c:strRef>
              <c:f>'Produktion afgrøder-pivot'!$K$1:$K$2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afgrøder-pivot'!$K$3:$K$12</c:f>
              <c:numCache>
                <c:formatCode>#,##0</c:formatCode>
                <c:ptCount val="6"/>
                <c:pt idx="0">
                  <c:v>1609044.2994914718</c:v>
                </c:pt>
                <c:pt idx="1">
                  <c:v>396057.87190930446</c:v>
                </c:pt>
                <c:pt idx="2">
                  <c:v>1683153.4103621913</c:v>
                </c:pt>
                <c:pt idx="3">
                  <c:v>418150.43620360433</c:v>
                </c:pt>
                <c:pt idx="4">
                  <c:v>1623142.2943438755</c:v>
                </c:pt>
                <c:pt idx="5">
                  <c:v>407823.31273083866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46-400A-9F9A-9416FC3ADDC4}"/>
            </c:ext>
          </c:extLst>
        </c:ser>
        <c:ser>
          <c:idx val="10"/>
          <c:order val="10"/>
          <c:tx>
            <c:strRef>
              <c:f>'Produktion afgrøder-pivot'!$L$1:$L$2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afgrøder-pivot'!$L$3:$L$12</c:f>
              <c:numCache>
                <c:formatCode>#,##0</c:formatCode>
                <c:ptCount val="6"/>
                <c:pt idx="0">
                  <c:v>172205.06744997756</c:v>
                </c:pt>
                <c:pt idx="1">
                  <c:v>37577.319945022478</c:v>
                </c:pt>
                <c:pt idx="2">
                  <c:v>177516.46640303911</c:v>
                </c:pt>
                <c:pt idx="3">
                  <c:v>39419.677245239443</c:v>
                </c:pt>
                <c:pt idx="4">
                  <c:v>171775.11908496951</c:v>
                </c:pt>
                <c:pt idx="5">
                  <c:v>38470.033999756291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46-400A-9F9A-9416FC3ADDC4}"/>
            </c:ext>
          </c:extLst>
        </c:ser>
        <c:ser>
          <c:idx val="11"/>
          <c:order val="11"/>
          <c:tx>
            <c:strRef>
              <c:f>'Produktion afgrøder-pivot'!$M$1:$M$2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afgrøder-pivot'!$M$3:$M$12</c:f>
              <c:numCache>
                <c:formatCode>#,##0</c:formatCode>
                <c:ptCount val="6"/>
                <c:pt idx="0">
                  <c:v>484833.6848947219</c:v>
                </c:pt>
                <c:pt idx="1">
                  <c:v>193574.13238370849</c:v>
                </c:pt>
                <c:pt idx="2">
                  <c:v>507790.70515370794</c:v>
                </c:pt>
                <c:pt idx="3">
                  <c:v>204407.79128636757</c:v>
                </c:pt>
                <c:pt idx="4">
                  <c:v>489039.95714195294</c:v>
                </c:pt>
                <c:pt idx="5">
                  <c:v>199163.17844104863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046-400A-9F9A-9416FC3ADDC4}"/>
            </c:ext>
          </c:extLst>
        </c:ser>
        <c:ser>
          <c:idx val="12"/>
          <c:order val="12"/>
          <c:tx>
            <c:strRef>
              <c:f>'Produktion afgrøder-pivot'!$N$1:$N$2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afgrøder-pivot'!$N$3:$N$12</c:f>
              <c:numCache>
                <c:formatCode>#,##0</c:formatCode>
                <c:ptCount val="6"/>
                <c:pt idx="0">
                  <c:v>376449.39511597221</c:v>
                </c:pt>
                <c:pt idx="1">
                  <c:v>2252973.7408705982</c:v>
                </c:pt>
                <c:pt idx="2">
                  <c:v>395099.15710561507</c:v>
                </c:pt>
                <c:pt idx="3">
                  <c:v>2381738.5992335565</c:v>
                </c:pt>
                <c:pt idx="4">
                  <c:v>380710.74225422333</c:v>
                </c:pt>
                <c:pt idx="5">
                  <c:v>2322627.8500566902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46-400A-9F9A-9416FC3A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099200"/>
        <c:axId val="1856104608"/>
      </c:barChart>
      <c:catAx>
        <c:axId val="18560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auto val="1"/>
        <c:lblAlgn val="ctr"/>
        <c:lblOffset val="100"/>
        <c:noMultiLvlLbl val="0"/>
      </c:catAx>
      <c:valAx>
        <c:axId val="185610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Produktion, millioner ton vådvægt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9920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119081230384053"/>
          <c:y val="0.13865776501359975"/>
          <c:w val="0.13742614842467402"/>
          <c:h val="0.81487669486430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 skovbrug!PivotTable3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skovbrug'!$B$4:$B$5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skovbrug'!$B$6:$B$9</c:f>
              <c:numCache>
                <c:formatCode>_(* #,##0_);_(* \(#,##0\);_(* "-"??_);_(@_)</c:formatCode>
                <c:ptCount val="3"/>
                <c:pt idx="0">
                  <c:v>3010238.4923246857</c:v>
                </c:pt>
                <c:pt idx="1">
                  <c:v>2848752.9835421797</c:v>
                </c:pt>
                <c:pt idx="2">
                  <c:v>2586246.4663030161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1-4180-AD66-6B70BD4B4FFB}"/>
            </c:ext>
          </c:extLst>
        </c:ser>
        <c:ser>
          <c:idx val="1"/>
          <c:order val="1"/>
          <c:tx>
            <c:strRef>
              <c:f>'Produkt skovbrug'!$C$4:$C$5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skovbrug'!$C$6:$C$9</c:f>
              <c:numCache>
                <c:formatCode>_(* #,##0_);_(* \(#,##0\);_(* "-"??_);_(@_)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1-4180-AD66-6B70BD4B4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104608"/>
        <c:axId val="1856087136"/>
      </c:barChart>
      <c:catAx>
        <c:axId val="18561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87136"/>
        <c:crosses val="autoZero"/>
        <c:auto val="1"/>
        <c:lblAlgn val="ctr"/>
        <c:lblOffset val="100"/>
        <c:noMultiLvlLbl val="0"/>
      </c:catAx>
      <c:valAx>
        <c:axId val="18560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m3/år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Skovbrug!$A$48</c:f>
              <c:strCache>
                <c:ptCount val="1"/>
                <c:pt idx="0">
                  <c:v>Basisskov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Skovbrug!$B$48:$G$48</c:f>
              <c:numCache>
                <c:formatCode>General</c:formatCode>
                <c:ptCount val="6"/>
                <c:pt idx="0">
                  <c:v>434670</c:v>
                </c:pt>
                <c:pt idx="1">
                  <c:v>411351.94520750927</c:v>
                </c:pt>
                <c:pt idx="2">
                  <c:v>372113.28071606322</c:v>
                </c:pt>
                <c:pt idx="3">
                  <c:v>127230</c:v>
                </c:pt>
                <c:pt idx="4">
                  <c:v>120404.69318966437</c:v>
                </c:pt>
                <c:pt idx="5">
                  <c:v>108919.34733362029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0-476F-847A-93E15E510130}"/>
            </c:ext>
          </c:extLst>
        </c:ser>
        <c:ser>
          <c:idx val="1"/>
          <c:order val="1"/>
          <c:tx>
            <c:strRef>
              <c:f>Skovbrug!$A$49</c:f>
              <c:strCache>
                <c:ptCount val="1"/>
                <c:pt idx="0">
                  <c:v>Skovtype1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Skovbrug!$B$49:$G$49</c:f>
              <c:numCache>
                <c:formatCode>General</c:formatCode>
                <c:ptCount val="6"/>
                <c:pt idx="0">
                  <c:v>0</c:v>
                </c:pt>
                <c:pt idx="1">
                  <c:v>42184.627494662134</c:v>
                </c:pt>
                <c:pt idx="2">
                  <c:v>115726.15144460165</c:v>
                </c:pt>
                <c:pt idx="3">
                  <c:v>0</c:v>
                </c:pt>
                <c:pt idx="4">
                  <c:v>8858.7341081642226</c:v>
                </c:pt>
                <c:pt idx="5">
                  <c:v>24041.220505714809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0-476F-847A-93E15E510130}"/>
            </c:ext>
          </c:extLst>
        </c:ser>
        <c:ser>
          <c:idx val="2"/>
          <c:order val="2"/>
          <c:tx>
            <c:strRef>
              <c:f>Skovbrug!$A$50</c:f>
              <c:strCache>
                <c:ptCount val="1"/>
                <c:pt idx="0">
                  <c:v>Skovtype2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Skovbrug!$B$50:$G$50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0-476F-847A-93E15E510130}"/>
            </c:ext>
          </c:extLst>
        </c:ser>
        <c:ser>
          <c:idx val="3"/>
          <c:order val="3"/>
          <c:tx>
            <c:strRef>
              <c:f>Skovbrug!$A$51</c:f>
              <c:strCache>
                <c:ptCount val="1"/>
                <c:pt idx="0">
                  <c:v>Skovtype3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Skovbrug!$B$51:$G$51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0-476F-847A-93E15E510130}"/>
            </c:ext>
          </c:extLst>
        </c:ser>
        <c:ser>
          <c:idx val="4"/>
          <c:order val="4"/>
          <c:tx>
            <c:strRef>
              <c:f>Skovbrug!$A$52</c:f>
              <c:strCache>
                <c:ptCount val="1"/>
                <c:pt idx="0">
                  <c:v>Skovtype4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Skovbrug!$B$52:$G$52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D0-476F-847A-93E15E510130}"/>
            </c:ext>
          </c:extLst>
        </c:ser>
        <c:ser>
          <c:idx val="5"/>
          <c:order val="5"/>
          <c:tx>
            <c:strRef>
              <c:f>Skovbrug!$A$53</c:f>
              <c:strCache>
                <c:ptCount val="1"/>
                <c:pt idx="0">
                  <c:v>Skovtype5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Skovbrug!$B$53:$G$53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D0-476F-847A-93E15E510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92464"/>
        <c:axId val="154190384"/>
      </c:barChart>
      <c:catAx>
        <c:axId val="15419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0384"/>
        <c:crosses val="autoZero"/>
        <c:auto val="1"/>
        <c:lblAlgn val="ctr"/>
        <c:lblOffset val="100"/>
        <c:noMultiLvlLbl val="0"/>
      </c:catAx>
      <c:valAx>
        <c:axId val="1541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Hektar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 havbrug!PivotTable3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havbrug'!$B$4:$B$5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havbrug'!$B$6:$B$9</c:f>
              <c:numCache>
                <c:formatCode>_(* #,##0_);_(* \(#,##0\);_(* "-"??_);_(@_)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6-4011-865C-D54B0E6763E9}"/>
            </c:ext>
          </c:extLst>
        </c:ser>
        <c:ser>
          <c:idx val="1"/>
          <c:order val="1"/>
          <c:tx>
            <c:strRef>
              <c:f>'Produkt havbrug'!$C$4:$C$5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havbrug'!$C$6:$C$9</c:f>
              <c:numCache>
                <c:formatCode>_(* #,##0_);_(* \(#,##0\);_(* "-"??_);_(@_)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6-4011-865C-D54B0E676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Havbrug!$A$12</c:f>
              <c:strCache>
                <c:ptCount val="1"/>
                <c:pt idx="0">
                  <c:v>Musling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Havbrug!$B$12:$G$12</c:f>
              <c:numCache>
                <c:formatCode>General</c:formatCode>
                <c:ptCount val="6"/>
                <c:pt idx="0">
                  <c:v>440.29999999999995</c:v>
                </c:pt>
                <c:pt idx="1">
                  <c:v>72634.700000000026</c:v>
                </c:pt>
                <c:pt idx="2">
                  <c:v>97569.000000000029</c:v>
                </c:pt>
                <c:pt idx="3">
                  <c:v>0.6</c:v>
                </c:pt>
                <c:pt idx="4">
                  <c:v>1624.8</c:v>
                </c:pt>
                <c:pt idx="5">
                  <c:v>24372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A77-8247-D79ADB2EEBF5}"/>
            </c:ext>
          </c:extLst>
        </c:ser>
        <c:ser>
          <c:idx val="1"/>
          <c:order val="1"/>
          <c:tx>
            <c:strRef>
              <c:f>Havbrug!$A$13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Havbrug!$B$13:$G$13</c:f>
              <c:numCache>
                <c:formatCode>General</c:formatCode>
                <c:ptCount val="6"/>
                <c:pt idx="0">
                  <c:v>17</c:v>
                </c:pt>
                <c:pt idx="1">
                  <c:v>480</c:v>
                </c:pt>
                <c:pt idx="2">
                  <c:v>600</c:v>
                </c:pt>
                <c:pt idx="3">
                  <c:v>0</c:v>
                </c:pt>
                <c:pt idx="4">
                  <c:v>160</c:v>
                </c:pt>
                <c:pt idx="5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A77-8247-D79ADB2E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356352"/>
        <c:axId val="1834353024"/>
      </c:barChart>
      <c:catAx>
        <c:axId val="18343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3024"/>
        <c:crosses val="autoZero"/>
        <c:auto val="1"/>
        <c:lblAlgn val="ctr"/>
        <c:lblOffset val="100"/>
        <c:noMultiLvlLbl val="0"/>
      </c:catAx>
      <c:valAx>
        <c:axId val="18343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Danskernes diæt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Adfærd!$B$16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Adfærd!$A$17:$A$30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Adfærd!$B$17:$B$30</c:f>
              <c:numCache>
                <c:formatCode>General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 formatCode="0">
                  <c:v>89.78</c:v>
                </c:pt>
                <c:pt idx="4" formatCode="0">
                  <c:v>44.22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2-45FC-A29B-55FCEFC29984}"/>
            </c:ext>
          </c:extLst>
        </c:ser>
        <c:ser>
          <c:idx val="1"/>
          <c:order val="1"/>
          <c:tx>
            <c:strRef>
              <c:f>Adfærd!$C$16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Adfærd!$A$17:$A$30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Adfærd!$C$17:$C$30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89.78</c:v>
                </c:pt>
                <c:pt idx="4">
                  <c:v>44.22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12-45FC-A29B-55FCEFC29984}"/>
            </c:ext>
          </c:extLst>
        </c:ser>
        <c:ser>
          <c:idx val="2"/>
          <c:order val="2"/>
          <c:tx>
            <c:strRef>
              <c:f>Adfærd!$D$16</c:f>
              <c:strCache>
                <c:ptCount val="1"/>
                <c:pt idx="0">
                  <c:v>2050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Adfærd!$A$17:$A$30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Adfærd!$D$17:$D$30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89.78</c:v>
                </c:pt>
                <c:pt idx="4">
                  <c:v>44.22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12-45FC-A29B-55FCEFC29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2269871"/>
        <c:axId val="1932271951"/>
      </c:barChart>
      <c:catAx>
        <c:axId val="193226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71951"/>
        <c:crosses val="autoZero"/>
        <c:auto val="1"/>
        <c:lblAlgn val="ctr"/>
        <c:lblOffset val="100"/>
        <c:noMultiLvlLbl val="0"/>
      </c:catAx>
      <c:valAx>
        <c:axId val="193227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Adfærd!$A$16</c:f>
              <c:strCache>
                <c:ptCount val="1"/>
                <c:pt idx="0">
                  <c:v>g/indb/dag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6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Adfærd!$F$4</c:f>
          <c:strCache>
            <c:ptCount val="1"/>
            <c:pt idx="0">
              <c:v>Produktion minus forbrug, ton per år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Adfærd!$H$4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Adfærd!$F$5:$F$7</c:f>
              <c:strCache>
                <c:ptCount val="3"/>
                <c:pt idx="0">
                  <c:v>Planteprotein*</c:v>
                </c:pt>
                <c:pt idx="1">
                  <c:v>Muslinger</c:v>
                </c:pt>
                <c:pt idx="2">
                  <c:v>Tang</c:v>
                </c:pt>
              </c:strCache>
            </c:strRef>
          </c:cat>
          <c:val>
            <c:numRef>
              <c:f>Adfærd!$H$5:$H$7</c:f>
              <c:numCache>
                <c:formatCode>0</c:formatCode>
                <c:ptCount val="3"/>
                <c:pt idx="0">
                  <c:v>212711.00975574681</c:v>
                </c:pt>
                <c:pt idx="1">
                  <c:v>880.09999999999991</c:v>
                </c:pt>
                <c:pt idx="2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B-4357-87AA-EC7C8026FF39}"/>
            </c:ext>
          </c:extLst>
        </c:ser>
        <c:ser>
          <c:idx val="1"/>
          <c:order val="1"/>
          <c:tx>
            <c:strRef>
              <c:f>Adfærd!$I$4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Adfærd!$F$5:$F$7</c:f>
              <c:strCache>
                <c:ptCount val="3"/>
                <c:pt idx="0">
                  <c:v>Planteprotein*</c:v>
                </c:pt>
                <c:pt idx="1">
                  <c:v>Muslinger</c:v>
                </c:pt>
                <c:pt idx="2">
                  <c:v>Tang</c:v>
                </c:pt>
              </c:strCache>
            </c:strRef>
          </c:cat>
          <c:val>
            <c:numRef>
              <c:f>Adfærd!$I$5:$I$7</c:f>
              <c:numCache>
                <c:formatCode>0</c:formatCode>
                <c:ptCount val="3"/>
                <c:pt idx="0">
                  <c:v>226255.77627432195</c:v>
                </c:pt>
                <c:pt idx="1">
                  <c:v>148232.6739623498</c:v>
                </c:pt>
                <c:pt idx="2">
                  <c:v>14400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2B-4357-87AA-EC7C8026FF39}"/>
            </c:ext>
          </c:extLst>
        </c:ser>
        <c:ser>
          <c:idx val="2"/>
          <c:order val="2"/>
          <c:tx>
            <c:strRef>
              <c:f>Adfærd!$J$4</c:f>
              <c:strCache>
                <c:ptCount val="1"/>
                <c:pt idx="0">
                  <c:v>2050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Adfærd!$F$5:$F$7</c:f>
              <c:strCache>
                <c:ptCount val="3"/>
                <c:pt idx="0">
                  <c:v>Planteprotein*</c:v>
                </c:pt>
                <c:pt idx="1">
                  <c:v>Muslinger</c:v>
                </c:pt>
                <c:pt idx="2">
                  <c:v>Tang</c:v>
                </c:pt>
              </c:strCache>
            </c:strRef>
          </c:cat>
          <c:val>
            <c:numRef>
              <c:f>Adfærd!$J$5:$J$7</c:f>
              <c:numCache>
                <c:formatCode>0</c:formatCode>
                <c:ptCount val="3"/>
                <c:pt idx="0">
                  <c:v>215894.74074247692</c:v>
                </c:pt>
                <c:pt idx="1">
                  <c:v>243411.82603765032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2B-4357-87AA-EC7C8026F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412544"/>
        <c:axId val="163417952"/>
      </c:barChart>
      <c:catAx>
        <c:axId val="16341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63417952"/>
        <c:crosses val="autoZero"/>
        <c:auto val="1"/>
        <c:lblAlgn val="ctr"/>
        <c:lblOffset val="100"/>
        <c:noMultiLvlLbl val="0"/>
      </c:catAx>
      <c:valAx>
        <c:axId val="1634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6341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[Bau.xlsx]Resultat-Forbrug af biomasse!PivotTable1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8.9448286869546714E-2"/>
          <c:w val="0.7003341443633414"/>
          <c:h val="0.72767556927005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biomasse'!$B$5:$B$33</c:f>
              <c:numCache>
                <c:formatCode>#,##0.0,,</c:formatCode>
                <c:ptCount val="21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8-4110-AE96-14C7EDAF3862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biomasse'!$C$5:$C$33</c:f>
              <c:numCache>
                <c:formatCode>#,##0.0,,</c:formatCode>
                <c:ptCount val="21"/>
                <c:pt idx="3">
                  <c:v>72415.092228932088</c:v>
                </c:pt>
                <c:pt idx="4">
                  <c:v>72415.092228932073</c:v>
                </c:pt>
                <c:pt idx="5">
                  <c:v>72415.092228932073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568-4FC1-BC73-F1280D03E9F1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biomasse'!$D$5:$D$33</c:f>
              <c:numCache>
                <c:formatCode>#,##0.0,,</c:formatCode>
                <c:ptCount val="21"/>
                <c:pt idx="0">
                  <c:v>729134</c:v>
                </c:pt>
                <c:pt idx="1">
                  <c:v>363995</c:v>
                </c:pt>
                <c:pt idx="2">
                  <c:v>369777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568-4FC1-BC73-F1280D03E9F1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biomasse'!$E$5:$E$33</c:f>
              <c:numCache>
                <c:formatCode>#,##0.0,,</c:formatCode>
                <c:ptCount val="21"/>
                <c:pt idx="0">
                  <c:v>757087.00000000012</c:v>
                </c:pt>
                <c:pt idx="1">
                  <c:v>1505490.464025514</c:v>
                </c:pt>
                <c:pt idx="2">
                  <c:v>1577517.9173522878</c:v>
                </c:pt>
                <c:pt idx="15">
                  <c:v>823764.99285714305</c:v>
                </c:pt>
                <c:pt idx="16">
                  <c:v>569935.67566680163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568-4FC1-BC73-F1280D03E9F1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biomasse'!$F$5:$F$33</c:f>
              <c:numCache>
                <c:formatCode>#,##0.0,,</c:formatCode>
                <c:ptCount val="21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568-4FC1-BC73-F1280D03E9F1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biomasse'!$G$5:$G$33</c:f>
              <c:numCache>
                <c:formatCode>#,##0.0,,</c:formatCode>
                <c:ptCount val="21"/>
                <c:pt idx="0">
                  <c:v>4441.5</c:v>
                </c:pt>
                <c:pt idx="1">
                  <c:v>4521.4640303491688</c:v>
                </c:pt>
                <c:pt idx="2">
                  <c:v>4669.3150599254868</c:v>
                </c:pt>
                <c:pt idx="15">
                  <c:v>3362.8500000000004</c:v>
                </c:pt>
                <c:pt idx="16">
                  <c:v>3423.3941944072276</c:v>
                </c:pt>
                <c:pt idx="17">
                  <c:v>3535.3385453721544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568-4FC1-BC73-F1280D03E9F1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biomasse'!$H$5:$H$33</c:f>
              <c:numCache>
                <c:formatCode>#,##0.0,,</c:formatCode>
                <c:ptCount val="21"/>
                <c:pt idx="6">
                  <c:v>63270.025647837821</c:v>
                </c:pt>
                <c:pt idx="7">
                  <c:v>65854.885067430776</c:v>
                </c:pt>
                <c:pt idx="8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568-4FC1-BC73-F1280D03E9F1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biomasse'!$I$5:$I$33</c:f>
              <c:numCache>
                <c:formatCode>#,##0.0,,</c:formatCode>
                <c:ptCount val="21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8-472E-BFCA-3B842242399E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biomasse'!$J$5:$J$33</c:f>
              <c:numCache>
                <c:formatCode>#,##0.0,,</c:formatCode>
                <c:ptCount val="21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8-472E-BFCA-3B842242399E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biomasse'!$K$5:$K$33</c:f>
              <c:numCache>
                <c:formatCode>#,##0.0,,</c:formatCode>
                <c:ptCount val="21"/>
                <c:pt idx="0">
                  <c:v>85676.999999999985</c:v>
                </c:pt>
                <c:pt idx="1">
                  <c:v>85677.000000000029</c:v>
                </c:pt>
                <c:pt idx="2">
                  <c:v>85677</c:v>
                </c:pt>
                <c:pt idx="3">
                  <c:v>13739757.985270014</c:v>
                </c:pt>
                <c:pt idx="4">
                  <c:v>13739757.985270012</c:v>
                </c:pt>
                <c:pt idx="5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8-472E-BFCA-3B842242399E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biomasse'!$L$5:$L$33</c:f>
              <c:numCache>
                <c:formatCode>#,##0.0,,</c:formatCode>
                <c:ptCount val="21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C8-472E-BFCA-3B842242399E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biomasse'!$M$5:$M$33</c:f>
              <c:numCache>
                <c:formatCode>#,##0.0,,</c:formatCode>
                <c:ptCount val="21"/>
                <c:pt idx="0">
                  <c:v>75934</c:v>
                </c:pt>
                <c:pt idx="1">
                  <c:v>75933.999999999985</c:v>
                </c:pt>
                <c:pt idx="2">
                  <c:v>75934</c:v>
                </c:pt>
                <c:pt idx="3">
                  <c:v>867975.34157733875</c:v>
                </c:pt>
                <c:pt idx="4">
                  <c:v>867975.34157733864</c:v>
                </c:pt>
                <c:pt idx="5">
                  <c:v>867975.34157733864</c:v>
                </c:pt>
                <c:pt idx="9">
                  <c:v>1893765.2125355615</c:v>
                </c:pt>
                <c:pt idx="10">
                  <c:v>1802534.1213624873</c:v>
                </c:pt>
                <c:pt idx="11">
                  <c:v>1700816.4269679631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C8-472E-BFCA-3B842242399E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biomasse'!$N$5:$N$33</c:f>
              <c:numCache>
                <c:formatCode>#,##0.0,,</c:formatCode>
                <c:ptCount val="21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9">
                  <c:v>982731</c:v>
                </c:pt>
                <c:pt idx="10">
                  <c:v>982731</c:v>
                </c:pt>
                <c:pt idx="11">
                  <c:v>982731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C8-472E-BFCA-3B842242399E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biomasse'!$O$5:$O$33</c:f>
              <c:numCache>
                <c:formatCode>#,##0.0,,</c:formatCode>
                <c:ptCount val="21"/>
                <c:pt idx="3">
                  <c:v>5421074.2654714445</c:v>
                </c:pt>
                <c:pt idx="4">
                  <c:v>5421074.2654714435</c:v>
                </c:pt>
                <c:pt idx="5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C8-472E-BFCA-3B842242399E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biomasse'!$P$5:$P$33</c:f>
              <c:numCache>
                <c:formatCode>#,##0.0,,</c:formatCode>
                <c:ptCount val="21"/>
                <c:pt idx="0">
                  <c:v>995654</c:v>
                </c:pt>
                <c:pt idx="1">
                  <c:v>725967.99999999977</c:v>
                </c:pt>
                <c:pt idx="2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1-420B-AAE9-2AC9740436EF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biomasse'!$Q$5:$Q$33</c:f>
              <c:numCache>
                <c:formatCode>#,##0.0,,</c:formatCode>
                <c:ptCount val="2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1-420B-AAE9-2AC9740436EF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biomasse'!$R$5:$R$33</c:f>
              <c:numCache>
                <c:formatCode>#,##0.0,,</c:formatCode>
                <c:ptCount val="21"/>
                <c:pt idx="0">
                  <c:v>3785.9999999999991</c:v>
                </c:pt>
                <c:pt idx="1">
                  <c:v>3786.0000000000009</c:v>
                </c:pt>
                <c:pt idx="2">
                  <c:v>3786</c:v>
                </c:pt>
                <c:pt idx="3">
                  <c:v>6600836.8097011279</c:v>
                </c:pt>
                <c:pt idx="4">
                  <c:v>6600836.809701127</c:v>
                </c:pt>
                <c:pt idx="5">
                  <c:v>6600836.809701127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1-420B-AAE9-2AC9740436EF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biomasse'!$S$5:$S$33</c:f>
              <c:numCache>
                <c:formatCode>#,##0.0,,</c:formatCode>
                <c:ptCount val="21"/>
                <c:pt idx="0">
                  <c:v>4353509.666666667</c:v>
                </c:pt>
                <c:pt idx="1">
                  <c:v>10568777.271841513</c:v>
                </c:pt>
                <c:pt idx="2">
                  <c:v>10366827.811054559</c:v>
                </c:pt>
                <c:pt idx="15">
                  <c:v>6423924.8458333323</c:v>
                </c:pt>
                <c:pt idx="16">
                  <c:v>2211099.4555563163</c:v>
                </c:pt>
                <c:pt idx="17">
                  <c:v>2168849.5025758878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1-420B-AAE9-2AC9740436EF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biomasse'!$T$5:$T$33</c:f>
              <c:numCache>
                <c:formatCode>#,##0.0,,</c:formatCode>
                <c:ptCount val="21"/>
                <c:pt idx="3">
                  <c:v>1701754.6673799041</c:v>
                </c:pt>
                <c:pt idx="4">
                  <c:v>1701754.6673799036</c:v>
                </c:pt>
                <c:pt idx="5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01-420B-AAE9-2AC9740436EF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biomasse'!$U$5:$U$33</c:f>
              <c:numCache>
                <c:formatCode>#,##0.0,,</c:formatCode>
                <c:ptCount val="21"/>
                <c:pt idx="0">
                  <c:v>330026</c:v>
                </c:pt>
                <c:pt idx="1">
                  <c:v>330026</c:v>
                </c:pt>
                <c:pt idx="2">
                  <c:v>330026</c:v>
                </c:pt>
                <c:pt idx="3">
                  <c:v>6351407.0475792512</c:v>
                </c:pt>
                <c:pt idx="4">
                  <c:v>6351407.0475792503</c:v>
                </c:pt>
                <c:pt idx="5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01-420B-AAE9-2AC9740436EF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biomasse'!$V$5:$V$33</c:f>
              <c:numCache>
                <c:formatCode>#,##0.0,,</c:formatCode>
                <c:ptCount val="21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01-420B-AAE9-2AC9740436EF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biomasse'!$W$5:$W$33</c:f>
              <c:numCache>
                <c:formatCode>#,##0.0,,</c:formatCode>
                <c:ptCount val="21"/>
                <c:pt idx="6">
                  <c:v>107607.71285182264</c:v>
                </c:pt>
                <c:pt idx="7">
                  <c:v>112003.96221853035</c:v>
                </c:pt>
                <c:pt idx="8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01-420B-AAE9-2AC9740436EF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biomasse'!$X$5:$X$33</c:f>
              <c:numCache>
                <c:formatCode>#,##0.0,,</c:formatCode>
                <c:ptCount val="21"/>
                <c:pt idx="18">
                  <c:v>678407.81727843033</c:v>
                </c:pt>
                <c:pt idx="19">
                  <c:v>712198.49644007557</c:v>
                </c:pt>
                <c:pt idx="20">
                  <c:v>688203.13558300154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01-420B-AAE9-2AC9740436EF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biomasse'!$Y$5:$Y$33</c:f>
              <c:numCache>
                <c:formatCode>#,##0.0,,</c:formatCode>
                <c:ptCount val="21"/>
                <c:pt idx="0">
                  <c:v>28645.000000000004</c:v>
                </c:pt>
                <c:pt idx="1">
                  <c:v>28644.999999999996</c:v>
                </c:pt>
                <c:pt idx="2">
                  <c:v>28644.999999999996</c:v>
                </c:pt>
                <c:pt idx="3">
                  <c:v>944413.49448565592</c:v>
                </c:pt>
                <c:pt idx="4">
                  <c:v>944413.49448565592</c:v>
                </c:pt>
                <c:pt idx="5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01-420B-AAE9-2AC9740436EF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biomasse'!$Z$5:$Z$33</c:f>
              <c:numCache>
                <c:formatCode>#,##0.0,,</c:formatCode>
                <c:ptCount val="21"/>
                <c:pt idx="3">
                  <c:v>44253.667473236274</c:v>
                </c:pt>
                <c:pt idx="4">
                  <c:v>44253.667473236274</c:v>
                </c:pt>
                <c:pt idx="5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B-4929-B475-494F5C87E790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biomasse'!$AA$5:$AA$33</c:f>
              <c:numCache>
                <c:formatCode>#,##0.0,,</c:formatCode>
                <c:ptCount val="21"/>
                <c:pt idx="0">
                  <c:v>2668834</c:v>
                </c:pt>
                <c:pt idx="1">
                  <c:v>2775329.8009308982</c:v>
                </c:pt>
                <c:pt idx="2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B-4929-B475-494F5C87E790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biomasse'!$AB$5:$AB$33</c:f>
              <c:numCache>
                <c:formatCode>#,##0.0,,</c:formatCode>
                <c:ptCount val="21"/>
                <c:pt idx="0">
                  <c:v>2914869.3333333335</c:v>
                </c:pt>
                <c:pt idx="1">
                  <c:v>9147340.4973796755</c:v>
                </c:pt>
                <c:pt idx="2">
                  <c:v>8757449.2808849197</c:v>
                </c:pt>
                <c:pt idx="15">
                  <c:v>14742130.666666664</c:v>
                </c:pt>
                <c:pt idx="16">
                  <c:v>8111792.5165442396</c:v>
                </c:pt>
                <c:pt idx="17">
                  <c:v>7766039.9283319106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B-4929-B475-494F5C87E790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biomasse'!$AC$5:$AC$33</c:f>
              <c:numCache>
                <c:formatCode>#,##0.0,,</c:formatCode>
                <c:ptCount val="21"/>
                <c:pt idx="6">
                  <c:v>218476.26548703379</c:v>
                </c:pt>
                <c:pt idx="7">
                  <c:v>227401.98389822827</c:v>
                </c:pt>
                <c:pt idx="8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4B-4929-B475-494F5C87E790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biomasse'!$AD$5:$AD$33</c:f>
              <c:numCache>
                <c:formatCode>#,##0.0,,</c:formatCode>
                <c:ptCount val="21"/>
                <c:pt idx="9">
                  <c:v>209782.38739500003</c:v>
                </c:pt>
                <c:pt idx="10">
                  <c:v>216936.14364827855</c:v>
                </c:pt>
                <c:pt idx="11">
                  <c:v>210245.15308472581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4B-4929-B475-494F5C87E790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biomasse'!$AE$5:$AE$33</c:f>
              <c:numCache>
                <c:formatCode>#,##0.0,,</c:formatCode>
                <c:ptCount val="21"/>
                <c:pt idx="9">
                  <c:v>3010238.4923246857</c:v>
                </c:pt>
                <c:pt idx="10">
                  <c:v>2848752.9835421797</c:v>
                </c:pt>
                <c:pt idx="11">
                  <c:v>2586246.4663030161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4B-4929-B475-494F5C87E790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biomasse'!$AF$5:$AF$33</c:f>
              <c:numCache>
                <c:formatCode>#,##0.0,,</c:formatCode>
                <c:ptCount val="21"/>
                <c:pt idx="3">
                  <c:v>240377.87559326066</c:v>
                </c:pt>
                <c:pt idx="4">
                  <c:v>240377.87559326063</c:v>
                </c:pt>
                <c:pt idx="5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8-4877-80BE-E305CFEB20FC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biomasse'!$AG$5:$AG$33</c:f>
              <c:numCache>
                <c:formatCode>#,##0.0,,</c:formatCode>
                <c:ptCount val="21"/>
                <c:pt idx="9">
                  <c:v>4341.810030581958</c:v>
                </c:pt>
                <c:pt idx="10">
                  <c:v>227903.51886082417</c:v>
                </c:pt>
                <c:pt idx="11">
                  <c:v>220225.00338656051</c:v>
                </c:pt>
                <c:pt idx="12">
                  <c:v>212748.69149851578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0-49B8-BE47-D2F384ED4D4C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biomasse'!$AH$5:$AH$33</c:f>
              <c:numCache>
                <c:formatCode>#,##0.0,,</c:formatCode>
                <c:ptCount val="21"/>
                <c:pt idx="15">
                  <c:v>8803491.7355084848</c:v>
                </c:pt>
                <c:pt idx="16">
                  <c:v>20758258.546328586</c:v>
                </c:pt>
                <c:pt idx="17">
                  <c:v>20250396.100444585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0-49B8-BE47-D2F384ED4D4C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biomasse'!$AI$5:$AI$33</c:f>
              <c:numCache>
                <c:formatCode>#,##0.0,,</c:formatCode>
                <c:ptCount val="21"/>
                <c:pt idx="15">
                  <c:v>1108490.5539925825</c:v>
                </c:pt>
                <c:pt idx="16">
                  <c:v>992426.54344299308</c:v>
                </c:pt>
                <c:pt idx="17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50-49B8-BE47-D2F384ED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 (for træ m3)</a:t>
                </a:r>
              </a:p>
            </c:rich>
          </c:tx>
          <c:layout>
            <c:manualLayout>
              <c:xMode val="edge"/>
              <c:yMode val="edge"/>
              <c:x val="1.3378733063772432E-2"/>
              <c:y val="0.314322018869262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.0,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13219789132216"/>
          <c:y val="4.2332657519606439E-3"/>
          <c:w val="0.20519816166531496"/>
          <c:h val="0.985245990440608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[Bau.xlsx]Resultat-Import!Import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73918486723626664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3-435B-9B3B-B73E5A10621F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210965.35838487741</c:v>
                </c:pt>
                <c:pt idx="2">
                  <c:v>241953.74133540038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ABD-4C2B-828D-ED8456C7142A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ABD-4C2B-828D-ED8456C7142A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992426.54344299308</c:v>
                </c:pt>
                <c:pt idx="2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4AC-4E06-8568-E007E3F9A77D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4AC-4E06-8568-E007E3F9A77D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4AC-4E06-8568-E007E3F9A77D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437443.77822737186</c:v>
                </c:pt>
                <c:pt idx="2">
                  <c:v>459349.41813660081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D-4230-8BDA-32748E069C6F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3-4093-ADB2-8A773388F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[Bau.xlsx]Resultat-Eksport!PivotTable3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69994616637341878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E-422F-9AF3-6B6B61CDDA40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226255.77627432195</c:v>
                </c:pt>
                <c:pt idx="2">
                  <c:v>215894.74074247692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E-422F-9AF3-6B6B61CDDA40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2921356.2946739867</c:v>
                </c:pt>
                <c:pt idx="2">
                  <c:v>3060146.2519406481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CE-422F-9AF3-6B6B61CDDA40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CE-422F-9AF3-6B6B61CDDA40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CE-422F-9AF3-6B6B61CDDA40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1570157.2016349281</c:v>
                </c:pt>
                <c:pt idx="2">
                  <c:v>1522723.6559768345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CE-422F-9AF3-6B6B61CDDA40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4828921.2485613981</c:v>
                </c:pt>
                <c:pt idx="2">
                  <c:v>4438214.8515691292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CE-422F-9AF3-6B6B61CDDA40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CE-422F-9AF3-6B6B61CDDA40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2134206.5118205468</c:v>
                </c:pt>
                <c:pt idx="2">
                  <c:v>2041999.0273120813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CE-422F-9AF3-6B6B61CDDA40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2423533.1724211206</c:v>
                </c:pt>
                <c:pt idx="2">
                  <c:v>2125486.6888101231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CE-422F-9AF3-6B6B61CDDA40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C8CE-422F-9AF3-6B6B61CDDA40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1690869.0750561175</c:v>
                </c:pt>
                <c:pt idx="2">
                  <c:v>1488865.2333387681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C8CE-422F-9AF3-6B6B61CDDA40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8CE-422F-9AF3-6B6B61CDDA40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8CE-422F-9AF3-6B6B61CDDA40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8CE-422F-9AF3-6B6B61CDDA40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8CE-422F-9AF3-6B6B61CDDA40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1803779.2618535154</c:v>
                </c:pt>
                <c:pt idx="2">
                  <c:v>1730280.0978252576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8CE-422F-9AF3-6B6B61CDDA40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8CE-422F-9AF3-6B6B61CDDA40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C8CE-422F-9AF3-6B6B61CDDA40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C8CE-422F-9AF3-6B6B61CDDA40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C8CE-422F-9AF3-6B6B61CDDA40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C8CE-422F-9AF3-6B6B61CDDA40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1104885.5956518676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C8CE-422F-9AF3-6B6B61CDDA40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1098.0698359419412</c:v>
                </c:pt>
                <c:pt idx="2">
                  <c:v>1133.9765145533327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8CE-422F-9AF3-6B6B61CDDA40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C8CE-422F-9AF3-6B6B61CDDA40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954977.96501922607</c:v>
                </c:pt>
                <c:pt idx="2">
                  <c:v>922616.4144434646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C8CE-422F-9AF3-6B6B61CDDA40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2101303.8465657956</c:v>
                </c:pt>
                <c:pt idx="2">
                  <c:v>2030965.6070747143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C8CE-422F-9AF3-6B6B61CDDA40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115721.37262677713</c:v>
                </c:pt>
                <c:pt idx="2">
                  <c:v>103723.69219824017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C8CE-422F-9AF3-6B6B61CDD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59451994573381"/>
          <c:y val="0.12066413264960088"/>
          <c:w val="0.21840548005426619"/>
          <c:h val="0.82585421973660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[Bau.xlsx]Resultat-Potentiale til energi!PivotTable3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6128441595236716E-2"/>
          <c:y val="2.2739018087855296E-2"/>
          <c:w val="0.66960124054282677"/>
          <c:h val="0.677334226183603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19.810752704992638</c:v>
                </c:pt>
                <c:pt idx="2">
                  <c:v>19.90496446847807</c:v>
                </c:pt>
                <c:pt idx="3">
                  <c:v>7.4504602234640007</c:v>
                </c:pt>
                <c:pt idx="4">
                  <c:v>5.332280506183527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4-48C2-8AB8-13845168885F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2.1694819870080004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8-4403-A1B8-A5228D8DFFFA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19.850360529489279</c:v>
                </c:pt>
                <c:pt idx="2">
                  <c:v>18.206836134418594</c:v>
                </c:pt>
                <c:pt idx="3">
                  <c:v>1.4201719861750002</c:v>
                </c:pt>
                <c:pt idx="4">
                  <c:v>1.4201719861750004</c:v>
                </c:pt>
                <c:pt idx="5">
                  <c:v>1.4201719861750002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8-4403-A1B8-A5228D8DFFFA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26.93090541898259</c:v>
                </c:pt>
                <c:pt idx="2">
                  <c:v>24.858803548597574</c:v>
                </c:pt>
                <c:pt idx="3">
                  <c:v>0.45076703431999998</c:v>
                </c:pt>
                <c:pt idx="4">
                  <c:v>0.45076703431999993</c:v>
                </c:pt>
                <c:pt idx="5">
                  <c:v>0.45076703432000004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8-4403-A1B8-A5228D8DFFFA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0.14905139749376281</c:v>
                </c:pt>
                <c:pt idx="2">
                  <c:v>0.25889068207643468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88-4403-A1B8-A5228D8DFFFA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2.5858784763692717</c:v>
                </c:pt>
                <c:pt idx="2">
                  <c:v>2.6714132137350775</c:v>
                </c:pt>
                <c:pt idx="3">
                  <c:v>5.0922829580050024</c:v>
                </c:pt>
                <c:pt idx="4">
                  <c:v>12.53543651233441</c:v>
                </c:pt>
                <c:pt idx="5">
                  <c:v>12.420463246039292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88-4403-A1B8-A5228D8DFFFA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7.9766231601288453</c:v>
                </c:pt>
                <c:pt idx="2">
                  <c:v>7.7078751185296177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88-4403-A1B8-A5228D8DFFFA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45.280222691386172</c:v>
                </c:pt>
                <c:pt idx="2">
                  <c:v>41.352452170508407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88-4403-A1B8-A5228D8DFFFA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88-4403-A1B8-A5228D8DF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PJ/år</a:t>
                </a:r>
              </a:p>
            </c:rich>
          </c:tx>
          <c:layout>
            <c:manualLayout>
              <c:xMode val="edge"/>
              <c:yMode val="edge"/>
              <c:x val="1.1219837341270912E-2"/>
              <c:y val="0.427041355900893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07907364797637"/>
          <c:y val="0.16087837993857804"/>
          <c:w val="0.18126189930082728"/>
          <c:h val="0.54761801402390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[Bau.xlsx]Resultat-Tørstof til energi!PivotTable1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6.7721732803201581E-2"/>
          <c:w val="0.64997836523489927"/>
          <c:h val="0.83771766152993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6-4FB8-B912-C5A070137C35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6-4FB8-B912-C5A070137C35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2348840.8844847302</c:v>
                </c:pt>
                <c:pt idx="2">
                  <c:v>2164142.1080060382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96-4FB8-B912-C5A070137C35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2349166.8466086611</c:v>
                </c:pt>
                <c:pt idx="2">
                  <c:v>2170312.3964539068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96-4FB8-B912-C5A070137C35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96-4FB8-B912-C5A070137C35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2078868.7997796992</c:v>
                </c:pt>
                <c:pt idx="2">
                  <c:v>2077438.0772637748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96-4FB8-B912-C5A070137C35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207392.20216335001</c:v>
                </c:pt>
                <c:pt idx="2">
                  <c:v>200404.75308177009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96-4FB8-B912-C5A070137C35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1498974.2460576054</c:v>
                </c:pt>
                <c:pt idx="2">
                  <c:v>1366366.1366558613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96-4FB8-B912-C5A070137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Ton</a:t>
                </a:r>
              </a:p>
            </c:rich>
          </c:tx>
          <c:layout>
            <c:manualLayout>
              <c:xMode val="edge"/>
              <c:yMode val="edge"/>
              <c:x val="2.3973159050852989E-2"/>
              <c:y val="0.460815987110522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71809718962941"/>
          <c:y val="0.2441606680353075"/>
          <c:w val="0.16634348066948307"/>
          <c:h val="0.45227255008965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180975</xdr:rowOff>
    </xdr:from>
    <xdr:to>
      <xdr:col>14</xdr:col>
      <xdr:colOff>310863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49938-3C1E-4C4C-B8EF-5E8891144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371475</xdr:colOff>
      <xdr:row>30</xdr:row>
      <xdr:rowOff>9524</xdr:rowOff>
    </xdr:from>
    <xdr:to>
      <xdr:col>12</xdr:col>
      <xdr:colOff>6350</xdr:colOff>
      <xdr:row>60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7BC977-A100-49DA-A113-88122B9AF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450273</xdr:colOff>
      <xdr:row>59</xdr:row>
      <xdr:rowOff>173182</xdr:rowOff>
    </xdr:from>
    <xdr:to>
      <xdr:col>15</xdr:col>
      <xdr:colOff>6061</xdr:colOff>
      <xdr:row>98</xdr:row>
      <xdr:rowOff>116032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09C8B2-04AD-4178-82F1-CF7BCBC04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102</xdr:row>
      <xdr:rowOff>76199</xdr:rowOff>
    </xdr:from>
    <xdr:to>
      <xdr:col>14</xdr:col>
      <xdr:colOff>577562</xdr:colOff>
      <xdr:row>134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54DE3-A201-4FEB-A7CA-50B91E666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</xdr:col>
      <xdr:colOff>123825</xdr:colOff>
      <xdr:row>0</xdr:row>
      <xdr:rowOff>160020</xdr:rowOff>
    </xdr:from>
    <xdr:ext cx="184731" cy="31149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458C36B-E47D-42B1-8F91-57D7A1801B67}"/>
            </a:ext>
          </a:extLst>
        </xdr:cNvPr>
        <xdr:cNvSpPr txBox="1"/>
      </xdr:nvSpPr>
      <xdr:spPr>
        <a:xfrm>
          <a:off x="8658225" y="160020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15</xdr:col>
      <xdr:colOff>406111</xdr:colOff>
      <xdr:row>104</xdr:row>
      <xdr:rowOff>0</xdr:rowOff>
    </xdr:from>
    <xdr:to>
      <xdr:col>28</xdr:col>
      <xdr:colOff>0</xdr:colOff>
      <xdr:row>133</xdr:row>
      <xdr:rowOff>142876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3FD1CD0-B7CB-4BF9-A9D5-2F3AF5B8F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</xdr:col>
      <xdr:colOff>504825</xdr:colOff>
      <xdr:row>56</xdr:row>
      <xdr:rowOff>114300</xdr:rowOff>
    </xdr:from>
    <xdr:ext cx="184731" cy="31149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CF49BC9-BBA5-4DB5-BDDC-5F05548FD165}"/>
            </a:ext>
          </a:extLst>
        </xdr:cNvPr>
        <xdr:cNvSpPr txBox="1"/>
      </xdr:nvSpPr>
      <xdr:spPr>
        <a:xfrm>
          <a:off x="1724025" y="1079182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</xdr:col>
      <xdr:colOff>517526</xdr:colOff>
      <xdr:row>183</xdr:row>
      <xdr:rowOff>1588</xdr:rowOff>
    </xdr:from>
    <xdr:to>
      <xdr:col>25</xdr:col>
      <xdr:colOff>514350</xdr:colOff>
      <xdr:row>247</xdr:row>
      <xdr:rowOff>127000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869FBBA-D7EE-4C50-AB5B-C1A5D1847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339995</xdr:colOff>
      <xdr:row>136</xdr:row>
      <xdr:rowOff>167120</xdr:rowOff>
    </xdr:from>
    <xdr:to>
      <xdr:col>12</xdr:col>
      <xdr:colOff>432954</xdr:colOff>
      <xdr:row>164</xdr:row>
      <xdr:rowOff>138545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89DBFE2-523D-4A0B-B271-BCF83E378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571501</xdr:colOff>
      <xdr:row>134</xdr:row>
      <xdr:rowOff>142876</xdr:rowOff>
    </xdr:from>
    <xdr:to>
      <xdr:col>26</xdr:col>
      <xdr:colOff>519894</xdr:colOff>
      <xdr:row>182</xdr:row>
      <xdr:rowOff>178594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E61E9DE-A235-42BF-954E-118A61E7B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67235</xdr:colOff>
      <xdr:row>18</xdr:row>
      <xdr:rowOff>79114</xdr:rowOff>
    </xdr:from>
    <xdr:to>
      <xdr:col>3</xdr:col>
      <xdr:colOff>60511</xdr:colOff>
      <xdr:row>60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92305-C0BD-4504-98A3-69B5E170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26221</xdr:colOff>
      <xdr:row>18</xdr:row>
      <xdr:rowOff>77209</xdr:rowOff>
    </xdr:from>
    <xdr:to>
      <xdr:col>7</xdr:col>
      <xdr:colOff>564440</xdr:colOff>
      <xdr:row>60</xdr:row>
      <xdr:rowOff>38886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47F09-ED04-498B-BC7F-53F156BC5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158114</xdr:colOff>
      <xdr:row>16</xdr:row>
      <xdr:rowOff>7620</xdr:rowOff>
    </xdr:from>
    <xdr:to>
      <xdr:col>20</xdr:col>
      <xdr:colOff>228600</xdr:colOff>
      <xdr:row>50</xdr:row>
      <xdr:rowOff>217170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CBF99-2CF5-496F-B5D4-BF8C9B939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731044</xdr:colOff>
      <xdr:row>0</xdr:row>
      <xdr:rowOff>0</xdr:rowOff>
    </xdr:from>
    <xdr:to>
      <xdr:col>16</xdr:col>
      <xdr:colOff>114300</xdr:colOff>
      <xdr:row>15</xdr:row>
      <xdr:rowOff>107156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E2B0C-E916-43A1-B6FD-77BF04CFA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361950</xdr:colOff>
      <xdr:row>50</xdr:row>
      <xdr:rowOff>295275</xdr:rowOff>
    </xdr:from>
    <xdr:to>
      <xdr:col>17</xdr:col>
      <xdr:colOff>104775</xdr:colOff>
      <xdr:row>72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3ACF8-CA4B-4E8D-BF02-0E98B53C1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26</xdr:row>
      <xdr:rowOff>171449</xdr:rowOff>
    </xdr:from>
    <xdr:to>
      <xdr:col>16</xdr:col>
      <xdr:colOff>47625</xdr:colOff>
      <xdr:row>44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DE6EC-FB44-425A-A8A9-2DCB19224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204786</xdr:colOff>
      <xdr:row>1</xdr:row>
      <xdr:rowOff>0</xdr:rowOff>
    </xdr:from>
    <xdr:to>
      <xdr:col>15</xdr:col>
      <xdr:colOff>600074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F52DD-8325-413A-9320-D01BDF265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967740</xdr:colOff>
      <xdr:row>8</xdr:row>
      <xdr:rowOff>121920</xdr:rowOff>
    </xdr:from>
    <xdr:to>
      <xdr:col>9</xdr:col>
      <xdr:colOff>539114</xdr:colOff>
      <xdr:row>26</xdr:row>
      <xdr:rowOff>93345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46B8-63EA-4CD6-9D01-3E3512A7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8</xdr:row>
      <xdr:rowOff>102870</xdr:rowOff>
    </xdr:from>
    <xdr:to>
      <xdr:col>5</xdr:col>
      <xdr:colOff>952500</xdr:colOff>
      <xdr:row>26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0DB88-6590-4361-8F5B-07A67E0C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107271</xdr:colOff>
      <xdr:row>13</xdr:row>
      <xdr:rowOff>59185</xdr:rowOff>
    </xdr:from>
    <xdr:to>
      <xdr:col>3</xdr:col>
      <xdr:colOff>188650</xdr:colOff>
      <xdr:row>51</xdr:row>
      <xdr:rowOff>127617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42D65-8D87-4EF5-B7E4-16CD222D3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477175</xdr:colOff>
      <xdr:row>1</xdr:row>
      <xdr:rowOff>100613</xdr:rowOff>
    </xdr:from>
    <xdr:to>
      <xdr:col>10</xdr:col>
      <xdr:colOff>540059</xdr:colOff>
      <xdr:row>36</xdr:row>
      <xdr:rowOff>106531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A71D54-47B2-439F-A260-D4A1F9E2D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417195</xdr:colOff>
      <xdr:row>6</xdr:row>
      <xdr:rowOff>114300</xdr:rowOff>
    </xdr:from>
    <xdr:to>
      <xdr:col>8</xdr:col>
      <xdr:colOff>332355</xdr:colOff>
      <xdr:row>37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9626A-2011-47C3-8B47-DD51CE5C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6EA8F-CB02-4C72-86F5-72432C9C1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70D6D-5D6D-4834-B7C6-D9C8EAE0E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826767</xdr:colOff>
      <xdr:row>16</xdr:row>
      <xdr:rowOff>19050</xdr:rowOff>
    </xdr:from>
    <xdr:to>
      <xdr:col>10</xdr:col>
      <xdr:colOff>742949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4F227-C207-403C-87A5-7E483B05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9</xdr:row>
      <xdr:rowOff>19050</xdr:rowOff>
    </xdr:from>
    <xdr:to>
      <xdr:col>11</xdr:col>
      <xdr:colOff>731519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C908B-3C34-4AAA-A960-E3952542C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K-BioR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lik"/>
      <sheetName val="Processer - data"/>
      <sheetName val="Processer &amp; råvarer"/>
      <sheetName val="Procesdata (baggrund)"/>
      <sheetName val="Arealanvendelse"/>
      <sheetName val="Jordbundstypefordeling"/>
      <sheetName val="Afgrødefordeling"/>
      <sheetName val="Afgrødefordeling - jordtype"/>
      <sheetName val="Afgrødedata"/>
      <sheetName val="Foder"/>
      <sheetName val="Dyrehold"/>
      <sheetName val="Hugst"/>
      <sheetName val="Kulstofoptag, skov"/>
      <sheetName val="Befolkningstal"/>
      <sheetName val="Produktion af spildevand"/>
      <sheetName val="Affald"/>
      <sheetName val="Biogasudbytte"/>
      <sheetName val="Energiindhold"/>
      <sheetName val="Tørstofindhold"/>
    </sheetNames>
    <definedNames>
      <definedName name="Afgrøder" refersTo="='Overblik'!$D$17"/>
      <definedName name="År1" refersTo="='Overblik'!$D$23"/>
      <definedName name="År2" refersTo="='Overblik'!$D$24"/>
      <definedName name="År3" refersTo="='Overblik'!$D$25"/>
      <definedName name="Bebyg" refersTo="='Overblik'!$D$16"/>
      <definedName name="IKareal" refersTo="='Overblik'!$D$20"/>
      <definedName name="Jordbund1" refersTo="='Overblik'!$D$11"/>
      <definedName name="NaturAreal" refersTo="='Overblik'!$D$19"/>
      <definedName name="Organ12" refersTo="='Overblik'!$D$13"/>
      <definedName name="Organ6" refersTo="='Overblik'!$D$12"/>
      <definedName name="SkovAreal" refersTo="='Overblik'!$D$18"/>
    </definedNames>
    <sheetDataSet>
      <sheetData sheetId="0">
        <row r="11">
          <cell r="D11" t="str">
            <v>JB1-10</v>
          </cell>
        </row>
        <row r="12">
          <cell r="D12" t="str">
            <v>OC6</v>
          </cell>
        </row>
        <row r="13">
          <cell r="D13" t="str">
            <v>OC12</v>
          </cell>
        </row>
        <row r="16">
          <cell r="D16" t="str">
            <v>Bebyggelse &amp; infrastruktur</v>
          </cell>
        </row>
        <row r="17">
          <cell r="D17" t="str">
            <v>Landbrugsafgrøder</v>
          </cell>
        </row>
        <row r="18">
          <cell r="D18" t="str">
            <v>Skov</v>
          </cell>
        </row>
        <row r="19">
          <cell r="D19" t="str">
            <v>Natur</v>
          </cell>
        </row>
        <row r="20">
          <cell r="D20" t="str">
            <v>Ikke klassificeret</v>
          </cell>
        </row>
        <row r="23">
          <cell r="D23">
            <v>2019</v>
          </cell>
        </row>
        <row r="24">
          <cell r="D24">
            <v>2030</v>
          </cell>
        </row>
        <row r="25">
          <cell r="D25">
            <v>2050</v>
          </cell>
        </row>
      </sheetData>
      <sheetData sheetId="1">
        <row r="2">
          <cell r="A2" t="str">
            <v>Processer</v>
          </cell>
          <cell r="B2" t="str">
            <v>Konventionel/økologisk</v>
          </cell>
          <cell r="C2" t="str">
            <v>Jordbundstype</v>
          </cell>
          <cell r="D2" t="str">
            <v>Input</v>
          </cell>
          <cell r="E2" t="str">
            <v>Enhed</v>
          </cell>
          <cell r="F2" t="str">
            <v>Output</v>
          </cell>
          <cell r="G2" t="str">
            <v>Enhed</v>
          </cell>
          <cell r="H2">
            <v>2019</v>
          </cell>
          <cell r="I2">
            <v>2030</v>
          </cell>
          <cell r="J2">
            <v>2050</v>
          </cell>
          <cell r="K2" t="str">
            <v>Kilde</v>
          </cell>
        </row>
        <row r="3">
          <cell r="A3" t="str">
            <v>Spildevandsproduktion</v>
          </cell>
          <cell r="D3" t="str">
            <v>Befolkning</v>
          </cell>
          <cell r="E3" t="str">
            <v>Antal</v>
          </cell>
          <cell r="F3" t="str">
            <v>Spildevandsslam</v>
          </cell>
          <cell r="G3" t="str">
            <v>Ton</v>
          </cell>
          <cell r="H3">
            <v>1.1893449129763534</v>
          </cell>
          <cell r="I3">
            <v>1.1893449129763534</v>
          </cell>
          <cell r="J3">
            <v>1.1893449129763534</v>
          </cell>
        </row>
        <row r="4">
          <cell r="A4" t="str">
            <v>Bioaffaldsproduktion</v>
          </cell>
          <cell r="D4" t="str">
            <v>Befolkning</v>
          </cell>
          <cell r="E4" t="str">
            <v>Antal</v>
          </cell>
          <cell r="F4" t="str">
            <v>Bioaffald</v>
          </cell>
          <cell r="G4" t="str">
            <v>Ton</v>
          </cell>
          <cell r="H4">
            <v>6.1775632396189835E-2</v>
          </cell>
          <cell r="I4">
            <v>6.0231309915508513E-2</v>
          </cell>
          <cell r="J4">
            <v>5.8684951731790655E-2</v>
          </cell>
        </row>
        <row r="5">
          <cell r="A5" t="str">
            <v>Bioaffaldsproduktion</v>
          </cell>
          <cell r="D5" t="str">
            <v>Befolkning</v>
          </cell>
          <cell r="E5" t="str">
            <v>Antal</v>
          </cell>
          <cell r="F5" t="str">
            <v>Have/parkaffald</v>
          </cell>
          <cell r="G5" t="str">
            <v>Ton</v>
          </cell>
          <cell r="H5">
            <v>0.1692723542782128</v>
          </cell>
          <cell r="I5">
            <v>0.16262827253720452</v>
          </cell>
          <cell r="J5">
            <v>0.15597543266598424</v>
          </cell>
        </row>
        <row r="6">
          <cell r="A6" t="str">
            <v>Bioaffaldsproduktion</v>
          </cell>
          <cell r="D6" t="str">
            <v>Befolkning</v>
          </cell>
          <cell r="E6" t="str">
            <v>Antal</v>
          </cell>
          <cell r="F6" t="str">
            <v>Industriaffald</v>
          </cell>
          <cell r="G6" t="str">
            <v>Ton</v>
          </cell>
          <cell r="H6">
            <v>6.1145891695276039E-2</v>
          </cell>
          <cell r="I6">
            <v>5.8745864211269205E-2</v>
          </cell>
          <cell r="J6">
            <v>5.6342673046555734E-2</v>
          </cell>
        </row>
        <row r="7">
          <cell r="A7" t="str">
            <v>Muslingefarm</v>
          </cell>
          <cell r="D7" t="str">
            <v>Muslingeareal</v>
          </cell>
          <cell r="E7" t="str">
            <v>Hektar</v>
          </cell>
          <cell r="F7" t="str">
            <v>Muslinger</v>
          </cell>
          <cell r="G7" t="str">
            <v>Ton</v>
          </cell>
          <cell r="H7">
            <v>1.9961442503969153</v>
          </cell>
          <cell r="I7">
            <v>1.9961442503969153</v>
          </cell>
          <cell r="J7">
            <v>1.9961442503969153</v>
          </cell>
        </row>
        <row r="8">
          <cell r="A8" t="str">
            <v>Muslingefarm</v>
          </cell>
          <cell r="D8" t="str">
            <v>Muslingeareal</v>
          </cell>
          <cell r="E8" t="str">
            <v>Hektar</v>
          </cell>
          <cell r="F8" t="str">
            <v>CO2 - atmosfære</v>
          </cell>
          <cell r="G8" t="str">
            <v>t CO2-ækvivalenter</v>
          </cell>
          <cell r="H8">
            <v>-0.32337536856430027</v>
          </cell>
          <cell r="I8">
            <v>-0.32337536856430027</v>
          </cell>
          <cell r="J8">
            <v>-0.32337536856430027</v>
          </cell>
        </row>
        <row r="9">
          <cell r="A9" t="str">
            <v>Tangfarm</v>
          </cell>
          <cell r="D9" t="str">
            <v>Tangfarmareal</v>
          </cell>
          <cell r="E9" t="str">
            <v>Hektar</v>
          </cell>
          <cell r="F9" t="str">
            <v>Tang</v>
          </cell>
          <cell r="G9" t="str">
            <v>Ton</v>
          </cell>
          <cell r="H9">
            <v>4.5</v>
          </cell>
          <cell r="I9">
            <v>22.5</v>
          </cell>
          <cell r="J9">
            <v>22.5</v>
          </cell>
        </row>
        <row r="10">
          <cell r="A10" t="str">
            <v>Tangfarm</v>
          </cell>
          <cell r="D10" t="str">
            <v>Tangfarmareal</v>
          </cell>
          <cell r="E10" t="str">
            <v>Hektar</v>
          </cell>
          <cell r="F10" t="str">
            <v>CO2 - atmosfære</v>
          </cell>
          <cell r="G10" t="str">
            <v>t CO2-ækvivalenter</v>
          </cell>
          <cell r="H10">
            <v>-0.93300000000000005</v>
          </cell>
          <cell r="I10">
            <v>-0.93300000000000005</v>
          </cell>
          <cell r="J10">
            <v>-0.93300000000000005</v>
          </cell>
        </row>
        <row r="11">
          <cell r="A11" t="str">
            <v>Skovproduktion</v>
          </cell>
          <cell r="C11" t="str">
            <v>Basisskov</v>
          </cell>
          <cell r="D11" t="str">
            <v>Areal-basisskov</v>
          </cell>
          <cell r="E11" t="str">
            <v>Hektar</v>
          </cell>
          <cell r="F11" t="str">
            <v>Træer</v>
          </cell>
          <cell r="G11" t="str">
            <v>m3</v>
          </cell>
          <cell r="H11">
            <v>3.0688037792986753</v>
          </cell>
          <cell r="I11">
            <v>3.0688037792986753</v>
          </cell>
          <cell r="J11">
            <v>3.0688037792986753</v>
          </cell>
        </row>
        <row r="12">
          <cell r="A12" t="str">
            <v>Skovproduktion</v>
          </cell>
          <cell r="C12" t="str">
            <v>Basisskov</v>
          </cell>
          <cell r="D12" t="str">
            <v>Areal-basisskov</v>
          </cell>
          <cell r="E12" t="str">
            <v>Hektar</v>
          </cell>
          <cell r="F12" t="str">
            <v>Træ til energi</v>
          </cell>
          <cell r="G12" t="str">
            <v>m3</v>
          </cell>
          <cell r="H12">
            <v>3.7614715316941885</v>
          </cell>
          <cell r="I12">
            <v>3.7614715316941885</v>
          </cell>
          <cell r="J12">
            <v>3.7614715316941885</v>
          </cell>
        </row>
        <row r="13">
          <cell r="A13" t="str">
            <v>Skovproduktion</v>
          </cell>
          <cell r="C13" t="str">
            <v>Basisskov</v>
          </cell>
          <cell r="D13" t="str">
            <v>Areal-basisskov</v>
          </cell>
          <cell r="E13" t="str">
            <v>Hektar</v>
          </cell>
          <cell r="F13" t="str">
            <v>CO2 - atmosfære</v>
          </cell>
          <cell r="G13" t="str">
            <v>t CO2-ækvivalenter</v>
          </cell>
          <cell r="H13">
            <v>-1</v>
          </cell>
          <cell r="I13">
            <v>-1</v>
          </cell>
          <cell r="J13">
            <v>-1</v>
          </cell>
        </row>
        <row r="14">
          <cell r="A14" t="str">
            <v>Skovproduktion</v>
          </cell>
          <cell r="C14" t="str">
            <v>Skovtype1</v>
          </cell>
          <cell r="D14" t="str">
            <v>Areal-skovtype1-10</v>
          </cell>
          <cell r="E14" t="str">
            <v>Hektar</v>
          </cell>
          <cell r="F14" t="str">
            <v>Træer</v>
          </cell>
          <cell r="G14" t="str">
            <v>m3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Skovproduktion</v>
          </cell>
          <cell r="C15" t="str">
            <v>Skovtype1</v>
          </cell>
          <cell r="D15" t="str">
            <v>Areal-skovtype1-10</v>
          </cell>
          <cell r="E15" t="str">
            <v>Hektar</v>
          </cell>
          <cell r="F15" t="str">
            <v>Træ til energi</v>
          </cell>
          <cell r="G15" t="str">
            <v>m3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Skovproduktion</v>
          </cell>
          <cell r="C16" t="str">
            <v>Skovtype1</v>
          </cell>
          <cell r="D16" t="str">
            <v>Areal-skovtype1-10</v>
          </cell>
          <cell r="E16" t="str">
            <v>Hektar</v>
          </cell>
          <cell r="F16" t="str">
            <v>CO2 - atmosfære</v>
          </cell>
          <cell r="G16" t="str">
            <v>t CO2-ækvivalenter</v>
          </cell>
          <cell r="H16">
            <v>-2.5</v>
          </cell>
          <cell r="I16">
            <v>-2.5</v>
          </cell>
          <cell r="J16">
            <v>-2.5</v>
          </cell>
        </row>
        <row r="17">
          <cell r="A17" t="str">
            <v>Skovproduktion</v>
          </cell>
          <cell r="C17" t="str">
            <v>Skovtype1</v>
          </cell>
          <cell r="D17" t="str">
            <v>Areal-skovtype1-20</v>
          </cell>
          <cell r="E17" t="str">
            <v>Hektar</v>
          </cell>
          <cell r="F17" t="str">
            <v>Træer</v>
          </cell>
          <cell r="G17" t="str">
            <v>m3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Skovproduktion</v>
          </cell>
          <cell r="C18" t="str">
            <v>Skovtype1</v>
          </cell>
          <cell r="D18" t="str">
            <v>Areal-skovtype1-20</v>
          </cell>
          <cell r="E18" t="str">
            <v>Hektar</v>
          </cell>
          <cell r="F18" t="str">
            <v>Træ til energi</v>
          </cell>
          <cell r="G18" t="str">
            <v>m3</v>
          </cell>
          <cell r="H18">
            <v>0</v>
          </cell>
          <cell r="I18">
            <v>0</v>
          </cell>
          <cell r="J18">
            <v>0</v>
          </cell>
        </row>
        <row r="19">
          <cell r="A19" t="str">
            <v>Skovproduktion</v>
          </cell>
          <cell r="C19" t="str">
            <v>Skovtype1</v>
          </cell>
          <cell r="D19" t="str">
            <v>Areal-skovtype1-20</v>
          </cell>
          <cell r="E19" t="str">
            <v>Hektar</v>
          </cell>
          <cell r="F19" t="str">
            <v>CO2 - atmosfære</v>
          </cell>
          <cell r="G19" t="str">
            <v>t CO2-ækvivalenter</v>
          </cell>
          <cell r="H19">
            <v>-5.5</v>
          </cell>
          <cell r="I19">
            <v>-5.5</v>
          </cell>
          <cell r="J19">
            <v>-5.5</v>
          </cell>
        </row>
        <row r="20">
          <cell r="A20" t="str">
            <v>Skovproduktion</v>
          </cell>
          <cell r="C20" t="str">
            <v>Skovtype1</v>
          </cell>
          <cell r="D20" t="str">
            <v>Areal-skovtype1-30</v>
          </cell>
          <cell r="E20" t="str">
            <v>Hektar</v>
          </cell>
          <cell r="F20" t="str">
            <v>Træer</v>
          </cell>
          <cell r="G20" t="str">
            <v>m3</v>
          </cell>
          <cell r="H20">
            <v>0</v>
          </cell>
          <cell r="I20">
            <v>0</v>
          </cell>
          <cell r="J20">
            <v>0</v>
          </cell>
        </row>
        <row r="21">
          <cell r="A21" t="str">
            <v>Skovproduktion</v>
          </cell>
          <cell r="C21" t="str">
            <v>Skovtype1</v>
          </cell>
          <cell r="D21" t="str">
            <v>Areal-skovtype1-30</v>
          </cell>
          <cell r="E21" t="str">
            <v>Hektar</v>
          </cell>
          <cell r="F21" t="str">
            <v>Træ til energi</v>
          </cell>
          <cell r="G21" t="str">
            <v>m3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Skovproduktion</v>
          </cell>
          <cell r="C22" t="str">
            <v>Skovtype1</v>
          </cell>
          <cell r="D22" t="str">
            <v>Areal-skovtype1-30</v>
          </cell>
          <cell r="E22" t="str">
            <v>Hektar</v>
          </cell>
          <cell r="F22" t="str">
            <v>CO2 - atmosfære</v>
          </cell>
          <cell r="G22" t="str">
            <v>t CO2-ækvivalenter</v>
          </cell>
          <cell r="H22">
            <v>-14</v>
          </cell>
          <cell r="I22">
            <v>-14</v>
          </cell>
          <cell r="J22">
            <v>-14</v>
          </cell>
        </row>
        <row r="23">
          <cell r="A23" t="str">
            <v>Skovproduktion</v>
          </cell>
          <cell r="C23" t="str">
            <v>Skovtype1</v>
          </cell>
          <cell r="D23" t="str">
            <v>Areal-skovtype1-40</v>
          </cell>
          <cell r="E23" t="str">
            <v>Hektar</v>
          </cell>
          <cell r="F23" t="str">
            <v>Træer</v>
          </cell>
          <cell r="G23" t="str">
            <v>m3</v>
          </cell>
          <cell r="H23">
            <v>1.9091716555549518</v>
          </cell>
          <cell r="I23">
            <v>1.9091716555549518</v>
          </cell>
          <cell r="J23">
            <v>1.9091716555549518</v>
          </cell>
        </row>
        <row r="24">
          <cell r="A24" t="str">
            <v>Skovproduktion</v>
          </cell>
          <cell r="C24" t="str">
            <v>Skovtype1</v>
          </cell>
          <cell r="D24" t="str">
            <v>Areal-skovtype1-40</v>
          </cell>
          <cell r="E24" t="str">
            <v>Hektar</v>
          </cell>
          <cell r="F24" t="str">
            <v>Træ til energi</v>
          </cell>
          <cell r="G24" t="str">
            <v>m3</v>
          </cell>
          <cell r="H24">
            <v>0.99732847678243752</v>
          </cell>
          <cell r="I24">
            <v>0.99732847678243752</v>
          </cell>
          <cell r="J24">
            <v>0.99732847678243752</v>
          </cell>
        </row>
        <row r="25">
          <cell r="A25" t="str">
            <v>Skovproduktion</v>
          </cell>
          <cell r="C25" t="str">
            <v>Skovtype1</v>
          </cell>
          <cell r="D25" t="str">
            <v>Areal-skovtype1-40</v>
          </cell>
          <cell r="E25" t="str">
            <v>Hektar</v>
          </cell>
          <cell r="F25" t="str">
            <v>CO2 - atmosfære</v>
          </cell>
          <cell r="G25" t="str">
            <v>t CO2-ækvivalenter</v>
          </cell>
          <cell r="H25">
            <v>-14.5</v>
          </cell>
          <cell r="I25">
            <v>-14.5</v>
          </cell>
          <cell r="J25">
            <v>-14.5</v>
          </cell>
        </row>
        <row r="26">
          <cell r="A26" t="str">
            <v>Skovproduktion</v>
          </cell>
          <cell r="C26" t="str">
            <v>Skovtype2</v>
          </cell>
          <cell r="D26" t="str">
            <v>Areal-skovtype2-10</v>
          </cell>
          <cell r="E26" t="str">
            <v>Hektar</v>
          </cell>
          <cell r="F26" t="str">
            <v>Træer</v>
          </cell>
          <cell r="G26" t="str">
            <v>m3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Skovproduktion</v>
          </cell>
          <cell r="C27" t="str">
            <v>Skovtype2</v>
          </cell>
          <cell r="D27" t="str">
            <v>Areal-skovtype2-10</v>
          </cell>
          <cell r="E27" t="str">
            <v>Hektar</v>
          </cell>
          <cell r="F27" t="str">
            <v>Træ til energi</v>
          </cell>
          <cell r="G27" t="str">
            <v>m3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Skovproduktion</v>
          </cell>
          <cell r="C28" t="str">
            <v>Skovtype2</v>
          </cell>
          <cell r="D28" t="str">
            <v>Areal-skovtype2-10</v>
          </cell>
          <cell r="E28" t="str">
            <v>Hektar</v>
          </cell>
          <cell r="F28" t="str">
            <v>CO2 - atmosfære</v>
          </cell>
          <cell r="G28" t="str">
            <v>t CO2-ækvivalenter</v>
          </cell>
          <cell r="H28">
            <v>-12.5</v>
          </cell>
          <cell r="I28">
            <v>-12.5</v>
          </cell>
          <cell r="J28">
            <v>-12.5</v>
          </cell>
        </row>
        <row r="29">
          <cell r="A29" t="str">
            <v>Skovproduktion</v>
          </cell>
          <cell r="C29" t="str">
            <v>Skovtype2</v>
          </cell>
          <cell r="D29" t="str">
            <v>Areal-skovtype2-20</v>
          </cell>
          <cell r="E29" t="str">
            <v>Hektar</v>
          </cell>
          <cell r="F29" t="str">
            <v>Træer</v>
          </cell>
          <cell r="G29" t="str">
            <v>m3</v>
          </cell>
          <cell r="H29">
            <v>2.2854721106219968</v>
          </cell>
          <cell r="I29">
            <v>2.2854721106219968</v>
          </cell>
          <cell r="J29">
            <v>2.2854721106219968</v>
          </cell>
        </row>
        <row r="30">
          <cell r="A30" t="str">
            <v>Skovproduktion</v>
          </cell>
          <cell r="C30" t="str">
            <v>Skovtype2</v>
          </cell>
          <cell r="D30" t="str">
            <v>Areal-skovtype2-20</v>
          </cell>
          <cell r="E30" t="str">
            <v>Hektar</v>
          </cell>
          <cell r="F30" t="str">
            <v>Træ til energi</v>
          </cell>
          <cell r="G30" t="str">
            <v>m3</v>
          </cell>
          <cell r="H30">
            <v>0.57136802765549921</v>
          </cell>
          <cell r="I30">
            <v>0.57136802765549921</v>
          </cell>
          <cell r="J30">
            <v>0.57136802765549921</v>
          </cell>
        </row>
        <row r="31">
          <cell r="A31" t="str">
            <v>Skovproduktion</v>
          </cell>
          <cell r="C31" t="str">
            <v>Skovtype2</v>
          </cell>
          <cell r="D31" t="str">
            <v>Areal-skovtype2-20</v>
          </cell>
          <cell r="E31" t="str">
            <v>Hektar</v>
          </cell>
          <cell r="F31" t="str">
            <v>CO2 - atmosfære</v>
          </cell>
          <cell r="G31" t="str">
            <v>t CO2-ækvivalenter</v>
          </cell>
          <cell r="H31">
            <v>-16</v>
          </cell>
          <cell r="I31">
            <v>-16</v>
          </cell>
          <cell r="J31">
            <v>-16</v>
          </cell>
        </row>
        <row r="32">
          <cell r="A32" t="str">
            <v>Skovproduktion</v>
          </cell>
          <cell r="C32" t="str">
            <v>Skovtype2</v>
          </cell>
          <cell r="D32" t="str">
            <v>Areal-skovtype2-30</v>
          </cell>
          <cell r="E32" t="str">
            <v>Hektar</v>
          </cell>
          <cell r="F32" t="str">
            <v>Træer</v>
          </cell>
          <cell r="G32" t="str">
            <v>m3</v>
          </cell>
          <cell r="H32">
            <v>2.4169774503204851</v>
          </cell>
          <cell r="I32">
            <v>2.4169774503204851</v>
          </cell>
          <cell r="J32">
            <v>2.4169774503204851</v>
          </cell>
        </row>
        <row r="33">
          <cell r="A33" t="str">
            <v>Skovproduktion</v>
          </cell>
          <cell r="C33" t="str">
            <v>Skovtype2</v>
          </cell>
          <cell r="D33" t="str">
            <v>Areal-skovtype2-30</v>
          </cell>
          <cell r="E33" t="str">
            <v>Hektar</v>
          </cell>
          <cell r="F33" t="str">
            <v>Træ til energi</v>
          </cell>
          <cell r="G33" t="str">
            <v>m3</v>
          </cell>
          <cell r="H33">
            <v>0.83664604049555269</v>
          </cell>
          <cell r="I33">
            <v>0.83664604049555269</v>
          </cell>
          <cell r="J33">
            <v>0.83664604049555269</v>
          </cell>
        </row>
        <row r="34">
          <cell r="A34" t="str">
            <v>Skovproduktion</v>
          </cell>
          <cell r="C34" t="str">
            <v>Skovtype2</v>
          </cell>
          <cell r="D34" t="str">
            <v>Areal-skovtype2-30</v>
          </cell>
          <cell r="E34" t="str">
            <v>Hektar</v>
          </cell>
          <cell r="F34" t="str">
            <v>CO2 - atmosfære</v>
          </cell>
          <cell r="G34" t="str">
            <v>t CO2-ækvivalenter</v>
          </cell>
          <cell r="H34">
            <v>-0.5</v>
          </cell>
          <cell r="I34">
            <v>-0.5</v>
          </cell>
          <cell r="J34">
            <v>-0.5</v>
          </cell>
        </row>
        <row r="35">
          <cell r="A35" t="str">
            <v>Skovproduktion</v>
          </cell>
          <cell r="C35" t="str">
            <v>Skovtype2</v>
          </cell>
          <cell r="D35" t="str">
            <v>Areal-skovtype2-40</v>
          </cell>
          <cell r="E35" t="str">
            <v>Hektar</v>
          </cell>
          <cell r="F35" t="str">
            <v>Træer</v>
          </cell>
          <cell r="G35" t="str">
            <v>m3</v>
          </cell>
          <cell r="H35">
            <v>1.1109933871079152</v>
          </cell>
          <cell r="I35">
            <v>1.1109933871079152</v>
          </cell>
          <cell r="J35">
            <v>1.1109933871079152</v>
          </cell>
        </row>
        <row r="36">
          <cell r="A36" t="str">
            <v>Skovproduktion</v>
          </cell>
          <cell r="C36" t="str">
            <v>Skovtype2</v>
          </cell>
          <cell r="D36" t="str">
            <v>Areal-skovtype2-40</v>
          </cell>
          <cell r="E36" t="str">
            <v>Hektar</v>
          </cell>
          <cell r="F36" t="str">
            <v>Træ til energi</v>
          </cell>
          <cell r="G36" t="str">
            <v>m3</v>
          </cell>
          <cell r="H36">
            <v>0.5554966935539577</v>
          </cell>
          <cell r="I36">
            <v>0.5554966935539577</v>
          </cell>
          <cell r="J36">
            <v>0.5554966935539577</v>
          </cell>
        </row>
        <row r="37">
          <cell r="A37" t="str">
            <v>Skovproduktion</v>
          </cell>
          <cell r="C37" t="str">
            <v>Skovtype2</v>
          </cell>
          <cell r="D37" t="str">
            <v>Areal-skovtype2-40</v>
          </cell>
          <cell r="E37" t="str">
            <v>Hektar</v>
          </cell>
          <cell r="F37" t="str">
            <v>CO2 - atmosfære</v>
          </cell>
          <cell r="G37" t="str">
            <v>t CO2-ækvivalenter</v>
          </cell>
          <cell r="H37">
            <v>-12.5</v>
          </cell>
          <cell r="I37">
            <v>-12.5</v>
          </cell>
          <cell r="J37">
            <v>-12.5</v>
          </cell>
        </row>
        <row r="38">
          <cell r="A38" t="str">
            <v>Skovproduktion</v>
          </cell>
          <cell r="C38" t="str">
            <v>Skovtype3</v>
          </cell>
          <cell r="D38" t="str">
            <v>Areal-skovtype3-10</v>
          </cell>
          <cell r="E38" t="str">
            <v>Hektar</v>
          </cell>
          <cell r="F38" t="str">
            <v>Træer</v>
          </cell>
          <cell r="G38" t="str">
            <v>m3</v>
          </cell>
          <cell r="H38">
            <v>0</v>
          </cell>
          <cell r="I38">
            <v>0</v>
          </cell>
          <cell r="J38">
            <v>0</v>
          </cell>
        </row>
        <row r="39">
          <cell r="A39" t="str">
            <v>Skovproduktion</v>
          </cell>
          <cell r="C39" t="str">
            <v>Skovtype3</v>
          </cell>
          <cell r="D39" t="str">
            <v>Areal-skovtype3-10</v>
          </cell>
          <cell r="E39" t="str">
            <v>Hektar</v>
          </cell>
          <cell r="F39" t="str">
            <v>Træ til energi</v>
          </cell>
          <cell r="G39" t="str">
            <v>m3</v>
          </cell>
          <cell r="H39">
            <v>0</v>
          </cell>
          <cell r="I39">
            <v>0</v>
          </cell>
          <cell r="J39">
            <v>0</v>
          </cell>
        </row>
        <row r="40">
          <cell r="A40" t="str">
            <v>Skovproduktion</v>
          </cell>
          <cell r="C40" t="str">
            <v>Skovtype3</v>
          </cell>
          <cell r="D40" t="str">
            <v>Areal-skovtype3-10</v>
          </cell>
          <cell r="E40" t="str">
            <v>Hektar</v>
          </cell>
          <cell r="F40" t="str">
            <v>CO2 - atmosfære</v>
          </cell>
          <cell r="G40" t="str">
            <v>t CO2-ækvivalenter</v>
          </cell>
          <cell r="H40">
            <v>-2.5</v>
          </cell>
          <cell r="I40">
            <v>-2.5</v>
          </cell>
          <cell r="J40">
            <v>-2.5</v>
          </cell>
        </row>
        <row r="41">
          <cell r="A41" t="str">
            <v>Skovproduktion</v>
          </cell>
          <cell r="C41" t="str">
            <v>Skovtype3</v>
          </cell>
          <cell r="D41" t="str">
            <v>Areal-skovtype3-20</v>
          </cell>
          <cell r="E41" t="str">
            <v>Hektar</v>
          </cell>
          <cell r="F41" t="str">
            <v>Træer</v>
          </cell>
          <cell r="G41" t="str">
            <v>m3</v>
          </cell>
          <cell r="H41">
            <v>0</v>
          </cell>
          <cell r="I41">
            <v>0</v>
          </cell>
          <cell r="J41">
            <v>0</v>
          </cell>
        </row>
        <row r="42">
          <cell r="A42" t="str">
            <v>Skovproduktion</v>
          </cell>
          <cell r="C42" t="str">
            <v>Skovtype3</v>
          </cell>
          <cell r="D42" t="str">
            <v>Areal-skovtype3-20</v>
          </cell>
          <cell r="E42" t="str">
            <v>Hektar</v>
          </cell>
          <cell r="F42" t="str">
            <v>Træ til energi</v>
          </cell>
          <cell r="G42" t="str">
            <v>m3</v>
          </cell>
          <cell r="H42">
            <v>0</v>
          </cell>
          <cell r="I42">
            <v>0</v>
          </cell>
          <cell r="J42">
            <v>0</v>
          </cell>
        </row>
        <row r="43">
          <cell r="A43" t="str">
            <v>Skovproduktion</v>
          </cell>
          <cell r="C43" t="str">
            <v>Skovtype3</v>
          </cell>
          <cell r="D43" t="str">
            <v>Areal-skovtype3-20</v>
          </cell>
          <cell r="E43" t="str">
            <v>Hektar</v>
          </cell>
          <cell r="F43" t="str">
            <v>CO2 - atmosfære</v>
          </cell>
          <cell r="G43" t="str">
            <v>t CO2-ækvivalenter</v>
          </cell>
          <cell r="H43">
            <v>-4.25</v>
          </cell>
          <cell r="I43">
            <v>-4.25</v>
          </cell>
          <cell r="J43">
            <v>-4.25</v>
          </cell>
        </row>
        <row r="44">
          <cell r="A44" t="str">
            <v>Skovproduktion</v>
          </cell>
          <cell r="C44" t="str">
            <v>Skovtype3</v>
          </cell>
          <cell r="D44" t="str">
            <v>Areal-skovtype3-30</v>
          </cell>
          <cell r="E44" t="str">
            <v>Hektar</v>
          </cell>
          <cell r="F44" t="str">
            <v>Træer</v>
          </cell>
          <cell r="G44" t="str">
            <v>m3</v>
          </cell>
          <cell r="H44">
            <v>0</v>
          </cell>
          <cell r="I44">
            <v>0</v>
          </cell>
          <cell r="J44">
            <v>0</v>
          </cell>
        </row>
        <row r="45">
          <cell r="A45" t="str">
            <v>Skovproduktion</v>
          </cell>
          <cell r="C45" t="str">
            <v>Skovtype3</v>
          </cell>
          <cell r="D45" t="str">
            <v>Areal-skovtype3-30</v>
          </cell>
          <cell r="E45" t="str">
            <v>Hektar</v>
          </cell>
          <cell r="F45" t="str">
            <v>Træ til energi</v>
          </cell>
          <cell r="G45" t="str">
            <v>m3</v>
          </cell>
          <cell r="H45">
            <v>0</v>
          </cell>
          <cell r="I45">
            <v>0</v>
          </cell>
          <cell r="J45">
            <v>0</v>
          </cell>
        </row>
        <row r="46">
          <cell r="A46" t="str">
            <v>Skovproduktion</v>
          </cell>
          <cell r="C46" t="str">
            <v>Skovtype3</v>
          </cell>
          <cell r="D46" t="str">
            <v>Areal-skovtype3-30</v>
          </cell>
          <cell r="E46" t="str">
            <v>Hektar</v>
          </cell>
          <cell r="F46" t="str">
            <v>CO2 - atmosfære</v>
          </cell>
          <cell r="G46" t="str">
            <v>t CO2-ækvivalenter</v>
          </cell>
          <cell r="H46">
            <v>-13.75</v>
          </cell>
          <cell r="I46">
            <v>-13.75</v>
          </cell>
          <cell r="J46">
            <v>-13.75</v>
          </cell>
        </row>
        <row r="47">
          <cell r="A47" t="str">
            <v>Skovproduktion</v>
          </cell>
          <cell r="C47" t="str">
            <v>Skovtype3</v>
          </cell>
          <cell r="D47" t="str">
            <v>Areal-skovtype3-40</v>
          </cell>
          <cell r="E47" t="str">
            <v>Hektar</v>
          </cell>
          <cell r="F47" t="str">
            <v>Træer</v>
          </cell>
          <cell r="G47" t="str">
            <v>m3</v>
          </cell>
          <cell r="H47">
            <v>1.3997528151560328</v>
          </cell>
          <cell r="I47">
            <v>1.3997528151560328</v>
          </cell>
          <cell r="J47">
            <v>1.3997528151560328</v>
          </cell>
        </row>
        <row r="48">
          <cell r="A48" t="str">
            <v>Skovproduktion</v>
          </cell>
          <cell r="C48" t="str">
            <v>Skovtype3</v>
          </cell>
          <cell r="D48" t="str">
            <v>Areal-skovtype3-40</v>
          </cell>
          <cell r="E48" t="str">
            <v>Hektar</v>
          </cell>
          <cell r="F48" t="str">
            <v>Træ til energi</v>
          </cell>
          <cell r="G48" t="str">
            <v>m3</v>
          </cell>
          <cell r="H48">
            <v>0.76350153553965439</v>
          </cell>
          <cell r="I48">
            <v>0.76350153553965439</v>
          </cell>
          <cell r="J48">
            <v>0.76350153553965439</v>
          </cell>
        </row>
        <row r="49">
          <cell r="A49" t="str">
            <v>Skovproduktion</v>
          </cell>
          <cell r="C49" t="str">
            <v>Skovtype3</v>
          </cell>
          <cell r="D49" t="str">
            <v>Areal-skovtype3-40</v>
          </cell>
          <cell r="E49" t="str">
            <v>Hektar</v>
          </cell>
          <cell r="F49" t="str">
            <v>CO2 - atmosfære</v>
          </cell>
          <cell r="G49" t="str">
            <v>t CO2-ækvivalenter</v>
          </cell>
          <cell r="H49">
            <v>-13.25</v>
          </cell>
          <cell r="I49">
            <v>-13.25</v>
          </cell>
          <cell r="J49">
            <v>-13.25</v>
          </cell>
        </row>
        <row r="50">
          <cell r="A50" t="str">
            <v>Skovproduktion</v>
          </cell>
          <cell r="C50" t="str">
            <v>Skovtype4</v>
          </cell>
          <cell r="D50" t="str">
            <v>Areal-skovtype4-10</v>
          </cell>
          <cell r="E50" t="str">
            <v>Hektar</v>
          </cell>
          <cell r="F50" t="str">
            <v>Træer</v>
          </cell>
          <cell r="G50" t="str">
            <v>m3</v>
          </cell>
          <cell r="H50">
            <v>0</v>
          </cell>
          <cell r="I50">
            <v>0</v>
          </cell>
          <cell r="J50">
            <v>0</v>
          </cell>
        </row>
        <row r="51">
          <cell r="A51" t="str">
            <v>Skovproduktion</v>
          </cell>
          <cell r="C51" t="str">
            <v>Skovtype4</v>
          </cell>
          <cell r="D51" t="str">
            <v>Areal-skovtype4-10</v>
          </cell>
          <cell r="E51" t="str">
            <v>Hektar</v>
          </cell>
          <cell r="F51" t="str">
            <v>Træ til energi</v>
          </cell>
          <cell r="G51" t="str">
            <v>m3</v>
          </cell>
          <cell r="H51">
            <v>0</v>
          </cell>
          <cell r="I51">
            <v>0</v>
          </cell>
          <cell r="J51">
            <v>0</v>
          </cell>
        </row>
        <row r="52">
          <cell r="A52" t="str">
            <v>Skovproduktion</v>
          </cell>
          <cell r="C52" t="str">
            <v>Skovtype4</v>
          </cell>
          <cell r="D52" t="str">
            <v>Areal-skovtype4-10</v>
          </cell>
          <cell r="E52" t="str">
            <v>Hektar</v>
          </cell>
          <cell r="F52" t="str">
            <v>CO2 - atmosfære</v>
          </cell>
          <cell r="G52" t="str">
            <v>t CO2-ækvivalenter</v>
          </cell>
          <cell r="H52">
            <v>-9.5</v>
          </cell>
          <cell r="I52">
            <v>-9.5</v>
          </cell>
          <cell r="J52">
            <v>-9.5</v>
          </cell>
        </row>
        <row r="53">
          <cell r="A53" t="str">
            <v>Skovproduktion</v>
          </cell>
          <cell r="C53" t="str">
            <v>Skovtype4</v>
          </cell>
          <cell r="D53" t="str">
            <v>Areal-skovtype4-20</v>
          </cell>
          <cell r="E53" t="str">
            <v>Hektar</v>
          </cell>
          <cell r="F53" t="str">
            <v>Træer</v>
          </cell>
          <cell r="G53" t="str">
            <v>m3</v>
          </cell>
          <cell r="H53">
            <v>0.5803853136012822</v>
          </cell>
          <cell r="I53">
            <v>0.5803853136012822</v>
          </cell>
          <cell r="J53">
            <v>0.5803853136012822</v>
          </cell>
        </row>
        <row r="54">
          <cell r="A54" t="str">
            <v>Skovproduktion</v>
          </cell>
          <cell r="C54" t="str">
            <v>Skovtype4</v>
          </cell>
          <cell r="D54" t="str">
            <v>Areal-skovtype4-20</v>
          </cell>
          <cell r="E54" t="str">
            <v>Hektar</v>
          </cell>
          <cell r="F54" t="str">
            <v>Træ til energi</v>
          </cell>
          <cell r="G54" t="str">
            <v>m3</v>
          </cell>
          <cell r="H54">
            <v>2.0313485976044867</v>
          </cell>
          <cell r="I54">
            <v>2.0313485976044867</v>
          </cell>
          <cell r="J54">
            <v>2.0313485976044867</v>
          </cell>
        </row>
        <row r="55">
          <cell r="A55" t="str">
            <v>Skovproduktion</v>
          </cell>
          <cell r="C55" t="str">
            <v>Skovtype4</v>
          </cell>
          <cell r="D55" t="str">
            <v>Areal-skovtype4-20</v>
          </cell>
          <cell r="E55" t="str">
            <v>Hektar</v>
          </cell>
          <cell r="F55" t="str">
            <v>CO2 - atmosfære</v>
          </cell>
          <cell r="G55" t="str">
            <v>t CO2-ækvivalenter</v>
          </cell>
          <cell r="H55">
            <v>-8</v>
          </cell>
          <cell r="I55">
            <v>-8</v>
          </cell>
          <cell r="J55">
            <v>-8</v>
          </cell>
        </row>
        <row r="56">
          <cell r="A56" t="str">
            <v>Skovproduktion</v>
          </cell>
          <cell r="C56" t="str">
            <v>Skovtype4</v>
          </cell>
          <cell r="D56" t="str">
            <v>Areal-skovtype4-30</v>
          </cell>
          <cell r="E56" t="str">
            <v>Hektar</v>
          </cell>
          <cell r="F56" t="str">
            <v>Træer</v>
          </cell>
          <cell r="G56" t="str">
            <v>m3</v>
          </cell>
          <cell r="H56">
            <v>0.62472030283471314</v>
          </cell>
          <cell r="I56">
            <v>0.62472030283471314</v>
          </cell>
          <cell r="J56">
            <v>0.62472030283471314</v>
          </cell>
        </row>
        <row r="57">
          <cell r="A57" t="str">
            <v>Skovproduktion</v>
          </cell>
          <cell r="C57" t="str">
            <v>Skovtype4</v>
          </cell>
          <cell r="D57" t="str">
            <v>Areal-skovtype4-30</v>
          </cell>
          <cell r="E57" t="str">
            <v>Hektar</v>
          </cell>
          <cell r="F57" t="str">
            <v>Træ til energi</v>
          </cell>
          <cell r="G57" t="str">
            <v>m3</v>
          </cell>
          <cell r="H57">
            <v>0.8262429811684916</v>
          </cell>
          <cell r="I57">
            <v>0.8262429811684916</v>
          </cell>
          <cell r="J57">
            <v>0.8262429811684916</v>
          </cell>
        </row>
        <row r="58">
          <cell r="A58" t="str">
            <v>Skovproduktion</v>
          </cell>
          <cell r="C58" t="str">
            <v>Skovtype4</v>
          </cell>
          <cell r="D58" t="str">
            <v>Areal-skovtype4-30</v>
          </cell>
          <cell r="E58" t="str">
            <v>Hektar</v>
          </cell>
          <cell r="F58" t="str">
            <v>CO2 - atmosfære</v>
          </cell>
          <cell r="G58" t="str">
            <v>t CO2-ækvivalenter</v>
          </cell>
          <cell r="H58">
            <v>-4.5</v>
          </cell>
          <cell r="I58">
            <v>-4.5</v>
          </cell>
          <cell r="J58">
            <v>-4.5</v>
          </cell>
        </row>
        <row r="59">
          <cell r="A59" t="str">
            <v>Skovproduktion</v>
          </cell>
          <cell r="C59" t="str">
            <v>Skovtype4</v>
          </cell>
          <cell r="D59" t="str">
            <v>Areal-skovtype4-40</v>
          </cell>
          <cell r="E59" t="str">
            <v>Hektar</v>
          </cell>
          <cell r="F59" t="str">
            <v>Træer</v>
          </cell>
          <cell r="G59" t="str">
            <v>m3</v>
          </cell>
          <cell r="H59">
            <v>0.51637222754231693</v>
          </cell>
          <cell r="I59">
            <v>0.51637222754231693</v>
          </cell>
          <cell r="J59">
            <v>0.51637222754231693</v>
          </cell>
        </row>
        <row r="60">
          <cell r="A60" t="str">
            <v>Skovproduktion</v>
          </cell>
          <cell r="C60" t="str">
            <v>Skovtype4</v>
          </cell>
          <cell r="D60" t="str">
            <v>Areal-skovtype4-40</v>
          </cell>
          <cell r="E60" t="str">
            <v>Hektar</v>
          </cell>
          <cell r="F60" t="str">
            <v>Træ til energi</v>
          </cell>
          <cell r="G60" t="str">
            <v>m3</v>
          </cell>
          <cell r="H60">
            <v>0.28165757865944563</v>
          </cell>
          <cell r="I60">
            <v>0.28165757865944563</v>
          </cell>
          <cell r="J60">
            <v>0.28165757865944563</v>
          </cell>
        </row>
        <row r="61">
          <cell r="A61" t="str">
            <v>Skovproduktion</v>
          </cell>
          <cell r="C61" t="str">
            <v>Skovtype4</v>
          </cell>
          <cell r="D61" t="str">
            <v>Areal-skovtype4-40</v>
          </cell>
          <cell r="E61" t="str">
            <v>Hektar</v>
          </cell>
          <cell r="F61" t="str">
            <v>CO2 - atmosfære</v>
          </cell>
          <cell r="G61" t="str">
            <v>t CO2-ækvivalenter</v>
          </cell>
          <cell r="H61">
            <v>-13</v>
          </cell>
          <cell r="I61">
            <v>-13</v>
          </cell>
          <cell r="J61">
            <v>-13</v>
          </cell>
        </row>
        <row r="62">
          <cell r="A62" t="str">
            <v>Skovproduktion</v>
          </cell>
          <cell r="C62" t="str">
            <v>Skovtype5</v>
          </cell>
          <cell r="D62" t="str">
            <v>Areal-skovtype5-10</v>
          </cell>
          <cell r="E62" t="str">
            <v>Hektar</v>
          </cell>
          <cell r="F62" t="str">
            <v>Træer</v>
          </cell>
          <cell r="G62" t="str">
            <v>m3</v>
          </cell>
          <cell r="H62">
            <v>0</v>
          </cell>
          <cell r="I62">
            <v>0</v>
          </cell>
          <cell r="J62">
            <v>0</v>
          </cell>
        </row>
        <row r="63">
          <cell r="A63" t="str">
            <v>Skovproduktion</v>
          </cell>
          <cell r="C63" t="str">
            <v>Skovtype5</v>
          </cell>
          <cell r="D63" t="str">
            <v>Areal-skovtype5-10</v>
          </cell>
          <cell r="E63" t="str">
            <v>Hektar</v>
          </cell>
          <cell r="F63" t="str">
            <v>Træ til energi</v>
          </cell>
          <cell r="G63" t="str">
            <v>m3</v>
          </cell>
          <cell r="H63">
            <v>0</v>
          </cell>
          <cell r="I63">
            <v>0</v>
          </cell>
          <cell r="J63">
            <v>0</v>
          </cell>
        </row>
        <row r="64">
          <cell r="A64" t="str">
            <v>Skovproduktion</v>
          </cell>
          <cell r="C64" t="str">
            <v>Skovtype5</v>
          </cell>
          <cell r="D64" t="str">
            <v>Areal-skovtype5-10</v>
          </cell>
          <cell r="E64" t="str">
            <v>Hektar</v>
          </cell>
          <cell r="F64" t="str">
            <v>CO2 - atmosfære</v>
          </cell>
          <cell r="G64" t="str">
            <v>t CO2-ækvivalenter</v>
          </cell>
          <cell r="H64">
            <v>-2.6666666666666665</v>
          </cell>
          <cell r="I64">
            <v>-2.6666666666666665</v>
          </cell>
          <cell r="J64">
            <v>-2.6666666666666665</v>
          </cell>
        </row>
        <row r="65">
          <cell r="A65" t="str">
            <v>Skovproduktion</v>
          </cell>
          <cell r="C65" t="str">
            <v>Skovtype5</v>
          </cell>
          <cell r="D65" t="str">
            <v>Areal-skovtype5-20</v>
          </cell>
          <cell r="E65" t="str">
            <v>Hektar</v>
          </cell>
          <cell r="F65" t="str">
            <v>Træer</v>
          </cell>
          <cell r="G65" t="str">
            <v>m3</v>
          </cell>
          <cell r="H65">
            <v>0</v>
          </cell>
          <cell r="I65">
            <v>0</v>
          </cell>
          <cell r="J65">
            <v>0</v>
          </cell>
        </row>
        <row r="66">
          <cell r="A66" t="str">
            <v>Skovproduktion</v>
          </cell>
          <cell r="C66" t="str">
            <v>Skovtype5</v>
          </cell>
          <cell r="D66" t="str">
            <v>Areal-skovtype5-20</v>
          </cell>
          <cell r="E66" t="str">
            <v>Hektar</v>
          </cell>
          <cell r="F66" t="str">
            <v>Træ til energi</v>
          </cell>
          <cell r="G66" t="str">
            <v>m3</v>
          </cell>
          <cell r="H66">
            <v>0</v>
          </cell>
          <cell r="I66">
            <v>0</v>
          </cell>
          <cell r="J66">
            <v>0</v>
          </cell>
        </row>
        <row r="67">
          <cell r="A67" t="str">
            <v>Skovproduktion</v>
          </cell>
          <cell r="C67" t="str">
            <v>Skovtype5</v>
          </cell>
          <cell r="D67" t="str">
            <v>Areal-skovtype5-20</v>
          </cell>
          <cell r="E67" t="str">
            <v>Hektar</v>
          </cell>
          <cell r="F67" t="str">
            <v>CO2 - atmosfære</v>
          </cell>
          <cell r="G67" t="str">
            <v>t CO2-ækvivalenter</v>
          </cell>
          <cell r="H67">
            <v>-2.6666666666666665</v>
          </cell>
          <cell r="I67">
            <v>-2.6666666666666665</v>
          </cell>
          <cell r="J67">
            <v>-2.6666666666666665</v>
          </cell>
        </row>
        <row r="68">
          <cell r="A68" t="str">
            <v>Skovproduktion</v>
          </cell>
          <cell r="C68" t="str">
            <v>Skovtype5</v>
          </cell>
          <cell r="D68" t="str">
            <v>Areal-skovtype5-30</v>
          </cell>
          <cell r="E68" t="str">
            <v>Hektar</v>
          </cell>
          <cell r="F68" t="str">
            <v>Træer</v>
          </cell>
          <cell r="G68" t="str">
            <v>m3</v>
          </cell>
          <cell r="H68">
            <v>0.17075688277482162</v>
          </cell>
          <cell r="I68">
            <v>0.17075688277482162</v>
          </cell>
          <cell r="J68">
            <v>0.17075688277482162</v>
          </cell>
        </row>
        <row r="69">
          <cell r="A69" t="str">
            <v>Skovproduktion</v>
          </cell>
          <cell r="C69" t="str">
            <v>Skovtype5</v>
          </cell>
          <cell r="D69" t="str">
            <v>Areal-skovtype5-30</v>
          </cell>
          <cell r="E69" t="str">
            <v>Hektar</v>
          </cell>
          <cell r="F69" t="str">
            <v>Træ til energi</v>
          </cell>
          <cell r="G69" t="str">
            <v>m3</v>
          </cell>
          <cell r="H69">
            <v>0.22583974818605437</v>
          </cell>
          <cell r="I69">
            <v>0.22583974818605437</v>
          </cell>
          <cell r="J69">
            <v>0.22583974818605437</v>
          </cell>
        </row>
        <row r="70">
          <cell r="A70" t="str">
            <v>Skovproduktion</v>
          </cell>
          <cell r="C70" t="str">
            <v>Skovtype5</v>
          </cell>
          <cell r="D70" t="str">
            <v>Areal-skovtype5-30</v>
          </cell>
          <cell r="E70" t="str">
            <v>Hektar</v>
          </cell>
          <cell r="F70" t="str">
            <v>CO2 - atmosfære</v>
          </cell>
          <cell r="G70" t="str">
            <v>t CO2-ækvivalenter</v>
          </cell>
          <cell r="H70">
            <v>-3.3333333333333335</v>
          </cell>
          <cell r="I70">
            <v>-3.3333333333333335</v>
          </cell>
          <cell r="J70">
            <v>-3.3333333333333335</v>
          </cell>
        </row>
        <row r="71">
          <cell r="A71" t="str">
            <v>Skovproduktion</v>
          </cell>
          <cell r="C71" t="str">
            <v>Skovtype5</v>
          </cell>
          <cell r="D71" t="str">
            <v>Areal-skovtype5-40</v>
          </cell>
          <cell r="E71" t="str">
            <v>Hektar</v>
          </cell>
          <cell r="F71" t="str">
            <v>Træer</v>
          </cell>
          <cell r="G71" t="str">
            <v>m3</v>
          </cell>
          <cell r="H71">
            <v>2.0529707955621812</v>
          </cell>
          <cell r="I71">
            <v>2.0529707955621812</v>
          </cell>
          <cell r="J71">
            <v>2.0529707955621812</v>
          </cell>
        </row>
        <row r="72">
          <cell r="A72" t="str">
            <v>Skovproduktion</v>
          </cell>
          <cell r="C72" t="str">
            <v>Skovtype5</v>
          </cell>
          <cell r="D72" t="str">
            <v>Areal-skovtype5-40</v>
          </cell>
          <cell r="E72" t="str">
            <v>Hektar</v>
          </cell>
          <cell r="F72" t="str">
            <v>Træ til energi</v>
          </cell>
          <cell r="G72" t="str">
            <v>m3</v>
          </cell>
          <cell r="H72">
            <v>1.1198022521248263</v>
          </cell>
          <cell r="I72">
            <v>1.1198022521248263</v>
          </cell>
          <cell r="J72">
            <v>1.1198022521248263</v>
          </cell>
        </row>
        <row r="73">
          <cell r="A73" t="str">
            <v>Skovproduktion</v>
          </cell>
          <cell r="C73" t="str">
            <v>Skovtype5</v>
          </cell>
          <cell r="D73" t="str">
            <v>Areal-skovtype5-40</v>
          </cell>
          <cell r="E73" t="str">
            <v>Hektar</v>
          </cell>
          <cell r="F73" t="str">
            <v>CO2 - atmosfære</v>
          </cell>
          <cell r="G73" t="str">
            <v>t CO2-ækvivalenter</v>
          </cell>
          <cell r="H73">
            <v>-4.333333333333333</v>
          </cell>
          <cell r="I73">
            <v>-4.333333333333333</v>
          </cell>
          <cell r="J73">
            <v>-4.333333333333333</v>
          </cell>
        </row>
        <row r="74">
          <cell r="A74" t="str">
            <v>Grisestald</v>
          </cell>
          <cell r="B74" t="str">
            <v>Konventionel</v>
          </cell>
          <cell r="D74" t="str">
            <v>Svin</v>
          </cell>
          <cell r="E74" t="str">
            <v>Antal</v>
          </cell>
          <cell r="F74" t="str">
            <v>Slagtesvin</v>
          </cell>
          <cell r="G74" t="str">
            <v>Antal</v>
          </cell>
          <cell r="H74">
            <v>1.3861685078371839</v>
          </cell>
          <cell r="I74">
            <v>1.3861685078371839</v>
          </cell>
          <cell r="J74">
            <v>1.3861685078371839</v>
          </cell>
        </row>
        <row r="75">
          <cell r="A75" t="str">
            <v>Grisestald</v>
          </cell>
          <cell r="B75" t="str">
            <v>Konventionel</v>
          </cell>
          <cell r="D75" t="str">
            <v>Svin</v>
          </cell>
          <cell r="E75" t="str">
            <v>Antal</v>
          </cell>
          <cell r="F75" t="str">
            <v>Svinegylle</v>
          </cell>
          <cell r="G75" t="str">
            <v>Ton</v>
          </cell>
          <cell r="H75">
            <v>1.4953335295833323</v>
          </cell>
          <cell r="I75">
            <v>1.4953335295833323</v>
          </cell>
          <cell r="J75">
            <v>1.4953335295833323</v>
          </cell>
        </row>
        <row r="76">
          <cell r="A76" t="str">
            <v>Grisestald</v>
          </cell>
          <cell r="B76" t="str">
            <v>Konventionel</v>
          </cell>
          <cell r="D76" t="str">
            <v>Svin</v>
          </cell>
          <cell r="E76" t="str">
            <v>Antal</v>
          </cell>
          <cell r="F76" t="str">
            <v>Dybstrøelse</v>
          </cell>
          <cell r="G76" t="str">
            <v>Ton</v>
          </cell>
          <cell r="H76">
            <v>0.19169096925932338</v>
          </cell>
          <cell r="I76">
            <v>0.19169096925932338</v>
          </cell>
          <cell r="J76">
            <v>0.19169096925932338</v>
          </cell>
        </row>
        <row r="77">
          <cell r="A77" t="str">
            <v>Grisestald</v>
          </cell>
          <cell r="B77" t="str">
            <v>Konventionel</v>
          </cell>
          <cell r="D77" t="str">
            <v>Svin</v>
          </cell>
          <cell r="E77" t="str">
            <v>Antal</v>
          </cell>
          <cell r="F77" t="str">
            <v>Industriaffald</v>
          </cell>
          <cell r="G77" t="str">
            <v>Ton</v>
          </cell>
          <cell r="H77">
            <v>1.5668203052737979E-2</v>
          </cell>
          <cell r="I77">
            <v>1.5668203052737979E-2</v>
          </cell>
          <cell r="J77">
            <v>1.5668203052737979E-2</v>
          </cell>
        </row>
        <row r="78">
          <cell r="A78" t="str">
            <v>Grisestald</v>
          </cell>
          <cell r="B78" t="str">
            <v>Konventionel</v>
          </cell>
          <cell r="D78" t="str">
            <v>Svin</v>
          </cell>
          <cell r="E78" t="str">
            <v>Antal</v>
          </cell>
          <cell r="F78" t="str">
            <v>Foder</v>
          </cell>
          <cell r="G78" t="str">
            <v>FE</v>
          </cell>
          <cell r="H78">
            <v>-855.47</v>
          </cell>
          <cell r="I78">
            <v>-855.47</v>
          </cell>
          <cell r="J78">
            <v>-855.47</v>
          </cell>
        </row>
        <row r="79">
          <cell r="A79" t="str">
            <v>Grisestald</v>
          </cell>
          <cell r="B79" t="str">
            <v>Konventionel</v>
          </cell>
          <cell r="D79" t="str">
            <v>Svin</v>
          </cell>
          <cell r="E79" t="str">
            <v>Antal</v>
          </cell>
          <cell r="F79" t="str">
            <v>Halm</v>
          </cell>
          <cell r="G79" t="str">
            <v>Ton</v>
          </cell>
          <cell r="H79">
            <v>-6.5699999999999995E-2</v>
          </cell>
          <cell r="I79">
            <v>-6.5699999999999995E-2</v>
          </cell>
          <cell r="J79">
            <v>-6.5699999999999995E-2</v>
          </cell>
        </row>
        <row r="80">
          <cell r="A80" t="str">
            <v>Grisestald</v>
          </cell>
          <cell r="B80" t="str">
            <v>Konventionel</v>
          </cell>
          <cell r="D80" t="str">
            <v>Svin</v>
          </cell>
          <cell r="E80" t="str">
            <v>Antal</v>
          </cell>
          <cell r="F80" t="str">
            <v>CO2 - atmosfære</v>
          </cell>
          <cell r="G80" t="str">
            <v>t CO2-ækvivalenter</v>
          </cell>
          <cell r="H80">
            <v>0.11202449132751124</v>
          </cell>
          <cell r="I80">
            <v>0.11202449132751124</v>
          </cell>
          <cell r="J80">
            <v>0.11202449132751124</v>
          </cell>
        </row>
        <row r="81">
          <cell r="A81" t="str">
            <v>Grisestald</v>
          </cell>
          <cell r="B81" t="str">
            <v>Økologisk</v>
          </cell>
          <cell r="D81" t="str">
            <v>Svin</v>
          </cell>
          <cell r="E81" t="str">
            <v>Antal</v>
          </cell>
          <cell r="F81" t="str">
            <v>Slagtesvin</v>
          </cell>
          <cell r="G81" t="str">
            <v>Antal</v>
          </cell>
          <cell r="H81">
            <v>0.47263527552126194</v>
          </cell>
          <cell r="I81">
            <v>0.47263527552126194</v>
          </cell>
          <cell r="J81">
            <v>0.47263527552126194</v>
          </cell>
        </row>
        <row r="82">
          <cell r="A82" t="str">
            <v>Grisestald</v>
          </cell>
          <cell r="B82" t="str">
            <v>Økologisk</v>
          </cell>
          <cell r="D82" t="str">
            <v>Svin</v>
          </cell>
          <cell r="E82" t="str">
            <v>Antal</v>
          </cell>
          <cell r="F82" t="str">
            <v>Svinegylle</v>
          </cell>
          <cell r="G82" t="str">
            <v>Ton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Grisestald</v>
          </cell>
          <cell r="B83" t="str">
            <v>Økologisk</v>
          </cell>
          <cell r="D83" t="str">
            <v>Svin</v>
          </cell>
          <cell r="E83" t="str">
            <v>Antal</v>
          </cell>
          <cell r="F83" t="str">
            <v>Dybstrøelse</v>
          </cell>
          <cell r="G83" t="str">
            <v>Ton</v>
          </cell>
          <cell r="H83">
            <v>0.51229925609666671</v>
          </cell>
          <cell r="I83">
            <v>0.51229925609666671</v>
          </cell>
          <cell r="J83">
            <v>0.51229925609666671</v>
          </cell>
        </row>
        <row r="84">
          <cell r="A84" t="str">
            <v>Grisestald</v>
          </cell>
          <cell r="B84" t="str">
            <v>Økologisk</v>
          </cell>
          <cell r="D84" t="str">
            <v>Svin</v>
          </cell>
          <cell r="E84" t="str">
            <v>Antal</v>
          </cell>
          <cell r="F84" t="str">
            <v>Industriaffald</v>
          </cell>
          <cell r="G84" t="str">
            <v>Ton</v>
          </cell>
          <cell r="H84">
            <v>1.5668203052737979E-2</v>
          </cell>
          <cell r="I84">
            <v>1.5668203052737979E-2</v>
          </cell>
          <cell r="J84">
            <v>1.5668203052737979E-2</v>
          </cell>
        </row>
        <row r="85">
          <cell r="A85" t="str">
            <v>Grisestald</v>
          </cell>
          <cell r="B85" t="str">
            <v>Økologisk</v>
          </cell>
          <cell r="D85" t="str">
            <v>Svin</v>
          </cell>
          <cell r="E85" t="str">
            <v>Antal</v>
          </cell>
          <cell r="F85" t="str">
            <v>Foder</v>
          </cell>
          <cell r="G85" t="str">
            <v>FE</v>
          </cell>
          <cell r="H85">
            <v>-855.47</v>
          </cell>
          <cell r="I85">
            <v>-855.47</v>
          </cell>
          <cell r="J85">
            <v>-855.47</v>
          </cell>
        </row>
        <row r="86">
          <cell r="A86" t="str">
            <v>Grisestald</v>
          </cell>
          <cell r="B86" t="str">
            <v>Økologisk</v>
          </cell>
          <cell r="D86" t="str">
            <v>Svin</v>
          </cell>
          <cell r="E86" t="str">
            <v>Antal</v>
          </cell>
          <cell r="F86" t="str">
            <v>Halm</v>
          </cell>
          <cell r="G86" t="str">
            <v>Ton</v>
          </cell>
          <cell r="H86">
            <v>-5.7750000000000003E-2</v>
          </cell>
          <cell r="I86">
            <v>-5.7750000000000003E-2</v>
          </cell>
          <cell r="J86">
            <v>-5.7750000000000003E-2</v>
          </cell>
        </row>
        <row r="87">
          <cell r="A87" t="str">
            <v>Grisestald</v>
          </cell>
          <cell r="B87" t="str">
            <v>Økologisk</v>
          </cell>
          <cell r="D87" t="str">
            <v>Svin</v>
          </cell>
          <cell r="E87" t="str">
            <v>Antal</v>
          </cell>
          <cell r="F87" t="str">
            <v>CO2 - atmosfære</v>
          </cell>
          <cell r="G87" t="str">
            <v>t CO2-ækvivalenter</v>
          </cell>
          <cell r="H87">
            <v>0.12322694046026236</v>
          </cell>
          <cell r="I87">
            <v>0.12322694046026236</v>
          </cell>
          <cell r="J87">
            <v>0.12322694046026236</v>
          </cell>
        </row>
        <row r="88">
          <cell r="A88" t="str">
            <v>Kostald</v>
          </cell>
          <cell r="B88" t="str">
            <v>Konventionel</v>
          </cell>
          <cell r="D88" t="str">
            <v>Køer</v>
          </cell>
          <cell r="E88" t="str">
            <v>Antal</v>
          </cell>
          <cell r="F88" t="str">
            <v>Slagtekøer</v>
          </cell>
          <cell r="G88" t="str">
            <v>Antal</v>
          </cell>
          <cell r="H88">
            <v>0.34772753819004898</v>
          </cell>
          <cell r="I88">
            <v>0.34772753819004898</v>
          </cell>
          <cell r="J88">
            <v>0.34772753819004898</v>
          </cell>
        </row>
        <row r="89">
          <cell r="A89" t="str">
            <v>Kostald</v>
          </cell>
          <cell r="B89" t="str">
            <v>Konventionel</v>
          </cell>
          <cell r="D89" t="str">
            <v>Køer</v>
          </cell>
          <cell r="E89" t="str">
            <v>Antal</v>
          </cell>
          <cell r="F89" t="str">
            <v>Kvæggylle</v>
          </cell>
          <cell r="G89" t="str">
            <v>Ton</v>
          </cell>
          <cell r="H89">
            <v>10.090491238149957</v>
          </cell>
          <cell r="I89">
            <v>10.090491238149957</v>
          </cell>
          <cell r="J89">
            <v>10.090491238149957</v>
          </cell>
        </row>
        <row r="90">
          <cell r="A90" t="str">
            <v>Kostald</v>
          </cell>
          <cell r="B90" t="str">
            <v>Konventionel</v>
          </cell>
          <cell r="D90" t="str">
            <v>Køer</v>
          </cell>
          <cell r="E90" t="str">
            <v>Antal</v>
          </cell>
          <cell r="F90" t="str">
            <v>Dybstrøelse</v>
          </cell>
          <cell r="G90" t="str">
            <v>Ton</v>
          </cell>
          <cell r="H90">
            <v>0.19774537441874415</v>
          </cell>
          <cell r="I90">
            <v>0.19774537441874415</v>
          </cell>
          <cell r="J90">
            <v>0.19774537441874415</v>
          </cell>
        </row>
        <row r="91">
          <cell r="A91" t="str">
            <v>Kostald</v>
          </cell>
          <cell r="B91" t="str">
            <v>Konventionel</v>
          </cell>
          <cell r="D91" t="str">
            <v>Køer</v>
          </cell>
          <cell r="E91" t="str">
            <v>Antal</v>
          </cell>
          <cell r="F91" t="str">
            <v>Råmælk</v>
          </cell>
          <cell r="G91" t="str">
            <v>Ton</v>
          </cell>
          <cell r="H91">
            <v>3.7771765723503732</v>
          </cell>
          <cell r="I91">
            <v>3.7771765723503732</v>
          </cell>
          <cell r="J91">
            <v>3.7771765723503732</v>
          </cell>
        </row>
        <row r="92">
          <cell r="A92" t="str">
            <v>Kostald</v>
          </cell>
          <cell r="B92" t="str">
            <v>Konventionel</v>
          </cell>
          <cell r="D92" t="str">
            <v>Køer</v>
          </cell>
          <cell r="E92" t="str">
            <v>Antal</v>
          </cell>
          <cell r="F92" t="str">
            <v>Industriaffald</v>
          </cell>
          <cell r="G92" t="str">
            <v>Ton</v>
          </cell>
          <cell r="H92">
            <v>4.3029625219252375E-2</v>
          </cell>
          <cell r="I92">
            <v>4.3029625219252375E-2</v>
          </cell>
          <cell r="J92">
            <v>4.3029625219252375E-2</v>
          </cell>
        </row>
        <row r="93">
          <cell r="A93" t="str">
            <v>Kostald</v>
          </cell>
          <cell r="B93" t="str">
            <v>Konventionel</v>
          </cell>
          <cell r="D93" t="str">
            <v>Køer</v>
          </cell>
          <cell r="E93" t="str">
            <v>Antal</v>
          </cell>
          <cell r="F93" t="str">
            <v>Foder</v>
          </cell>
          <cell r="G93" t="str">
            <v>FE</v>
          </cell>
          <cell r="H93">
            <v>-2618</v>
          </cell>
          <cell r="I93">
            <v>-2618</v>
          </cell>
          <cell r="J93">
            <v>-2618</v>
          </cell>
        </row>
        <row r="94">
          <cell r="A94" t="str">
            <v>Kostald</v>
          </cell>
          <cell r="B94" t="str">
            <v>Konventionel</v>
          </cell>
          <cell r="D94" t="str">
            <v>Køer</v>
          </cell>
          <cell r="E94" t="str">
            <v>Antal</v>
          </cell>
          <cell r="F94" t="str">
            <v>Halm</v>
          </cell>
          <cell r="G94" t="str">
            <v>Ton</v>
          </cell>
          <cell r="H94">
            <v>-1.095E-2</v>
          </cell>
          <cell r="I94">
            <v>-1.095E-2</v>
          </cell>
          <cell r="J94">
            <v>-1.095E-2</v>
          </cell>
        </row>
        <row r="95">
          <cell r="A95" t="str">
            <v>Kostald</v>
          </cell>
          <cell r="B95" t="str">
            <v>Konventionel</v>
          </cell>
          <cell r="D95" t="str">
            <v>Køer</v>
          </cell>
          <cell r="E95" t="str">
            <v>Antal</v>
          </cell>
          <cell r="F95" t="str">
            <v>CO2 - atmosfære</v>
          </cell>
          <cell r="G95" t="str">
            <v>t CO2-ækvivalenter</v>
          </cell>
          <cell r="H95">
            <v>2.831717934524296</v>
          </cell>
          <cell r="I95">
            <v>2.831717934524296</v>
          </cell>
          <cell r="J95">
            <v>2.831717934524296</v>
          </cell>
        </row>
        <row r="96">
          <cell r="A96" t="str">
            <v>Kostald</v>
          </cell>
          <cell r="B96" t="str">
            <v>Økologisk</v>
          </cell>
          <cell r="D96" t="str">
            <v>Køer</v>
          </cell>
          <cell r="E96" t="str">
            <v>Antal</v>
          </cell>
          <cell r="F96" t="str">
            <v>Slagtekøer</v>
          </cell>
          <cell r="G96" t="str">
            <v>Antal</v>
          </cell>
          <cell r="H96">
            <v>0.10430224472694208</v>
          </cell>
          <cell r="I96">
            <v>0.10430224472694208</v>
          </cell>
          <cell r="J96">
            <v>0.10430224472694208</v>
          </cell>
        </row>
        <row r="97">
          <cell r="A97" t="str">
            <v>Kostald</v>
          </cell>
          <cell r="B97" t="str">
            <v>Økologisk</v>
          </cell>
          <cell r="D97" t="str">
            <v>Køer</v>
          </cell>
          <cell r="E97" t="str">
            <v>Antal</v>
          </cell>
          <cell r="F97" t="str">
            <v>Kvæggylle</v>
          </cell>
          <cell r="G97" t="str">
            <v>Ton</v>
          </cell>
          <cell r="H97">
            <v>5.636332840052062</v>
          </cell>
          <cell r="I97">
            <v>5.636332840052062</v>
          </cell>
          <cell r="J97">
            <v>5.636332840052062</v>
          </cell>
        </row>
        <row r="98">
          <cell r="A98" t="str">
            <v>Kostald</v>
          </cell>
          <cell r="B98" t="str">
            <v>Økologisk</v>
          </cell>
          <cell r="D98" t="str">
            <v>Køer</v>
          </cell>
          <cell r="E98" t="str">
            <v>Antal</v>
          </cell>
          <cell r="F98" t="str">
            <v>Dybstrøelse</v>
          </cell>
          <cell r="G98" t="str">
            <v>Ton</v>
          </cell>
          <cell r="H98">
            <v>4.6534847647404926E-2</v>
          </cell>
          <cell r="I98">
            <v>4.6534847647404926E-2</v>
          </cell>
          <cell r="J98">
            <v>4.6534847647404926E-2</v>
          </cell>
        </row>
        <row r="99">
          <cell r="A99" t="str">
            <v>Kostald</v>
          </cell>
          <cell r="B99" t="str">
            <v>Økologisk</v>
          </cell>
          <cell r="D99" t="str">
            <v>Køer</v>
          </cell>
          <cell r="E99" t="str">
            <v>Antal</v>
          </cell>
          <cell r="F99" t="str">
            <v>Råmælk</v>
          </cell>
          <cell r="G99" t="str">
            <v>Ton</v>
          </cell>
          <cell r="H99">
            <v>2.1529053078253426</v>
          </cell>
          <cell r="I99">
            <v>2.1529053078253426</v>
          </cell>
          <cell r="J99">
            <v>2.1529053078253426</v>
          </cell>
        </row>
        <row r="100">
          <cell r="A100" t="str">
            <v>Kostald</v>
          </cell>
          <cell r="B100" t="str">
            <v>Økologisk</v>
          </cell>
          <cell r="D100" t="str">
            <v>Køer</v>
          </cell>
          <cell r="E100" t="str">
            <v>Antal</v>
          </cell>
          <cell r="F100" t="str">
            <v>Industriaffald</v>
          </cell>
          <cell r="G100" t="str">
            <v>Ton</v>
          </cell>
          <cell r="H100">
            <v>4.3029625219252375E-2</v>
          </cell>
          <cell r="I100">
            <v>4.3029625219252375E-2</v>
          </cell>
          <cell r="J100">
            <v>4.3029625219252375E-2</v>
          </cell>
        </row>
        <row r="101">
          <cell r="A101" t="str">
            <v>Kostald</v>
          </cell>
          <cell r="B101" t="str">
            <v>Økologisk</v>
          </cell>
          <cell r="D101" t="str">
            <v>Køer</v>
          </cell>
          <cell r="E101" t="str">
            <v>Antal</v>
          </cell>
          <cell r="F101" t="str">
            <v>Foder</v>
          </cell>
          <cell r="G101" t="str">
            <v>FE</v>
          </cell>
          <cell r="H101">
            <v>-2618</v>
          </cell>
          <cell r="I101">
            <v>-2618</v>
          </cell>
          <cell r="J101">
            <v>-2618</v>
          </cell>
        </row>
        <row r="102">
          <cell r="A102" t="str">
            <v>Kostald</v>
          </cell>
          <cell r="B102" t="str">
            <v>Økologisk</v>
          </cell>
          <cell r="D102" t="str">
            <v>Køer</v>
          </cell>
          <cell r="E102" t="str">
            <v>Antal</v>
          </cell>
          <cell r="F102" t="str">
            <v>Halm</v>
          </cell>
          <cell r="G102" t="str">
            <v>Ton</v>
          </cell>
          <cell r="H102">
            <v>-1.32E-2</v>
          </cell>
          <cell r="I102">
            <v>-1.32E-2</v>
          </cell>
          <cell r="J102">
            <v>-1.32E-2</v>
          </cell>
        </row>
        <row r="103">
          <cell r="A103" t="str">
            <v>Kostald</v>
          </cell>
          <cell r="B103" t="str">
            <v>Økologisk</v>
          </cell>
          <cell r="D103" t="str">
            <v>Køer</v>
          </cell>
          <cell r="E103" t="str">
            <v>Antal</v>
          </cell>
          <cell r="F103" t="str">
            <v>CO2 - atmosfære</v>
          </cell>
          <cell r="G103" t="str">
            <v>t CO2-ækvivalenter</v>
          </cell>
          <cell r="H103">
            <v>2.3680201988872902</v>
          </cell>
          <cell r="I103">
            <v>2.3680201988872902</v>
          </cell>
          <cell r="J103">
            <v>2.3680201988872902</v>
          </cell>
        </row>
        <row r="104">
          <cell r="A104" t="str">
            <v>Fjerkræbrug</v>
          </cell>
          <cell r="B104" t="str">
            <v>Konventionel</v>
          </cell>
          <cell r="D104" t="str">
            <v>Fjerkræ</v>
          </cell>
          <cell r="E104" t="str">
            <v>Antal</v>
          </cell>
          <cell r="F104" t="str">
            <v>Slagtefjerkræ</v>
          </cell>
          <cell r="G104" t="str">
            <v>Antal</v>
          </cell>
          <cell r="H104">
            <v>5.3363578103053619</v>
          </cell>
          <cell r="I104">
            <v>5.3363578103053619</v>
          </cell>
          <cell r="J104">
            <v>5.3363578103053619</v>
          </cell>
        </row>
        <row r="105">
          <cell r="A105" t="str">
            <v>Fjerkræbrug</v>
          </cell>
          <cell r="B105" t="str">
            <v>Konventionel</v>
          </cell>
          <cell r="D105" t="str">
            <v>Fjerkræ</v>
          </cell>
          <cell r="E105" t="str">
            <v>Antal</v>
          </cell>
          <cell r="F105" t="str">
            <v>Fjerkrægylle</v>
          </cell>
          <cell r="G105" t="str">
            <v>Ton</v>
          </cell>
          <cell r="H105">
            <v>3.3965332371824528E-4</v>
          </cell>
          <cell r="I105">
            <v>3.3965332371824528E-4</v>
          </cell>
          <cell r="J105">
            <v>3.3965332371824528E-4</v>
          </cell>
        </row>
        <row r="106">
          <cell r="A106" t="str">
            <v>Fjerkræbrug</v>
          </cell>
          <cell r="B106" t="str">
            <v>Konventionel</v>
          </cell>
          <cell r="D106" t="str">
            <v>Fjerkræ</v>
          </cell>
          <cell r="E106" t="str">
            <v>Antal</v>
          </cell>
          <cell r="F106" t="str">
            <v>Dybstrøelse</v>
          </cell>
          <cell r="G106" t="str">
            <v>Ton</v>
          </cell>
          <cell r="H106">
            <v>7.5279568763122248E-3</v>
          </cell>
          <cell r="I106">
            <v>7.5279568763122248E-3</v>
          </cell>
          <cell r="J106">
            <v>7.5279568763122248E-3</v>
          </cell>
        </row>
        <row r="107">
          <cell r="A107" t="str">
            <v>Fjerkræbrug</v>
          </cell>
          <cell r="B107" t="str">
            <v>Konventionel</v>
          </cell>
          <cell r="D107" t="str">
            <v>Fjerkræ</v>
          </cell>
          <cell r="E107" t="str">
            <v>Antal</v>
          </cell>
          <cell r="F107" t="str">
            <v>Æg</v>
          </cell>
          <cell r="G107" t="str">
            <v>Ton</v>
          </cell>
          <cell r="H107">
            <v>1.1120887382109748E-2</v>
          </cell>
          <cell r="I107">
            <v>1.1120887382109748E-2</v>
          </cell>
          <cell r="J107">
            <v>1.1120887382109748E-2</v>
          </cell>
        </row>
        <row r="108">
          <cell r="A108" t="str">
            <v>Fjerkræbrug</v>
          </cell>
          <cell r="B108" t="str">
            <v>Konventionel</v>
          </cell>
          <cell r="D108" t="str">
            <v>Fjerkræ</v>
          </cell>
          <cell r="E108" t="str">
            <v>Antal</v>
          </cell>
          <cell r="F108" t="str">
            <v>Industriaffald</v>
          </cell>
          <cell r="G108" t="str">
            <v>Ton</v>
          </cell>
          <cell r="H108">
            <v>4.6967971777477953E-4</v>
          </cell>
          <cell r="I108">
            <v>4.6967971777477953E-4</v>
          </cell>
          <cell r="J108">
            <v>4.6967971777477953E-4</v>
          </cell>
        </row>
        <row r="109">
          <cell r="A109" t="str">
            <v>Fjerkræbrug</v>
          </cell>
          <cell r="B109" t="str">
            <v>Konventionel</v>
          </cell>
          <cell r="D109" t="str">
            <v>Fjerkræ</v>
          </cell>
          <cell r="E109" t="str">
            <v>Antal</v>
          </cell>
          <cell r="F109" t="str">
            <v>Foder</v>
          </cell>
          <cell r="G109" t="str">
            <v>FE</v>
          </cell>
          <cell r="H109">
            <v>-18.48</v>
          </cell>
          <cell r="I109">
            <v>-18.48</v>
          </cell>
          <cell r="J109">
            <v>-18.48</v>
          </cell>
        </row>
        <row r="110">
          <cell r="A110" t="str">
            <v>Fjerkræbrug</v>
          </cell>
          <cell r="B110" t="str">
            <v>Konventionel</v>
          </cell>
          <cell r="D110" t="str">
            <v>Fjerkræ</v>
          </cell>
          <cell r="E110" t="str">
            <v>Antal</v>
          </cell>
          <cell r="F110" t="str">
            <v>Halm</v>
          </cell>
          <cell r="G110" t="str">
            <v>Ton</v>
          </cell>
          <cell r="H110">
            <v>-4.3799999999999997E-4</v>
          </cell>
          <cell r="I110">
            <v>-4.3799999999999997E-4</v>
          </cell>
          <cell r="J110">
            <v>-4.3799999999999997E-4</v>
          </cell>
        </row>
        <row r="111">
          <cell r="A111" t="str">
            <v>Fjerkræbrug</v>
          </cell>
          <cell r="B111" t="str">
            <v>Konventionel</v>
          </cell>
          <cell r="D111" t="str">
            <v>Fjerkræ</v>
          </cell>
          <cell r="E111" t="str">
            <v>Antal</v>
          </cell>
          <cell r="F111" t="str">
            <v>CO2 - atmosfære</v>
          </cell>
          <cell r="G111" t="str">
            <v>t CO2-ækvivalenter</v>
          </cell>
          <cell r="H111">
            <v>7.1358057718871957E-4</v>
          </cell>
          <cell r="I111">
            <v>7.1358057718871957E-4</v>
          </cell>
          <cell r="J111">
            <v>7.1358057718871957E-4</v>
          </cell>
        </row>
        <row r="112">
          <cell r="A112" t="str">
            <v>Fjerkræbrug</v>
          </cell>
          <cell r="B112" t="str">
            <v>Økologisk</v>
          </cell>
          <cell r="D112" t="str">
            <v>Fjerkræ</v>
          </cell>
          <cell r="E112" t="str">
            <v>Antal</v>
          </cell>
          <cell r="F112" t="str">
            <v>Slagtefjerkræ</v>
          </cell>
          <cell r="G112" t="str">
            <v>Antal</v>
          </cell>
          <cell r="H112">
            <v>0.37369537669419861</v>
          </cell>
          <cell r="I112">
            <v>0.37369537669419861</v>
          </cell>
          <cell r="J112">
            <v>0.37369537669419861</v>
          </cell>
        </row>
        <row r="113">
          <cell r="A113" t="str">
            <v>Fjerkræbrug</v>
          </cell>
          <cell r="B113" t="str">
            <v>Økologisk</v>
          </cell>
          <cell r="D113" t="str">
            <v>Fjerkræ</v>
          </cell>
          <cell r="E113" t="str">
            <v>Antal</v>
          </cell>
          <cell r="F113" t="str">
            <v>Fjerkrægylle</v>
          </cell>
          <cell r="G113" t="str">
            <v>Ton</v>
          </cell>
          <cell r="H113">
            <v>6.6023396673266124E-4</v>
          </cell>
          <cell r="I113">
            <v>6.6023396673266124E-4</v>
          </cell>
          <cell r="J113">
            <v>6.6023396673266124E-4</v>
          </cell>
        </row>
        <row r="114">
          <cell r="A114" t="str">
            <v>Fjerkræbrug</v>
          </cell>
          <cell r="B114" t="str">
            <v>Økologisk</v>
          </cell>
          <cell r="D114" t="str">
            <v>Fjerkræ</v>
          </cell>
          <cell r="E114" t="str">
            <v>Antal</v>
          </cell>
          <cell r="F114" t="str">
            <v>Dybstrøelse</v>
          </cell>
          <cell r="G114" t="str">
            <v>Ton</v>
          </cell>
          <cell r="H114">
            <v>2.4860457648070043E-3</v>
          </cell>
          <cell r="I114">
            <v>2.4860457648070043E-3</v>
          </cell>
          <cell r="J114">
            <v>2.4860457648070043E-3</v>
          </cell>
        </row>
        <row r="115">
          <cell r="A115" t="str">
            <v>Fjerkræbrug</v>
          </cell>
          <cell r="B115" t="str">
            <v>Økologisk</v>
          </cell>
          <cell r="D115" t="str">
            <v>Fjerkræ</v>
          </cell>
          <cell r="E115" t="str">
            <v>Antal</v>
          </cell>
          <cell r="F115" t="str">
            <v>Æg</v>
          </cell>
          <cell r="G115" t="str">
            <v>Ton</v>
          </cell>
          <cell r="H115">
            <v>4.5769564887054442E-3</v>
          </cell>
          <cell r="I115">
            <v>4.5769564887054442E-3</v>
          </cell>
          <cell r="J115">
            <v>4.5769564887054442E-3</v>
          </cell>
        </row>
        <row r="116">
          <cell r="A116" t="str">
            <v>Fjerkræbrug</v>
          </cell>
          <cell r="B116" t="str">
            <v>Økologisk</v>
          </cell>
          <cell r="D116" t="str">
            <v>Fjerkræ</v>
          </cell>
          <cell r="E116" t="str">
            <v>Antal</v>
          </cell>
          <cell r="F116" t="str">
            <v>Industriaffald</v>
          </cell>
          <cell r="G116" t="str">
            <v>Ton</v>
          </cell>
          <cell r="H116">
            <v>4.6967971777477953E-4</v>
          </cell>
          <cell r="I116">
            <v>4.6967971777477953E-4</v>
          </cell>
          <cell r="J116">
            <v>4.6967971777477953E-4</v>
          </cell>
        </row>
        <row r="117">
          <cell r="A117" t="str">
            <v>Fjerkræbrug</v>
          </cell>
          <cell r="B117" t="str">
            <v>Økologisk</v>
          </cell>
          <cell r="D117" t="str">
            <v>Fjerkræ</v>
          </cell>
          <cell r="E117" t="str">
            <v>Antal</v>
          </cell>
          <cell r="F117" t="str">
            <v>Foder</v>
          </cell>
          <cell r="G117" t="str">
            <v>FE</v>
          </cell>
          <cell r="H117">
            <v>-18.48</v>
          </cell>
          <cell r="I117">
            <v>-18.48</v>
          </cell>
          <cell r="J117">
            <v>-18.48</v>
          </cell>
        </row>
        <row r="118">
          <cell r="A118" t="str">
            <v>Fjerkræbrug</v>
          </cell>
          <cell r="B118" t="str">
            <v>Økologisk</v>
          </cell>
          <cell r="D118" t="str">
            <v>Fjerkræ</v>
          </cell>
          <cell r="E118" t="str">
            <v>Antal</v>
          </cell>
          <cell r="F118" t="str">
            <v>Halm</v>
          </cell>
          <cell r="G118" t="str">
            <v>Ton</v>
          </cell>
          <cell r="H118">
            <v>-8.25E-4</v>
          </cell>
          <cell r="I118">
            <v>-8.25E-4</v>
          </cell>
          <cell r="J118">
            <v>-8.25E-4</v>
          </cell>
        </row>
        <row r="119">
          <cell r="A119" t="str">
            <v>Fjerkræbrug</v>
          </cell>
          <cell r="B119" t="str">
            <v>Økologisk</v>
          </cell>
          <cell r="D119" t="str">
            <v>Fjerkræ</v>
          </cell>
          <cell r="E119" t="str">
            <v>Antal</v>
          </cell>
          <cell r="F119" t="str">
            <v>CO2 - atmosfære</v>
          </cell>
          <cell r="G119" t="str">
            <v>t CO2-ækvivalenter</v>
          </cell>
          <cell r="H119">
            <v>7.8493863490759156E-4</v>
          </cell>
          <cell r="I119">
            <v>7.8493863490759156E-4</v>
          </cell>
          <cell r="J119">
            <v>7.8493863490759156E-4</v>
          </cell>
        </row>
        <row r="120">
          <cell r="A120" t="str">
            <v>Kornmark</v>
          </cell>
          <cell r="B120" t="str">
            <v>Konventionel</v>
          </cell>
          <cell r="C120" t="str">
            <v>JB1-10</v>
          </cell>
          <cell r="D120" t="str">
            <v>Areal-korn</v>
          </cell>
          <cell r="E120" t="str">
            <v>Hektar</v>
          </cell>
          <cell r="F120" t="str">
            <v>Korn</v>
          </cell>
          <cell r="G120" t="str">
            <v>Ton</v>
          </cell>
          <cell r="H120">
            <v>7.01</v>
          </cell>
          <cell r="I120">
            <v>7.01</v>
          </cell>
          <cell r="J120">
            <v>7.01</v>
          </cell>
        </row>
        <row r="121">
          <cell r="A121" t="str">
            <v>Kornmark</v>
          </cell>
          <cell r="B121" t="str">
            <v>Konventionel</v>
          </cell>
          <cell r="C121" t="str">
            <v>JB1-10</v>
          </cell>
          <cell r="D121" t="str">
            <v>Areal-korn</v>
          </cell>
          <cell r="E121" t="str">
            <v>Hektar</v>
          </cell>
          <cell r="F121" t="str">
            <v>Halm</v>
          </cell>
          <cell r="G121" t="str">
            <v>Ton</v>
          </cell>
          <cell r="H121">
            <v>3.8555000000000001</v>
          </cell>
          <cell r="I121">
            <v>3.8555000000000001</v>
          </cell>
          <cell r="J121">
            <v>3.8555000000000001</v>
          </cell>
        </row>
        <row r="122">
          <cell r="A122" t="str">
            <v>Kornmark</v>
          </cell>
          <cell r="B122" t="str">
            <v>Konventionel</v>
          </cell>
          <cell r="C122" t="str">
            <v>JB1-10</v>
          </cell>
          <cell r="D122" t="str">
            <v>Areal-korn</v>
          </cell>
          <cell r="E122" t="str">
            <v>Hektar</v>
          </cell>
          <cell r="F122" t="str">
            <v>Gødning</v>
          </cell>
          <cell r="G122" t="str">
            <v>kg N</v>
          </cell>
          <cell r="H122">
            <v>-160</v>
          </cell>
          <cell r="I122">
            <v>-160</v>
          </cell>
          <cell r="J122">
            <v>-160</v>
          </cell>
        </row>
        <row r="123">
          <cell r="A123" t="str">
            <v>Kornmark</v>
          </cell>
          <cell r="B123" t="str">
            <v>Konventionel</v>
          </cell>
          <cell r="C123" t="str">
            <v>JB1-10</v>
          </cell>
          <cell r="D123" t="str">
            <v>Areal-korn</v>
          </cell>
          <cell r="E123" t="str">
            <v>Hektar</v>
          </cell>
          <cell r="F123" t="str">
            <v>CO2 - atmosfære</v>
          </cell>
          <cell r="G123" t="str">
            <v>t CO2-ækvivalenter</v>
          </cell>
          <cell r="H123">
            <v>2.2736943674854606</v>
          </cell>
          <cell r="I123">
            <v>2.2736943674854606</v>
          </cell>
          <cell r="J123">
            <v>2.2736943674854606</v>
          </cell>
        </row>
        <row r="124">
          <cell r="A124" t="str">
            <v>Kornmark</v>
          </cell>
          <cell r="B124" t="str">
            <v>Konventionel</v>
          </cell>
          <cell r="C124" t="str">
            <v>OC6</v>
          </cell>
          <cell r="D124" t="str">
            <v>Areal-korn</v>
          </cell>
          <cell r="E124" t="str">
            <v>Hektar</v>
          </cell>
          <cell r="F124" t="str">
            <v>Korn</v>
          </cell>
          <cell r="G124" t="str">
            <v>Ton</v>
          </cell>
          <cell r="H124">
            <v>8.411999999999999</v>
          </cell>
          <cell r="I124">
            <v>8.411999999999999</v>
          </cell>
          <cell r="J124">
            <v>8.411999999999999</v>
          </cell>
        </row>
        <row r="125">
          <cell r="A125" t="str">
            <v>Kornmark</v>
          </cell>
          <cell r="B125" t="str">
            <v>Konventionel</v>
          </cell>
          <cell r="C125" t="str">
            <v>OC6</v>
          </cell>
          <cell r="D125" t="str">
            <v>Areal-korn</v>
          </cell>
          <cell r="E125" t="str">
            <v>Hektar</v>
          </cell>
          <cell r="F125" t="str">
            <v>Halm</v>
          </cell>
          <cell r="G125" t="str">
            <v>Ton</v>
          </cell>
          <cell r="H125">
            <v>4.6265999999999998</v>
          </cell>
          <cell r="I125">
            <v>4.6265999999999998</v>
          </cell>
          <cell r="J125">
            <v>4.6265999999999998</v>
          </cell>
        </row>
        <row r="126">
          <cell r="A126" t="str">
            <v>Kornmark</v>
          </cell>
          <cell r="B126" t="str">
            <v>Konventionel</v>
          </cell>
          <cell r="C126" t="str">
            <v>OC6</v>
          </cell>
          <cell r="D126" t="str">
            <v>Areal-korn</v>
          </cell>
          <cell r="E126" t="str">
            <v>Hektar</v>
          </cell>
          <cell r="F126" t="str">
            <v>Gødning</v>
          </cell>
          <cell r="G126" t="str">
            <v>kg N</v>
          </cell>
          <cell r="H126">
            <v>-130</v>
          </cell>
          <cell r="I126">
            <v>-130</v>
          </cell>
          <cell r="J126">
            <v>-130</v>
          </cell>
        </row>
        <row r="127">
          <cell r="A127" t="str">
            <v>Kornmark</v>
          </cell>
          <cell r="B127" t="str">
            <v>Konventionel</v>
          </cell>
          <cell r="C127" t="str">
            <v>OC6</v>
          </cell>
          <cell r="D127" t="str">
            <v>Areal-korn</v>
          </cell>
          <cell r="E127" t="str">
            <v>Hektar</v>
          </cell>
          <cell r="F127" t="str">
            <v>CO2 - atmosfære</v>
          </cell>
          <cell r="G127" t="str">
            <v>t CO2-ækvivalenter</v>
          </cell>
          <cell r="H127">
            <v>15.99169436748546</v>
          </cell>
          <cell r="I127">
            <v>15.99169436748546</v>
          </cell>
          <cell r="J127">
            <v>15.99169436748546</v>
          </cell>
        </row>
        <row r="128">
          <cell r="A128" t="str">
            <v>Kornmark</v>
          </cell>
          <cell r="B128" t="str">
            <v>Konventionel</v>
          </cell>
          <cell r="C128" t="str">
            <v>OC12</v>
          </cell>
          <cell r="D128" t="str">
            <v>Areal-korn</v>
          </cell>
          <cell r="E128" t="str">
            <v>Hektar</v>
          </cell>
          <cell r="F128" t="str">
            <v>Korn</v>
          </cell>
          <cell r="G128" t="str">
            <v>Ton</v>
          </cell>
          <cell r="H128">
            <v>9.8139999999999983</v>
          </cell>
          <cell r="I128">
            <v>9.8139999999999983</v>
          </cell>
          <cell r="J128">
            <v>9.8139999999999983</v>
          </cell>
        </row>
        <row r="129">
          <cell r="A129" t="str">
            <v>Kornmark</v>
          </cell>
          <cell r="B129" t="str">
            <v>Konventionel</v>
          </cell>
          <cell r="C129" t="str">
            <v>OC12</v>
          </cell>
          <cell r="D129" t="str">
            <v>Areal-korn</v>
          </cell>
          <cell r="E129" t="str">
            <v>Hektar</v>
          </cell>
          <cell r="F129" t="str">
            <v>Halm</v>
          </cell>
          <cell r="G129" t="str">
            <v>Ton</v>
          </cell>
          <cell r="H129">
            <v>5.3976999999999995</v>
          </cell>
          <cell r="I129">
            <v>5.3976999999999995</v>
          </cell>
          <cell r="J129">
            <v>5.3976999999999995</v>
          </cell>
        </row>
        <row r="130">
          <cell r="A130" t="str">
            <v>Kornmark</v>
          </cell>
          <cell r="B130" t="str">
            <v>Konventionel</v>
          </cell>
          <cell r="C130" t="str">
            <v>OC12</v>
          </cell>
          <cell r="D130" t="str">
            <v>Areal-korn</v>
          </cell>
          <cell r="E130" t="str">
            <v>Hektar</v>
          </cell>
          <cell r="F130" t="str">
            <v>Gødning</v>
          </cell>
          <cell r="G130" t="str">
            <v>kg N</v>
          </cell>
          <cell r="H130">
            <v>-100</v>
          </cell>
          <cell r="I130">
            <v>-100</v>
          </cell>
          <cell r="J130">
            <v>-100</v>
          </cell>
        </row>
        <row r="131">
          <cell r="A131" t="str">
            <v>Kornmark</v>
          </cell>
          <cell r="B131" t="str">
            <v>Konventionel</v>
          </cell>
          <cell r="C131" t="str">
            <v>OC12</v>
          </cell>
          <cell r="D131" t="str">
            <v>Areal-korn</v>
          </cell>
          <cell r="E131" t="str">
            <v>Hektar</v>
          </cell>
          <cell r="F131" t="str">
            <v>CO2 - atmosfære</v>
          </cell>
          <cell r="G131" t="str">
            <v>t CO2-ækvivalenter</v>
          </cell>
          <cell r="H131">
            <v>40.951694367485452</v>
          </cell>
          <cell r="I131">
            <v>40.951694367485452</v>
          </cell>
          <cell r="J131">
            <v>40.951694367485452</v>
          </cell>
        </row>
        <row r="132">
          <cell r="A132" t="str">
            <v>Kornmark</v>
          </cell>
          <cell r="B132" t="str">
            <v>Økologisk</v>
          </cell>
          <cell r="C132" t="str">
            <v>JB1-10</v>
          </cell>
          <cell r="D132" t="str">
            <v>Areal-korn</v>
          </cell>
          <cell r="E132" t="str">
            <v>Hektar</v>
          </cell>
          <cell r="F132" t="str">
            <v>Korn</v>
          </cell>
          <cell r="G132" t="str">
            <v>Ton</v>
          </cell>
          <cell r="H132">
            <v>4.6966999999999999</v>
          </cell>
          <cell r="I132">
            <v>4.6966999999999999</v>
          </cell>
          <cell r="J132">
            <v>4.6966999999999999</v>
          </cell>
        </row>
        <row r="133">
          <cell r="A133" t="str">
            <v>Kornmark</v>
          </cell>
          <cell r="B133" t="str">
            <v>Økologisk</v>
          </cell>
          <cell r="C133" t="str">
            <v>JB1-10</v>
          </cell>
          <cell r="D133" t="str">
            <v>Areal-korn</v>
          </cell>
          <cell r="E133" t="str">
            <v>Hektar</v>
          </cell>
          <cell r="F133" t="str">
            <v>Halm</v>
          </cell>
          <cell r="G133" t="str">
            <v>Ton</v>
          </cell>
          <cell r="H133">
            <v>2.5831850000000003</v>
          </cell>
          <cell r="I133">
            <v>2.5831850000000003</v>
          </cell>
          <cell r="J133">
            <v>2.5831850000000003</v>
          </cell>
        </row>
        <row r="134">
          <cell r="A134" t="str">
            <v>Kornmark</v>
          </cell>
          <cell r="B134" t="str">
            <v>Økologisk</v>
          </cell>
          <cell r="C134" t="str">
            <v>JB1-10</v>
          </cell>
          <cell r="D134" t="str">
            <v>Areal-korn</v>
          </cell>
          <cell r="E134" t="str">
            <v>Hektar</v>
          </cell>
          <cell r="F134" t="str">
            <v>Gødning</v>
          </cell>
          <cell r="G134" t="str">
            <v>kg N</v>
          </cell>
          <cell r="H134">
            <v>-107.2</v>
          </cell>
          <cell r="I134">
            <v>-107.2</v>
          </cell>
          <cell r="J134">
            <v>-107.2</v>
          </cell>
        </row>
        <row r="135">
          <cell r="A135" t="str">
            <v>Kornmark</v>
          </cell>
          <cell r="B135" t="str">
            <v>Økologisk</v>
          </cell>
          <cell r="C135" t="str">
            <v>JB1-10</v>
          </cell>
          <cell r="D135" t="str">
            <v>Areal-korn</v>
          </cell>
          <cell r="E135" t="str">
            <v>Hektar</v>
          </cell>
          <cell r="F135" t="str">
            <v>CO2 - atmosfære</v>
          </cell>
          <cell r="G135" t="str">
            <v>t CO2-ækvivalenter</v>
          </cell>
          <cell r="H135">
            <v>2.2736943674854606</v>
          </cell>
          <cell r="I135">
            <v>2.2736943674854606</v>
          </cell>
          <cell r="J135">
            <v>2.2736943674854606</v>
          </cell>
        </row>
        <row r="136">
          <cell r="A136" t="str">
            <v>Kornmark</v>
          </cell>
          <cell r="B136" t="str">
            <v>Økologisk</v>
          </cell>
          <cell r="C136" t="str">
            <v>OC6</v>
          </cell>
          <cell r="D136" t="str">
            <v>Areal-korn</v>
          </cell>
          <cell r="E136" t="str">
            <v>Hektar</v>
          </cell>
          <cell r="F136" t="str">
            <v>Korn</v>
          </cell>
          <cell r="G136" t="str">
            <v>Ton</v>
          </cell>
          <cell r="H136">
            <v>5.6360399999999995</v>
          </cell>
          <cell r="I136">
            <v>5.6360399999999995</v>
          </cell>
          <cell r="J136">
            <v>5.6360399999999995</v>
          </cell>
        </row>
        <row r="137">
          <cell r="A137" t="str">
            <v>Kornmark</v>
          </cell>
          <cell r="B137" t="str">
            <v>Økologisk</v>
          </cell>
          <cell r="C137" t="str">
            <v>OC6</v>
          </cell>
          <cell r="D137" t="str">
            <v>Areal-korn</v>
          </cell>
          <cell r="E137" t="str">
            <v>Hektar</v>
          </cell>
          <cell r="F137" t="str">
            <v>Halm</v>
          </cell>
          <cell r="G137" t="str">
            <v>Ton</v>
          </cell>
          <cell r="H137">
            <v>3.0998220000000001</v>
          </cell>
          <cell r="I137">
            <v>3.0998220000000001</v>
          </cell>
          <cell r="J137">
            <v>3.0998220000000001</v>
          </cell>
        </row>
        <row r="138">
          <cell r="A138" t="str">
            <v>Kornmark</v>
          </cell>
          <cell r="B138" t="str">
            <v>Økologisk</v>
          </cell>
          <cell r="C138" t="str">
            <v>OC6</v>
          </cell>
          <cell r="D138" t="str">
            <v>Areal-korn</v>
          </cell>
          <cell r="E138" t="str">
            <v>Hektar</v>
          </cell>
          <cell r="F138" t="str">
            <v>Gødning</v>
          </cell>
          <cell r="G138" t="str">
            <v>kg N</v>
          </cell>
          <cell r="H138">
            <v>-87.100000000000009</v>
          </cell>
          <cell r="I138">
            <v>-87.100000000000009</v>
          </cell>
          <cell r="J138">
            <v>-87.100000000000009</v>
          </cell>
        </row>
        <row r="139">
          <cell r="A139" t="str">
            <v>Kornmark</v>
          </cell>
          <cell r="B139" t="str">
            <v>Økologisk</v>
          </cell>
          <cell r="C139" t="str">
            <v>OC6</v>
          </cell>
          <cell r="D139" t="str">
            <v>Areal-korn</v>
          </cell>
          <cell r="E139" t="str">
            <v>Hektar</v>
          </cell>
          <cell r="F139" t="str">
            <v>CO2 - atmosfære</v>
          </cell>
          <cell r="G139" t="str">
            <v>t CO2-ækvivalenter</v>
          </cell>
          <cell r="H139">
            <v>15.99169436748546</v>
          </cell>
          <cell r="I139">
            <v>15.99169436748546</v>
          </cell>
          <cell r="J139">
            <v>15.99169436748546</v>
          </cell>
        </row>
        <row r="140">
          <cell r="A140" t="str">
            <v>Kornmark</v>
          </cell>
          <cell r="B140" t="str">
            <v>Økologisk</v>
          </cell>
          <cell r="C140" t="str">
            <v>OC12</v>
          </cell>
          <cell r="D140" t="str">
            <v>Areal-korn</v>
          </cell>
          <cell r="E140" t="str">
            <v>Hektar</v>
          </cell>
          <cell r="F140" t="str">
            <v>Korn</v>
          </cell>
          <cell r="G140" t="str">
            <v>Ton</v>
          </cell>
          <cell r="H140">
            <v>6.5753799999999991</v>
          </cell>
          <cell r="I140">
            <v>6.5753799999999991</v>
          </cell>
          <cell r="J140">
            <v>6.5753799999999991</v>
          </cell>
        </row>
        <row r="141">
          <cell r="A141" t="str">
            <v>Kornmark</v>
          </cell>
          <cell r="B141" t="str">
            <v>Økologisk</v>
          </cell>
          <cell r="C141" t="str">
            <v>OC12</v>
          </cell>
          <cell r="D141" t="str">
            <v>Areal-korn</v>
          </cell>
          <cell r="E141" t="str">
            <v>Hektar</v>
          </cell>
          <cell r="F141" t="str">
            <v>Halm</v>
          </cell>
          <cell r="G141" t="str">
            <v>Ton</v>
          </cell>
          <cell r="H141">
            <v>3.6164589999999999</v>
          </cell>
          <cell r="I141">
            <v>3.6164589999999999</v>
          </cell>
          <cell r="J141">
            <v>3.6164589999999999</v>
          </cell>
        </row>
        <row r="142">
          <cell r="A142" t="str">
            <v>Kornmark</v>
          </cell>
          <cell r="B142" t="str">
            <v>Økologisk</v>
          </cell>
          <cell r="C142" t="str">
            <v>OC12</v>
          </cell>
          <cell r="D142" t="str">
            <v>Areal-korn</v>
          </cell>
          <cell r="E142" t="str">
            <v>Hektar</v>
          </cell>
          <cell r="F142" t="str">
            <v>Gødning</v>
          </cell>
          <cell r="G142" t="str">
            <v>kg N</v>
          </cell>
          <cell r="H142">
            <v>-67</v>
          </cell>
          <cell r="I142">
            <v>-67</v>
          </cell>
          <cell r="J142">
            <v>-67</v>
          </cell>
        </row>
        <row r="143">
          <cell r="A143" t="str">
            <v>Kornmark</v>
          </cell>
          <cell r="B143" t="str">
            <v>Økologisk</v>
          </cell>
          <cell r="C143" t="str">
            <v>OC12</v>
          </cell>
          <cell r="D143" t="str">
            <v>Areal-korn</v>
          </cell>
          <cell r="E143" t="str">
            <v>Hektar</v>
          </cell>
          <cell r="F143" t="str">
            <v>CO2 - atmosfære</v>
          </cell>
          <cell r="G143" t="str">
            <v>t CO2-ækvivalenter</v>
          </cell>
          <cell r="H143">
            <v>40.951694367485452</v>
          </cell>
          <cell r="I143">
            <v>40.951694367485452</v>
          </cell>
          <cell r="J143">
            <v>40.951694367485452</v>
          </cell>
        </row>
        <row r="144">
          <cell r="A144" t="str">
            <v>Grøntsager på land</v>
          </cell>
          <cell r="B144" t="str">
            <v>Konventionel</v>
          </cell>
          <cell r="C144" t="str">
            <v>JB1-10</v>
          </cell>
          <cell r="D144" t="str">
            <v>Areal-grøntsager</v>
          </cell>
          <cell r="E144" t="str">
            <v>Hektar</v>
          </cell>
          <cell r="F144" t="str">
            <v>Grøntsager</v>
          </cell>
          <cell r="G144" t="str">
            <v>Ton</v>
          </cell>
          <cell r="H144">
            <v>20.75</v>
          </cell>
          <cell r="I144">
            <v>20.75</v>
          </cell>
          <cell r="J144">
            <v>20.75</v>
          </cell>
        </row>
        <row r="145">
          <cell r="A145" t="str">
            <v>Grøntsager på land</v>
          </cell>
          <cell r="B145" t="str">
            <v>Konventionel</v>
          </cell>
          <cell r="C145" t="str">
            <v>JB1-10</v>
          </cell>
          <cell r="D145" t="str">
            <v>Areal-grøntsager</v>
          </cell>
          <cell r="E145" t="str">
            <v>Hektar</v>
          </cell>
          <cell r="F145" t="str">
            <v>Gødning</v>
          </cell>
          <cell r="G145" t="str">
            <v>kg N</v>
          </cell>
          <cell r="H145">
            <v>-200</v>
          </cell>
          <cell r="I145">
            <v>-200</v>
          </cell>
          <cell r="J145">
            <v>-200</v>
          </cell>
        </row>
        <row r="146">
          <cell r="A146" t="str">
            <v>Grøntsager på land</v>
          </cell>
          <cell r="B146" t="str">
            <v>Konventionel</v>
          </cell>
          <cell r="C146" t="str">
            <v>JB1-10</v>
          </cell>
          <cell r="D146" t="str">
            <v>Areal-grøntsager</v>
          </cell>
          <cell r="E146" t="str">
            <v>Hektar</v>
          </cell>
          <cell r="F146" t="str">
            <v>CO2 - atmosfære</v>
          </cell>
          <cell r="G146" t="str">
            <v>t CO2-ækvivalenter</v>
          </cell>
          <cell r="H146">
            <v>2.2736943674854606</v>
          </cell>
          <cell r="I146">
            <v>2.2736943674854606</v>
          </cell>
          <cell r="J146">
            <v>2.2736943674854606</v>
          </cell>
        </row>
        <row r="147">
          <cell r="A147" t="str">
            <v>Grøntsager på land</v>
          </cell>
          <cell r="B147" t="str">
            <v>Konventionel</v>
          </cell>
          <cell r="C147" t="str">
            <v>OC6</v>
          </cell>
          <cell r="D147" t="str">
            <v>Areal-grøntsager</v>
          </cell>
          <cell r="E147" t="str">
            <v>Hektar</v>
          </cell>
          <cell r="F147" t="str">
            <v>Grøntsager</v>
          </cell>
          <cell r="G147" t="str">
            <v>Ton</v>
          </cell>
          <cell r="H147">
            <v>24.9</v>
          </cell>
          <cell r="I147">
            <v>24.9</v>
          </cell>
          <cell r="J147">
            <v>24.9</v>
          </cell>
        </row>
        <row r="148">
          <cell r="A148" t="str">
            <v>Grøntsager på land</v>
          </cell>
          <cell r="B148" t="str">
            <v>Konventionel</v>
          </cell>
          <cell r="C148" t="str">
            <v>OC6</v>
          </cell>
          <cell r="D148" t="str">
            <v>Areal-grøntsager</v>
          </cell>
          <cell r="E148" t="str">
            <v>Hektar</v>
          </cell>
          <cell r="F148" t="str">
            <v>Gødning</v>
          </cell>
          <cell r="G148" t="str">
            <v>kg N</v>
          </cell>
          <cell r="H148">
            <v>-195</v>
          </cell>
          <cell r="I148">
            <v>-195</v>
          </cell>
          <cell r="J148">
            <v>-195</v>
          </cell>
        </row>
        <row r="149">
          <cell r="A149" t="str">
            <v>Grøntsager på land</v>
          </cell>
          <cell r="B149" t="str">
            <v>Konventionel</v>
          </cell>
          <cell r="C149" t="str">
            <v>OC6</v>
          </cell>
          <cell r="D149" t="str">
            <v>Areal-grøntsager</v>
          </cell>
          <cell r="E149" t="str">
            <v>Hektar</v>
          </cell>
          <cell r="F149" t="str">
            <v>CO2 - atmosfære</v>
          </cell>
          <cell r="G149" t="str">
            <v>t CO2-ækvivalenter</v>
          </cell>
          <cell r="H149">
            <v>15.99169436748546</v>
          </cell>
          <cell r="I149">
            <v>15.99169436748546</v>
          </cell>
          <cell r="J149">
            <v>15.99169436748546</v>
          </cell>
        </row>
        <row r="150">
          <cell r="A150" t="str">
            <v>Grøntsager på land</v>
          </cell>
          <cell r="B150" t="str">
            <v>Konventionel</v>
          </cell>
          <cell r="C150" t="str">
            <v>OC12</v>
          </cell>
          <cell r="D150" t="str">
            <v>Areal-grøntsager</v>
          </cell>
          <cell r="E150" t="str">
            <v>Hektar</v>
          </cell>
          <cell r="F150" t="str">
            <v>Grøntsager</v>
          </cell>
          <cell r="G150" t="str">
            <v>Ton</v>
          </cell>
          <cell r="H150">
            <v>29.049999999999997</v>
          </cell>
          <cell r="I150">
            <v>29.049999999999997</v>
          </cell>
          <cell r="J150">
            <v>29.049999999999997</v>
          </cell>
        </row>
        <row r="151">
          <cell r="A151" t="str">
            <v>Grøntsager på land</v>
          </cell>
          <cell r="B151" t="str">
            <v>Konventionel</v>
          </cell>
          <cell r="C151" t="str">
            <v>OC12</v>
          </cell>
          <cell r="D151" t="str">
            <v>Areal-grøntsager</v>
          </cell>
          <cell r="E151" t="str">
            <v>Hektar</v>
          </cell>
          <cell r="F151" t="str">
            <v>Gødning</v>
          </cell>
          <cell r="G151" t="str">
            <v>kg N</v>
          </cell>
          <cell r="H151">
            <v>-190</v>
          </cell>
          <cell r="I151">
            <v>-190</v>
          </cell>
          <cell r="J151">
            <v>-190</v>
          </cell>
        </row>
        <row r="152">
          <cell r="A152" t="str">
            <v>Grøntsager på land</v>
          </cell>
          <cell r="B152" t="str">
            <v>Konventionel</v>
          </cell>
          <cell r="C152" t="str">
            <v>OC12</v>
          </cell>
          <cell r="D152" t="str">
            <v>Areal-grøntsager</v>
          </cell>
          <cell r="E152" t="str">
            <v>Hektar</v>
          </cell>
          <cell r="F152" t="str">
            <v>CO2 - atmosfære</v>
          </cell>
          <cell r="G152" t="str">
            <v>t CO2-ækvivalenter</v>
          </cell>
          <cell r="H152">
            <v>40.951694367485452</v>
          </cell>
          <cell r="I152">
            <v>40.951694367485452</v>
          </cell>
          <cell r="J152">
            <v>40.951694367485452</v>
          </cell>
        </row>
        <row r="153">
          <cell r="A153" t="str">
            <v>Grøntsager på land</v>
          </cell>
          <cell r="B153" t="str">
            <v>Økologisk</v>
          </cell>
          <cell r="C153" t="str">
            <v>JB1-10</v>
          </cell>
          <cell r="D153" t="str">
            <v>Areal-grøntsager</v>
          </cell>
          <cell r="E153" t="str">
            <v>Hektar</v>
          </cell>
          <cell r="F153" t="str">
            <v>Grøntsager</v>
          </cell>
          <cell r="G153" t="str">
            <v>Ton</v>
          </cell>
          <cell r="H153">
            <v>11.827499999999999</v>
          </cell>
          <cell r="I153">
            <v>11.827499999999999</v>
          </cell>
          <cell r="J153">
            <v>11.827499999999999</v>
          </cell>
        </row>
        <row r="154">
          <cell r="A154" t="str">
            <v>Grøntsager på land</v>
          </cell>
          <cell r="B154" t="str">
            <v>Økologisk</v>
          </cell>
          <cell r="C154" t="str">
            <v>JB1-10</v>
          </cell>
          <cell r="D154" t="str">
            <v>Areal-grøntsager</v>
          </cell>
          <cell r="E154" t="str">
            <v>Hektar</v>
          </cell>
          <cell r="F154" t="str">
            <v>Gødning</v>
          </cell>
          <cell r="G154" t="str">
            <v>kg N</v>
          </cell>
          <cell r="H154">
            <v>-113.99999999999999</v>
          </cell>
          <cell r="I154">
            <v>-113.99999999999999</v>
          </cell>
          <cell r="J154">
            <v>-113.99999999999999</v>
          </cell>
        </row>
        <row r="155">
          <cell r="A155" t="str">
            <v>Grøntsager på land</v>
          </cell>
          <cell r="B155" t="str">
            <v>Økologisk</v>
          </cell>
          <cell r="C155" t="str">
            <v>JB1-10</v>
          </cell>
          <cell r="D155" t="str">
            <v>Areal-grøntsager</v>
          </cell>
          <cell r="E155" t="str">
            <v>Hektar</v>
          </cell>
          <cell r="F155" t="str">
            <v>CO2 - atmosfære</v>
          </cell>
          <cell r="G155" t="str">
            <v>t CO2-ækvivalenter</v>
          </cell>
          <cell r="H155">
            <v>2.2736943674854606</v>
          </cell>
          <cell r="I155">
            <v>2.2736943674854606</v>
          </cell>
          <cell r="J155">
            <v>2.2736943674854606</v>
          </cell>
        </row>
        <row r="156">
          <cell r="A156" t="str">
            <v>Grøntsager på land</v>
          </cell>
          <cell r="B156" t="str">
            <v>Økologisk</v>
          </cell>
          <cell r="C156" t="str">
            <v>OC6</v>
          </cell>
          <cell r="D156" t="str">
            <v>Areal-grøntsager</v>
          </cell>
          <cell r="E156" t="str">
            <v>Hektar</v>
          </cell>
          <cell r="F156" t="str">
            <v>Grøntsager</v>
          </cell>
          <cell r="G156" t="str">
            <v>Ton</v>
          </cell>
          <cell r="H156">
            <v>14.192999999999998</v>
          </cell>
          <cell r="I156">
            <v>14.192999999999998</v>
          </cell>
          <cell r="J156">
            <v>14.192999999999998</v>
          </cell>
        </row>
        <row r="157">
          <cell r="A157" t="str">
            <v>Grøntsager på land</v>
          </cell>
          <cell r="B157" t="str">
            <v>Økologisk</v>
          </cell>
          <cell r="C157" t="str">
            <v>OC6</v>
          </cell>
          <cell r="D157" t="str">
            <v>Areal-grøntsager</v>
          </cell>
          <cell r="E157" t="str">
            <v>Hektar</v>
          </cell>
          <cell r="F157" t="str">
            <v>Gødning</v>
          </cell>
          <cell r="G157" t="str">
            <v>kg N</v>
          </cell>
          <cell r="H157">
            <v>-111.14999999999999</v>
          </cell>
          <cell r="I157">
            <v>-111.14999999999999</v>
          </cell>
          <cell r="J157">
            <v>-111.14999999999999</v>
          </cell>
        </row>
        <row r="158">
          <cell r="A158" t="str">
            <v>Grøntsager på land</v>
          </cell>
          <cell r="B158" t="str">
            <v>Økologisk</v>
          </cell>
          <cell r="C158" t="str">
            <v>OC6</v>
          </cell>
          <cell r="D158" t="str">
            <v>Areal-grøntsager</v>
          </cell>
          <cell r="E158" t="str">
            <v>Hektar</v>
          </cell>
          <cell r="F158" t="str">
            <v>CO2 - atmosfære</v>
          </cell>
          <cell r="G158" t="str">
            <v>t CO2-ækvivalenter</v>
          </cell>
          <cell r="H158">
            <v>15.99169436748546</v>
          </cell>
          <cell r="I158">
            <v>15.99169436748546</v>
          </cell>
          <cell r="J158">
            <v>15.99169436748546</v>
          </cell>
        </row>
        <row r="159">
          <cell r="A159" t="str">
            <v>Grøntsager på land</v>
          </cell>
          <cell r="B159" t="str">
            <v>Økologisk</v>
          </cell>
          <cell r="C159" t="str">
            <v>OC12</v>
          </cell>
          <cell r="D159" t="str">
            <v>Areal-grøntsager</v>
          </cell>
          <cell r="E159" t="str">
            <v>Hektar</v>
          </cell>
          <cell r="F159" t="str">
            <v>Grøntsager</v>
          </cell>
          <cell r="G159" t="str">
            <v>Ton</v>
          </cell>
          <cell r="H159">
            <v>16.558499999999999</v>
          </cell>
          <cell r="I159">
            <v>16.558499999999999</v>
          </cell>
          <cell r="J159">
            <v>16.558499999999999</v>
          </cell>
        </row>
        <row r="160">
          <cell r="A160" t="str">
            <v>Grøntsager på land</v>
          </cell>
          <cell r="B160" t="str">
            <v>Økologisk</v>
          </cell>
          <cell r="C160" t="str">
            <v>OC12</v>
          </cell>
          <cell r="D160" t="str">
            <v>Areal-grøntsager</v>
          </cell>
          <cell r="E160" t="str">
            <v>Hektar</v>
          </cell>
          <cell r="F160" t="str">
            <v>Gødning</v>
          </cell>
          <cell r="G160" t="str">
            <v>kg N</v>
          </cell>
          <cell r="H160">
            <v>-108.3</v>
          </cell>
          <cell r="I160">
            <v>-108.3</v>
          </cell>
          <cell r="J160">
            <v>-108.3</v>
          </cell>
        </row>
        <row r="161">
          <cell r="A161" t="str">
            <v>Grøntsager på land</v>
          </cell>
          <cell r="B161" t="str">
            <v>Økologisk</v>
          </cell>
          <cell r="C161" t="str">
            <v>OC12</v>
          </cell>
          <cell r="D161" t="str">
            <v>Areal-grøntsager</v>
          </cell>
          <cell r="E161" t="str">
            <v>Hektar</v>
          </cell>
          <cell r="F161" t="str">
            <v>CO2 - atmosfære</v>
          </cell>
          <cell r="G161" t="str">
            <v>t CO2-ækvivalenter</v>
          </cell>
          <cell r="H161">
            <v>40.951694367485452</v>
          </cell>
          <cell r="I161">
            <v>40.951694367485452</v>
          </cell>
          <cell r="J161">
            <v>40.951694367485452</v>
          </cell>
        </row>
        <row r="162">
          <cell r="A162" t="str">
            <v>Grøntsager i drivhus</v>
          </cell>
          <cell r="B162" t="str">
            <v>Konventionel</v>
          </cell>
          <cell r="D162" t="str">
            <v>Areal-grøntsager</v>
          </cell>
          <cell r="E162" t="str">
            <v>Hektar</v>
          </cell>
          <cell r="F162" t="str">
            <v>Grøntsager</v>
          </cell>
          <cell r="G162" t="str">
            <v>Ton</v>
          </cell>
          <cell r="H162">
            <v>379.01908396946601</v>
          </cell>
          <cell r="I162">
            <v>379.01908396946601</v>
          </cell>
          <cell r="J162">
            <v>379.01908396946601</v>
          </cell>
        </row>
        <row r="163">
          <cell r="A163" t="str">
            <v>Grøntsager i drivhus</v>
          </cell>
          <cell r="B163" t="str">
            <v>Konventionel</v>
          </cell>
          <cell r="D163" t="str">
            <v>Areal-grøntsager</v>
          </cell>
          <cell r="E163" t="str">
            <v>Hektar</v>
          </cell>
          <cell r="F163" t="str">
            <v>Gødning</v>
          </cell>
          <cell r="G163" t="str">
            <v>kg N</v>
          </cell>
          <cell r="H163">
            <v>-2100</v>
          </cell>
          <cell r="I163">
            <v>-2100</v>
          </cell>
          <cell r="J163">
            <v>-2100</v>
          </cell>
        </row>
        <row r="164">
          <cell r="A164" t="str">
            <v>Grøntsager i drivhus</v>
          </cell>
          <cell r="B164" t="str">
            <v>Konventionel</v>
          </cell>
          <cell r="D164" t="str">
            <v>Areal-grøntsager</v>
          </cell>
          <cell r="E164" t="str">
            <v>Hektar</v>
          </cell>
          <cell r="F164" t="str">
            <v>CO2 - atmosfære</v>
          </cell>
          <cell r="G164" t="str">
            <v>t CO2-ækvivalenter</v>
          </cell>
          <cell r="H164">
            <v>0.45473887349709213</v>
          </cell>
          <cell r="I164">
            <v>0.45473887349709213</v>
          </cell>
          <cell r="J164">
            <v>0.45473887349709213</v>
          </cell>
        </row>
        <row r="165">
          <cell r="A165" t="str">
            <v>Grøntsager i drivhus</v>
          </cell>
          <cell r="B165" t="str">
            <v>Økologisk</v>
          </cell>
          <cell r="D165" t="str">
            <v>Areal-grøntsager</v>
          </cell>
          <cell r="E165" t="str">
            <v>Hektar</v>
          </cell>
          <cell r="F165" t="str">
            <v>Grøntsager</v>
          </cell>
          <cell r="G165" t="str">
            <v>Ton</v>
          </cell>
          <cell r="H165">
            <v>216.04087786259561</v>
          </cell>
          <cell r="I165">
            <v>216.04087786259561</v>
          </cell>
          <cell r="J165">
            <v>216.04087786259561</v>
          </cell>
        </row>
        <row r="166">
          <cell r="A166" t="str">
            <v>Grøntsager i drivhus</v>
          </cell>
          <cell r="B166" t="str">
            <v>Økologisk</v>
          </cell>
          <cell r="D166" t="str">
            <v>Areal-grøntsager</v>
          </cell>
          <cell r="E166" t="str">
            <v>Hektar</v>
          </cell>
          <cell r="F166" t="str">
            <v>Gødning</v>
          </cell>
          <cell r="G166" t="str">
            <v>kg N</v>
          </cell>
          <cell r="H166">
            <v>-1197</v>
          </cell>
          <cell r="I166">
            <v>-1197</v>
          </cell>
          <cell r="J166">
            <v>-1197</v>
          </cell>
        </row>
        <row r="167">
          <cell r="A167" t="str">
            <v>Grøntsager i drivhus</v>
          </cell>
          <cell r="B167" t="str">
            <v>Økologisk</v>
          </cell>
          <cell r="D167" t="str">
            <v>Areal-grøntsager</v>
          </cell>
          <cell r="E167" t="str">
            <v>Hektar</v>
          </cell>
          <cell r="F167" t="str">
            <v>CO2 - atmosfære</v>
          </cell>
          <cell r="G167" t="str">
            <v>t CO2-ækvivalenter</v>
          </cell>
          <cell r="H167">
            <v>0.45473887349709213</v>
          </cell>
          <cell r="I167">
            <v>0.45473887349709213</v>
          </cell>
          <cell r="J167">
            <v>0.45473887349709213</v>
          </cell>
        </row>
        <row r="168">
          <cell r="A168" t="str">
            <v>Kartoffelmark</v>
          </cell>
          <cell r="B168" t="str">
            <v>Konventionel</v>
          </cell>
          <cell r="C168" t="str">
            <v>JB1-10</v>
          </cell>
          <cell r="D168" t="str">
            <v>Areal-kartofler</v>
          </cell>
          <cell r="E168" t="str">
            <v>Hektar</v>
          </cell>
          <cell r="F168" t="str">
            <v>Kartofler</v>
          </cell>
          <cell r="G168" t="str">
            <v>Ton</v>
          </cell>
          <cell r="H168">
            <v>42.470899470899468</v>
          </cell>
          <cell r="I168">
            <v>42.470899470899468</v>
          </cell>
          <cell r="J168">
            <v>42.470899470899468</v>
          </cell>
        </row>
        <row r="169">
          <cell r="A169" t="str">
            <v>Kartoffelmark</v>
          </cell>
          <cell r="B169" t="str">
            <v>Konventionel</v>
          </cell>
          <cell r="C169" t="str">
            <v>JB1-10</v>
          </cell>
          <cell r="D169" t="str">
            <v>Areal-kartofler</v>
          </cell>
          <cell r="E169" t="str">
            <v>Hektar</v>
          </cell>
          <cell r="F169" t="str">
            <v>Gødning</v>
          </cell>
          <cell r="G169" t="str">
            <v>kg N</v>
          </cell>
          <cell r="H169">
            <v>-150</v>
          </cell>
          <cell r="I169">
            <v>-150</v>
          </cell>
          <cell r="J169">
            <v>-150</v>
          </cell>
        </row>
        <row r="170">
          <cell r="A170" t="str">
            <v>Kartoffelmark</v>
          </cell>
          <cell r="B170" t="str">
            <v>Konventionel</v>
          </cell>
          <cell r="C170" t="str">
            <v>JB1-10</v>
          </cell>
          <cell r="D170" t="str">
            <v>Areal-kartofler</v>
          </cell>
          <cell r="E170" t="str">
            <v>Hektar</v>
          </cell>
          <cell r="F170" t="str">
            <v>CO2 - atmosfære</v>
          </cell>
          <cell r="G170" t="str">
            <v>t CO2-ækvivalenter</v>
          </cell>
          <cell r="H170">
            <v>2.2736943674854606</v>
          </cell>
          <cell r="I170">
            <v>2.2736943674854606</v>
          </cell>
          <cell r="J170">
            <v>2.2736943674854606</v>
          </cell>
        </row>
        <row r="171">
          <cell r="A171" t="str">
            <v>Kartoffelmark</v>
          </cell>
          <cell r="B171" t="str">
            <v>Konventionel</v>
          </cell>
          <cell r="C171" t="str">
            <v>OC6</v>
          </cell>
          <cell r="D171" t="str">
            <v>Areal-kartofler</v>
          </cell>
          <cell r="E171" t="str">
            <v>Hektar</v>
          </cell>
          <cell r="F171" t="str">
            <v>Kartofler</v>
          </cell>
          <cell r="G171" t="str">
            <v>Ton</v>
          </cell>
          <cell r="H171">
            <v>50.965079365079362</v>
          </cell>
          <cell r="I171">
            <v>50.965079365079362</v>
          </cell>
          <cell r="J171">
            <v>50.965079365079362</v>
          </cell>
        </row>
        <row r="172">
          <cell r="A172" t="str">
            <v>Kartoffelmark</v>
          </cell>
          <cell r="B172" t="str">
            <v>Konventionel</v>
          </cell>
          <cell r="C172" t="str">
            <v>OC6</v>
          </cell>
          <cell r="D172" t="str">
            <v>Areal-kartofler</v>
          </cell>
          <cell r="E172" t="str">
            <v>Hektar</v>
          </cell>
          <cell r="F172" t="str">
            <v>Gødning</v>
          </cell>
          <cell r="G172" t="str">
            <v>kg N</v>
          </cell>
          <cell r="H172">
            <v>-120</v>
          </cell>
          <cell r="I172">
            <v>-120</v>
          </cell>
          <cell r="J172">
            <v>-120</v>
          </cell>
        </row>
        <row r="173">
          <cell r="A173" t="str">
            <v>Kartoffelmark</v>
          </cell>
          <cell r="B173" t="str">
            <v>Konventionel</v>
          </cell>
          <cell r="C173" t="str">
            <v>OC6</v>
          </cell>
          <cell r="D173" t="str">
            <v>Areal-kartofler</v>
          </cell>
          <cell r="E173" t="str">
            <v>Hektar</v>
          </cell>
          <cell r="F173" t="str">
            <v>CO2 - atmosfære</v>
          </cell>
          <cell r="G173" t="str">
            <v>t CO2-ækvivalenter</v>
          </cell>
          <cell r="H173">
            <v>15.99169436748546</v>
          </cell>
          <cell r="I173">
            <v>15.99169436748546</v>
          </cell>
          <cell r="J173">
            <v>15.99169436748546</v>
          </cell>
        </row>
        <row r="174">
          <cell r="A174" t="str">
            <v>Kartoffelmark</v>
          </cell>
          <cell r="B174" t="str">
            <v>Konventionel</v>
          </cell>
          <cell r="C174" t="str">
            <v>OC12</v>
          </cell>
          <cell r="D174" t="str">
            <v>Areal-kartofler</v>
          </cell>
          <cell r="E174" t="str">
            <v>Hektar</v>
          </cell>
          <cell r="F174" t="str">
            <v>Kartofler</v>
          </cell>
          <cell r="G174" t="str">
            <v>Ton</v>
          </cell>
          <cell r="H174">
            <v>59.459259259259248</v>
          </cell>
          <cell r="I174">
            <v>59.459259259259248</v>
          </cell>
          <cell r="J174">
            <v>59.459259259259248</v>
          </cell>
        </row>
        <row r="175">
          <cell r="A175" t="str">
            <v>Kartoffelmark</v>
          </cell>
          <cell r="B175" t="str">
            <v>Konventionel</v>
          </cell>
          <cell r="C175" t="str">
            <v>OC12</v>
          </cell>
          <cell r="D175" t="str">
            <v>Areal-kartofler</v>
          </cell>
          <cell r="E175" t="str">
            <v>Hektar</v>
          </cell>
          <cell r="F175" t="str">
            <v>Gødning</v>
          </cell>
          <cell r="G175" t="str">
            <v>kg N</v>
          </cell>
          <cell r="H175">
            <v>-90</v>
          </cell>
          <cell r="I175">
            <v>-90</v>
          </cell>
          <cell r="J175">
            <v>-90</v>
          </cell>
        </row>
        <row r="176">
          <cell r="A176" t="str">
            <v>Kartoffelmark</v>
          </cell>
          <cell r="B176" t="str">
            <v>Konventionel</v>
          </cell>
          <cell r="C176" t="str">
            <v>OC12</v>
          </cell>
          <cell r="D176" t="str">
            <v>Areal-kartofler</v>
          </cell>
          <cell r="E176" t="str">
            <v>Hektar</v>
          </cell>
          <cell r="F176" t="str">
            <v>CO2 - atmosfære</v>
          </cell>
          <cell r="G176" t="str">
            <v>t CO2-ækvivalenter</v>
          </cell>
          <cell r="H176">
            <v>40.951694367485452</v>
          </cell>
          <cell r="I176">
            <v>40.951694367485452</v>
          </cell>
          <cell r="J176">
            <v>40.951694367485452</v>
          </cell>
        </row>
        <row r="177">
          <cell r="A177" t="str">
            <v>Kartoffelmark</v>
          </cell>
          <cell r="B177" t="str">
            <v>Økologisk</v>
          </cell>
          <cell r="C177" t="str">
            <v>JB1-10</v>
          </cell>
          <cell r="D177" t="str">
            <v>Areal-kartofler</v>
          </cell>
          <cell r="E177" t="str">
            <v>Hektar</v>
          </cell>
          <cell r="F177" t="str">
            <v>Kartofler</v>
          </cell>
          <cell r="G177" t="str">
            <v>Ton</v>
          </cell>
          <cell r="H177">
            <v>24.208412698412694</v>
          </cell>
          <cell r="I177">
            <v>24.208412698412694</v>
          </cell>
          <cell r="J177">
            <v>24.208412698412694</v>
          </cell>
        </row>
        <row r="178">
          <cell r="A178" t="str">
            <v>Kartoffelmark</v>
          </cell>
          <cell r="B178" t="str">
            <v>Økologisk</v>
          </cell>
          <cell r="C178" t="str">
            <v>JB1-10</v>
          </cell>
          <cell r="D178" t="str">
            <v>Areal-kartofler</v>
          </cell>
          <cell r="E178" t="str">
            <v>Hektar</v>
          </cell>
          <cell r="F178" t="str">
            <v>Gødning</v>
          </cell>
          <cell r="G178" t="str">
            <v>kg N</v>
          </cell>
          <cell r="H178">
            <v>-85.499999999999986</v>
          </cell>
          <cell r="I178">
            <v>-85.499999999999986</v>
          </cell>
          <cell r="J178">
            <v>-85.499999999999986</v>
          </cell>
        </row>
        <row r="179">
          <cell r="A179" t="str">
            <v>Kartoffelmark</v>
          </cell>
          <cell r="B179" t="str">
            <v>Økologisk</v>
          </cell>
          <cell r="C179" t="str">
            <v>JB1-10</v>
          </cell>
          <cell r="D179" t="str">
            <v>Areal-kartofler</v>
          </cell>
          <cell r="E179" t="str">
            <v>Hektar</v>
          </cell>
          <cell r="F179" t="str">
            <v>CO2 - atmosfære</v>
          </cell>
          <cell r="G179" t="str">
            <v>t CO2-ækvivalenter</v>
          </cell>
          <cell r="H179">
            <v>2.2736943674854606</v>
          </cell>
          <cell r="I179">
            <v>2.2736943674854606</v>
          </cell>
          <cell r="J179">
            <v>2.2736943674854606</v>
          </cell>
        </row>
        <row r="180">
          <cell r="A180" t="str">
            <v>Kartoffelmark</v>
          </cell>
          <cell r="B180" t="str">
            <v>Økologisk</v>
          </cell>
          <cell r="C180" t="str">
            <v>OC6</v>
          </cell>
          <cell r="D180" t="str">
            <v>Areal-kartofler</v>
          </cell>
          <cell r="E180" t="str">
            <v>Hektar</v>
          </cell>
          <cell r="F180" t="str">
            <v>Kartofler</v>
          </cell>
          <cell r="G180" t="str">
            <v>Ton</v>
          </cell>
          <cell r="H180">
            <v>29.050095238095235</v>
          </cell>
          <cell r="I180">
            <v>29.050095238095235</v>
          </cell>
          <cell r="J180">
            <v>29.050095238095235</v>
          </cell>
        </row>
        <row r="181">
          <cell r="A181" t="str">
            <v>Kartoffelmark</v>
          </cell>
          <cell r="B181" t="str">
            <v>Økologisk</v>
          </cell>
          <cell r="C181" t="str">
            <v>OC6</v>
          </cell>
          <cell r="D181" t="str">
            <v>Areal-kartofler</v>
          </cell>
          <cell r="E181" t="str">
            <v>Hektar</v>
          </cell>
          <cell r="F181" t="str">
            <v>Gødning</v>
          </cell>
          <cell r="G181" t="str">
            <v>kg N</v>
          </cell>
          <cell r="H181">
            <v>-68.399999999999991</v>
          </cell>
          <cell r="I181">
            <v>-68.399999999999991</v>
          </cell>
          <cell r="J181">
            <v>-68.399999999999991</v>
          </cell>
        </row>
        <row r="182">
          <cell r="A182" t="str">
            <v>Kartoffelmark</v>
          </cell>
          <cell r="B182" t="str">
            <v>Økologisk</v>
          </cell>
          <cell r="C182" t="str">
            <v>OC6</v>
          </cell>
          <cell r="D182" t="str">
            <v>Areal-kartofler</v>
          </cell>
          <cell r="E182" t="str">
            <v>Hektar</v>
          </cell>
          <cell r="F182" t="str">
            <v>CO2 - atmosfære</v>
          </cell>
          <cell r="G182" t="str">
            <v>t CO2-ækvivalenter</v>
          </cell>
          <cell r="H182">
            <v>15.99169436748546</v>
          </cell>
          <cell r="I182">
            <v>15.99169436748546</v>
          </cell>
          <cell r="J182">
            <v>15.99169436748546</v>
          </cell>
        </row>
        <row r="183">
          <cell r="A183" t="str">
            <v>Kartoffelmark</v>
          </cell>
          <cell r="B183" t="str">
            <v>Økologisk</v>
          </cell>
          <cell r="C183" t="str">
            <v>OC12</v>
          </cell>
          <cell r="D183" t="str">
            <v>Areal-kartofler</v>
          </cell>
          <cell r="E183" t="str">
            <v>Hektar</v>
          </cell>
          <cell r="F183" t="str">
            <v>Kartofler</v>
          </cell>
          <cell r="G183" t="str">
            <v>Ton</v>
          </cell>
          <cell r="H183">
            <v>33.891777777777769</v>
          </cell>
          <cell r="I183">
            <v>33.891777777777769</v>
          </cell>
          <cell r="J183">
            <v>33.891777777777769</v>
          </cell>
        </row>
        <row r="184">
          <cell r="A184" t="str">
            <v>Kartoffelmark</v>
          </cell>
          <cell r="B184" t="str">
            <v>Økologisk</v>
          </cell>
          <cell r="C184" t="str">
            <v>OC12</v>
          </cell>
          <cell r="D184" t="str">
            <v>Areal-kartofler</v>
          </cell>
          <cell r="E184" t="str">
            <v>Hektar</v>
          </cell>
          <cell r="F184" t="str">
            <v>Gødning</v>
          </cell>
          <cell r="G184" t="str">
            <v>kg N</v>
          </cell>
          <cell r="H184">
            <v>-51.3</v>
          </cell>
          <cell r="I184">
            <v>-51.3</v>
          </cell>
          <cell r="J184">
            <v>-51.3</v>
          </cell>
        </row>
        <row r="185">
          <cell r="A185" t="str">
            <v>Kartoffelmark</v>
          </cell>
          <cell r="B185" t="str">
            <v>Økologisk</v>
          </cell>
          <cell r="C185" t="str">
            <v>OC12</v>
          </cell>
          <cell r="D185" t="str">
            <v>Areal-kartofler</v>
          </cell>
          <cell r="E185" t="str">
            <v>Hektar</v>
          </cell>
          <cell r="F185" t="str">
            <v>CO2 - atmosfære</v>
          </cell>
          <cell r="G185" t="str">
            <v>t CO2-ækvivalenter</v>
          </cell>
          <cell r="H185">
            <v>40.951694367485452</v>
          </cell>
          <cell r="I185">
            <v>40.951694367485452</v>
          </cell>
          <cell r="J185">
            <v>40.951694367485452</v>
          </cell>
        </row>
        <row r="186">
          <cell r="A186" t="str">
            <v>Græsmark</v>
          </cell>
          <cell r="B186" t="str">
            <v>Konventionel</v>
          </cell>
          <cell r="C186" t="str">
            <v>JB1-10</v>
          </cell>
          <cell r="D186" t="str">
            <v>Areal-græs</v>
          </cell>
          <cell r="E186" t="str">
            <v>Hektar</v>
          </cell>
          <cell r="F186" t="str">
            <v>Græs</v>
          </cell>
          <cell r="G186" t="str">
            <v>Ton</v>
          </cell>
          <cell r="H186">
            <v>49.62</v>
          </cell>
          <cell r="I186">
            <v>49.62</v>
          </cell>
          <cell r="J186">
            <v>49.62</v>
          </cell>
        </row>
        <row r="187">
          <cell r="A187" t="str">
            <v>Græsmark</v>
          </cell>
          <cell r="B187" t="str">
            <v>Konventionel</v>
          </cell>
          <cell r="C187" t="str">
            <v>JB1-10</v>
          </cell>
          <cell r="D187" t="str">
            <v>Areal-græs</v>
          </cell>
          <cell r="E187" t="str">
            <v>Hektar</v>
          </cell>
          <cell r="F187" t="str">
            <v>Gødning</v>
          </cell>
          <cell r="G187" t="str">
            <v>kg N</v>
          </cell>
          <cell r="H187">
            <v>-155</v>
          </cell>
          <cell r="I187">
            <v>-155</v>
          </cell>
          <cell r="J187">
            <v>-155</v>
          </cell>
        </row>
        <row r="188">
          <cell r="A188" t="str">
            <v>Græsmark</v>
          </cell>
          <cell r="B188" t="str">
            <v>Konventionel</v>
          </cell>
          <cell r="C188" t="str">
            <v>JB1-10</v>
          </cell>
          <cell r="D188" t="str">
            <v>Areal-græs</v>
          </cell>
          <cell r="E188" t="str">
            <v>Hektar</v>
          </cell>
          <cell r="F188" t="str">
            <v>CO2 - atmosfære</v>
          </cell>
          <cell r="G188" t="str">
            <v>t CO2-ækvivalenter</v>
          </cell>
          <cell r="H188">
            <v>2.2736943674854606</v>
          </cell>
          <cell r="I188">
            <v>2.2736943674854606</v>
          </cell>
          <cell r="J188">
            <v>2.2736943674854606</v>
          </cell>
        </row>
        <row r="189">
          <cell r="A189" t="str">
            <v>Græsmark</v>
          </cell>
          <cell r="B189" t="str">
            <v>Konventionel</v>
          </cell>
          <cell r="C189" t="str">
            <v>OC6</v>
          </cell>
          <cell r="D189" t="str">
            <v>Areal-græs</v>
          </cell>
          <cell r="E189" t="str">
            <v>Hektar</v>
          </cell>
          <cell r="F189" t="str">
            <v>Græs</v>
          </cell>
          <cell r="G189" t="str">
            <v>Ton</v>
          </cell>
          <cell r="H189">
            <v>59.543999999999997</v>
          </cell>
          <cell r="I189">
            <v>59.543999999999997</v>
          </cell>
          <cell r="J189">
            <v>59.543999999999997</v>
          </cell>
        </row>
        <row r="190">
          <cell r="A190" t="str">
            <v>Græsmark</v>
          </cell>
          <cell r="B190" t="str">
            <v>Konventionel</v>
          </cell>
          <cell r="C190" t="str">
            <v>OC6</v>
          </cell>
          <cell r="D190" t="str">
            <v>Areal-græs</v>
          </cell>
          <cell r="E190" t="str">
            <v>Hektar</v>
          </cell>
          <cell r="F190" t="str">
            <v>Gødning</v>
          </cell>
          <cell r="G190" t="str">
            <v>kg N</v>
          </cell>
          <cell r="H190">
            <v>-130</v>
          </cell>
          <cell r="I190">
            <v>-130</v>
          </cell>
          <cell r="J190">
            <v>-130</v>
          </cell>
        </row>
        <row r="191">
          <cell r="A191" t="str">
            <v>Græsmark</v>
          </cell>
          <cell r="B191" t="str">
            <v>Konventionel</v>
          </cell>
          <cell r="C191" t="str">
            <v>OC6</v>
          </cell>
          <cell r="D191" t="str">
            <v>Areal-græs</v>
          </cell>
          <cell r="E191" t="str">
            <v>Hektar</v>
          </cell>
          <cell r="F191" t="str">
            <v>CO2 - atmosfære</v>
          </cell>
          <cell r="G191" t="str">
            <v>t CO2-ækvivalenter</v>
          </cell>
          <cell r="H191">
            <v>15.99169436748546</v>
          </cell>
          <cell r="I191">
            <v>15.99169436748546</v>
          </cell>
          <cell r="J191">
            <v>15.99169436748546</v>
          </cell>
        </row>
        <row r="192">
          <cell r="A192" t="str">
            <v>Græsmark</v>
          </cell>
          <cell r="B192" t="str">
            <v>Konventionel</v>
          </cell>
          <cell r="C192" t="str">
            <v>OC12</v>
          </cell>
          <cell r="D192" t="str">
            <v>Areal-græs</v>
          </cell>
          <cell r="E192" t="str">
            <v>Hektar</v>
          </cell>
          <cell r="F192" t="str">
            <v>Græs</v>
          </cell>
          <cell r="G192" t="str">
            <v>Ton</v>
          </cell>
          <cell r="H192">
            <v>69.467999999999989</v>
          </cell>
          <cell r="I192">
            <v>69.467999999999989</v>
          </cell>
          <cell r="J192">
            <v>69.467999999999989</v>
          </cell>
        </row>
        <row r="193">
          <cell r="A193" t="str">
            <v>Græsmark</v>
          </cell>
          <cell r="B193" t="str">
            <v>Konventionel</v>
          </cell>
          <cell r="C193" t="str">
            <v>OC12</v>
          </cell>
          <cell r="D193" t="str">
            <v>Areal-græs</v>
          </cell>
          <cell r="E193" t="str">
            <v>Hektar</v>
          </cell>
          <cell r="F193" t="str">
            <v>Gødning</v>
          </cell>
          <cell r="G193" t="str">
            <v>kg N</v>
          </cell>
          <cell r="H193">
            <v>-105</v>
          </cell>
          <cell r="I193">
            <v>-105</v>
          </cell>
          <cell r="J193">
            <v>-105</v>
          </cell>
        </row>
        <row r="194">
          <cell r="A194" t="str">
            <v>Græsmark</v>
          </cell>
          <cell r="B194" t="str">
            <v>Konventionel</v>
          </cell>
          <cell r="C194" t="str">
            <v>OC12</v>
          </cell>
          <cell r="D194" t="str">
            <v>Areal-græs</v>
          </cell>
          <cell r="E194" t="str">
            <v>Hektar</v>
          </cell>
          <cell r="F194" t="str">
            <v>CO2 - atmosfære</v>
          </cell>
          <cell r="G194" t="str">
            <v>t CO2-ækvivalenter</v>
          </cell>
          <cell r="H194">
            <v>40.951694367485452</v>
          </cell>
          <cell r="I194">
            <v>40.951694367485452</v>
          </cell>
          <cell r="J194">
            <v>40.951694367485452</v>
          </cell>
        </row>
        <row r="195">
          <cell r="A195" t="str">
            <v>Græsmark</v>
          </cell>
          <cell r="B195" t="str">
            <v>Økologisk</v>
          </cell>
          <cell r="C195" t="str">
            <v>JB1-10</v>
          </cell>
          <cell r="D195" t="str">
            <v>Areal-græs</v>
          </cell>
          <cell r="E195" t="str">
            <v>Hektar</v>
          </cell>
          <cell r="F195" t="str">
            <v>Græs</v>
          </cell>
          <cell r="G195" t="str">
            <v>Ton</v>
          </cell>
          <cell r="H195">
            <v>38.703600000000002</v>
          </cell>
          <cell r="I195">
            <v>38.703600000000002</v>
          </cell>
          <cell r="J195">
            <v>38.703600000000002</v>
          </cell>
        </row>
        <row r="196">
          <cell r="A196" t="str">
            <v>Græsmark</v>
          </cell>
          <cell r="B196" t="str">
            <v>Økologisk</v>
          </cell>
          <cell r="C196" t="str">
            <v>JB1-10</v>
          </cell>
          <cell r="D196" t="str">
            <v>Areal-græs</v>
          </cell>
          <cell r="E196" t="str">
            <v>Hektar</v>
          </cell>
          <cell r="F196" t="str">
            <v>Gødning</v>
          </cell>
          <cell r="G196" t="str">
            <v>kg N</v>
          </cell>
          <cell r="H196">
            <v>-120.9</v>
          </cell>
          <cell r="I196">
            <v>-120.9</v>
          </cell>
          <cell r="J196">
            <v>-120.9</v>
          </cell>
        </row>
        <row r="197">
          <cell r="A197" t="str">
            <v>Græsmark</v>
          </cell>
          <cell r="B197" t="str">
            <v>Økologisk</v>
          </cell>
          <cell r="C197" t="str">
            <v>JB1-10</v>
          </cell>
          <cell r="D197" t="str">
            <v>Areal-græs</v>
          </cell>
          <cell r="E197" t="str">
            <v>Hektar</v>
          </cell>
          <cell r="F197" t="str">
            <v>CO2 - atmosfære</v>
          </cell>
          <cell r="G197" t="str">
            <v>t CO2-ækvivalenter</v>
          </cell>
          <cell r="H197">
            <v>2.2736943674854606</v>
          </cell>
          <cell r="I197">
            <v>2.2736943674854606</v>
          </cell>
          <cell r="J197">
            <v>2.2736943674854606</v>
          </cell>
        </row>
        <row r="198">
          <cell r="A198" t="str">
            <v>Græsmark</v>
          </cell>
          <cell r="B198" t="str">
            <v>Økologisk</v>
          </cell>
          <cell r="C198" t="str">
            <v>OC6</v>
          </cell>
          <cell r="D198" t="str">
            <v>Areal-græs</v>
          </cell>
          <cell r="E198" t="str">
            <v>Hektar</v>
          </cell>
          <cell r="F198" t="str">
            <v>Græs</v>
          </cell>
          <cell r="G198" t="str">
            <v>Ton</v>
          </cell>
          <cell r="H198">
            <v>46.444319999999998</v>
          </cell>
          <cell r="I198">
            <v>46.444319999999998</v>
          </cell>
          <cell r="J198">
            <v>46.444319999999998</v>
          </cell>
        </row>
        <row r="199">
          <cell r="A199" t="str">
            <v>Græsmark</v>
          </cell>
          <cell r="B199" t="str">
            <v>Økologisk</v>
          </cell>
          <cell r="C199" t="str">
            <v>OC6</v>
          </cell>
          <cell r="D199" t="str">
            <v>Areal-græs</v>
          </cell>
          <cell r="E199" t="str">
            <v>Hektar</v>
          </cell>
          <cell r="F199" t="str">
            <v>Gødning</v>
          </cell>
          <cell r="G199" t="str">
            <v>kg N</v>
          </cell>
          <cell r="H199">
            <v>-101.4</v>
          </cell>
          <cell r="I199">
            <v>-101.4</v>
          </cell>
          <cell r="J199">
            <v>-101.4</v>
          </cell>
        </row>
        <row r="200">
          <cell r="A200" t="str">
            <v>Græsmark</v>
          </cell>
          <cell r="B200" t="str">
            <v>Økologisk</v>
          </cell>
          <cell r="C200" t="str">
            <v>OC6</v>
          </cell>
          <cell r="D200" t="str">
            <v>Areal-græs</v>
          </cell>
          <cell r="E200" t="str">
            <v>Hektar</v>
          </cell>
          <cell r="F200" t="str">
            <v>CO2 - atmosfære</v>
          </cell>
          <cell r="G200" t="str">
            <v>t CO2-ækvivalenter</v>
          </cell>
          <cell r="H200">
            <v>15.99169436748546</v>
          </cell>
          <cell r="I200">
            <v>15.99169436748546</v>
          </cell>
          <cell r="J200">
            <v>15.99169436748546</v>
          </cell>
        </row>
        <row r="201">
          <cell r="A201" t="str">
            <v>Græsmark</v>
          </cell>
          <cell r="B201" t="str">
            <v>Økologisk</v>
          </cell>
          <cell r="C201" t="str">
            <v>OC12</v>
          </cell>
          <cell r="D201" t="str">
            <v>Areal-græs</v>
          </cell>
          <cell r="E201" t="str">
            <v>Hektar</v>
          </cell>
          <cell r="F201" t="str">
            <v>Græs</v>
          </cell>
          <cell r="G201" t="str">
            <v>Ton</v>
          </cell>
          <cell r="H201">
            <v>54.185039999999994</v>
          </cell>
          <cell r="I201">
            <v>54.185039999999994</v>
          </cell>
          <cell r="J201">
            <v>54.185039999999994</v>
          </cell>
        </row>
        <row r="202">
          <cell r="A202" t="str">
            <v>Græsmark</v>
          </cell>
          <cell r="B202" t="str">
            <v>Økologisk</v>
          </cell>
          <cell r="C202" t="str">
            <v>OC12</v>
          </cell>
          <cell r="D202" t="str">
            <v>Areal-græs</v>
          </cell>
          <cell r="E202" t="str">
            <v>Hektar</v>
          </cell>
          <cell r="F202" t="str">
            <v>Gødning</v>
          </cell>
          <cell r="G202" t="str">
            <v>kg N</v>
          </cell>
          <cell r="H202">
            <v>-81.900000000000006</v>
          </cell>
          <cell r="I202">
            <v>-81.900000000000006</v>
          </cell>
          <cell r="J202">
            <v>-81.900000000000006</v>
          </cell>
        </row>
        <row r="203">
          <cell r="A203" t="str">
            <v>Græsmark</v>
          </cell>
          <cell r="B203" t="str">
            <v>Økologisk</v>
          </cell>
          <cell r="C203" t="str">
            <v>OC12</v>
          </cell>
          <cell r="D203" t="str">
            <v>Areal-græs</v>
          </cell>
          <cell r="E203" t="str">
            <v>Hektar</v>
          </cell>
          <cell r="F203" t="str">
            <v>CO2 - atmosfære</v>
          </cell>
          <cell r="G203" t="str">
            <v>t CO2-ækvivalenter</v>
          </cell>
          <cell r="H203">
            <v>40.951694367485452</v>
          </cell>
          <cell r="I203">
            <v>40.951694367485452</v>
          </cell>
          <cell r="J203">
            <v>40.951694367485452</v>
          </cell>
        </row>
        <row r="204">
          <cell r="A204" t="str">
            <v>Bælgsædsmark</v>
          </cell>
          <cell r="B204" t="str">
            <v>Konventionel</v>
          </cell>
          <cell r="C204" t="str">
            <v>JB1-10</v>
          </cell>
          <cell r="D204" t="str">
            <v>Areal-bælgsæd</v>
          </cell>
          <cell r="E204" t="str">
            <v>Hektar</v>
          </cell>
          <cell r="F204" t="str">
            <v>Bælgsæd</v>
          </cell>
          <cell r="G204" t="str">
            <v>Ton</v>
          </cell>
          <cell r="H204">
            <v>3.8600000000000003</v>
          </cell>
          <cell r="I204">
            <v>3.8600000000000003</v>
          </cell>
          <cell r="J204">
            <v>3.8600000000000003</v>
          </cell>
        </row>
        <row r="205">
          <cell r="A205" t="str">
            <v>Bælgsædsmark</v>
          </cell>
          <cell r="B205" t="str">
            <v>Konventionel</v>
          </cell>
          <cell r="C205" t="str">
            <v>JB1-10</v>
          </cell>
          <cell r="D205" t="str">
            <v>Areal-bælgsæd</v>
          </cell>
          <cell r="E205" t="str">
            <v>Hektar</v>
          </cell>
          <cell r="F205" t="str">
            <v>Halm</v>
          </cell>
          <cell r="G205" t="str">
            <v>Ton</v>
          </cell>
          <cell r="H205">
            <v>1.9309999999999998</v>
          </cell>
          <cell r="I205">
            <v>1.9309999999999998</v>
          </cell>
          <cell r="J205">
            <v>1.9309999999999998</v>
          </cell>
        </row>
        <row r="206">
          <cell r="A206" t="str">
            <v>Bælgsædsmark</v>
          </cell>
          <cell r="B206" t="str">
            <v>Konventionel</v>
          </cell>
          <cell r="C206" t="str">
            <v>JB1-10</v>
          </cell>
          <cell r="D206" t="str">
            <v>Areal-bælgsæd</v>
          </cell>
          <cell r="E206" t="str">
            <v>Hektar</v>
          </cell>
          <cell r="F206" t="str">
            <v>Gødning</v>
          </cell>
          <cell r="G206" t="str">
            <v>kg N</v>
          </cell>
          <cell r="H206">
            <v>0</v>
          </cell>
          <cell r="I206">
            <v>0</v>
          </cell>
          <cell r="J206">
            <v>0</v>
          </cell>
        </row>
        <row r="207">
          <cell r="A207" t="str">
            <v>Bælgsædsmark</v>
          </cell>
          <cell r="B207" t="str">
            <v>Konventionel</v>
          </cell>
          <cell r="C207" t="str">
            <v>JB1-10</v>
          </cell>
          <cell r="D207" t="str">
            <v>Areal-bælgsæd</v>
          </cell>
          <cell r="E207" t="str">
            <v>Hektar</v>
          </cell>
          <cell r="F207" t="str">
            <v>CO2 - atmosfære</v>
          </cell>
          <cell r="G207" t="str">
            <v>t CO2-ækvivalenter</v>
          </cell>
          <cell r="H207">
            <v>2.2736943674854606</v>
          </cell>
          <cell r="I207">
            <v>2.2736943674854606</v>
          </cell>
          <cell r="J207">
            <v>2.2736943674854606</v>
          </cell>
        </row>
        <row r="208">
          <cell r="A208" t="str">
            <v>Bælgsædsmark</v>
          </cell>
          <cell r="B208" t="str">
            <v>Konventionel</v>
          </cell>
          <cell r="C208" t="str">
            <v>OC6</v>
          </cell>
          <cell r="D208" t="str">
            <v>Areal-bælgsæd</v>
          </cell>
          <cell r="E208" t="str">
            <v>Hektar</v>
          </cell>
          <cell r="F208" t="str">
            <v>Bælgsæd</v>
          </cell>
          <cell r="G208" t="str">
            <v>Ton</v>
          </cell>
          <cell r="H208">
            <v>4.6320000000000006</v>
          </cell>
          <cell r="I208">
            <v>4.6320000000000006</v>
          </cell>
          <cell r="J208">
            <v>4.6320000000000006</v>
          </cell>
        </row>
        <row r="209">
          <cell r="A209" t="str">
            <v>Bælgsædsmark</v>
          </cell>
          <cell r="B209" t="str">
            <v>Konventionel</v>
          </cell>
          <cell r="C209" t="str">
            <v>OC6</v>
          </cell>
          <cell r="D209" t="str">
            <v>Areal-bælgsæd</v>
          </cell>
          <cell r="E209" t="str">
            <v>Hektar</v>
          </cell>
          <cell r="F209" t="str">
            <v>Halm</v>
          </cell>
          <cell r="G209" t="str">
            <v>Ton</v>
          </cell>
          <cell r="H209">
            <v>2.3171999999999997</v>
          </cell>
          <cell r="I209">
            <v>2.3171999999999997</v>
          </cell>
          <cell r="J209">
            <v>2.3171999999999997</v>
          </cell>
        </row>
        <row r="210">
          <cell r="A210" t="str">
            <v>Bælgsædsmark</v>
          </cell>
          <cell r="B210" t="str">
            <v>Konventionel</v>
          </cell>
          <cell r="C210" t="str">
            <v>OC6</v>
          </cell>
          <cell r="D210" t="str">
            <v>Areal-bælgsæd</v>
          </cell>
          <cell r="E210" t="str">
            <v>Hektar</v>
          </cell>
          <cell r="F210" t="str">
            <v>Gødning</v>
          </cell>
          <cell r="G210" t="str">
            <v>kg N</v>
          </cell>
          <cell r="H210">
            <v>0</v>
          </cell>
          <cell r="I210">
            <v>0</v>
          </cell>
          <cell r="J210">
            <v>0</v>
          </cell>
        </row>
        <row r="211">
          <cell r="A211" t="str">
            <v>Bælgsædsmark</v>
          </cell>
          <cell r="B211" t="str">
            <v>Konventionel</v>
          </cell>
          <cell r="C211" t="str">
            <v>OC6</v>
          </cell>
          <cell r="D211" t="str">
            <v>Areal-bælgsæd</v>
          </cell>
          <cell r="E211" t="str">
            <v>Hektar</v>
          </cell>
          <cell r="F211" t="str">
            <v>CO2 - atmosfære</v>
          </cell>
          <cell r="G211" t="str">
            <v>t CO2-ækvivalenter</v>
          </cell>
          <cell r="H211">
            <v>15.99169436748546</v>
          </cell>
          <cell r="I211">
            <v>15.99169436748546</v>
          </cell>
          <cell r="J211">
            <v>15.99169436748546</v>
          </cell>
        </row>
        <row r="212">
          <cell r="A212" t="str">
            <v>Bælgsædsmark</v>
          </cell>
          <cell r="B212" t="str">
            <v>Konventionel</v>
          </cell>
          <cell r="C212" t="str">
            <v>OC12</v>
          </cell>
          <cell r="D212" t="str">
            <v>Areal-bælgsæd</v>
          </cell>
          <cell r="E212" t="str">
            <v>Hektar</v>
          </cell>
          <cell r="F212" t="str">
            <v>Bælgsæd</v>
          </cell>
          <cell r="G212" t="str">
            <v>Ton</v>
          </cell>
          <cell r="H212">
            <v>5.4039999999999999</v>
          </cell>
          <cell r="I212">
            <v>5.4039999999999999</v>
          </cell>
          <cell r="J212">
            <v>5.4039999999999999</v>
          </cell>
        </row>
        <row r="213">
          <cell r="A213" t="str">
            <v>Bælgsædsmark</v>
          </cell>
          <cell r="B213" t="str">
            <v>Konventionel</v>
          </cell>
          <cell r="C213" t="str">
            <v>OC12</v>
          </cell>
          <cell r="D213" t="str">
            <v>Areal-bælgsæd</v>
          </cell>
          <cell r="E213" t="str">
            <v>Hektar</v>
          </cell>
          <cell r="F213" t="str">
            <v>Halm</v>
          </cell>
          <cell r="G213" t="str">
            <v>Ton</v>
          </cell>
          <cell r="H213">
            <v>2.7033999999999998</v>
          </cell>
          <cell r="I213">
            <v>2.7033999999999998</v>
          </cell>
          <cell r="J213">
            <v>2.7033999999999998</v>
          </cell>
        </row>
        <row r="214">
          <cell r="A214" t="str">
            <v>Bælgsædsmark</v>
          </cell>
          <cell r="B214" t="str">
            <v>Konventionel</v>
          </cell>
          <cell r="C214" t="str">
            <v>OC12</v>
          </cell>
          <cell r="D214" t="str">
            <v>Areal-bælgsæd</v>
          </cell>
          <cell r="E214" t="str">
            <v>Hektar</v>
          </cell>
          <cell r="F214" t="str">
            <v>Gødning</v>
          </cell>
          <cell r="G214" t="str">
            <v>kg N</v>
          </cell>
          <cell r="H214">
            <v>0</v>
          </cell>
          <cell r="I214">
            <v>0</v>
          </cell>
          <cell r="J214">
            <v>0</v>
          </cell>
        </row>
        <row r="215">
          <cell r="A215" t="str">
            <v>Bælgsædsmark</v>
          </cell>
          <cell r="B215" t="str">
            <v>Konventionel</v>
          </cell>
          <cell r="C215" t="str">
            <v>OC12</v>
          </cell>
          <cell r="D215" t="str">
            <v>Areal-bælgsæd</v>
          </cell>
          <cell r="E215" t="str">
            <v>Hektar</v>
          </cell>
          <cell r="F215" t="str">
            <v>CO2 - atmosfære</v>
          </cell>
          <cell r="G215" t="str">
            <v>t CO2-ækvivalenter</v>
          </cell>
          <cell r="H215">
            <v>40.951694367485452</v>
          </cell>
          <cell r="I215">
            <v>40.951694367485452</v>
          </cell>
          <cell r="J215">
            <v>40.951694367485452</v>
          </cell>
        </row>
        <row r="216">
          <cell r="A216" t="str">
            <v>Bælgsædsmark</v>
          </cell>
          <cell r="B216" t="str">
            <v>Økologisk</v>
          </cell>
          <cell r="C216" t="str">
            <v>JB1-10</v>
          </cell>
          <cell r="D216" t="str">
            <v>Areal-bælgsæd</v>
          </cell>
          <cell r="E216" t="str">
            <v>Hektar</v>
          </cell>
          <cell r="F216" t="str">
            <v>Bælgsæd</v>
          </cell>
          <cell r="G216" t="str">
            <v>Ton</v>
          </cell>
          <cell r="H216">
            <v>2.2002000000000002</v>
          </cell>
          <cell r="I216">
            <v>2.2002000000000002</v>
          </cell>
          <cell r="J216">
            <v>2.2002000000000002</v>
          </cell>
        </row>
        <row r="217">
          <cell r="A217" t="str">
            <v>Bælgsædsmark</v>
          </cell>
          <cell r="B217" t="str">
            <v>Økologisk</v>
          </cell>
          <cell r="C217" t="str">
            <v>JB1-10</v>
          </cell>
          <cell r="D217" t="str">
            <v>Areal-bælgsæd</v>
          </cell>
          <cell r="E217" t="str">
            <v>Hektar</v>
          </cell>
          <cell r="F217" t="str">
            <v>Halm</v>
          </cell>
          <cell r="G217" t="str">
            <v>Ton</v>
          </cell>
          <cell r="H217">
            <v>1.1006699999999998</v>
          </cell>
          <cell r="I217">
            <v>1.1006699999999998</v>
          </cell>
          <cell r="J217">
            <v>1.1006699999999998</v>
          </cell>
        </row>
        <row r="218">
          <cell r="A218" t="str">
            <v>Bælgsædsmark</v>
          </cell>
          <cell r="B218" t="str">
            <v>Økologisk</v>
          </cell>
          <cell r="C218" t="str">
            <v>JB1-10</v>
          </cell>
          <cell r="D218" t="str">
            <v>Areal-bælgsæd</v>
          </cell>
          <cell r="E218" t="str">
            <v>Hektar</v>
          </cell>
          <cell r="F218" t="str">
            <v>Gødning</v>
          </cell>
          <cell r="G218" t="str">
            <v>kg N</v>
          </cell>
          <cell r="H218">
            <v>0</v>
          </cell>
          <cell r="I218">
            <v>0</v>
          </cell>
          <cell r="J218">
            <v>0</v>
          </cell>
        </row>
        <row r="219">
          <cell r="A219" t="str">
            <v>Bælgsædsmark</v>
          </cell>
          <cell r="B219" t="str">
            <v>Økologisk</v>
          </cell>
          <cell r="C219" t="str">
            <v>JB1-10</v>
          </cell>
          <cell r="D219" t="str">
            <v>Areal-bælgsæd</v>
          </cell>
          <cell r="E219" t="str">
            <v>Hektar</v>
          </cell>
          <cell r="F219" t="str">
            <v>CO2 - atmosfære</v>
          </cell>
          <cell r="G219" t="str">
            <v>t CO2-ækvivalenter</v>
          </cell>
          <cell r="H219">
            <v>2.2736943674854606</v>
          </cell>
          <cell r="I219">
            <v>2.2736943674854606</v>
          </cell>
          <cell r="J219">
            <v>2.2736943674854606</v>
          </cell>
        </row>
        <row r="220">
          <cell r="A220" t="str">
            <v>Bælgsædsmark</v>
          </cell>
          <cell r="B220" t="str">
            <v>Økologisk</v>
          </cell>
          <cell r="C220" t="str">
            <v>OC6</v>
          </cell>
          <cell r="D220" t="str">
            <v>Areal-bælgsæd</v>
          </cell>
          <cell r="E220" t="str">
            <v>Hektar</v>
          </cell>
          <cell r="F220" t="str">
            <v>Bælgsæd</v>
          </cell>
          <cell r="G220" t="str">
            <v>Ton</v>
          </cell>
          <cell r="H220">
            <v>2.6402399999999999</v>
          </cell>
          <cell r="I220">
            <v>2.6402399999999999</v>
          </cell>
          <cell r="J220">
            <v>2.6402399999999999</v>
          </cell>
        </row>
        <row r="221">
          <cell r="A221" t="str">
            <v>Bælgsædsmark</v>
          </cell>
          <cell r="B221" t="str">
            <v>Økologisk</v>
          </cell>
          <cell r="C221" t="str">
            <v>OC6</v>
          </cell>
          <cell r="D221" t="str">
            <v>Areal-bælgsæd</v>
          </cell>
          <cell r="E221" t="str">
            <v>Hektar</v>
          </cell>
          <cell r="F221" t="str">
            <v>Halm</v>
          </cell>
          <cell r="G221" t="str">
            <v>Ton</v>
          </cell>
          <cell r="H221">
            <v>1.3208039999999996</v>
          </cell>
          <cell r="I221">
            <v>1.3208039999999996</v>
          </cell>
          <cell r="J221">
            <v>1.3208039999999996</v>
          </cell>
        </row>
        <row r="222">
          <cell r="A222" t="str">
            <v>Bælgsædsmark</v>
          </cell>
          <cell r="B222" t="str">
            <v>Økologisk</v>
          </cell>
          <cell r="C222" t="str">
            <v>OC6</v>
          </cell>
          <cell r="D222" t="str">
            <v>Areal-bælgsæd</v>
          </cell>
          <cell r="E222" t="str">
            <v>Hektar</v>
          </cell>
          <cell r="F222" t="str">
            <v>Gødning</v>
          </cell>
          <cell r="G222" t="str">
            <v>kg N</v>
          </cell>
          <cell r="H222">
            <v>0</v>
          </cell>
          <cell r="I222">
            <v>0</v>
          </cell>
          <cell r="J222">
            <v>0</v>
          </cell>
        </row>
        <row r="223">
          <cell r="A223" t="str">
            <v>Bælgsædsmark</v>
          </cell>
          <cell r="B223" t="str">
            <v>Økologisk</v>
          </cell>
          <cell r="C223" t="str">
            <v>OC6</v>
          </cell>
          <cell r="D223" t="str">
            <v>Areal-bælgsæd</v>
          </cell>
          <cell r="E223" t="str">
            <v>Hektar</v>
          </cell>
          <cell r="F223" t="str">
            <v>CO2 - atmosfære</v>
          </cell>
          <cell r="G223" t="str">
            <v>t CO2-ækvivalenter</v>
          </cell>
          <cell r="H223">
            <v>15.99169436748546</v>
          </cell>
          <cell r="I223">
            <v>15.99169436748546</v>
          </cell>
          <cell r="J223">
            <v>15.99169436748546</v>
          </cell>
        </row>
        <row r="224">
          <cell r="A224" t="str">
            <v>Bælgsædsmark</v>
          </cell>
          <cell r="B224" t="str">
            <v>Økologisk</v>
          </cell>
          <cell r="C224" t="str">
            <v>OC12</v>
          </cell>
          <cell r="D224" t="str">
            <v>Areal-bælgsæd</v>
          </cell>
          <cell r="E224" t="str">
            <v>Hektar</v>
          </cell>
          <cell r="F224" t="str">
            <v>Bælgsæd</v>
          </cell>
          <cell r="G224" t="str">
            <v>Ton</v>
          </cell>
          <cell r="H224">
            <v>3.0802799999999997</v>
          </cell>
          <cell r="I224">
            <v>3.0802799999999997</v>
          </cell>
          <cell r="J224">
            <v>3.0802799999999997</v>
          </cell>
        </row>
        <row r="225">
          <cell r="A225" t="str">
            <v>Bælgsædsmark</v>
          </cell>
          <cell r="B225" t="str">
            <v>Økologisk</v>
          </cell>
          <cell r="C225" t="str">
            <v>OC12</v>
          </cell>
          <cell r="D225" t="str">
            <v>Areal-bælgsæd</v>
          </cell>
          <cell r="E225" t="str">
            <v>Hektar</v>
          </cell>
          <cell r="F225" t="str">
            <v>Halm</v>
          </cell>
          <cell r="G225" t="str">
            <v>Ton</v>
          </cell>
          <cell r="H225">
            <v>1.5409379999999997</v>
          </cell>
          <cell r="I225">
            <v>1.5409379999999997</v>
          </cell>
          <cell r="J225">
            <v>1.5409379999999997</v>
          </cell>
        </row>
        <row r="226">
          <cell r="A226" t="str">
            <v>Bælgsædsmark</v>
          </cell>
          <cell r="B226" t="str">
            <v>Økologisk</v>
          </cell>
          <cell r="C226" t="str">
            <v>OC12</v>
          </cell>
          <cell r="D226" t="str">
            <v>Areal-bælgsæd</v>
          </cell>
          <cell r="E226" t="str">
            <v>Hektar</v>
          </cell>
          <cell r="F226" t="str">
            <v>Gødning</v>
          </cell>
          <cell r="G226" t="str">
            <v>kg N</v>
          </cell>
          <cell r="H226">
            <v>0</v>
          </cell>
          <cell r="I226">
            <v>0</v>
          </cell>
          <cell r="J226">
            <v>0</v>
          </cell>
        </row>
        <row r="227">
          <cell r="A227" t="str">
            <v>Bælgsædsmark</v>
          </cell>
          <cell r="B227" t="str">
            <v>Økologisk</v>
          </cell>
          <cell r="C227" t="str">
            <v>OC12</v>
          </cell>
          <cell r="D227" t="str">
            <v>Areal-bælgsæd</v>
          </cell>
          <cell r="E227" t="str">
            <v>Hektar</v>
          </cell>
          <cell r="F227" t="str">
            <v>CO2 - atmosfære</v>
          </cell>
          <cell r="G227" t="str">
            <v>t CO2-ækvivalenter</v>
          </cell>
          <cell r="H227">
            <v>40.951694367485452</v>
          </cell>
          <cell r="I227">
            <v>40.951694367485452</v>
          </cell>
          <cell r="J227">
            <v>40.951694367485452</v>
          </cell>
        </row>
        <row r="228">
          <cell r="A228" t="str">
            <v>Roemark</v>
          </cell>
          <cell r="B228" t="str">
            <v>Konventionel</v>
          </cell>
          <cell r="C228" t="str">
            <v>JB1-10</v>
          </cell>
          <cell r="D228" t="str">
            <v>Areal-roer</v>
          </cell>
          <cell r="E228" t="str">
            <v>Hektar</v>
          </cell>
          <cell r="F228" t="str">
            <v>Roer</v>
          </cell>
          <cell r="G228" t="str">
            <v>Ton</v>
          </cell>
          <cell r="H228">
            <v>81.253731343283576</v>
          </cell>
          <cell r="I228">
            <v>81.253731343283576</v>
          </cell>
          <cell r="J228">
            <v>81.253731343283576</v>
          </cell>
        </row>
        <row r="229">
          <cell r="A229" t="str">
            <v>Roemark</v>
          </cell>
          <cell r="B229" t="str">
            <v>Konventionel</v>
          </cell>
          <cell r="C229" t="str">
            <v>JB1-10</v>
          </cell>
          <cell r="D229" t="str">
            <v>Areal-roer</v>
          </cell>
          <cell r="E229" t="str">
            <v>Hektar</v>
          </cell>
          <cell r="F229" t="str">
            <v>Gødning</v>
          </cell>
          <cell r="G229" t="str">
            <v>kg N</v>
          </cell>
          <cell r="H229">
            <v>-135</v>
          </cell>
          <cell r="I229">
            <v>-135</v>
          </cell>
          <cell r="J229">
            <v>-135</v>
          </cell>
        </row>
        <row r="230">
          <cell r="A230" t="str">
            <v>Roemark</v>
          </cell>
          <cell r="B230" t="str">
            <v>Konventionel</v>
          </cell>
          <cell r="C230" t="str">
            <v>JB1-10</v>
          </cell>
          <cell r="D230" t="str">
            <v>Areal-roer</v>
          </cell>
          <cell r="E230" t="str">
            <v>Hektar</v>
          </cell>
          <cell r="F230" t="str">
            <v>CO2 - atmosfære</v>
          </cell>
          <cell r="G230" t="str">
            <v>t CO2-ækvivalenter</v>
          </cell>
          <cell r="H230">
            <v>2.2736943674854606</v>
          </cell>
          <cell r="I230">
            <v>2.2736943674854606</v>
          </cell>
          <cell r="J230">
            <v>2.2736943674854606</v>
          </cell>
        </row>
        <row r="231">
          <cell r="A231" t="str">
            <v>Roemark</v>
          </cell>
          <cell r="B231" t="str">
            <v>Konventionel</v>
          </cell>
          <cell r="C231" t="str">
            <v>OC6</v>
          </cell>
          <cell r="D231" t="str">
            <v>Areal-roer</v>
          </cell>
          <cell r="E231" t="str">
            <v>Hektar</v>
          </cell>
          <cell r="F231" t="str">
            <v>Roer</v>
          </cell>
          <cell r="G231" t="str">
            <v>Ton</v>
          </cell>
          <cell r="H231">
            <v>97.504477611940288</v>
          </cell>
          <cell r="I231">
            <v>97.504477611940288</v>
          </cell>
          <cell r="J231">
            <v>97.504477611940288</v>
          </cell>
        </row>
        <row r="232">
          <cell r="A232" t="str">
            <v>Roemark</v>
          </cell>
          <cell r="B232" t="str">
            <v>Konventionel</v>
          </cell>
          <cell r="C232" t="str">
            <v>OC6</v>
          </cell>
          <cell r="D232" t="str">
            <v>Areal-roer</v>
          </cell>
          <cell r="E232" t="str">
            <v>Hektar</v>
          </cell>
          <cell r="F232" t="str">
            <v>Gødning</v>
          </cell>
          <cell r="G232" t="str">
            <v>kg N</v>
          </cell>
          <cell r="H232">
            <v>-105</v>
          </cell>
          <cell r="I232">
            <v>-105</v>
          </cell>
          <cell r="J232">
            <v>-105</v>
          </cell>
        </row>
        <row r="233">
          <cell r="A233" t="str">
            <v>Roemark</v>
          </cell>
          <cell r="B233" t="str">
            <v>Konventionel</v>
          </cell>
          <cell r="C233" t="str">
            <v>OC6</v>
          </cell>
          <cell r="D233" t="str">
            <v>Areal-roer</v>
          </cell>
          <cell r="E233" t="str">
            <v>Hektar</v>
          </cell>
          <cell r="F233" t="str">
            <v>CO2 - atmosfære</v>
          </cell>
          <cell r="G233" t="str">
            <v>t CO2-ækvivalenter</v>
          </cell>
          <cell r="H233">
            <v>15.99169436748546</v>
          </cell>
          <cell r="I233">
            <v>15.99169436748546</v>
          </cell>
          <cell r="J233">
            <v>15.99169436748546</v>
          </cell>
        </row>
        <row r="234">
          <cell r="A234" t="str">
            <v>Roemark</v>
          </cell>
          <cell r="B234" t="str">
            <v>Konventionel</v>
          </cell>
          <cell r="C234" t="str">
            <v>OC12</v>
          </cell>
          <cell r="D234" t="str">
            <v>Areal-roer</v>
          </cell>
          <cell r="E234" t="str">
            <v>Hektar</v>
          </cell>
          <cell r="F234" t="str">
            <v>Roer</v>
          </cell>
          <cell r="G234" t="str">
            <v>Ton</v>
          </cell>
          <cell r="H234">
            <v>113.755223880597</v>
          </cell>
          <cell r="I234">
            <v>113.755223880597</v>
          </cell>
          <cell r="J234">
            <v>113.755223880597</v>
          </cell>
        </row>
        <row r="235">
          <cell r="A235" t="str">
            <v>Roemark</v>
          </cell>
          <cell r="B235" t="str">
            <v>Konventionel</v>
          </cell>
          <cell r="C235" t="str">
            <v>OC12</v>
          </cell>
          <cell r="D235" t="str">
            <v>Areal-roer</v>
          </cell>
          <cell r="E235" t="str">
            <v>Hektar</v>
          </cell>
          <cell r="F235" t="str">
            <v>Gødning</v>
          </cell>
          <cell r="G235" t="str">
            <v>kg N</v>
          </cell>
          <cell r="H235">
            <v>-75</v>
          </cell>
          <cell r="I235">
            <v>-75</v>
          </cell>
          <cell r="J235">
            <v>-75</v>
          </cell>
        </row>
        <row r="236">
          <cell r="A236" t="str">
            <v>Roemark</v>
          </cell>
          <cell r="B236" t="str">
            <v>Konventionel</v>
          </cell>
          <cell r="C236" t="str">
            <v>OC12</v>
          </cell>
          <cell r="D236" t="str">
            <v>Areal-roer</v>
          </cell>
          <cell r="E236" t="str">
            <v>Hektar</v>
          </cell>
          <cell r="F236" t="str">
            <v>CO2 - atmosfære</v>
          </cell>
          <cell r="G236" t="str">
            <v>t CO2-ækvivalenter</v>
          </cell>
          <cell r="H236">
            <v>40.951694367485452</v>
          </cell>
          <cell r="I236">
            <v>40.951694367485452</v>
          </cell>
          <cell r="J236">
            <v>40.951694367485452</v>
          </cell>
        </row>
        <row r="237">
          <cell r="A237" t="str">
            <v>Roemark</v>
          </cell>
          <cell r="B237" t="str">
            <v>Økologisk</v>
          </cell>
          <cell r="C237" t="str">
            <v>JB1-10</v>
          </cell>
          <cell r="D237" t="str">
            <v>Areal-roer</v>
          </cell>
          <cell r="E237" t="str">
            <v>Hektar</v>
          </cell>
          <cell r="F237" t="str">
            <v>Roer</v>
          </cell>
          <cell r="G237" t="str">
            <v>Ton</v>
          </cell>
          <cell r="H237">
            <v>46.314626865671634</v>
          </cell>
          <cell r="I237">
            <v>46.314626865671634</v>
          </cell>
          <cell r="J237">
            <v>46.314626865671634</v>
          </cell>
        </row>
        <row r="238">
          <cell r="A238" t="str">
            <v>Roemark</v>
          </cell>
          <cell r="B238" t="str">
            <v>Økologisk</v>
          </cell>
          <cell r="C238" t="str">
            <v>JB1-10</v>
          </cell>
          <cell r="D238" t="str">
            <v>Areal-roer</v>
          </cell>
          <cell r="E238" t="str">
            <v>Hektar</v>
          </cell>
          <cell r="F238" t="str">
            <v>Gødning</v>
          </cell>
          <cell r="G238" t="str">
            <v>kg N</v>
          </cell>
          <cell r="H238">
            <v>-76.949999999999989</v>
          </cell>
          <cell r="I238">
            <v>-76.949999999999989</v>
          </cell>
          <cell r="J238">
            <v>-76.949999999999989</v>
          </cell>
        </row>
        <row r="239">
          <cell r="A239" t="str">
            <v>Roemark</v>
          </cell>
          <cell r="B239" t="str">
            <v>Økologisk</v>
          </cell>
          <cell r="C239" t="str">
            <v>JB1-10</v>
          </cell>
          <cell r="D239" t="str">
            <v>Areal-roer</v>
          </cell>
          <cell r="E239" t="str">
            <v>Hektar</v>
          </cell>
          <cell r="F239" t="str">
            <v>CO2 - atmosfære</v>
          </cell>
          <cell r="G239" t="str">
            <v>t CO2-ækvivalenter</v>
          </cell>
          <cell r="H239">
            <v>2.2736943674854606</v>
          </cell>
          <cell r="I239">
            <v>2.2736943674854606</v>
          </cell>
          <cell r="J239">
            <v>2.2736943674854606</v>
          </cell>
        </row>
        <row r="240">
          <cell r="A240" t="str">
            <v>Roemark</v>
          </cell>
          <cell r="B240" t="str">
            <v>Økologisk</v>
          </cell>
          <cell r="C240" t="str">
            <v>OC6</v>
          </cell>
          <cell r="D240" t="str">
            <v>Areal-roer</v>
          </cell>
          <cell r="E240" t="str">
            <v>Hektar</v>
          </cell>
          <cell r="F240" t="str">
            <v>Roer</v>
          </cell>
          <cell r="G240" t="str">
            <v>Ton</v>
          </cell>
          <cell r="H240">
            <v>55.577552238805957</v>
          </cell>
          <cell r="I240">
            <v>55.577552238805957</v>
          </cell>
          <cell r="J240">
            <v>55.577552238805957</v>
          </cell>
        </row>
        <row r="241">
          <cell r="A241" t="str">
            <v>Roemark</v>
          </cell>
          <cell r="B241" t="str">
            <v>Økologisk</v>
          </cell>
          <cell r="C241" t="str">
            <v>OC6</v>
          </cell>
          <cell r="D241" t="str">
            <v>Areal-roer</v>
          </cell>
          <cell r="E241" t="str">
            <v>Hektar</v>
          </cell>
          <cell r="F241" t="str">
            <v>Gødning</v>
          </cell>
          <cell r="G241" t="str">
            <v>kg N</v>
          </cell>
          <cell r="H241">
            <v>-59.849999999999994</v>
          </cell>
          <cell r="I241">
            <v>-59.849999999999994</v>
          </cell>
          <cell r="J241">
            <v>-59.849999999999994</v>
          </cell>
        </row>
        <row r="242">
          <cell r="A242" t="str">
            <v>Roemark</v>
          </cell>
          <cell r="B242" t="str">
            <v>Økologisk</v>
          </cell>
          <cell r="C242" t="str">
            <v>OC6</v>
          </cell>
          <cell r="D242" t="str">
            <v>Areal-roer</v>
          </cell>
          <cell r="E242" t="str">
            <v>Hektar</v>
          </cell>
          <cell r="F242" t="str">
            <v>CO2 - atmosfære</v>
          </cell>
          <cell r="G242" t="str">
            <v>t CO2-ækvivalenter</v>
          </cell>
          <cell r="H242">
            <v>15.99169436748546</v>
          </cell>
          <cell r="I242">
            <v>15.99169436748546</v>
          </cell>
          <cell r="J242">
            <v>15.99169436748546</v>
          </cell>
        </row>
        <row r="243">
          <cell r="A243" t="str">
            <v>Roemark</v>
          </cell>
          <cell r="B243" t="str">
            <v>Økologisk</v>
          </cell>
          <cell r="C243" t="str">
            <v>OC12</v>
          </cell>
          <cell r="D243" t="str">
            <v>Areal-roer</v>
          </cell>
          <cell r="E243" t="str">
            <v>Hektar</v>
          </cell>
          <cell r="F243" t="str">
            <v>Roer</v>
          </cell>
          <cell r="G243" t="str">
            <v>Ton</v>
          </cell>
          <cell r="H243">
            <v>64.840477611940287</v>
          </cell>
          <cell r="I243">
            <v>64.840477611940287</v>
          </cell>
          <cell r="J243">
            <v>64.840477611940287</v>
          </cell>
        </row>
        <row r="244">
          <cell r="A244" t="str">
            <v>Roemark</v>
          </cell>
          <cell r="B244" t="str">
            <v>Økologisk</v>
          </cell>
          <cell r="C244" t="str">
            <v>OC12</v>
          </cell>
          <cell r="D244" t="str">
            <v>Areal-roer</v>
          </cell>
          <cell r="E244" t="str">
            <v>Hektar</v>
          </cell>
          <cell r="F244" t="str">
            <v>Gødning</v>
          </cell>
          <cell r="G244" t="str">
            <v>kg N</v>
          </cell>
          <cell r="H244">
            <v>-42.749999999999993</v>
          </cell>
          <cell r="I244">
            <v>-42.749999999999993</v>
          </cell>
          <cell r="J244">
            <v>-42.749999999999993</v>
          </cell>
        </row>
        <row r="245">
          <cell r="A245" t="str">
            <v>Roemark</v>
          </cell>
          <cell r="B245" t="str">
            <v>Økologisk</v>
          </cell>
          <cell r="C245" t="str">
            <v>OC12</v>
          </cell>
          <cell r="D245" t="str">
            <v>Areal-roer</v>
          </cell>
          <cell r="E245" t="str">
            <v>Hektar</v>
          </cell>
          <cell r="F245" t="str">
            <v>CO2 - atmosfære</v>
          </cell>
          <cell r="G245" t="str">
            <v>t CO2-ækvivalenter</v>
          </cell>
          <cell r="H245">
            <v>40.951694367485452</v>
          </cell>
          <cell r="I245">
            <v>40.951694367485452</v>
          </cell>
          <cell r="J245">
            <v>40.951694367485452</v>
          </cell>
        </row>
        <row r="246">
          <cell r="A246" t="str">
            <v>Frugtmark</v>
          </cell>
          <cell r="B246" t="str">
            <v>Konventionel</v>
          </cell>
          <cell r="C246" t="str">
            <v>JB1-10</v>
          </cell>
          <cell r="D246" t="str">
            <v>Areal-frugt</v>
          </cell>
          <cell r="E246" t="str">
            <v>Hektar</v>
          </cell>
          <cell r="F246" t="str">
            <v>Frugt</v>
          </cell>
          <cell r="G246" t="str">
            <v>Ton</v>
          </cell>
          <cell r="H246">
            <v>8.49</v>
          </cell>
          <cell r="I246">
            <v>8.49</v>
          </cell>
          <cell r="J246">
            <v>8.49</v>
          </cell>
        </row>
        <row r="247">
          <cell r="A247" t="str">
            <v>Frugtmark</v>
          </cell>
          <cell r="B247" t="str">
            <v>Konventionel</v>
          </cell>
          <cell r="C247" t="str">
            <v>JB1-10</v>
          </cell>
          <cell r="D247" t="str">
            <v>Areal-frugt</v>
          </cell>
          <cell r="E247" t="str">
            <v>Hektar</v>
          </cell>
          <cell r="F247" t="str">
            <v>Gødning</v>
          </cell>
          <cell r="G247" t="str">
            <v>kg N</v>
          </cell>
          <cell r="H247">
            <v>-140</v>
          </cell>
          <cell r="I247">
            <v>-140</v>
          </cell>
          <cell r="J247">
            <v>-140</v>
          </cell>
        </row>
        <row r="248">
          <cell r="A248" t="str">
            <v>Frugtmark</v>
          </cell>
          <cell r="B248" t="str">
            <v>Konventionel</v>
          </cell>
          <cell r="C248" t="str">
            <v>JB1-10</v>
          </cell>
          <cell r="D248" t="str">
            <v>Areal-frugt</v>
          </cell>
          <cell r="E248" t="str">
            <v>Hektar</v>
          </cell>
          <cell r="F248" t="str">
            <v>CO2 - atmosfære</v>
          </cell>
          <cell r="G248" t="str">
            <v>t CO2-ækvivalenter</v>
          </cell>
          <cell r="H248">
            <v>1.9656943674854606</v>
          </cell>
          <cell r="I248">
            <v>1.9656943674854606</v>
          </cell>
          <cell r="J248">
            <v>1.9656943674854606</v>
          </cell>
        </row>
        <row r="249">
          <cell r="A249" t="str">
            <v>Frugtmark</v>
          </cell>
          <cell r="B249" t="str">
            <v>Konventionel</v>
          </cell>
          <cell r="C249" t="str">
            <v>OC6</v>
          </cell>
          <cell r="D249" t="str">
            <v>Areal-frugt</v>
          </cell>
          <cell r="E249" t="str">
            <v>Hektar</v>
          </cell>
          <cell r="F249" t="str">
            <v>Frugt</v>
          </cell>
          <cell r="G249" t="str">
            <v>Ton</v>
          </cell>
          <cell r="H249">
            <v>10.188000000000001</v>
          </cell>
          <cell r="I249">
            <v>10.188000000000001</v>
          </cell>
          <cell r="J249">
            <v>10.188000000000001</v>
          </cell>
        </row>
        <row r="250">
          <cell r="A250" t="str">
            <v>Frugtmark</v>
          </cell>
          <cell r="B250" t="str">
            <v>Konventionel</v>
          </cell>
          <cell r="C250" t="str">
            <v>OC6</v>
          </cell>
          <cell r="D250" t="str">
            <v>Areal-frugt</v>
          </cell>
          <cell r="E250" t="str">
            <v>Hektar</v>
          </cell>
          <cell r="F250" t="str">
            <v>Gødning</v>
          </cell>
          <cell r="G250" t="str">
            <v>kg N</v>
          </cell>
          <cell r="H250">
            <v>-140</v>
          </cell>
          <cell r="I250">
            <v>-140</v>
          </cell>
          <cell r="J250">
            <v>-140</v>
          </cell>
        </row>
        <row r="251">
          <cell r="A251" t="str">
            <v>Frugtmark</v>
          </cell>
          <cell r="B251" t="str">
            <v>Konventionel</v>
          </cell>
          <cell r="C251" t="str">
            <v>OC6</v>
          </cell>
          <cell r="D251" t="str">
            <v>Areal-frugt</v>
          </cell>
          <cell r="E251" t="str">
            <v>Hektar</v>
          </cell>
          <cell r="F251" t="str">
            <v>CO2 - atmosfære</v>
          </cell>
          <cell r="G251" t="str">
            <v>t CO2-ækvivalenter</v>
          </cell>
          <cell r="H251">
            <v>10.661694367485461</v>
          </cell>
          <cell r="I251">
            <v>10.661694367485461</v>
          </cell>
          <cell r="J251">
            <v>10.661694367485461</v>
          </cell>
        </row>
        <row r="252">
          <cell r="A252" t="str">
            <v>Frugtmark</v>
          </cell>
          <cell r="B252" t="str">
            <v>Konventionel</v>
          </cell>
          <cell r="C252" t="str">
            <v>OC12</v>
          </cell>
          <cell r="D252" t="str">
            <v>Areal-frugt</v>
          </cell>
          <cell r="E252" t="str">
            <v>Hektar</v>
          </cell>
          <cell r="F252" t="str">
            <v>Frugt</v>
          </cell>
          <cell r="G252" t="str">
            <v>Ton</v>
          </cell>
          <cell r="H252">
            <v>11.885999999999999</v>
          </cell>
          <cell r="I252">
            <v>11.885999999999999</v>
          </cell>
          <cell r="J252">
            <v>11.885999999999999</v>
          </cell>
        </row>
        <row r="253">
          <cell r="A253" t="str">
            <v>Frugtmark</v>
          </cell>
          <cell r="B253" t="str">
            <v>Konventionel</v>
          </cell>
          <cell r="C253" t="str">
            <v>OC12</v>
          </cell>
          <cell r="D253" t="str">
            <v>Areal-frugt</v>
          </cell>
          <cell r="E253" t="str">
            <v>Hektar</v>
          </cell>
          <cell r="F253" t="str">
            <v>Gødning</v>
          </cell>
          <cell r="G253" t="str">
            <v>kg N</v>
          </cell>
          <cell r="H253">
            <v>-140</v>
          </cell>
          <cell r="I253">
            <v>-140</v>
          </cell>
          <cell r="J253">
            <v>-140</v>
          </cell>
        </row>
        <row r="254">
          <cell r="A254" t="str">
            <v>Frugtmark</v>
          </cell>
          <cell r="B254" t="str">
            <v>Konventionel</v>
          </cell>
          <cell r="C254" t="str">
            <v>OC12</v>
          </cell>
          <cell r="D254" t="str">
            <v>Areal-frugt</v>
          </cell>
          <cell r="E254" t="str">
            <v>Hektar</v>
          </cell>
          <cell r="F254" t="str">
            <v>CO2 - atmosfære</v>
          </cell>
          <cell r="G254" t="str">
            <v>t CO2-ækvivalenter</v>
          </cell>
          <cell r="H254">
            <v>28.501694367485467</v>
          </cell>
          <cell r="I254">
            <v>28.501694367485467</v>
          </cell>
          <cell r="J254">
            <v>28.501694367485467</v>
          </cell>
        </row>
        <row r="255">
          <cell r="A255" t="str">
            <v>Frugtmark</v>
          </cell>
          <cell r="B255" t="str">
            <v>Økologisk</v>
          </cell>
          <cell r="C255" t="str">
            <v>JB1-10</v>
          </cell>
          <cell r="D255" t="str">
            <v>Areal-frugt</v>
          </cell>
          <cell r="E255" t="str">
            <v>Hektar</v>
          </cell>
          <cell r="F255" t="str">
            <v>Frugt</v>
          </cell>
          <cell r="G255" t="str">
            <v>Ton</v>
          </cell>
          <cell r="H255">
            <v>4.8392999999999997</v>
          </cell>
          <cell r="I255">
            <v>4.8392999999999997</v>
          </cell>
          <cell r="J255">
            <v>4.8392999999999997</v>
          </cell>
        </row>
        <row r="256">
          <cell r="A256" t="str">
            <v>Frugtmark</v>
          </cell>
          <cell r="B256" t="str">
            <v>Økologisk</v>
          </cell>
          <cell r="C256" t="str">
            <v>JB1-10</v>
          </cell>
          <cell r="D256" t="str">
            <v>Areal-frugt</v>
          </cell>
          <cell r="E256" t="str">
            <v>Hektar</v>
          </cell>
          <cell r="F256" t="str">
            <v>Gødning</v>
          </cell>
          <cell r="G256" t="str">
            <v>kg N</v>
          </cell>
          <cell r="H256">
            <v>-79.8</v>
          </cell>
          <cell r="I256">
            <v>-79.8</v>
          </cell>
          <cell r="J256">
            <v>-79.8</v>
          </cell>
        </row>
        <row r="257">
          <cell r="A257" t="str">
            <v>Frugtmark</v>
          </cell>
          <cell r="B257" t="str">
            <v>Økologisk</v>
          </cell>
          <cell r="C257" t="str">
            <v>JB1-10</v>
          </cell>
          <cell r="D257" t="str">
            <v>Areal-frugt</v>
          </cell>
          <cell r="E257" t="str">
            <v>Hektar</v>
          </cell>
          <cell r="F257" t="str">
            <v>CO2 - atmosfære</v>
          </cell>
          <cell r="G257" t="str">
            <v>t CO2-ækvivalenter</v>
          </cell>
          <cell r="H257">
            <v>1.9656943674854606</v>
          </cell>
          <cell r="I257">
            <v>1.9656943674854606</v>
          </cell>
          <cell r="J257">
            <v>1.9656943674854606</v>
          </cell>
        </row>
        <row r="258">
          <cell r="A258" t="str">
            <v>Frugtmark</v>
          </cell>
          <cell r="B258" t="str">
            <v>Økologisk</v>
          </cell>
          <cell r="C258" t="str">
            <v>OC6</v>
          </cell>
          <cell r="D258" t="str">
            <v>Areal-frugt</v>
          </cell>
          <cell r="E258" t="str">
            <v>Hektar</v>
          </cell>
          <cell r="F258" t="str">
            <v>Frugt</v>
          </cell>
          <cell r="G258" t="str">
            <v>Ton</v>
          </cell>
          <cell r="H258">
            <v>5.8071599999999997</v>
          </cell>
          <cell r="I258">
            <v>5.8071599999999997</v>
          </cell>
          <cell r="J258">
            <v>5.8071599999999997</v>
          </cell>
        </row>
        <row r="259">
          <cell r="A259" t="str">
            <v>Frugtmark</v>
          </cell>
          <cell r="B259" t="str">
            <v>Økologisk</v>
          </cell>
          <cell r="C259" t="str">
            <v>OC6</v>
          </cell>
          <cell r="D259" t="str">
            <v>Areal-frugt</v>
          </cell>
          <cell r="E259" t="str">
            <v>Hektar</v>
          </cell>
          <cell r="F259" t="str">
            <v>Gødning</v>
          </cell>
          <cell r="G259" t="str">
            <v>kg N</v>
          </cell>
          <cell r="H259">
            <v>-79.8</v>
          </cell>
          <cell r="I259">
            <v>-79.8</v>
          </cell>
          <cell r="J259">
            <v>-79.8</v>
          </cell>
        </row>
        <row r="260">
          <cell r="A260" t="str">
            <v>Frugtmark</v>
          </cell>
          <cell r="B260" t="str">
            <v>Økologisk</v>
          </cell>
          <cell r="C260" t="str">
            <v>OC6</v>
          </cell>
          <cell r="D260" t="str">
            <v>Areal-frugt</v>
          </cell>
          <cell r="E260" t="str">
            <v>Hektar</v>
          </cell>
          <cell r="F260" t="str">
            <v>CO2 - atmosfære</v>
          </cell>
          <cell r="G260" t="str">
            <v>t CO2-ækvivalenter</v>
          </cell>
          <cell r="H260">
            <v>10.661694367485461</v>
          </cell>
          <cell r="I260">
            <v>10.661694367485461</v>
          </cell>
          <cell r="J260">
            <v>10.661694367485461</v>
          </cell>
        </row>
        <row r="261">
          <cell r="A261" t="str">
            <v>Frugtmark</v>
          </cell>
          <cell r="B261" t="str">
            <v>Økologisk</v>
          </cell>
          <cell r="C261" t="str">
            <v>OC12</v>
          </cell>
          <cell r="D261" t="str">
            <v>Areal-frugt</v>
          </cell>
          <cell r="E261" t="str">
            <v>Hektar</v>
          </cell>
          <cell r="F261" t="str">
            <v>Frugt</v>
          </cell>
          <cell r="G261" t="str">
            <v>Ton</v>
          </cell>
          <cell r="H261">
            <v>6.7750199999999987</v>
          </cell>
          <cell r="I261">
            <v>6.7750199999999987</v>
          </cell>
          <cell r="J261">
            <v>6.7750199999999987</v>
          </cell>
        </row>
        <row r="262">
          <cell r="A262" t="str">
            <v>Frugtmark</v>
          </cell>
          <cell r="B262" t="str">
            <v>Økologisk</v>
          </cell>
          <cell r="C262" t="str">
            <v>OC12</v>
          </cell>
          <cell r="D262" t="str">
            <v>Areal-frugt</v>
          </cell>
          <cell r="E262" t="str">
            <v>Hektar</v>
          </cell>
          <cell r="F262" t="str">
            <v>Gødning</v>
          </cell>
          <cell r="G262" t="str">
            <v>kg N</v>
          </cell>
          <cell r="H262">
            <v>-79.8</v>
          </cell>
          <cell r="I262">
            <v>-79.8</v>
          </cell>
          <cell r="J262">
            <v>-79.8</v>
          </cell>
        </row>
        <row r="263">
          <cell r="A263" t="str">
            <v>Frugtmark</v>
          </cell>
          <cell r="B263" t="str">
            <v>Økologisk</v>
          </cell>
          <cell r="C263" t="str">
            <v>OC12</v>
          </cell>
          <cell r="D263" t="str">
            <v>Areal-frugt</v>
          </cell>
          <cell r="E263" t="str">
            <v>Hektar</v>
          </cell>
          <cell r="F263" t="str">
            <v>CO2 - atmosfære</v>
          </cell>
          <cell r="G263" t="str">
            <v>t CO2-ækvivalenter</v>
          </cell>
          <cell r="H263">
            <v>28.501694367485467</v>
          </cell>
          <cell r="I263">
            <v>28.501694367485467</v>
          </cell>
          <cell r="J263">
            <v>28.501694367485467</v>
          </cell>
        </row>
        <row r="264">
          <cell r="A264" t="str">
            <v>Øvrig mark</v>
          </cell>
          <cell r="B264" t="str">
            <v>Konventionel</v>
          </cell>
          <cell r="C264" t="str">
            <v>JB1-10</v>
          </cell>
          <cell r="D264" t="str">
            <v>Areal-øvrige</v>
          </cell>
          <cell r="E264" t="str">
            <v>Hektar</v>
          </cell>
          <cell r="F264" t="str">
            <v>Øvrige</v>
          </cell>
          <cell r="G264" t="str">
            <v>Ton</v>
          </cell>
          <cell r="H264">
            <v>29.795943508186305</v>
          </cell>
          <cell r="I264">
            <v>29.795943508186305</v>
          </cell>
          <cell r="J264">
            <v>29.795943508186305</v>
          </cell>
        </row>
        <row r="265">
          <cell r="A265" t="str">
            <v>Øvrig mark</v>
          </cell>
          <cell r="B265" t="str">
            <v>Konventionel</v>
          </cell>
          <cell r="C265" t="str">
            <v>JB1-10</v>
          </cell>
          <cell r="D265" t="str">
            <v>Areal-øvrige</v>
          </cell>
          <cell r="E265" t="str">
            <v>Hektar</v>
          </cell>
          <cell r="F265" t="str">
            <v>Gødning</v>
          </cell>
          <cell r="G265" t="str">
            <v>kg N</v>
          </cell>
          <cell r="H265">
            <v>-142.08333333333334</v>
          </cell>
          <cell r="I265">
            <v>-142.08333333333334</v>
          </cell>
          <cell r="J265">
            <v>-142.08333333333334</v>
          </cell>
        </row>
        <row r="266">
          <cell r="A266" t="str">
            <v>Øvrig mark</v>
          </cell>
          <cell r="B266" t="str">
            <v>Konventionel</v>
          </cell>
          <cell r="C266" t="str">
            <v>JB1-10</v>
          </cell>
          <cell r="D266" t="str">
            <v>Areal-øvrige</v>
          </cell>
          <cell r="E266" t="str">
            <v>Hektar</v>
          </cell>
          <cell r="F266" t="str">
            <v>CO2 - atmosfære</v>
          </cell>
          <cell r="G266" t="str">
            <v>t CO2-ækvivalenter</v>
          </cell>
          <cell r="H266">
            <v>2.2736943674854606</v>
          </cell>
          <cell r="I266">
            <v>2.2736943674854606</v>
          </cell>
          <cell r="J266">
            <v>2.2736943674854606</v>
          </cell>
        </row>
        <row r="267">
          <cell r="A267" t="str">
            <v>Øvrig mark</v>
          </cell>
          <cell r="B267" t="str">
            <v>Konventionel</v>
          </cell>
          <cell r="C267" t="str">
            <v>OC6</v>
          </cell>
          <cell r="D267" t="str">
            <v>Areal-øvrige</v>
          </cell>
          <cell r="E267" t="str">
            <v>Hektar</v>
          </cell>
          <cell r="F267" t="str">
            <v>Øvrige</v>
          </cell>
          <cell r="G267" t="str">
            <v>Ton</v>
          </cell>
          <cell r="H267">
            <v>35.755132209823564</v>
          </cell>
          <cell r="I267">
            <v>35.755132209823564</v>
          </cell>
          <cell r="J267">
            <v>35.755132209823564</v>
          </cell>
        </row>
        <row r="268">
          <cell r="A268" t="str">
            <v>Øvrig mark</v>
          </cell>
          <cell r="B268" t="str">
            <v>Konventionel</v>
          </cell>
          <cell r="C268" t="str">
            <v>OC6</v>
          </cell>
          <cell r="D268" t="str">
            <v>Areal-øvrige</v>
          </cell>
          <cell r="E268" t="str">
            <v>Hektar</v>
          </cell>
          <cell r="F268" t="str">
            <v>Gødning</v>
          </cell>
          <cell r="G268" t="str">
            <v>kg N</v>
          </cell>
          <cell r="H268">
            <v>-125</v>
          </cell>
          <cell r="I268">
            <v>-125</v>
          </cell>
          <cell r="J268">
            <v>-125</v>
          </cell>
        </row>
        <row r="269">
          <cell r="A269" t="str">
            <v>Øvrig mark</v>
          </cell>
          <cell r="B269" t="str">
            <v>Konventionel</v>
          </cell>
          <cell r="C269" t="str">
            <v>OC6</v>
          </cell>
          <cell r="D269" t="str">
            <v>Areal-øvrige</v>
          </cell>
          <cell r="E269" t="str">
            <v>Hektar</v>
          </cell>
          <cell r="F269" t="str">
            <v>CO2 - atmosfære</v>
          </cell>
          <cell r="G269" t="str">
            <v>t CO2-ækvivalenter</v>
          </cell>
          <cell r="H269">
            <v>15.99169436748546</v>
          </cell>
          <cell r="I269">
            <v>15.99169436748546</v>
          </cell>
          <cell r="J269">
            <v>15.99169436748546</v>
          </cell>
        </row>
        <row r="270">
          <cell r="A270" t="str">
            <v>Øvrig mark</v>
          </cell>
          <cell r="B270" t="str">
            <v>Konventionel</v>
          </cell>
          <cell r="C270" t="str">
            <v>OC12</v>
          </cell>
          <cell r="D270" t="str">
            <v>Areal-øvrige</v>
          </cell>
          <cell r="E270" t="str">
            <v>Hektar</v>
          </cell>
          <cell r="F270" t="str">
            <v>Øvrige</v>
          </cell>
          <cell r="G270" t="str">
            <v>Ton</v>
          </cell>
          <cell r="H270">
            <v>41.714320911460824</v>
          </cell>
          <cell r="I270">
            <v>41.714320911460824</v>
          </cell>
          <cell r="J270">
            <v>41.714320911460824</v>
          </cell>
        </row>
        <row r="271">
          <cell r="A271" t="str">
            <v>Øvrig mark</v>
          </cell>
          <cell r="B271" t="str">
            <v>Konventionel</v>
          </cell>
          <cell r="C271" t="str">
            <v>OC12</v>
          </cell>
          <cell r="D271" t="str">
            <v>Areal-øvrige</v>
          </cell>
          <cell r="E271" t="str">
            <v>Hektar</v>
          </cell>
          <cell r="F271" t="str">
            <v>Gødning</v>
          </cell>
          <cell r="G271" t="str">
            <v>kg N</v>
          </cell>
          <cell r="H271">
            <v>-107.91666666666667</v>
          </cell>
          <cell r="I271">
            <v>-107.91666666666667</v>
          </cell>
          <cell r="J271">
            <v>-107.91666666666667</v>
          </cell>
        </row>
        <row r="272">
          <cell r="A272" t="str">
            <v>Øvrig mark</v>
          </cell>
          <cell r="B272" t="str">
            <v>Konventionel</v>
          </cell>
          <cell r="C272" t="str">
            <v>OC12</v>
          </cell>
          <cell r="D272" t="str">
            <v>Areal-øvrige</v>
          </cell>
          <cell r="E272" t="str">
            <v>Hektar</v>
          </cell>
          <cell r="F272" t="str">
            <v>CO2 - atmosfære</v>
          </cell>
          <cell r="G272" t="str">
            <v>t CO2-ækvivalenter</v>
          </cell>
          <cell r="H272">
            <v>40.951694367485452</v>
          </cell>
          <cell r="I272">
            <v>40.951694367485452</v>
          </cell>
          <cell r="J272">
            <v>40.951694367485452</v>
          </cell>
        </row>
        <row r="273">
          <cell r="A273" t="str">
            <v>Øvrig mark</v>
          </cell>
          <cell r="B273" t="str">
            <v>Økologisk</v>
          </cell>
          <cell r="C273" t="str">
            <v>JB1-10</v>
          </cell>
          <cell r="D273" t="str">
            <v>Areal-øvrige</v>
          </cell>
          <cell r="E273" t="str">
            <v>Hektar</v>
          </cell>
          <cell r="F273" t="str">
            <v>Øvrige</v>
          </cell>
          <cell r="G273" t="str">
            <v>Ton</v>
          </cell>
          <cell r="H273">
            <v>16.983687799666193</v>
          </cell>
          <cell r="I273">
            <v>16.983687799666193</v>
          </cell>
          <cell r="J273">
            <v>16.983687799666193</v>
          </cell>
        </row>
        <row r="274">
          <cell r="A274" t="str">
            <v>Øvrig mark</v>
          </cell>
          <cell r="B274" t="str">
            <v>Økologisk</v>
          </cell>
          <cell r="C274" t="str">
            <v>JB1-10</v>
          </cell>
          <cell r="D274" t="str">
            <v>Areal-øvrige</v>
          </cell>
          <cell r="E274" t="str">
            <v>Hektar</v>
          </cell>
          <cell r="F274" t="str">
            <v>Gødning</v>
          </cell>
          <cell r="G274" t="str">
            <v>kg N</v>
          </cell>
          <cell r="H274">
            <v>-80.987499999999997</v>
          </cell>
          <cell r="I274">
            <v>-80.987499999999997</v>
          </cell>
          <cell r="J274">
            <v>-80.987499999999997</v>
          </cell>
        </row>
        <row r="275">
          <cell r="A275" t="str">
            <v>Øvrig mark</v>
          </cell>
          <cell r="B275" t="str">
            <v>Økologisk</v>
          </cell>
          <cell r="C275" t="str">
            <v>JB1-10</v>
          </cell>
          <cell r="D275" t="str">
            <v>Areal-øvrige</v>
          </cell>
          <cell r="E275" t="str">
            <v>Hektar</v>
          </cell>
          <cell r="F275" t="str">
            <v>CO2 - atmosfære</v>
          </cell>
          <cell r="G275" t="str">
            <v>t CO2-ækvivalenter</v>
          </cell>
          <cell r="H275">
            <v>2.2736943674854606</v>
          </cell>
          <cell r="I275">
            <v>2.2736943674854606</v>
          </cell>
          <cell r="J275">
            <v>2.2736943674854606</v>
          </cell>
        </row>
        <row r="276">
          <cell r="A276" t="str">
            <v>Øvrig mark</v>
          </cell>
          <cell r="B276" t="str">
            <v>Økologisk</v>
          </cell>
          <cell r="C276" t="str">
            <v>OC6</v>
          </cell>
          <cell r="D276" t="str">
            <v>Areal-øvrige</v>
          </cell>
          <cell r="E276" t="str">
            <v>Hektar</v>
          </cell>
          <cell r="F276" t="str">
            <v>Øvrige</v>
          </cell>
          <cell r="G276" t="str">
            <v>Ton</v>
          </cell>
          <cell r="H276">
            <v>20.380425359599428</v>
          </cell>
          <cell r="I276">
            <v>20.380425359599428</v>
          </cell>
          <cell r="J276">
            <v>20.380425359599428</v>
          </cell>
        </row>
        <row r="277">
          <cell r="A277" t="str">
            <v>Øvrig mark</v>
          </cell>
          <cell r="B277" t="str">
            <v>Økologisk</v>
          </cell>
          <cell r="C277" t="str">
            <v>OC6</v>
          </cell>
          <cell r="D277" t="str">
            <v>Areal-øvrige</v>
          </cell>
          <cell r="E277" t="str">
            <v>Hektar</v>
          </cell>
          <cell r="F277" t="str">
            <v>Gødning</v>
          </cell>
          <cell r="G277" t="str">
            <v>kg N</v>
          </cell>
          <cell r="H277">
            <v>-71.25</v>
          </cell>
          <cell r="I277">
            <v>-71.25</v>
          </cell>
          <cell r="J277">
            <v>-71.25</v>
          </cell>
        </row>
        <row r="278">
          <cell r="A278" t="str">
            <v>Øvrig mark</v>
          </cell>
          <cell r="B278" t="str">
            <v>Økologisk</v>
          </cell>
          <cell r="C278" t="str">
            <v>OC6</v>
          </cell>
          <cell r="D278" t="str">
            <v>Areal-øvrige</v>
          </cell>
          <cell r="E278" t="str">
            <v>Hektar</v>
          </cell>
          <cell r="F278" t="str">
            <v>CO2 - atmosfære</v>
          </cell>
          <cell r="G278" t="str">
            <v>t CO2-ækvivalenter</v>
          </cell>
          <cell r="H278">
            <v>15.99169436748546</v>
          </cell>
          <cell r="I278">
            <v>15.99169436748546</v>
          </cell>
          <cell r="J278">
            <v>15.99169436748546</v>
          </cell>
        </row>
        <row r="279">
          <cell r="A279" t="str">
            <v>Øvrig mark</v>
          </cell>
          <cell r="B279" t="str">
            <v>Økologisk</v>
          </cell>
          <cell r="C279" t="str">
            <v>OC12</v>
          </cell>
          <cell r="D279" t="str">
            <v>Areal-øvrige</v>
          </cell>
          <cell r="E279" t="str">
            <v>Hektar</v>
          </cell>
          <cell r="F279" t="str">
            <v>Øvrige</v>
          </cell>
          <cell r="G279" t="str">
            <v>Ton</v>
          </cell>
          <cell r="H279">
            <v>23.777162919532667</v>
          </cell>
          <cell r="I279">
            <v>23.777162919532667</v>
          </cell>
          <cell r="J279">
            <v>23.777162919532667</v>
          </cell>
        </row>
        <row r="280">
          <cell r="A280" t="str">
            <v>Øvrig mark</v>
          </cell>
          <cell r="B280" t="str">
            <v>Økologisk</v>
          </cell>
          <cell r="C280" t="str">
            <v>OC12</v>
          </cell>
          <cell r="D280" t="str">
            <v>Areal-øvrige</v>
          </cell>
          <cell r="E280" t="str">
            <v>Hektar</v>
          </cell>
          <cell r="F280" t="str">
            <v>Gødning</v>
          </cell>
          <cell r="G280" t="str">
            <v>kg N</v>
          </cell>
          <cell r="H280">
            <v>-61.512499999999996</v>
          </cell>
          <cell r="I280">
            <v>-61.512499999999996</v>
          </cell>
          <cell r="J280">
            <v>-61.512499999999996</v>
          </cell>
        </row>
        <row r="281">
          <cell r="A281" t="str">
            <v>Øvrig mark</v>
          </cell>
          <cell r="B281" t="str">
            <v>Økologisk</v>
          </cell>
          <cell r="C281" t="str">
            <v>OC12</v>
          </cell>
          <cell r="D281" t="str">
            <v>Areal-øvrige</v>
          </cell>
          <cell r="E281" t="str">
            <v>Hektar</v>
          </cell>
          <cell r="F281" t="str">
            <v>CO2 - atmosfære</v>
          </cell>
          <cell r="G281" t="str">
            <v>t CO2-ækvivalenter</v>
          </cell>
          <cell r="H281">
            <v>40.951694367485452</v>
          </cell>
          <cell r="I281">
            <v>40.951694367485452</v>
          </cell>
          <cell r="J281">
            <v>40.951694367485452</v>
          </cell>
        </row>
        <row r="282">
          <cell r="A282" t="str">
            <v>Majsmark</v>
          </cell>
          <cell r="B282" t="str">
            <v>Konventionel</v>
          </cell>
          <cell r="C282" t="str">
            <v>JB1-10</v>
          </cell>
          <cell r="D282" t="str">
            <v>Areal-majs</v>
          </cell>
          <cell r="E282" t="str">
            <v>Hektar</v>
          </cell>
          <cell r="F282" t="str">
            <v>Majs</v>
          </cell>
          <cell r="G282" t="str">
            <v>Ton</v>
          </cell>
          <cell r="H282">
            <v>44.510000000000005</v>
          </cell>
          <cell r="I282">
            <v>44.510000000000005</v>
          </cell>
          <cell r="J282">
            <v>44.510000000000005</v>
          </cell>
        </row>
        <row r="283">
          <cell r="A283" t="str">
            <v>Majsmark</v>
          </cell>
          <cell r="B283" t="str">
            <v>Konventionel</v>
          </cell>
          <cell r="C283" t="str">
            <v>JB1-10</v>
          </cell>
          <cell r="D283" t="str">
            <v>Areal-majs</v>
          </cell>
          <cell r="E283" t="str">
            <v>Hektar</v>
          </cell>
          <cell r="F283" t="str">
            <v>Gødning</v>
          </cell>
          <cell r="G283" t="str">
            <v>kg N</v>
          </cell>
          <cell r="H283">
            <v>-160</v>
          </cell>
          <cell r="I283">
            <v>-160</v>
          </cell>
          <cell r="J283">
            <v>-160</v>
          </cell>
        </row>
        <row r="284">
          <cell r="A284" t="str">
            <v>Majsmark</v>
          </cell>
          <cell r="B284" t="str">
            <v>Konventionel</v>
          </cell>
          <cell r="C284" t="str">
            <v>JB1-10</v>
          </cell>
          <cell r="D284" t="str">
            <v>Areal-majs</v>
          </cell>
          <cell r="E284" t="str">
            <v>Hektar</v>
          </cell>
          <cell r="F284" t="str">
            <v>CO2 - atmosfære</v>
          </cell>
          <cell r="G284" t="str">
            <v>t CO2-ækvivalenter</v>
          </cell>
          <cell r="H284">
            <v>2.2736943674854606</v>
          </cell>
          <cell r="I284">
            <v>2.2736943674854606</v>
          </cell>
          <cell r="J284">
            <v>2.2736943674854606</v>
          </cell>
        </row>
        <row r="285">
          <cell r="A285" t="str">
            <v>Majsmark</v>
          </cell>
          <cell r="B285" t="str">
            <v>Konventionel</v>
          </cell>
          <cell r="C285" t="str">
            <v>OC6</v>
          </cell>
          <cell r="D285" t="str">
            <v>Areal-majs</v>
          </cell>
          <cell r="E285" t="str">
            <v>Hektar</v>
          </cell>
          <cell r="F285" t="str">
            <v>Majs</v>
          </cell>
          <cell r="G285" t="str">
            <v>Ton</v>
          </cell>
          <cell r="H285">
            <v>53.412000000000006</v>
          </cell>
          <cell r="I285">
            <v>53.412000000000006</v>
          </cell>
          <cell r="J285">
            <v>53.412000000000006</v>
          </cell>
        </row>
        <row r="286">
          <cell r="A286" t="str">
            <v>Majsmark</v>
          </cell>
          <cell r="B286" t="str">
            <v>Konventionel</v>
          </cell>
          <cell r="C286" t="str">
            <v>OC6</v>
          </cell>
          <cell r="D286" t="str">
            <v>Areal-majs</v>
          </cell>
          <cell r="E286" t="str">
            <v>Hektar</v>
          </cell>
          <cell r="F286" t="str">
            <v>Gødning</v>
          </cell>
          <cell r="G286" t="str">
            <v>kg N</v>
          </cell>
          <cell r="H286">
            <v>-130</v>
          </cell>
          <cell r="I286">
            <v>-130</v>
          </cell>
          <cell r="J286">
            <v>-130</v>
          </cell>
        </row>
        <row r="287">
          <cell r="A287" t="str">
            <v>Majsmark</v>
          </cell>
          <cell r="B287" t="str">
            <v>Konventionel</v>
          </cell>
          <cell r="C287" t="str">
            <v>OC6</v>
          </cell>
          <cell r="D287" t="str">
            <v>Areal-majs</v>
          </cell>
          <cell r="E287" t="str">
            <v>Hektar</v>
          </cell>
          <cell r="F287" t="str">
            <v>CO2 - atmosfære</v>
          </cell>
          <cell r="G287" t="str">
            <v>t CO2-ækvivalenter</v>
          </cell>
          <cell r="H287">
            <v>15.99169436748546</v>
          </cell>
          <cell r="I287">
            <v>15.99169436748546</v>
          </cell>
          <cell r="J287">
            <v>15.99169436748546</v>
          </cell>
        </row>
        <row r="288">
          <cell r="A288" t="str">
            <v>Majsmark</v>
          </cell>
          <cell r="B288" t="str">
            <v>Konventionel</v>
          </cell>
          <cell r="C288" t="str">
            <v>OC12</v>
          </cell>
          <cell r="D288" t="str">
            <v>Areal-majs</v>
          </cell>
          <cell r="E288" t="str">
            <v>Hektar</v>
          </cell>
          <cell r="F288" t="str">
            <v>Majs</v>
          </cell>
          <cell r="G288" t="str">
            <v>Ton</v>
          </cell>
          <cell r="H288">
            <v>62.314</v>
          </cell>
          <cell r="I288">
            <v>62.314</v>
          </cell>
          <cell r="J288">
            <v>62.314</v>
          </cell>
        </row>
        <row r="289">
          <cell r="A289" t="str">
            <v>Majsmark</v>
          </cell>
          <cell r="B289" t="str">
            <v>Konventionel</v>
          </cell>
          <cell r="C289" t="str">
            <v>OC12</v>
          </cell>
          <cell r="D289" t="str">
            <v>Areal-majs</v>
          </cell>
          <cell r="E289" t="str">
            <v>Hektar</v>
          </cell>
          <cell r="F289" t="str">
            <v>Gødning</v>
          </cell>
          <cell r="G289" t="str">
            <v>kg N</v>
          </cell>
          <cell r="H289">
            <v>-100</v>
          </cell>
          <cell r="I289">
            <v>-100</v>
          </cell>
          <cell r="J289">
            <v>-100</v>
          </cell>
        </row>
        <row r="290">
          <cell r="A290" t="str">
            <v>Majsmark</v>
          </cell>
          <cell r="B290" t="str">
            <v>Konventionel</v>
          </cell>
          <cell r="C290" t="str">
            <v>OC12</v>
          </cell>
          <cell r="D290" t="str">
            <v>Areal-majs</v>
          </cell>
          <cell r="E290" t="str">
            <v>Hektar</v>
          </cell>
          <cell r="F290" t="str">
            <v>CO2 - atmosfære</v>
          </cell>
          <cell r="G290" t="str">
            <v>t CO2-ækvivalenter</v>
          </cell>
          <cell r="H290">
            <v>40.951694367485452</v>
          </cell>
          <cell r="I290">
            <v>40.951694367485452</v>
          </cell>
          <cell r="J290">
            <v>40.951694367485452</v>
          </cell>
        </row>
        <row r="291">
          <cell r="A291" t="str">
            <v>Majsmark</v>
          </cell>
          <cell r="B291" t="str">
            <v>Økologisk</v>
          </cell>
          <cell r="C291" t="str">
            <v>JB1-10</v>
          </cell>
          <cell r="D291" t="str">
            <v>Areal-majs</v>
          </cell>
          <cell r="E291" t="str">
            <v>Hektar</v>
          </cell>
          <cell r="F291" t="str">
            <v>Majs</v>
          </cell>
          <cell r="G291" t="str">
            <v>Ton</v>
          </cell>
          <cell r="H291">
            <v>36.943300000000001</v>
          </cell>
          <cell r="I291">
            <v>36.943300000000001</v>
          </cell>
          <cell r="J291">
            <v>36.943300000000001</v>
          </cell>
        </row>
        <row r="292">
          <cell r="A292" t="str">
            <v>Majsmark</v>
          </cell>
          <cell r="B292" t="str">
            <v>Økologisk</v>
          </cell>
          <cell r="C292" t="str">
            <v>JB1-10</v>
          </cell>
          <cell r="D292" t="str">
            <v>Areal-majs</v>
          </cell>
          <cell r="E292" t="str">
            <v>Hektar</v>
          </cell>
          <cell r="F292" t="str">
            <v>Gødning</v>
          </cell>
          <cell r="G292" t="str">
            <v>kg N</v>
          </cell>
          <cell r="H292">
            <v>-132.79999999999998</v>
          </cell>
          <cell r="I292">
            <v>-132.79999999999998</v>
          </cell>
          <cell r="J292">
            <v>-132.79999999999998</v>
          </cell>
        </row>
        <row r="293">
          <cell r="A293" t="str">
            <v>Majsmark</v>
          </cell>
          <cell r="B293" t="str">
            <v>Økologisk</v>
          </cell>
          <cell r="C293" t="str">
            <v>JB1-10</v>
          </cell>
          <cell r="D293" t="str">
            <v>Areal-majs</v>
          </cell>
          <cell r="E293" t="str">
            <v>Hektar</v>
          </cell>
          <cell r="F293" t="str">
            <v>CO2 - atmosfære</v>
          </cell>
          <cell r="G293" t="str">
            <v>t CO2-ækvivalenter</v>
          </cell>
          <cell r="H293">
            <v>2.2736943674854606</v>
          </cell>
          <cell r="I293">
            <v>2.2736943674854606</v>
          </cell>
          <cell r="J293">
            <v>2.2736943674854606</v>
          </cell>
        </row>
        <row r="294">
          <cell r="A294" t="str">
            <v>Majsmark</v>
          </cell>
          <cell r="B294" t="str">
            <v>Økologisk</v>
          </cell>
          <cell r="C294" t="str">
            <v>OC6</v>
          </cell>
          <cell r="D294" t="str">
            <v>Areal-majs</v>
          </cell>
          <cell r="E294" t="str">
            <v>Hektar</v>
          </cell>
          <cell r="F294" t="str">
            <v>Majs</v>
          </cell>
          <cell r="G294" t="str">
            <v>Ton</v>
          </cell>
          <cell r="H294">
            <v>44.331960000000002</v>
          </cell>
          <cell r="I294">
            <v>44.331960000000002</v>
          </cell>
          <cell r="J294">
            <v>44.331960000000002</v>
          </cell>
        </row>
        <row r="295">
          <cell r="A295" t="str">
            <v>Majsmark</v>
          </cell>
          <cell r="B295" t="str">
            <v>Økologisk</v>
          </cell>
          <cell r="C295" t="str">
            <v>OC6</v>
          </cell>
          <cell r="D295" t="str">
            <v>Areal-majs</v>
          </cell>
          <cell r="E295" t="str">
            <v>Hektar</v>
          </cell>
          <cell r="F295" t="str">
            <v>Gødning</v>
          </cell>
          <cell r="G295" t="str">
            <v>kg N</v>
          </cell>
          <cell r="H295">
            <v>-107.89999999999999</v>
          </cell>
          <cell r="I295">
            <v>-107.89999999999999</v>
          </cell>
          <cell r="J295">
            <v>-107.89999999999999</v>
          </cell>
        </row>
        <row r="296">
          <cell r="A296" t="str">
            <v>Majsmark</v>
          </cell>
          <cell r="B296" t="str">
            <v>Økologisk</v>
          </cell>
          <cell r="C296" t="str">
            <v>OC6</v>
          </cell>
          <cell r="D296" t="str">
            <v>Areal-majs</v>
          </cell>
          <cell r="E296" t="str">
            <v>Hektar</v>
          </cell>
          <cell r="F296" t="str">
            <v>CO2 - atmosfære</v>
          </cell>
          <cell r="G296" t="str">
            <v>t CO2-ækvivalenter</v>
          </cell>
          <cell r="H296">
            <v>15.99169436748546</v>
          </cell>
          <cell r="I296">
            <v>15.99169436748546</v>
          </cell>
          <cell r="J296">
            <v>15.99169436748546</v>
          </cell>
        </row>
        <row r="297">
          <cell r="A297" t="str">
            <v>Majsmark</v>
          </cell>
          <cell r="B297" t="str">
            <v>Økologisk</v>
          </cell>
          <cell r="C297" t="str">
            <v>OC12</v>
          </cell>
          <cell r="D297" t="str">
            <v>Areal-majs</v>
          </cell>
          <cell r="E297" t="str">
            <v>Hektar</v>
          </cell>
          <cell r="F297" t="str">
            <v>Majs</v>
          </cell>
          <cell r="G297" t="str">
            <v>Ton</v>
          </cell>
          <cell r="H297">
            <v>51.720619999999997</v>
          </cell>
          <cell r="I297">
            <v>51.720619999999997</v>
          </cell>
          <cell r="J297">
            <v>51.720619999999997</v>
          </cell>
        </row>
        <row r="298">
          <cell r="A298" t="str">
            <v>Majsmark</v>
          </cell>
          <cell r="B298" t="str">
            <v>Økologisk</v>
          </cell>
          <cell r="C298" t="str">
            <v>OC12</v>
          </cell>
          <cell r="D298" t="str">
            <v>Areal-majs</v>
          </cell>
          <cell r="E298" t="str">
            <v>Hektar</v>
          </cell>
          <cell r="F298" t="str">
            <v>Gødning</v>
          </cell>
          <cell r="G298" t="str">
            <v>kg N</v>
          </cell>
          <cell r="H298">
            <v>-83</v>
          </cell>
          <cell r="I298">
            <v>-83</v>
          </cell>
          <cell r="J298">
            <v>-83</v>
          </cell>
        </row>
        <row r="299">
          <cell r="A299" t="str">
            <v>Majsmark</v>
          </cell>
          <cell r="B299" t="str">
            <v>Økologisk</v>
          </cell>
          <cell r="C299" t="str">
            <v>OC12</v>
          </cell>
          <cell r="D299" t="str">
            <v>Areal-majs</v>
          </cell>
          <cell r="E299" t="str">
            <v>Hektar</v>
          </cell>
          <cell r="F299" t="str">
            <v>CO2 - atmosfære</v>
          </cell>
          <cell r="G299" t="str">
            <v>t CO2-ækvivalenter</v>
          </cell>
          <cell r="H299">
            <v>40.951694367485452</v>
          </cell>
          <cell r="I299">
            <v>40.951694367485452</v>
          </cell>
          <cell r="J299">
            <v>40.951694367485452</v>
          </cell>
        </row>
        <row r="300">
          <cell r="A300" t="str">
            <v>Rapsmark</v>
          </cell>
          <cell r="B300" t="str">
            <v>Konventionel</v>
          </cell>
          <cell r="C300" t="str">
            <v>JB1-10</v>
          </cell>
          <cell r="D300" t="str">
            <v>Areal-raps</v>
          </cell>
          <cell r="E300" t="str">
            <v>Hektar</v>
          </cell>
          <cell r="F300" t="str">
            <v>Raps</v>
          </cell>
          <cell r="G300" t="str">
            <v>Ton</v>
          </cell>
          <cell r="H300">
            <v>4.4000000000000004</v>
          </cell>
          <cell r="I300">
            <v>4.4000000000000004</v>
          </cell>
          <cell r="J300">
            <v>4.4000000000000004</v>
          </cell>
        </row>
        <row r="301">
          <cell r="A301" t="str">
            <v>Rapsmark</v>
          </cell>
          <cell r="B301" t="str">
            <v>Konventionel</v>
          </cell>
          <cell r="C301" t="str">
            <v>JB1-10</v>
          </cell>
          <cell r="D301" t="str">
            <v>Areal-raps</v>
          </cell>
          <cell r="E301" t="str">
            <v>Hektar</v>
          </cell>
          <cell r="F301" t="str">
            <v>Halm</v>
          </cell>
          <cell r="G301" t="str">
            <v>Ton</v>
          </cell>
          <cell r="H301">
            <v>3.96</v>
          </cell>
          <cell r="I301">
            <v>3.96</v>
          </cell>
          <cell r="J301">
            <v>3.96</v>
          </cell>
        </row>
        <row r="302">
          <cell r="A302" t="str">
            <v>Rapsmark</v>
          </cell>
          <cell r="B302" t="str">
            <v>Konventionel</v>
          </cell>
          <cell r="C302" t="str">
            <v>JB1-10</v>
          </cell>
          <cell r="D302" t="str">
            <v>Areal-raps</v>
          </cell>
          <cell r="E302" t="str">
            <v>Hektar</v>
          </cell>
          <cell r="F302" t="str">
            <v>Gødning</v>
          </cell>
          <cell r="G302" t="str">
            <v>kg N</v>
          </cell>
          <cell r="H302">
            <v>-175</v>
          </cell>
          <cell r="I302">
            <v>-175</v>
          </cell>
          <cell r="J302">
            <v>-175</v>
          </cell>
        </row>
        <row r="303">
          <cell r="A303" t="str">
            <v>Rapsmark</v>
          </cell>
          <cell r="B303" t="str">
            <v>Konventionel</v>
          </cell>
          <cell r="C303" t="str">
            <v>JB1-10</v>
          </cell>
          <cell r="D303" t="str">
            <v>Areal-raps</v>
          </cell>
          <cell r="E303" t="str">
            <v>Hektar</v>
          </cell>
          <cell r="F303" t="str">
            <v>CO2 - atmosfære</v>
          </cell>
          <cell r="G303" t="str">
            <v>t CO2-ækvivalenter</v>
          </cell>
          <cell r="H303">
            <v>2.2736943674854606</v>
          </cell>
          <cell r="I303">
            <v>2.2736943674854606</v>
          </cell>
          <cell r="J303">
            <v>2.2736943674854606</v>
          </cell>
        </row>
        <row r="304">
          <cell r="A304" t="str">
            <v>Rapsmark</v>
          </cell>
          <cell r="B304" t="str">
            <v>Konventionel</v>
          </cell>
          <cell r="C304" t="str">
            <v>OC6</v>
          </cell>
          <cell r="D304" t="str">
            <v>Areal-raps</v>
          </cell>
          <cell r="E304" t="str">
            <v>Hektar</v>
          </cell>
          <cell r="F304" t="str">
            <v>Raps</v>
          </cell>
          <cell r="G304" t="str">
            <v>Ton</v>
          </cell>
          <cell r="H304">
            <v>5.28</v>
          </cell>
          <cell r="I304">
            <v>5.28</v>
          </cell>
          <cell r="J304">
            <v>5.28</v>
          </cell>
        </row>
        <row r="305">
          <cell r="A305" t="str">
            <v>Rapsmark</v>
          </cell>
          <cell r="B305" t="str">
            <v>Konventionel</v>
          </cell>
          <cell r="C305" t="str">
            <v>OC6</v>
          </cell>
          <cell r="D305" t="str">
            <v>Areal-raps</v>
          </cell>
          <cell r="E305" t="str">
            <v>Hektar</v>
          </cell>
          <cell r="F305" t="str">
            <v>Halm</v>
          </cell>
          <cell r="G305" t="str">
            <v>Ton</v>
          </cell>
          <cell r="H305">
            <v>4.7519999999999998</v>
          </cell>
          <cell r="I305">
            <v>4.7519999999999998</v>
          </cell>
          <cell r="J305">
            <v>4.7519999999999998</v>
          </cell>
        </row>
        <row r="306">
          <cell r="A306" t="str">
            <v>Rapsmark</v>
          </cell>
          <cell r="B306" t="str">
            <v>Konventionel</v>
          </cell>
          <cell r="C306" t="str">
            <v>OC6</v>
          </cell>
          <cell r="D306" t="str">
            <v>Areal-raps</v>
          </cell>
          <cell r="E306" t="str">
            <v>Hektar</v>
          </cell>
          <cell r="F306" t="str">
            <v>Gødning</v>
          </cell>
          <cell r="G306" t="str">
            <v>kg N</v>
          </cell>
          <cell r="H306">
            <v>-145</v>
          </cell>
          <cell r="I306">
            <v>-145</v>
          </cell>
          <cell r="J306">
            <v>-145</v>
          </cell>
        </row>
        <row r="307">
          <cell r="A307" t="str">
            <v>Rapsmark</v>
          </cell>
          <cell r="B307" t="str">
            <v>Konventionel</v>
          </cell>
          <cell r="C307" t="str">
            <v>OC6</v>
          </cell>
          <cell r="D307" t="str">
            <v>Areal-raps</v>
          </cell>
          <cell r="E307" t="str">
            <v>Hektar</v>
          </cell>
          <cell r="F307" t="str">
            <v>CO2 - atmosfære</v>
          </cell>
          <cell r="G307" t="str">
            <v>t CO2-ækvivalenter</v>
          </cell>
          <cell r="H307">
            <v>15.99169436748546</v>
          </cell>
          <cell r="I307">
            <v>15.99169436748546</v>
          </cell>
          <cell r="J307">
            <v>15.99169436748546</v>
          </cell>
        </row>
        <row r="308">
          <cell r="A308" t="str">
            <v>Rapsmark</v>
          </cell>
          <cell r="B308" t="str">
            <v>Konventionel</v>
          </cell>
          <cell r="C308" t="str">
            <v>OC12</v>
          </cell>
          <cell r="D308" t="str">
            <v>Areal-raps</v>
          </cell>
          <cell r="E308" t="str">
            <v>Hektar</v>
          </cell>
          <cell r="F308" t="str">
            <v>Raps</v>
          </cell>
          <cell r="G308" t="str">
            <v>Ton</v>
          </cell>
          <cell r="H308">
            <v>6.16</v>
          </cell>
          <cell r="I308">
            <v>6.16</v>
          </cell>
          <cell r="J308">
            <v>6.16</v>
          </cell>
        </row>
        <row r="309">
          <cell r="A309" t="str">
            <v>Rapsmark</v>
          </cell>
          <cell r="B309" t="str">
            <v>Konventionel</v>
          </cell>
          <cell r="C309" t="str">
            <v>OC12</v>
          </cell>
          <cell r="D309" t="str">
            <v>Areal-raps</v>
          </cell>
          <cell r="E309" t="str">
            <v>Hektar</v>
          </cell>
          <cell r="F309" t="str">
            <v>Halm</v>
          </cell>
          <cell r="G309" t="str">
            <v>Ton</v>
          </cell>
          <cell r="H309">
            <v>5.5439999999999996</v>
          </cell>
          <cell r="I309">
            <v>5.5439999999999996</v>
          </cell>
          <cell r="J309">
            <v>5.5439999999999996</v>
          </cell>
        </row>
        <row r="310">
          <cell r="A310" t="str">
            <v>Rapsmark</v>
          </cell>
          <cell r="B310" t="str">
            <v>Konventionel</v>
          </cell>
          <cell r="C310" t="str">
            <v>OC12</v>
          </cell>
          <cell r="D310" t="str">
            <v>Areal-raps</v>
          </cell>
          <cell r="E310" t="str">
            <v>Hektar</v>
          </cell>
          <cell r="F310" t="str">
            <v>Gødning</v>
          </cell>
          <cell r="G310" t="str">
            <v>kg N</v>
          </cell>
          <cell r="H310">
            <v>-115</v>
          </cell>
          <cell r="I310">
            <v>-115</v>
          </cell>
          <cell r="J310">
            <v>-115</v>
          </cell>
        </row>
        <row r="311">
          <cell r="A311" t="str">
            <v>Rapsmark</v>
          </cell>
          <cell r="B311" t="str">
            <v>Konventionel</v>
          </cell>
          <cell r="C311" t="str">
            <v>OC12</v>
          </cell>
          <cell r="D311" t="str">
            <v>Areal-raps</v>
          </cell>
          <cell r="E311" t="str">
            <v>Hektar</v>
          </cell>
          <cell r="F311" t="str">
            <v>CO2 - atmosfære</v>
          </cell>
          <cell r="G311" t="str">
            <v>t CO2-ækvivalenter</v>
          </cell>
          <cell r="H311">
            <v>40.951694367485452</v>
          </cell>
          <cell r="I311">
            <v>40.951694367485452</v>
          </cell>
          <cell r="J311">
            <v>40.951694367485452</v>
          </cell>
        </row>
        <row r="312">
          <cell r="A312" t="str">
            <v>Rapsmark</v>
          </cell>
          <cell r="B312" t="str">
            <v>Økologisk</v>
          </cell>
          <cell r="C312" t="str">
            <v>JB1-10</v>
          </cell>
          <cell r="D312" t="str">
            <v>Areal-raps</v>
          </cell>
          <cell r="E312" t="str">
            <v>Hektar</v>
          </cell>
          <cell r="F312" t="str">
            <v>Raps</v>
          </cell>
          <cell r="G312" t="str">
            <v>Ton</v>
          </cell>
          <cell r="H312">
            <v>2.4200000000000004</v>
          </cell>
          <cell r="I312">
            <v>2.4200000000000004</v>
          </cell>
          <cell r="J312">
            <v>2.4200000000000004</v>
          </cell>
        </row>
        <row r="313">
          <cell r="A313" t="str">
            <v>Rapsmark</v>
          </cell>
          <cell r="B313" t="str">
            <v>Økologisk</v>
          </cell>
          <cell r="C313" t="str">
            <v>JB1-10</v>
          </cell>
          <cell r="D313" t="str">
            <v>Areal-raps</v>
          </cell>
          <cell r="E313" t="str">
            <v>Hektar</v>
          </cell>
          <cell r="F313" t="str">
            <v>Halm</v>
          </cell>
          <cell r="G313" t="str">
            <v>Ton</v>
          </cell>
          <cell r="H313">
            <v>2.1779999999999999</v>
          </cell>
          <cell r="I313">
            <v>2.1779999999999999</v>
          </cell>
          <cell r="J313">
            <v>2.1779999999999999</v>
          </cell>
        </row>
        <row r="314">
          <cell r="A314" t="str">
            <v>Rapsmark</v>
          </cell>
          <cell r="B314" t="str">
            <v>Økologisk</v>
          </cell>
          <cell r="C314" t="str">
            <v>JB1-10</v>
          </cell>
          <cell r="D314" t="str">
            <v>Areal-raps</v>
          </cell>
          <cell r="E314" t="str">
            <v>Hektar</v>
          </cell>
          <cell r="F314" t="str">
            <v>Gødning</v>
          </cell>
          <cell r="G314" t="str">
            <v>kg N</v>
          </cell>
          <cell r="H314">
            <v>-96.250000000000014</v>
          </cell>
          <cell r="I314">
            <v>-96.250000000000014</v>
          </cell>
          <cell r="J314">
            <v>-96.250000000000014</v>
          </cell>
        </row>
        <row r="315">
          <cell r="A315" t="str">
            <v>Rapsmark</v>
          </cell>
          <cell r="B315" t="str">
            <v>Økologisk</v>
          </cell>
          <cell r="C315" t="str">
            <v>JB1-10</v>
          </cell>
          <cell r="D315" t="str">
            <v>Areal-raps</v>
          </cell>
          <cell r="E315" t="str">
            <v>Hektar</v>
          </cell>
          <cell r="F315" t="str">
            <v>CO2 - atmosfære</v>
          </cell>
          <cell r="G315" t="str">
            <v>t CO2-ækvivalenter</v>
          </cell>
          <cell r="H315">
            <v>2.2736943674854606</v>
          </cell>
          <cell r="I315">
            <v>2.2736943674854606</v>
          </cell>
          <cell r="J315">
            <v>2.2736943674854606</v>
          </cell>
        </row>
        <row r="316">
          <cell r="A316" t="str">
            <v>Rapsmark</v>
          </cell>
          <cell r="B316" t="str">
            <v>Økologisk</v>
          </cell>
          <cell r="C316" t="str">
            <v>OC6</v>
          </cell>
          <cell r="D316" t="str">
            <v>Areal-raps</v>
          </cell>
          <cell r="E316" t="str">
            <v>Hektar</v>
          </cell>
          <cell r="F316" t="str">
            <v>Raps</v>
          </cell>
          <cell r="G316" t="str">
            <v>Ton</v>
          </cell>
          <cell r="H316">
            <v>2.9040000000000004</v>
          </cell>
          <cell r="I316">
            <v>2.9040000000000004</v>
          </cell>
          <cell r="J316">
            <v>2.9040000000000004</v>
          </cell>
        </row>
        <row r="317">
          <cell r="A317" t="str">
            <v>Rapsmark</v>
          </cell>
          <cell r="B317" t="str">
            <v>Økologisk</v>
          </cell>
          <cell r="C317" t="str">
            <v>OC6</v>
          </cell>
          <cell r="D317" t="str">
            <v>Areal-raps</v>
          </cell>
          <cell r="E317" t="str">
            <v>Hektar</v>
          </cell>
          <cell r="F317" t="str">
            <v>Halm</v>
          </cell>
          <cell r="G317" t="str">
            <v>Ton</v>
          </cell>
          <cell r="H317">
            <v>2.6135999999999999</v>
          </cell>
          <cell r="I317">
            <v>2.6135999999999999</v>
          </cell>
          <cell r="J317">
            <v>2.6135999999999999</v>
          </cell>
        </row>
        <row r="318">
          <cell r="A318" t="str">
            <v>Rapsmark</v>
          </cell>
          <cell r="B318" t="str">
            <v>Økologisk</v>
          </cell>
          <cell r="C318" t="str">
            <v>OC6</v>
          </cell>
          <cell r="D318" t="str">
            <v>Areal-raps</v>
          </cell>
          <cell r="E318" t="str">
            <v>Hektar</v>
          </cell>
          <cell r="F318" t="str">
            <v>Gødning</v>
          </cell>
          <cell r="G318" t="str">
            <v>kg N</v>
          </cell>
          <cell r="H318">
            <v>-79.75</v>
          </cell>
          <cell r="I318">
            <v>-79.75</v>
          </cell>
          <cell r="J318">
            <v>-79.75</v>
          </cell>
        </row>
        <row r="319">
          <cell r="A319" t="str">
            <v>Rapsmark</v>
          </cell>
          <cell r="B319" t="str">
            <v>Økologisk</v>
          </cell>
          <cell r="C319" t="str">
            <v>OC6</v>
          </cell>
          <cell r="D319" t="str">
            <v>Areal-raps</v>
          </cell>
          <cell r="E319" t="str">
            <v>Hektar</v>
          </cell>
          <cell r="F319" t="str">
            <v>CO2 - atmosfære</v>
          </cell>
          <cell r="G319" t="str">
            <v>t CO2-ækvivalenter</v>
          </cell>
          <cell r="H319">
            <v>15.99169436748546</v>
          </cell>
          <cell r="I319">
            <v>15.99169436748546</v>
          </cell>
          <cell r="J319">
            <v>15.99169436748546</v>
          </cell>
        </row>
        <row r="320">
          <cell r="A320" t="str">
            <v>Rapsmark</v>
          </cell>
          <cell r="B320" t="str">
            <v>Økologisk</v>
          </cell>
          <cell r="C320" t="str">
            <v>OC12</v>
          </cell>
          <cell r="D320" t="str">
            <v>Areal-raps</v>
          </cell>
          <cell r="E320" t="str">
            <v>Hektar</v>
          </cell>
          <cell r="F320" t="str">
            <v>Raps</v>
          </cell>
          <cell r="G320" t="str">
            <v>Ton</v>
          </cell>
          <cell r="H320">
            <v>3.3880000000000003</v>
          </cell>
          <cell r="I320">
            <v>3.3880000000000003</v>
          </cell>
          <cell r="J320">
            <v>3.3880000000000003</v>
          </cell>
        </row>
        <row r="321">
          <cell r="A321" t="str">
            <v>Rapsmark</v>
          </cell>
          <cell r="B321" t="str">
            <v>Økologisk</v>
          </cell>
          <cell r="C321" t="str">
            <v>OC12</v>
          </cell>
          <cell r="D321" t="str">
            <v>Areal-raps</v>
          </cell>
          <cell r="E321" t="str">
            <v>Hektar</v>
          </cell>
          <cell r="F321" t="str">
            <v>Halm</v>
          </cell>
          <cell r="G321" t="str">
            <v>Ton</v>
          </cell>
          <cell r="H321">
            <v>3.0491999999999999</v>
          </cell>
          <cell r="I321">
            <v>3.0491999999999999</v>
          </cell>
          <cell r="J321">
            <v>3.0491999999999999</v>
          </cell>
        </row>
        <row r="322">
          <cell r="A322" t="str">
            <v>Rapsmark</v>
          </cell>
          <cell r="B322" t="str">
            <v>Økologisk</v>
          </cell>
          <cell r="C322" t="str">
            <v>OC12</v>
          </cell>
          <cell r="D322" t="str">
            <v>Areal-raps</v>
          </cell>
          <cell r="E322" t="str">
            <v>Hektar</v>
          </cell>
          <cell r="F322" t="str">
            <v>Gødning</v>
          </cell>
          <cell r="G322" t="str">
            <v>kg N</v>
          </cell>
          <cell r="H322">
            <v>-63.250000000000007</v>
          </cell>
          <cell r="I322">
            <v>-63.250000000000007</v>
          </cell>
          <cell r="J322">
            <v>-63.250000000000007</v>
          </cell>
        </row>
        <row r="323">
          <cell r="A323" t="str">
            <v>Rapsmark</v>
          </cell>
          <cell r="B323" t="str">
            <v>Økologisk</v>
          </cell>
          <cell r="C323" t="str">
            <v>OC12</v>
          </cell>
          <cell r="D323" t="str">
            <v>Areal-raps</v>
          </cell>
          <cell r="E323" t="str">
            <v>Hektar</v>
          </cell>
          <cell r="F323" t="str">
            <v>CO2 - atmosfære</v>
          </cell>
          <cell r="G323" t="str">
            <v>t CO2-ækvivalenter</v>
          </cell>
          <cell r="H323">
            <v>40.951694367485452</v>
          </cell>
          <cell r="I323">
            <v>40.951694367485452</v>
          </cell>
          <cell r="J323">
            <v>40.951694367485452</v>
          </cell>
        </row>
        <row r="324">
          <cell r="A324" t="str">
            <v>Frøgræsmark</v>
          </cell>
          <cell r="B324" t="str">
            <v>Konventionel</v>
          </cell>
          <cell r="C324" t="str">
            <v>JB1-10</v>
          </cell>
          <cell r="D324" t="str">
            <v>Areal-frøgræs</v>
          </cell>
          <cell r="E324" t="str">
            <v>Hektar</v>
          </cell>
          <cell r="F324" t="str">
            <v>Frø</v>
          </cell>
          <cell r="G324" t="str">
            <v>Ton</v>
          </cell>
          <cell r="H324">
            <v>14.288860759493669</v>
          </cell>
          <cell r="I324">
            <v>14.288860759493669</v>
          </cell>
          <cell r="J324">
            <v>14.288860759493669</v>
          </cell>
        </row>
        <row r="325">
          <cell r="A325" t="str">
            <v>Frøgræsmark</v>
          </cell>
          <cell r="B325" t="str">
            <v>Konventionel</v>
          </cell>
          <cell r="C325" t="str">
            <v>JB1-10</v>
          </cell>
          <cell r="D325" t="str">
            <v>Areal-frøgræs</v>
          </cell>
          <cell r="E325" t="str">
            <v>Hektar</v>
          </cell>
          <cell r="F325" t="str">
            <v>Halm</v>
          </cell>
          <cell r="G325" t="str">
            <v>Ton</v>
          </cell>
          <cell r="H325">
            <v>4</v>
          </cell>
          <cell r="I325">
            <v>4</v>
          </cell>
          <cell r="J325">
            <v>4</v>
          </cell>
        </row>
        <row r="326">
          <cell r="A326" t="str">
            <v>Frøgræsmark</v>
          </cell>
          <cell r="B326" t="str">
            <v>Konventionel</v>
          </cell>
          <cell r="C326" t="str">
            <v>JB1-10</v>
          </cell>
          <cell r="D326" t="str">
            <v>Areal-frøgræs</v>
          </cell>
          <cell r="E326" t="str">
            <v>Hektar</v>
          </cell>
          <cell r="F326" t="str">
            <v>Gødning</v>
          </cell>
          <cell r="G326" t="str">
            <v>kg N</v>
          </cell>
          <cell r="H326">
            <v>-150</v>
          </cell>
          <cell r="I326">
            <v>-150</v>
          </cell>
          <cell r="J326">
            <v>-150</v>
          </cell>
        </row>
        <row r="327">
          <cell r="A327" t="str">
            <v>Frøgræsmark</v>
          </cell>
          <cell r="B327" t="str">
            <v>Konventionel</v>
          </cell>
          <cell r="C327" t="str">
            <v>JB1-10</v>
          </cell>
          <cell r="D327" t="str">
            <v>Areal-frøgræs</v>
          </cell>
          <cell r="E327" t="str">
            <v>Hektar</v>
          </cell>
          <cell r="F327" t="str">
            <v>CO2 - atmosfære</v>
          </cell>
          <cell r="G327" t="str">
            <v>t CO2-ækvivalenter</v>
          </cell>
          <cell r="H327">
            <v>2.2736943674854606</v>
          </cell>
          <cell r="I327">
            <v>2.2736943674854606</v>
          </cell>
          <cell r="J327">
            <v>2.2736943674854606</v>
          </cell>
        </row>
        <row r="328">
          <cell r="A328" t="str">
            <v>Frøgræsmark</v>
          </cell>
          <cell r="B328" t="str">
            <v>Konventionel</v>
          </cell>
          <cell r="C328" t="str">
            <v>OC6</v>
          </cell>
          <cell r="D328" t="str">
            <v>Areal-frøgræs</v>
          </cell>
          <cell r="E328" t="str">
            <v>Hektar</v>
          </cell>
          <cell r="F328" t="str">
            <v>Frø</v>
          </cell>
          <cell r="G328" t="str">
            <v>Ton</v>
          </cell>
          <cell r="H328">
            <v>17.146632911392402</v>
          </cell>
          <cell r="I328">
            <v>17.146632911392402</v>
          </cell>
          <cell r="J328">
            <v>17.146632911392402</v>
          </cell>
        </row>
        <row r="329">
          <cell r="A329" t="str">
            <v>Frøgræsmark</v>
          </cell>
          <cell r="B329" t="str">
            <v>Konventionel</v>
          </cell>
          <cell r="C329" t="str">
            <v>OC6</v>
          </cell>
          <cell r="D329" t="str">
            <v>Areal-frøgræs</v>
          </cell>
          <cell r="E329" t="str">
            <v>Hektar</v>
          </cell>
          <cell r="F329" t="str">
            <v>Halm</v>
          </cell>
          <cell r="G329" t="str">
            <v>Ton</v>
          </cell>
          <cell r="H329">
            <v>4.8</v>
          </cell>
          <cell r="I329">
            <v>4.8</v>
          </cell>
          <cell r="J329">
            <v>4.8</v>
          </cell>
        </row>
        <row r="330">
          <cell r="A330" t="str">
            <v>Frøgræsmark</v>
          </cell>
          <cell r="B330" t="str">
            <v>Konventionel</v>
          </cell>
          <cell r="C330" t="str">
            <v>OC6</v>
          </cell>
          <cell r="D330" t="str">
            <v>Areal-frøgræs</v>
          </cell>
          <cell r="E330" t="str">
            <v>Hektar</v>
          </cell>
          <cell r="F330" t="str">
            <v>Gødning</v>
          </cell>
          <cell r="G330" t="str">
            <v>kg N</v>
          </cell>
          <cell r="H330">
            <v>-135</v>
          </cell>
          <cell r="I330">
            <v>-135</v>
          </cell>
          <cell r="J330">
            <v>-135</v>
          </cell>
        </row>
        <row r="331">
          <cell r="A331" t="str">
            <v>Frøgræsmark</v>
          </cell>
          <cell r="B331" t="str">
            <v>Konventionel</v>
          </cell>
          <cell r="C331" t="str">
            <v>OC6</v>
          </cell>
          <cell r="D331" t="str">
            <v>Areal-frøgræs</v>
          </cell>
          <cell r="E331" t="str">
            <v>Hektar</v>
          </cell>
          <cell r="F331" t="str">
            <v>CO2 - atmosfære</v>
          </cell>
          <cell r="G331" t="str">
            <v>t CO2-ækvivalenter</v>
          </cell>
          <cell r="H331">
            <v>15.99169436748546</v>
          </cell>
          <cell r="I331">
            <v>15.99169436748546</v>
          </cell>
          <cell r="J331">
            <v>15.99169436748546</v>
          </cell>
        </row>
        <row r="332">
          <cell r="A332" t="str">
            <v>Frøgræsmark</v>
          </cell>
          <cell r="B332" t="str">
            <v>Konventionel</v>
          </cell>
          <cell r="C332" t="str">
            <v>OC12</v>
          </cell>
          <cell r="D332" t="str">
            <v>Areal-frøgræs</v>
          </cell>
          <cell r="E332" t="str">
            <v>Hektar</v>
          </cell>
          <cell r="F332" t="str">
            <v>Frø</v>
          </cell>
          <cell r="G332" t="str">
            <v>Ton</v>
          </cell>
          <cell r="H332">
            <v>20.004405063291134</v>
          </cell>
          <cell r="I332">
            <v>20.004405063291134</v>
          </cell>
          <cell r="J332">
            <v>20.004405063291134</v>
          </cell>
        </row>
        <row r="333">
          <cell r="A333" t="str">
            <v>Frøgræsmark</v>
          </cell>
          <cell r="B333" t="str">
            <v>Konventionel</v>
          </cell>
          <cell r="C333" t="str">
            <v>OC12</v>
          </cell>
          <cell r="D333" t="str">
            <v>Areal-frøgræs</v>
          </cell>
          <cell r="E333" t="str">
            <v>Hektar</v>
          </cell>
          <cell r="F333" t="str">
            <v>Halm</v>
          </cell>
          <cell r="G333" t="str">
            <v>Ton</v>
          </cell>
          <cell r="H333">
            <v>5.6</v>
          </cell>
          <cell r="I333">
            <v>5.6</v>
          </cell>
          <cell r="J333">
            <v>5.6</v>
          </cell>
        </row>
        <row r="334">
          <cell r="A334" t="str">
            <v>Frøgræsmark</v>
          </cell>
          <cell r="B334" t="str">
            <v>Konventionel</v>
          </cell>
          <cell r="C334" t="str">
            <v>OC12</v>
          </cell>
          <cell r="D334" t="str">
            <v>Areal-frøgræs</v>
          </cell>
          <cell r="E334" t="str">
            <v>Hektar</v>
          </cell>
          <cell r="F334" t="str">
            <v>Gødning</v>
          </cell>
          <cell r="G334" t="str">
            <v>kg N</v>
          </cell>
          <cell r="H334">
            <v>-120</v>
          </cell>
          <cell r="I334">
            <v>-120</v>
          </cell>
          <cell r="J334">
            <v>-120</v>
          </cell>
        </row>
        <row r="335">
          <cell r="A335" t="str">
            <v>Frøgræsmark</v>
          </cell>
          <cell r="B335" t="str">
            <v>Konventionel</v>
          </cell>
          <cell r="C335" t="str">
            <v>OC12</v>
          </cell>
          <cell r="D335" t="str">
            <v>Areal-frøgræs</v>
          </cell>
          <cell r="E335" t="str">
            <v>Hektar</v>
          </cell>
          <cell r="F335" t="str">
            <v>CO2 - atmosfære</v>
          </cell>
          <cell r="G335" t="str">
            <v>t CO2-ækvivalenter</v>
          </cell>
          <cell r="H335">
            <v>40.951694367485452</v>
          </cell>
          <cell r="I335">
            <v>40.951694367485452</v>
          </cell>
          <cell r="J335">
            <v>40.951694367485452</v>
          </cell>
        </row>
        <row r="336">
          <cell r="A336" t="str">
            <v>Frøgræsmark</v>
          </cell>
          <cell r="B336" t="str">
            <v>Økologisk</v>
          </cell>
          <cell r="C336" t="str">
            <v>JB1-10</v>
          </cell>
          <cell r="D336" t="str">
            <v>Areal-frøgræs</v>
          </cell>
          <cell r="E336" t="str">
            <v>Hektar</v>
          </cell>
          <cell r="F336" t="str">
            <v>Frø</v>
          </cell>
          <cell r="G336" t="str">
            <v>Ton</v>
          </cell>
          <cell r="H336">
            <v>8.1446506329113912</v>
          </cell>
          <cell r="I336">
            <v>8.1446506329113912</v>
          </cell>
          <cell r="J336">
            <v>8.1446506329113912</v>
          </cell>
        </row>
        <row r="337">
          <cell r="A337" t="str">
            <v>Frøgræsmark</v>
          </cell>
          <cell r="B337" t="str">
            <v>Økologisk</v>
          </cell>
          <cell r="C337" t="str">
            <v>JB1-10</v>
          </cell>
          <cell r="D337" t="str">
            <v>Areal-frøgræs</v>
          </cell>
          <cell r="E337" t="str">
            <v>Hektar</v>
          </cell>
          <cell r="F337" t="str">
            <v>Halm</v>
          </cell>
          <cell r="G337" t="str">
            <v>Ton</v>
          </cell>
          <cell r="H337">
            <v>2.2799999999999998</v>
          </cell>
          <cell r="I337">
            <v>2.2799999999999998</v>
          </cell>
          <cell r="J337">
            <v>2.2799999999999998</v>
          </cell>
        </row>
        <row r="338">
          <cell r="A338" t="str">
            <v>Frøgræsmark</v>
          </cell>
          <cell r="B338" t="str">
            <v>Økologisk</v>
          </cell>
          <cell r="C338" t="str">
            <v>JB1-10</v>
          </cell>
          <cell r="D338" t="str">
            <v>Areal-frøgræs</v>
          </cell>
          <cell r="E338" t="str">
            <v>Hektar</v>
          </cell>
          <cell r="F338" t="str">
            <v>Gødning</v>
          </cell>
          <cell r="G338" t="str">
            <v>kg N</v>
          </cell>
          <cell r="H338">
            <v>-85.499999999999986</v>
          </cell>
          <cell r="I338">
            <v>-85.499999999999986</v>
          </cell>
          <cell r="J338">
            <v>-85.499999999999986</v>
          </cell>
        </row>
        <row r="339">
          <cell r="A339" t="str">
            <v>Frøgræsmark</v>
          </cell>
          <cell r="B339" t="str">
            <v>Økologisk</v>
          </cell>
          <cell r="C339" t="str">
            <v>JB1-10</v>
          </cell>
          <cell r="D339" t="str">
            <v>Areal-frøgræs</v>
          </cell>
          <cell r="E339" t="str">
            <v>Hektar</v>
          </cell>
          <cell r="F339" t="str">
            <v>CO2 - atmosfære</v>
          </cell>
          <cell r="G339" t="str">
            <v>t CO2-ækvivalenter</v>
          </cell>
          <cell r="H339">
            <v>2.2736943674854606</v>
          </cell>
          <cell r="I339">
            <v>2.2736943674854606</v>
          </cell>
          <cell r="J339">
            <v>2.2736943674854606</v>
          </cell>
        </row>
        <row r="340">
          <cell r="A340" t="str">
            <v>Frøgræsmark</v>
          </cell>
          <cell r="B340" t="str">
            <v>Økologisk</v>
          </cell>
          <cell r="C340" t="str">
            <v>OC6</v>
          </cell>
          <cell r="D340" t="str">
            <v>Areal-frøgræs</v>
          </cell>
          <cell r="E340" t="str">
            <v>Hektar</v>
          </cell>
          <cell r="F340" t="str">
            <v>Frø</v>
          </cell>
          <cell r="G340" t="str">
            <v>Ton</v>
          </cell>
          <cell r="H340">
            <v>9.7735807594936688</v>
          </cell>
          <cell r="I340">
            <v>9.7735807594936688</v>
          </cell>
          <cell r="J340">
            <v>9.7735807594936688</v>
          </cell>
        </row>
        <row r="341">
          <cell r="A341" t="str">
            <v>Frøgræsmark</v>
          </cell>
          <cell r="B341" t="str">
            <v>Økologisk</v>
          </cell>
          <cell r="C341" t="str">
            <v>OC6</v>
          </cell>
          <cell r="D341" t="str">
            <v>Areal-frøgræs</v>
          </cell>
          <cell r="E341" t="str">
            <v>Hektar</v>
          </cell>
          <cell r="F341" t="str">
            <v>Halm</v>
          </cell>
          <cell r="G341" t="str">
            <v>Ton</v>
          </cell>
          <cell r="H341">
            <v>2.7359999999999998</v>
          </cell>
          <cell r="I341">
            <v>2.7359999999999998</v>
          </cell>
          <cell r="J341">
            <v>2.7359999999999998</v>
          </cell>
        </row>
        <row r="342">
          <cell r="A342" t="str">
            <v>Frøgræsmark</v>
          </cell>
          <cell r="B342" t="str">
            <v>Økologisk</v>
          </cell>
          <cell r="C342" t="str">
            <v>OC6</v>
          </cell>
          <cell r="D342" t="str">
            <v>Areal-frøgræs</v>
          </cell>
          <cell r="E342" t="str">
            <v>Hektar</v>
          </cell>
          <cell r="F342" t="str">
            <v>Gødning</v>
          </cell>
          <cell r="G342" t="str">
            <v>kg N</v>
          </cell>
          <cell r="H342">
            <v>-76.949999999999989</v>
          </cell>
          <cell r="I342">
            <v>-76.949999999999989</v>
          </cell>
          <cell r="J342">
            <v>-76.949999999999989</v>
          </cell>
        </row>
        <row r="343">
          <cell r="A343" t="str">
            <v>Frøgræsmark</v>
          </cell>
          <cell r="B343" t="str">
            <v>Økologisk</v>
          </cell>
          <cell r="C343" t="str">
            <v>OC6</v>
          </cell>
          <cell r="D343" t="str">
            <v>Areal-frøgræs</v>
          </cell>
          <cell r="E343" t="str">
            <v>Hektar</v>
          </cell>
          <cell r="F343" t="str">
            <v>CO2 - atmosfære</v>
          </cell>
          <cell r="G343" t="str">
            <v>t CO2-ækvivalenter</v>
          </cell>
          <cell r="H343">
            <v>15.99169436748546</v>
          </cell>
          <cell r="I343">
            <v>15.99169436748546</v>
          </cell>
          <cell r="J343">
            <v>15.99169436748546</v>
          </cell>
        </row>
        <row r="344">
          <cell r="A344" t="str">
            <v>Frøgræsmark</v>
          </cell>
          <cell r="B344" t="str">
            <v>Økologisk</v>
          </cell>
          <cell r="C344" t="str">
            <v>OC12</v>
          </cell>
          <cell r="D344" t="str">
            <v>Areal-frøgræs</v>
          </cell>
          <cell r="E344" t="str">
            <v>Hektar</v>
          </cell>
          <cell r="F344" t="str">
            <v>Frø</v>
          </cell>
          <cell r="G344" t="str">
            <v>Ton</v>
          </cell>
          <cell r="H344">
            <v>11.402510886075946</v>
          </cell>
          <cell r="I344">
            <v>11.402510886075946</v>
          </cell>
          <cell r="J344">
            <v>11.402510886075946</v>
          </cell>
        </row>
        <row r="345">
          <cell r="A345" t="str">
            <v>Frøgræsmark</v>
          </cell>
          <cell r="B345" t="str">
            <v>Økologisk</v>
          </cell>
          <cell r="C345" t="str">
            <v>OC12</v>
          </cell>
          <cell r="D345" t="str">
            <v>Areal-frøgræs</v>
          </cell>
          <cell r="E345" t="str">
            <v>Hektar</v>
          </cell>
          <cell r="F345" t="str">
            <v>Halm</v>
          </cell>
          <cell r="G345" t="str">
            <v>Ton</v>
          </cell>
          <cell r="H345">
            <v>3.1919999999999997</v>
          </cell>
          <cell r="I345">
            <v>3.1919999999999997</v>
          </cell>
          <cell r="J345">
            <v>3.1919999999999997</v>
          </cell>
        </row>
        <row r="346">
          <cell r="A346" t="str">
            <v>Frøgræsmark</v>
          </cell>
          <cell r="B346" t="str">
            <v>Økologisk</v>
          </cell>
          <cell r="C346" t="str">
            <v>OC12</v>
          </cell>
          <cell r="D346" t="str">
            <v>Areal-frøgræs</v>
          </cell>
          <cell r="E346" t="str">
            <v>Hektar</v>
          </cell>
          <cell r="F346" t="str">
            <v>Gødning</v>
          </cell>
          <cell r="G346" t="str">
            <v>kg N</v>
          </cell>
          <cell r="H346">
            <v>-68.399999999999991</v>
          </cell>
          <cell r="I346">
            <v>-68.399999999999991</v>
          </cell>
          <cell r="J346">
            <v>-68.399999999999991</v>
          </cell>
        </row>
        <row r="347">
          <cell r="A347" t="str">
            <v>Frøgræsmark</v>
          </cell>
          <cell r="B347" t="str">
            <v>Økologisk</v>
          </cell>
          <cell r="C347" t="str">
            <v>OC12</v>
          </cell>
          <cell r="D347" t="str">
            <v>Areal-frøgræs</v>
          </cell>
          <cell r="E347" t="str">
            <v>Hektar</v>
          </cell>
          <cell r="F347" t="str">
            <v>CO2 - atmosfære</v>
          </cell>
          <cell r="G347" t="str">
            <v>t CO2-ækvivalenter</v>
          </cell>
          <cell r="H347">
            <v>40.951694367485452</v>
          </cell>
          <cell r="I347">
            <v>40.951694367485452</v>
          </cell>
          <cell r="J347">
            <v>40.951694367485452</v>
          </cell>
        </row>
        <row r="348">
          <cell r="A348" t="str">
            <v>Juletræsmark</v>
          </cell>
          <cell r="B348" t="str">
            <v>Konventionel</v>
          </cell>
          <cell r="C348" t="str">
            <v>JB1-10</v>
          </cell>
          <cell r="D348" t="str">
            <v>Areal-juletræer</v>
          </cell>
          <cell r="E348" t="str">
            <v>Hektar</v>
          </cell>
          <cell r="F348" t="str">
            <v>Juletræer</v>
          </cell>
          <cell r="G348" t="str">
            <v>Ton</v>
          </cell>
          <cell r="H348">
            <v>50</v>
          </cell>
          <cell r="I348">
            <v>50</v>
          </cell>
          <cell r="J348">
            <v>50</v>
          </cell>
        </row>
        <row r="349">
          <cell r="A349" t="str">
            <v>Juletræsmark</v>
          </cell>
          <cell r="B349" t="str">
            <v>Konventionel</v>
          </cell>
          <cell r="C349" t="str">
            <v>JB1-10</v>
          </cell>
          <cell r="D349" t="str">
            <v>Areal-juletræer</v>
          </cell>
          <cell r="E349" t="str">
            <v>Hektar</v>
          </cell>
          <cell r="F349" t="str">
            <v>Gødning</v>
          </cell>
          <cell r="G349" t="str">
            <v>kg N</v>
          </cell>
          <cell r="H349">
            <v>-110</v>
          </cell>
          <cell r="I349">
            <v>-110</v>
          </cell>
          <cell r="J349">
            <v>-110</v>
          </cell>
        </row>
        <row r="350">
          <cell r="A350" t="str">
            <v>Juletræsmark</v>
          </cell>
          <cell r="B350" t="str">
            <v>Konventionel</v>
          </cell>
          <cell r="C350" t="str">
            <v>JB1-10</v>
          </cell>
          <cell r="D350" t="str">
            <v>Areal-juletræer</v>
          </cell>
          <cell r="E350" t="str">
            <v>Hektar</v>
          </cell>
          <cell r="F350" t="str">
            <v>CO2 - atmosfære</v>
          </cell>
          <cell r="G350" t="str">
            <v>t CO2-ækvivalenter</v>
          </cell>
          <cell r="H350">
            <v>1.9656943674854606</v>
          </cell>
          <cell r="I350">
            <v>1.9656943674854606</v>
          </cell>
          <cell r="J350">
            <v>1.9656943674854606</v>
          </cell>
        </row>
        <row r="351">
          <cell r="A351" t="str">
            <v>Juletræsmark</v>
          </cell>
          <cell r="B351" t="str">
            <v>Konventionel</v>
          </cell>
          <cell r="C351" t="str">
            <v>OC6</v>
          </cell>
          <cell r="D351" t="str">
            <v>Areal-juletræer</v>
          </cell>
          <cell r="E351" t="str">
            <v>Hektar</v>
          </cell>
          <cell r="F351" t="str">
            <v>Juletræer</v>
          </cell>
          <cell r="G351" t="str">
            <v>Ton</v>
          </cell>
          <cell r="H351">
            <v>60</v>
          </cell>
          <cell r="I351">
            <v>60</v>
          </cell>
          <cell r="J351">
            <v>60</v>
          </cell>
        </row>
        <row r="352">
          <cell r="A352" t="str">
            <v>Juletræsmark</v>
          </cell>
          <cell r="B352" t="str">
            <v>Konventionel</v>
          </cell>
          <cell r="C352" t="str">
            <v>OC6</v>
          </cell>
          <cell r="D352" t="str">
            <v>Areal-juletræer</v>
          </cell>
          <cell r="E352" t="str">
            <v>Hektar</v>
          </cell>
          <cell r="F352" t="str">
            <v>Gødning</v>
          </cell>
          <cell r="G352" t="str">
            <v>kg N</v>
          </cell>
          <cell r="H352">
            <v>-100</v>
          </cell>
          <cell r="I352">
            <v>-100</v>
          </cell>
          <cell r="J352">
            <v>-100</v>
          </cell>
        </row>
        <row r="353">
          <cell r="A353" t="str">
            <v>Juletræsmark</v>
          </cell>
          <cell r="B353" t="str">
            <v>Konventionel</v>
          </cell>
          <cell r="C353" t="str">
            <v>OC6</v>
          </cell>
          <cell r="D353" t="str">
            <v>Areal-juletræer</v>
          </cell>
          <cell r="E353" t="str">
            <v>Hektar</v>
          </cell>
          <cell r="F353" t="str">
            <v>CO2 - atmosfære</v>
          </cell>
          <cell r="G353" t="str">
            <v>t CO2-ækvivalenter</v>
          </cell>
          <cell r="H353">
            <v>10.661694367485461</v>
          </cell>
          <cell r="I353">
            <v>10.661694367485461</v>
          </cell>
          <cell r="J353">
            <v>10.661694367485461</v>
          </cell>
        </row>
        <row r="354">
          <cell r="A354" t="str">
            <v>Juletræsmark</v>
          </cell>
          <cell r="B354" t="str">
            <v>Konventionel</v>
          </cell>
          <cell r="C354" t="str">
            <v>OC12</v>
          </cell>
          <cell r="D354" t="str">
            <v>Areal-juletræer</v>
          </cell>
          <cell r="E354" t="str">
            <v>Hektar</v>
          </cell>
          <cell r="F354" t="str">
            <v>Juletræer</v>
          </cell>
          <cell r="G354" t="str">
            <v>Ton</v>
          </cell>
          <cell r="H354">
            <v>70</v>
          </cell>
          <cell r="I354">
            <v>70</v>
          </cell>
          <cell r="J354">
            <v>70</v>
          </cell>
        </row>
        <row r="355">
          <cell r="A355" t="str">
            <v>Juletræsmark</v>
          </cell>
          <cell r="B355" t="str">
            <v>Konventionel</v>
          </cell>
          <cell r="C355" t="str">
            <v>OC12</v>
          </cell>
          <cell r="D355" t="str">
            <v>Areal-juletræer</v>
          </cell>
          <cell r="E355" t="str">
            <v>Hektar</v>
          </cell>
          <cell r="F355" t="str">
            <v>Gødning</v>
          </cell>
          <cell r="G355" t="str">
            <v>kg N</v>
          </cell>
          <cell r="H355">
            <v>-90</v>
          </cell>
          <cell r="I355">
            <v>-90</v>
          </cell>
          <cell r="J355">
            <v>-90</v>
          </cell>
        </row>
        <row r="356">
          <cell r="A356" t="str">
            <v>Juletræsmark</v>
          </cell>
          <cell r="B356" t="str">
            <v>Konventionel</v>
          </cell>
          <cell r="C356" t="str">
            <v>OC12</v>
          </cell>
          <cell r="D356" t="str">
            <v>Areal-juletræer</v>
          </cell>
          <cell r="E356" t="str">
            <v>Hektar</v>
          </cell>
          <cell r="F356" t="str">
            <v>CO2 - atmosfære</v>
          </cell>
          <cell r="G356" t="str">
            <v>t CO2-ækvivalenter</v>
          </cell>
          <cell r="H356">
            <v>28.501694367485467</v>
          </cell>
          <cell r="I356">
            <v>28.501694367485467</v>
          </cell>
          <cell r="J356">
            <v>28.501694367485467</v>
          </cell>
        </row>
        <row r="357">
          <cell r="A357" t="str">
            <v>Juletræsmark</v>
          </cell>
          <cell r="B357" t="str">
            <v>Økologisk</v>
          </cell>
          <cell r="C357" t="str">
            <v>JB1-10</v>
          </cell>
          <cell r="D357" t="str">
            <v>Areal-juletræer</v>
          </cell>
          <cell r="E357" t="str">
            <v>Hektar</v>
          </cell>
          <cell r="F357" t="str">
            <v>Juletræer</v>
          </cell>
          <cell r="G357" t="str">
            <v>Ton</v>
          </cell>
          <cell r="H357">
            <v>28.499999999999996</v>
          </cell>
          <cell r="I357">
            <v>28.499999999999996</v>
          </cell>
          <cell r="J357">
            <v>28.499999999999996</v>
          </cell>
        </row>
        <row r="358">
          <cell r="A358" t="str">
            <v>Juletræsmark</v>
          </cell>
          <cell r="B358" t="str">
            <v>Økologisk</v>
          </cell>
          <cell r="C358" t="str">
            <v>JB1-10</v>
          </cell>
          <cell r="D358" t="str">
            <v>Areal-juletræer</v>
          </cell>
          <cell r="E358" t="str">
            <v>Hektar</v>
          </cell>
          <cell r="F358" t="str">
            <v>Gødning</v>
          </cell>
          <cell r="G358" t="str">
            <v>kg N</v>
          </cell>
          <cell r="H358">
            <v>-62.699999999999996</v>
          </cell>
          <cell r="I358">
            <v>-62.699999999999996</v>
          </cell>
          <cell r="J358">
            <v>-62.699999999999996</v>
          </cell>
        </row>
        <row r="359">
          <cell r="A359" t="str">
            <v>Juletræsmark</v>
          </cell>
          <cell r="B359" t="str">
            <v>Økologisk</v>
          </cell>
          <cell r="C359" t="str">
            <v>JB1-10</v>
          </cell>
          <cell r="D359" t="str">
            <v>Areal-juletræer</v>
          </cell>
          <cell r="E359" t="str">
            <v>Hektar</v>
          </cell>
          <cell r="F359" t="str">
            <v>CO2 - atmosfære</v>
          </cell>
          <cell r="G359" t="str">
            <v>t CO2-ækvivalenter</v>
          </cell>
          <cell r="H359">
            <v>1.9656943674854606</v>
          </cell>
          <cell r="I359">
            <v>1.9656943674854606</v>
          </cell>
          <cell r="J359">
            <v>1.9656943674854606</v>
          </cell>
        </row>
        <row r="360">
          <cell r="A360" t="str">
            <v>Juletræsmark</v>
          </cell>
          <cell r="B360" t="str">
            <v>Økologisk</v>
          </cell>
          <cell r="C360" t="str">
            <v>OC6</v>
          </cell>
          <cell r="D360" t="str">
            <v>Areal-juletræer</v>
          </cell>
          <cell r="E360" t="str">
            <v>Hektar</v>
          </cell>
          <cell r="F360" t="str">
            <v>Juletræer</v>
          </cell>
          <cell r="G360" t="str">
            <v>Ton</v>
          </cell>
          <cell r="H360">
            <v>34.199999999999996</v>
          </cell>
          <cell r="I360">
            <v>34.199999999999996</v>
          </cell>
          <cell r="J360">
            <v>34.199999999999996</v>
          </cell>
        </row>
        <row r="361">
          <cell r="A361" t="str">
            <v>Juletræsmark</v>
          </cell>
          <cell r="B361" t="str">
            <v>Økologisk</v>
          </cell>
          <cell r="C361" t="str">
            <v>OC6</v>
          </cell>
          <cell r="D361" t="str">
            <v>Areal-juletræer</v>
          </cell>
          <cell r="E361" t="str">
            <v>Hektar</v>
          </cell>
          <cell r="F361" t="str">
            <v>Gødning</v>
          </cell>
          <cell r="G361" t="str">
            <v>kg N</v>
          </cell>
          <cell r="H361">
            <v>-56.999999999999993</v>
          </cell>
          <cell r="I361">
            <v>-56.999999999999993</v>
          </cell>
          <cell r="J361">
            <v>-56.999999999999993</v>
          </cell>
        </row>
        <row r="362">
          <cell r="A362" t="str">
            <v>Juletræsmark</v>
          </cell>
          <cell r="B362" t="str">
            <v>Økologisk</v>
          </cell>
          <cell r="C362" t="str">
            <v>OC6</v>
          </cell>
          <cell r="D362" t="str">
            <v>Areal-juletræer</v>
          </cell>
          <cell r="E362" t="str">
            <v>Hektar</v>
          </cell>
          <cell r="F362" t="str">
            <v>CO2 - atmosfære</v>
          </cell>
          <cell r="G362" t="str">
            <v>t CO2-ækvivalenter</v>
          </cell>
          <cell r="H362">
            <v>10.661694367485461</v>
          </cell>
          <cell r="I362">
            <v>10.661694367485461</v>
          </cell>
          <cell r="J362">
            <v>10.661694367485461</v>
          </cell>
        </row>
        <row r="363">
          <cell r="A363" t="str">
            <v>Juletræsmark</v>
          </cell>
          <cell r="B363" t="str">
            <v>Økologisk</v>
          </cell>
          <cell r="C363" t="str">
            <v>OC12</v>
          </cell>
          <cell r="D363" t="str">
            <v>Areal-juletræer</v>
          </cell>
          <cell r="E363" t="str">
            <v>Hektar</v>
          </cell>
          <cell r="F363" t="str">
            <v>Juletræer</v>
          </cell>
          <cell r="G363" t="str">
            <v>Ton</v>
          </cell>
          <cell r="H363">
            <v>39.9</v>
          </cell>
          <cell r="I363">
            <v>39.9</v>
          </cell>
          <cell r="J363">
            <v>39.9</v>
          </cell>
        </row>
        <row r="364">
          <cell r="A364" t="str">
            <v>Juletræsmark</v>
          </cell>
          <cell r="B364" t="str">
            <v>Økologisk</v>
          </cell>
          <cell r="C364" t="str">
            <v>OC12</v>
          </cell>
          <cell r="D364" t="str">
            <v>Areal-juletræer</v>
          </cell>
          <cell r="E364" t="str">
            <v>Hektar</v>
          </cell>
          <cell r="F364" t="str">
            <v>Gødning</v>
          </cell>
          <cell r="G364" t="str">
            <v>kg N</v>
          </cell>
          <cell r="H364">
            <v>-51.3</v>
          </cell>
          <cell r="I364">
            <v>-51.3</v>
          </cell>
          <cell r="J364">
            <v>-51.3</v>
          </cell>
        </row>
        <row r="365">
          <cell r="A365" t="str">
            <v>Juletræsmark</v>
          </cell>
          <cell r="B365" t="str">
            <v>Økologisk</v>
          </cell>
          <cell r="C365" t="str">
            <v>OC12</v>
          </cell>
          <cell r="D365" t="str">
            <v>Areal-juletræer</v>
          </cell>
          <cell r="E365" t="str">
            <v>Hektar</v>
          </cell>
          <cell r="F365" t="str">
            <v>CO2 - atmosfære</v>
          </cell>
          <cell r="G365" t="str">
            <v>t CO2-ækvivalenter</v>
          </cell>
          <cell r="H365">
            <v>28.501694367485467</v>
          </cell>
          <cell r="I365">
            <v>28.501694367485467</v>
          </cell>
          <cell r="J365">
            <v>28.501694367485467</v>
          </cell>
        </row>
        <row r="366">
          <cell r="A366" t="str">
            <v>Pil- og poppeldyrkning</v>
          </cell>
          <cell r="B366" t="str">
            <v>Konventionel</v>
          </cell>
          <cell r="C366" t="str">
            <v>JB1-10</v>
          </cell>
          <cell r="D366" t="str">
            <v>Areal-pil-poppel</v>
          </cell>
          <cell r="E366" t="str">
            <v>Hektar</v>
          </cell>
          <cell r="F366" t="str">
            <v>Pil &amp; poppel</v>
          </cell>
          <cell r="G366" t="str">
            <v>Ton</v>
          </cell>
          <cell r="H366">
            <v>24.390243902439025</v>
          </cell>
          <cell r="I366">
            <v>24.390243902439025</v>
          </cell>
          <cell r="J366">
            <v>24.390243902439025</v>
          </cell>
        </row>
        <row r="367">
          <cell r="A367" t="str">
            <v>Pil- og poppeldyrkning</v>
          </cell>
          <cell r="B367" t="str">
            <v>Konventionel</v>
          </cell>
          <cell r="C367" t="str">
            <v>JB1-10</v>
          </cell>
          <cell r="D367" t="str">
            <v>Areal-pil-poppel</v>
          </cell>
          <cell r="E367" t="str">
            <v>Hektar</v>
          </cell>
          <cell r="F367" t="str">
            <v>Gødning</v>
          </cell>
          <cell r="G367" t="str">
            <v>kg N</v>
          </cell>
          <cell r="H367">
            <v>-120</v>
          </cell>
          <cell r="I367">
            <v>-120</v>
          </cell>
          <cell r="J367">
            <v>-120</v>
          </cell>
        </row>
        <row r="368">
          <cell r="A368" t="str">
            <v>Pil- og poppeldyrkning</v>
          </cell>
          <cell r="B368" t="str">
            <v>Konventionel</v>
          </cell>
          <cell r="C368" t="str">
            <v>JB1-10</v>
          </cell>
          <cell r="D368" t="str">
            <v>Areal-pil-poppel</v>
          </cell>
          <cell r="E368" t="str">
            <v>Hektar</v>
          </cell>
          <cell r="F368" t="str">
            <v>CO2 - atmosfære</v>
          </cell>
          <cell r="G368" t="str">
            <v>t CO2-ækvivalenter</v>
          </cell>
          <cell r="H368">
            <v>1.9656943674854606</v>
          </cell>
          <cell r="I368">
            <v>1.9656943674854606</v>
          </cell>
          <cell r="J368">
            <v>1.9656943674854606</v>
          </cell>
        </row>
        <row r="369">
          <cell r="A369" t="str">
            <v>Pil- og poppeldyrkning</v>
          </cell>
          <cell r="B369" t="str">
            <v>Konventionel</v>
          </cell>
          <cell r="C369" t="str">
            <v>OC6</v>
          </cell>
          <cell r="D369" t="str">
            <v>Areal-pil-poppel</v>
          </cell>
          <cell r="E369" t="str">
            <v>Hektar</v>
          </cell>
          <cell r="F369" t="str">
            <v>Pil &amp; poppel</v>
          </cell>
          <cell r="G369" t="str">
            <v>Ton</v>
          </cell>
          <cell r="H369">
            <v>29.268292682926827</v>
          </cell>
          <cell r="I369">
            <v>29.268292682926827</v>
          </cell>
          <cell r="J369">
            <v>29.268292682926827</v>
          </cell>
        </row>
        <row r="370">
          <cell r="A370" t="str">
            <v>Pil- og poppeldyrkning</v>
          </cell>
          <cell r="B370" t="str">
            <v>Konventionel</v>
          </cell>
          <cell r="C370" t="str">
            <v>OC6</v>
          </cell>
          <cell r="D370" t="str">
            <v>Areal-pil-poppel</v>
          </cell>
          <cell r="E370" t="str">
            <v>Hektar</v>
          </cell>
          <cell r="F370" t="str">
            <v>Gødning</v>
          </cell>
          <cell r="G370" t="str">
            <v>kg N</v>
          </cell>
          <cell r="H370">
            <v>-120</v>
          </cell>
          <cell r="I370">
            <v>-120</v>
          </cell>
          <cell r="J370">
            <v>-120</v>
          </cell>
        </row>
        <row r="371">
          <cell r="A371" t="str">
            <v>Pil- og poppeldyrkning</v>
          </cell>
          <cell r="B371" t="str">
            <v>Konventionel</v>
          </cell>
          <cell r="C371" t="str">
            <v>OC6</v>
          </cell>
          <cell r="D371" t="str">
            <v>Areal-pil-poppel</v>
          </cell>
          <cell r="E371" t="str">
            <v>Hektar</v>
          </cell>
          <cell r="F371" t="str">
            <v>CO2 - atmosfære</v>
          </cell>
          <cell r="G371" t="str">
            <v>t CO2-ækvivalenter</v>
          </cell>
          <cell r="H371">
            <v>10.661694367485461</v>
          </cell>
          <cell r="I371">
            <v>10.661694367485461</v>
          </cell>
          <cell r="J371">
            <v>10.661694367485461</v>
          </cell>
        </row>
        <row r="372">
          <cell r="A372" t="str">
            <v>Pil- og poppeldyrkning</v>
          </cell>
          <cell r="B372" t="str">
            <v>Konventionel</v>
          </cell>
          <cell r="C372" t="str">
            <v>OC12</v>
          </cell>
          <cell r="D372" t="str">
            <v>Areal-pil-poppel</v>
          </cell>
          <cell r="E372" t="str">
            <v>Hektar</v>
          </cell>
          <cell r="F372" t="str">
            <v>Pil &amp; poppel</v>
          </cell>
          <cell r="G372" t="str">
            <v>Ton</v>
          </cell>
          <cell r="H372">
            <v>34.146341463414629</v>
          </cell>
          <cell r="I372">
            <v>34.146341463414629</v>
          </cell>
          <cell r="J372">
            <v>34.146341463414629</v>
          </cell>
        </row>
        <row r="373">
          <cell r="A373" t="str">
            <v>Pil- og poppeldyrkning</v>
          </cell>
          <cell r="B373" t="str">
            <v>Konventionel</v>
          </cell>
          <cell r="C373" t="str">
            <v>OC12</v>
          </cell>
          <cell r="D373" t="str">
            <v>Areal-pil-poppel</v>
          </cell>
          <cell r="E373" t="str">
            <v>Hektar</v>
          </cell>
          <cell r="F373" t="str">
            <v>Gødning</v>
          </cell>
          <cell r="G373" t="str">
            <v>kg N</v>
          </cell>
          <cell r="H373">
            <v>-120</v>
          </cell>
          <cell r="I373">
            <v>-120</v>
          </cell>
          <cell r="J373">
            <v>-120</v>
          </cell>
        </row>
        <row r="374">
          <cell r="A374" t="str">
            <v>Pil- og poppeldyrkning</v>
          </cell>
          <cell r="B374" t="str">
            <v>Konventionel</v>
          </cell>
          <cell r="C374" t="str">
            <v>OC12</v>
          </cell>
          <cell r="D374" t="str">
            <v>Areal-pil-poppel</v>
          </cell>
          <cell r="E374" t="str">
            <v>Hektar</v>
          </cell>
          <cell r="F374" t="str">
            <v>CO2 - atmosfære</v>
          </cell>
          <cell r="G374" t="str">
            <v>t CO2-ækvivalenter</v>
          </cell>
          <cell r="H374">
            <v>28.501694367485467</v>
          </cell>
          <cell r="I374">
            <v>28.501694367485467</v>
          </cell>
          <cell r="J374">
            <v>28.501694367485467</v>
          </cell>
        </row>
        <row r="375">
          <cell r="A375" t="str">
            <v>Pil- og poppeldyrkning</v>
          </cell>
          <cell r="B375" t="str">
            <v>Økologisk</v>
          </cell>
          <cell r="C375" t="str">
            <v>JB1-10</v>
          </cell>
          <cell r="D375" t="str">
            <v>Areal-pil-poppel</v>
          </cell>
          <cell r="E375" t="str">
            <v>Hektar</v>
          </cell>
          <cell r="F375" t="str">
            <v>Pil &amp; poppel</v>
          </cell>
          <cell r="G375" t="str">
            <v>Ton</v>
          </cell>
          <cell r="H375">
            <v>13.902439024390242</v>
          </cell>
          <cell r="I375">
            <v>13.902439024390242</v>
          </cell>
          <cell r="J375">
            <v>13.902439024390242</v>
          </cell>
        </row>
        <row r="376">
          <cell r="A376" t="str">
            <v>Pil- og poppeldyrkning</v>
          </cell>
          <cell r="B376" t="str">
            <v>Økologisk</v>
          </cell>
          <cell r="C376" t="str">
            <v>JB1-10</v>
          </cell>
          <cell r="D376" t="str">
            <v>Areal-pil-poppel</v>
          </cell>
          <cell r="E376" t="str">
            <v>Hektar</v>
          </cell>
          <cell r="F376" t="str">
            <v>Gødning</v>
          </cell>
          <cell r="G376" t="str">
            <v>kg N</v>
          </cell>
          <cell r="H376">
            <v>-68.399999999999991</v>
          </cell>
          <cell r="I376">
            <v>-68.399999999999991</v>
          </cell>
          <cell r="J376">
            <v>-68.399999999999991</v>
          </cell>
        </row>
        <row r="377">
          <cell r="A377" t="str">
            <v>Pil- og poppeldyrkning</v>
          </cell>
          <cell r="B377" t="str">
            <v>Økologisk</v>
          </cell>
          <cell r="C377" t="str">
            <v>JB1-10</v>
          </cell>
          <cell r="D377" t="str">
            <v>Areal-pil-poppel</v>
          </cell>
          <cell r="E377" t="str">
            <v>Hektar</v>
          </cell>
          <cell r="F377" t="str">
            <v>CO2 - atmosfære</v>
          </cell>
          <cell r="G377" t="str">
            <v>t CO2-ækvivalenter</v>
          </cell>
          <cell r="H377">
            <v>1.9656943674854606</v>
          </cell>
          <cell r="I377">
            <v>1.9656943674854606</v>
          </cell>
          <cell r="J377">
            <v>1.9656943674854606</v>
          </cell>
        </row>
        <row r="378">
          <cell r="A378" t="str">
            <v>Pil- og poppeldyrkning</v>
          </cell>
          <cell r="B378" t="str">
            <v>Økologisk</v>
          </cell>
          <cell r="C378" t="str">
            <v>OC6</v>
          </cell>
          <cell r="D378" t="str">
            <v>Areal-pil-poppel</v>
          </cell>
          <cell r="E378" t="str">
            <v>Hektar</v>
          </cell>
          <cell r="F378" t="str">
            <v>Pil &amp; poppel</v>
          </cell>
          <cell r="G378" t="str">
            <v>Ton</v>
          </cell>
          <cell r="H378">
            <v>16.68292682926829</v>
          </cell>
          <cell r="I378">
            <v>16.68292682926829</v>
          </cell>
          <cell r="J378">
            <v>16.68292682926829</v>
          </cell>
        </row>
        <row r="379">
          <cell r="A379" t="str">
            <v>Pil- og poppeldyrkning</v>
          </cell>
          <cell r="B379" t="str">
            <v>Økologisk</v>
          </cell>
          <cell r="C379" t="str">
            <v>OC6</v>
          </cell>
          <cell r="D379" t="str">
            <v>Areal-pil-poppel</v>
          </cell>
          <cell r="E379" t="str">
            <v>Hektar</v>
          </cell>
          <cell r="F379" t="str">
            <v>Gødning</v>
          </cell>
          <cell r="G379" t="str">
            <v>kg N</v>
          </cell>
          <cell r="H379">
            <v>-68.399999999999991</v>
          </cell>
          <cell r="I379">
            <v>-68.399999999999991</v>
          </cell>
          <cell r="J379">
            <v>-68.399999999999991</v>
          </cell>
        </row>
        <row r="380">
          <cell r="A380" t="str">
            <v>Pil- og poppeldyrkning</v>
          </cell>
          <cell r="B380" t="str">
            <v>Økologisk</v>
          </cell>
          <cell r="C380" t="str">
            <v>OC6</v>
          </cell>
          <cell r="D380" t="str">
            <v>Areal-pil-poppel</v>
          </cell>
          <cell r="E380" t="str">
            <v>Hektar</v>
          </cell>
          <cell r="F380" t="str">
            <v>CO2 - atmosfære</v>
          </cell>
          <cell r="G380" t="str">
            <v>t CO2-ækvivalenter</v>
          </cell>
          <cell r="H380">
            <v>10.661694367485461</v>
          </cell>
          <cell r="I380">
            <v>10.661694367485461</v>
          </cell>
          <cell r="J380">
            <v>10.661694367485461</v>
          </cell>
        </row>
        <row r="381">
          <cell r="A381" t="str">
            <v>Pil- og poppeldyrkning</v>
          </cell>
          <cell r="B381" t="str">
            <v>Økologisk</v>
          </cell>
          <cell r="C381" t="str">
            <v>OC12</v>
          </cell>
          <cell r="D381" t="str">
            <v>Areal-pil-poppel</v>
          </cell>
          <cell r="E381" t="str">
            <v>Hektar</v>
          </cell>
          <cell r="F381" t="str">
            <v>Pil &amp; poppel</v>
          </cell>
          <cell r="G381" t="str">
            <v>Ton</v>
          </cell>
          <cell r="H381">
            <v>19.463414634146336</v>
          </cell>
          <cell r="I381">
            <v>19.463414634146336</v>
          </cell>
          <cell r="J381">
            <v>19.463414634146336</v>
          </cell>
        </row>
        <row r="382">
          <cell r="A382" t="str">
            <v>Pil- og poppeldyrkning</v>
          </cell>
          <cell r="B382" t="str">
            <v>Økologisk</v>
          </cell>
          <cell r="C382" t="str">
            <v>OC12</v>
          </cell>
          <cell r="D382" t="str">
            <v>Areal-pil-poppel</v>
          </cell>
          <cell r="E382" t="str">
            <v>Hektar</v>
          </cell>
          <cell r="F382" t="str">
            <v>Gødning</v>
          </cell>
          <cell r="G382" t="str">
            <v>kg N</v>
          </cell>
          <cell r="H382">
            <v>-68.399999999999991</v>
          </cell>
          <cell r="I382">
            <v>-68.399999999999991</v>
          </cell>
          <cell r="J382">
            <v>-68.399999999999991</v>
          </cell>
        </row>
        <row r="383">
          <cell r="A383" t="str">
            <v>Pil- og poppeldyrkning</v>
          </cell>
          <cell r="B383" t="str">
            <v>Økologisk</v>
          </cell>
          <cell r="C383" t="str">
            <v>OC12</v>
          </cell>
          <cell r="D383" t="str">
            <v>Areal-pil-poppel</v>
          </cell>
          <cell r="E383" t="str">
            <v>Hektar</v>
          </cell>
          <cell r="F383" t="str">
            <v>CO2 - atmosfære</v>
          </cell>
          <cell r="G383" t="str">
            <v>t CO2-ækvivalenter</v>
          </cell>
          <cell r="H383">
            <v>28.501694367485467</v>
          </cell>
          <cell r="I383">
            <v>28.501694367485467</v>
          </cell>
          <cell r="J383">
            <v>28.501694367485467</v>
          </cell>
        </row>
        <row r="384">
          <cell r="A384" t="str">
            <v>Permanent græs</v>
          </cell>
          <cell r="B384" t="str">
            <v>Konventionel</v>
          </cell>
          <cell r="C384" t="str">
            <v>JB1-10</v>
          </cell>
          <cell r="D384" t="str">
            <v>Areal-permanent græs</v>
          </cell>
          <cell r="E384" t="str">
            <v>Hektar</v>
          </cell>
          <cell r="F384" t="str">
            <v>Græs</v>
          </cell>
          <cell r="G384" t="str">
            <v>Ton</v>
          </cell>
          <cell r="H384">
            <v>13.790000000000001</v>
          </cell>
          <cell r="I384">
            <v>13.790000000000001</v>
          </cell>
          <cell r="J384">
            <v>13.790000000000001</v>
          </cell>
        </row>
        <row r="385">
          <cell r="A385" t="str">
            <v>Permanent græs</v>
          </cell>
          <cell r="B385" t="str">
            <v>Konventionel</v>
          </cell>
          <cell r="C385" t="str">
            <v>JB1-10</v>
          </cell>
          <cell r="D385" t="str">
            <v>Areal-permanent græs</v>
          </cell>
          <cell r="E385" t="str">
            <v>Hektar</v>
          </cell>
          <cell r="F385" t="str">
            <v>Gødning</v>
          </cell>
          <cell r="G385" t="str">
            <v>kg N</v>
          </cell>
          <cell r="H385">
            <v>-50</v>
          </cell>
          <cell r="I385">
            <v>-50</v>
          </cell>
          <cell r="J385">
            <v>-50</v>
          </cell>
        </row>
        <row r="386">
          <cell r="A386" t="str">
            <v>Permanent græs</v>
          </cell>
          <cell r="B386" t="str">
            <v>Konventionel</v>
          </cell>
          <cell r="C386" t="str">
            <v>JB1-10</v>
          </cell>
          <cell r="D386" t="str">
            <v>Areal-permanent græs</v>
          </cell>
          <cell r="E386" t="str">
            <v>Hektar</v>
          </cell>
          <cell r="F386" t="str">
            <v>CO2 - atmosfære</v>
          </cell>
          <cell r="G386" t="str">
            <v>t CO2-ækvivalenter</v>
          </cell>
          <cell r="H386">
            <v>1.9656943674854606</v>
          </cell>
          <cell r="I386">
            <v>1.9656943674854606</v>
          </cell>
          <cell r="J386">
            <v>1.9656943674854606</v>
          </cell>
        </row>
        <row r="387">
          <cell r="A387" t="str">
            <v>Permanent græs</v>
          </cell>
          <cell r="B387" t="str">
            <v>Konventionel</v>
          </cell>
          <cell r="C387" t="str">
            <v>OC6</v>
          </cell>
          <cell r="D387" t="str">
            <v>Areal-permanent græs</v>
          </cell>
          <cell r="E387" t="str">
            <v>Hektar</v>
          </cell>
          <cell r="F387" t="str">
            <v>Græs</v>
          </cell>
          <cell r="G387" t="str">
            <v>Ton</v>
          </cell>
          <cell r="H387">
            <v>16.548000000000002</v>
          </cell>
          <cell r="I387">
            <v>16.548000000000002</v>
          </cell>
          <cell r="J387">
            <v>16.548000000000002</v>
          </cell>
        </row>
        <row r="388">
          <cell r="A388" t="str">
            <v>Permanent græs</v>
          </cell>
          <cell r="B388" t="str">
            <v>Konventionel</v>
          </cell>
          <cell r="C388" t="str">
            <v>OC6</v>
          </cell>
          <cell r="D388" t="str">
            <v>Areal-permanent græs</v>
          </cell>
          <cell r="E388" t="str">
            <v>Hektar</v>
          </cell>
          <cell r="F388" t="str">
            <v>Gødning</v>
          </cell>
          <cell r="G388" t="str">
            <v>kg N</v>
          </cell>
          <cell r="H388">
            <v>-50</v>
          </cell>
          <cell r="I388">
            <v>-50</v>
          </cell>
          <cell r="J388">
            <v>-50</v>
          </cell>
        </row>
        <row r="389">
          <cell r="A389" t="str">
            <v>Permanent græs</v>
          </cell>
          <cell r="B389" t="str">
            <v>Konventionel</v>
          </cell>
          <cell r="C389" t="str">
            <v>OC6</v>
          </cell>
          <cell r="D389" t="str">
            <v>Areal-permanent græs</v>
          </cell>
          <cell r="E389" t="str">
            <v>Hektar</v>
          </cell>
          <cell r="F389" t="str">
            <v>CO2 - atmosfære</v>
          </cell>
          <cell r="G389" t="str">
            <v>t CO2-ækvivalenter</v>
          </cell>
          <cell r="H389">
            <v>10.661694367485461</v>
          </cell>
          <cell r="I389">
            <v>10.661694367485461</v>
          </cell>
          <cell r="J389">
            <v>10.661694367485461</v>
          </cell>
        </row>
        <row r="390">
          <cell r="A390" t="str">
            <v>Permanent græs</v>
          </cell>
          <cell r="B390" t="str">
            <v>Konventionel</v>
          </cell>
          <cell r="C390" t="str">
            <v>OC12</v>
          </cell>
          <cell r="D390" t="str">
            <v>Areal-permanent græs</v>
          </cell>
          <cell r="E390" t="str">
            <v>Hektar</v>
          </cell>
          <cell r="F390" t="str">
            <v>Græs</v>
          </cell>
          <cell r="G390" t="str">
            <v>Ton</v>
          </cell>
          <cell r="H390">
            <v>19.306000000000001</v>
          </cell>
          <cell r="I390">
            <v>19.306000000000001</v>
          </cell>
          <cell r="J390">
            <v>19.306000000000001</v>
          </cell>
        </row>
        <row r="391">
          <cell r="A391" t="str">
            <v>Permanent græs</v>
          </cell>
          <cell r="B391" t="str">
            <v>Konventionel</v>
          </cell>
          <cell r="C391" t="str">
            <v>OC12</v>
          </cell>
          <cell r="D391" t="str">
            <v>Areal-permanent græs</v>
          </cell>
          <cell r="E391" t="str">
            <v>Hektar</v>
          </cell>
          <cell r="F391" t="str">
            <v>Gødning</v>
          </cell>
          <cell r="G391" t="str">
            <v>kg N</v>
          </cell>
          <cell r="H391">
            <v>-50</v>
          </cell>
          <cell r="I391">
            <v>-50</v>
          </cell>
          <cell r="J391">
            <v>-50</v>
          </cell>
        </row>
        <row r="392">
          <cell r="A392" t="str">
            <v>Permanent græs</v>
          </cell>
          <cell r="B392" t="str">
            <v>Konventionel</v>
          </cell>
          <cell r="C392" t="str">
            <v>OC12</v>
          </cell>
          <cell r="D392" t="str">
            <v>Areal-permanent græs</v>
          </cell>
          <cell r="E392" t="str">
            <v>Hektar</v>
          </cell>
          <cell r="F392" t="str">
            <v>CO2 - atmosfære</v>
          </cell>
          <cell r="G392" t="str">
            <v>t CO2-ækvivalenter</v>
          </cell>
          <cell r="H392">
            <v>28.501694367485467</v>
          </cell>
          <cell r="I392">
            <v>28.501694367485467</v>
          </cell>
          <cell r="J392">
            <v>28.501694367485467</v>
          </cell>
        </row>
        <row r="393">
          <cell r="A393" t="str">
            <v>Permanent græs</v>
          </cell>
          <cell r="B393" t="str">
            <v>Økologisk</v>
          </cell>
          <cell r="C393" t="str">
            <v>JB1-10</v>
          </cell>
          <cell r="D393" t="str">
            <v>Areal-permanent græs</v>
          </cell>
          <cell r="E393" t="str">
            <v>Hektar</v>
          </cell>
          <cell r="F393" t="str">
            <v>Græs</v>
          </cell>
          <cell r="G393" t="str">
            <v>Ton</v>
          </cell>
          <cell r="H393">
            <v>13.790000000000001</v>
          </cell>
          <cell r="I393">
            <v>13.790000000000001</v>
          </cell>
          <cell r="J393">
            <v>13.790000000000001</v>
          </cell>
        </row>
        <row r="394">
          <cell r="A394" t="str">
            <v>Permanent græs</v>
          </cell>
          <cell r="B394" t="str">
            <v>Økologisk</v>
          </cell>
          <cell r="C394" t="str">
            <v>JB1-10</v>
          </cell>
          <cell r="D394" t="str">
            <v>Areal-permanent græs</v>
          </cell>
          <cell r="E394" t="str">
            <v>Hektar</v>
          </cell>
          <cell r="F394" t="str">
            <v>Gødning</v>
          </cell>
          <cell r="G394" t="str">
            <v>kg N</v>
          </cell>
          <cell r="H394">
            <v>-50</v>
          </cell>
          <cell r="I394">
            <v>-50</v>
          </cell>
          <cell r="J394">
            <v>-50</v>
          </cell>
        </row>
        <row r="395">
          <cell r="A395" t="str">
            <v>Permanent græs</v>
          </cell>
          <cell r="B395" t="str">
            <v>Økologisk</v>
          </cell>
          <cell r="C395" t="str">
            <v>JB1-10</v>
          </cell>
          <cell r="D395" t="str">
            <v>Areal-permanent græs</v>
          </cell>
          <cell r="E395" t="str">
            <v>Hektar</v>
          </cell>
          <cell r="F395" t="str">
            <v>CO2 - atmosfære</v>
          </cell>
          <cell r="G395" t="str">
            <v>t CO2-ækvivalenter</v>
          </cell>
          <cell r="H395">
            <v>1.9656943674854606</v>
          </cell>
          <cell r="I395">
            <v>1.9656943674854606</v>
          </cell>
          <cell r="J395">
            <v>1.9656943674854606</v>
          </cell>
        </row>
        <row r="396">
          <cell r="A396" t="str">
            <v>Permanent græs</v>
          </cell>
          <cell r="B396" t="str">
            <v>Økologisk</v>
          </cell>
          <cell r="C396" t="str">
            <v>OC6</v>
          </cell>
          <cell r="D396" t="str">
            <v>Areal-permanent græs</v>
          </cell>
          <cell r="E396" t="str">
            <v>Hektar</v>
          </cell>
          <cell r="F396" t="str">
            <v>Græs</v>
          </cell>
          <cell r="G396" t="str">
            <v>Ton</v>
          </cell>
          <cell r="H396">
            <v>16.548000000000002</v>
          </cell>
          <cell r="I396">
            <v>16.548000000000002</v>
          </cell>
          <cell r="J396">
            <v>16.548000000000002</v>
          </cell>
        </row>
        <row r="397">
          <cell r="A397" t="str">
            <v>Permanent græs</v>
          </cell>
          <cell r="B397" t="str">
            <v>Økologisk</v>
          </cell>
          <cell r="C397" t="str">
            <v>OC6</v>
          </cell>
          <cell r="D397" t="str">
            <v>Areal-permanent græs</v>
          </cell>
          <cell r="E397" t="str">
            <v>Hektar</v>
          </cell>
          <cell r="F397" t="str">
            <v>Gødning</v>
          </cell>
          <cell r="G397" t="str">
            <v>kg N</v>
          </cell>
          <cell r="H397">
            <v>-50</v>
          </cell>
          <cell r="I397">
            <v>-50</v>
          </cell>
          <cell r="J397">
            <v>-50</v>
          </cell>
        </row>
        <row r="398">
          <cell r="A398" t="str">
            <v>Permanent græs</v>
          </cell>
          <cell r="B398" t="str">
            <v>Økologisk</v>
          </cell>
          <cell r="C398" t="str">
            <v>OC6</v>
          </cell>
          <cell r="D398" t="str">
            <v>Areal-permanent græs</v>
          </cell>
          <cell r="E398" t="str">
            <v>Hektar</v>
          </cell>
          <cell r="F398" t="str">
            <v>CO2 - atmosfære</v>
          </cell>
          <cell r="G398" t="str">
            <v>t CO2-ækvivalenter</v>
          </cell>
          <cell r="H398">
            <v>10.661694367485461</v>
          </cell>
          <cell r="I398">
            <v>10.661694367485461</v>
          </cell>
          <cell r="J398">
            <v>10.661694367485461</v>
          </cell>
        </row>
        <row r="399">
          <cell r="A399" t="str">
            <v>Permanent græs</v>
          </cell>
          <cell r="B399" t="str">
            <v>Økologisk</v>
          </cell>
          <cell r="C399" t="str">
            <v>OC12</v>
          </cell>
          <cell r="D399" t="str">
            <v>Areal-permanent græs</v>
          </cell>
          <cell r="E399" t="str">
            <v>Hektar</v>
          </cell>
          <cell r="F399" t="str">
            <v>Græs</v>
          </cell>
          <cell r="G399" t="str">
            <v>Ton</v>
          </cell>
          <cell r="H399">
            <v>19.306000000000001</v>
          </cell>
          <cell r="I399">
            <v>19.306000000000001</v>
          </cell>
          <cell r="J399">
            <v>19.306000000000001</v>
          </cell>
        </row>
        <row r="400">
          <cell r="A400" t="str">
            <v>Permanent græs</v>
          </cell>
          <cell r="B400" t="str">
            <v>Økologisk</v>
          </cell>
          <cell r="C400" t="str">
            <v>OC12</v>
          </cell>
          <cell r="D400" t="str">
            <v>Areal-permanent græs</v>
          </cell>
          <cell r="E400" t="str">
            <v>Hektar</v>
          </cell>
          <cell r="F400" t="str">
            <v>Gødning</v>
          </cell>
          <cell r="G400" t="str">
            <v>kg N</v>
          </cell>
          <cell r="H400">
            <v>-50</v>
          </cell>
          <cell r="I400">
            <v>-50</v>
          </cell>
          <cell r="J400">
            <v>-50</v>
          </cell>
        </row>
        <row r="401">
          <cell r="A401" t="str">
            <v>Permanent græs</v>
          </cell>
          <cell r="B401" t="str">
            <v>Økologisk</v>
          </cell>
          <cell r="C401" t="str">
            <v>OC12</v>
          </cell>
          <cell r="D401" t="str">
            <v>Areal-permanent græs</v>
          </cell>
          <cell r="E401" t="str">
            <v>Hektar</v>
          </cell>
          <cell r="F401" t="str">
            <v>CO2 - atmosfære</v>
          </cell>
          <cell r="G401" t="str">
            <v>t CO2-ækvivalenter</v>
          </cell>
          <cell r="H401">
            <v>28.501694367485467</v>
          </cell>
          <cell r="I401">
            <v>28.501694367485467</v>
          </cell>
          <cell r="J401">
            <v>28.501694367485467</v>
          </cell>
        </row>
        <row r="402">
          <cell r="A402" t="str">
            <v>Tømmerproduktion</v>
          </cell>
          <cell r="D402" t="str">
            <v>Træer</v>
          </cell>
          <cell r="E402" t="str">
            <v>m3</v>
          </cell>
          <cell r="F402" t="str">
            <v>Træmaterialer</v>
          </cell>
          <cell r="G402" t="str">
            <v>m3</v>
          </cell>
          <cell r="H402">
            <v>0.48</v>
          </cell>
          <cell r="I402">
            <v>0.48</v>
          </cell>
          <cell r="J402">
            <v>0.48</v>
          </cell>
        </row>
        <row r="403">
          <cell r="A403" t="str">
            <v>Tømmerproduktion</v>
          </cell>
          <cell r="D403" t="str">
            <v>Træer</v>
          </cell>
          <cell r="E403" t="str">
            <v>m3</v>
          </cell>
          <cell r="F403" t="str">
            <v>Træ til energi</v>
          </cell>
          <cell r="G403" t="str">
            <v>m3</v>
          </cell>
          <cell r="H403">
            <v>0.52</v>
          </cell>
          <cell r="I403">
            <v>0.52</v>
          </cell>
          <cell r="J403">
            <v>0.52</v>
          </cell>
        </row>
        <row r="404">
          <cell r="A404" t="str">
            <v>Mejeri</v>
          </cell>
          <cell r="D404" t="str">
            <v>Råmælk</v>
          </cell>
          <cell r="E404" t="str">
            <v>Ton</v>
          </cell>
          <cell r="F404" t="str">
            <v>Mejeriprodukter</v>
          </cell>
          <cell r="G404" t="str">
            <v>Ton</v>
          </cell>
          <cell r="H404">
            <v>0.64217654203833741</v>
          </cell>
          <cell r="I404">
            <v>0.64217654203833741</v>
          </cell>
          <cell r="J404">
            <v>0.64217654203833741</v>
          </cell>
        </row>
        <row r="405">
          <cell r="A405" t="str">
            <v>Mejeri</v>
          </cell>
          <cell r="D405" t="str">
            <v>Råmælk</v>
          </cell>
          <cell r="E405" t="str">
            <v>Ton</v>
          </cell>
          <cell r="F405" t="str">
            <v>Spildevandsslam</v>
          </cell>
          <cell r="G405" t="str">
            <v>Ton</v>
          </cell>
          <cell r="H405">
            <v>2.5000000000000001E-2</v>
          </cell>
          <cell r="I405">
            <v>2.5000000000000001E-2</v>
          </cell>
          <cell r="J405">
            <v>2.5000000000000001E-2</v>
          </cell>
        </row>
        <row r="406">
          <cell r="A406" t="str">
            <v>Mejeri</v>
          </cell>
          <cell r="D406" t="str">
            <v>Råmælk</v>
          </cell>
          <cell r="E406" t="str">
            <v>Ton</v>
          </cell>
          <cell r="F406" t="str">
            <v>Industriaffald</v>
          </cell>
          <cell r="G406" t="str">
            <v>Ton</v>
          </cell>
          <cell r="H406">
            <v>3.2850000000000002E-3</v>
          </cell>
          <cell r="I406">
            <v>3.2850000000000002E-3</v>
          </cell>
          <cell r="J406">
            <v>3.2850000000000002E-3</v>
          </cell>
        </row>
        <row r="407">
          <cell r="A407" t="str">
            <v>Mejeri</v>
          </cell>
          <cell r="D407" t="str">
            <v>Råmælk</v>
          </cell>
          <cell r="E407" t="str">
            <v>Ton</v>
          </cell>
          <cell r="F407" t="str">
            <v>Mælk til foder</v>
          </cell>
          <cell r="G407" t="str">
            <v>Ton</v>
          </cell>
          <cell r="H407">
            <v>0.33282345796166263</v>
          </cell>
          <cell r="I407">
            <v>0.33282345796166263</v>
          </cell>
          <cell r="J407">
            <v>0.33282345796166263</v>
          </cell>
        </row>
        <row r="408">
          <cell r="A408" t="str">
            <v>Slagteri</v>
          </cell>
          <cell r="D408" t="str">
            <v>Slagtesvin</v>
          </cell>
          <cell r="E408" t="str">
            <v>Antal</v>
          </cell>
          <cell r="F408" t="str">
            <v>Svinekød</v>
          </cell>
          <cell r="G408" t="str">
            <v>Ton</v>
          </cell>
          <cell r="H408">
            <v>9.6453475702767494E-2</v>
          </cell>
          <cell r="I408">
            <v>9.6453475702767494E-2</v>
          </cell>
          <cell r="J408">
            <v>9.6453475702767494E-2</v>
          </cell>
        </row>
        <row r="409">
          <cell r="A409" t="str">
            <v>Slagteri</v>
          </cell>
          <cell r="D409" t="str">
            <v>Slagtesvin</v>
          </cell>
          <cell r="E409" t="str">
            <v>Antal</v>
          </cell>
          <cell r="F409" t="str">
            <v>Industriaffald</v>
          </cell>
          <cell r="G409" t="str">
            <v>Ton</v>
          </cell>
          <cell r="H409">
            <v>1.3691762911309652E-3</v>
          </cell>
          <cell r="I409">
            <v>1.8478971453475702E-3</v>
          </cell>
          <cell r="J409">
            <v>1.8478971453475702E-3</v>
          </cell>
        </row>
        <row r="410">
          <cell r="A410" t="str">
            <v>Slagteri</v>
          </cell>
          <cell r="D410" t="str">
            <v>Slagtesvin</v>
          </cell>
          <cell r="E410" t="str">
            <v>Antal</v>
          </cell>
          <cell r="F410" t="str">
            <v>Slagteriaffald til foder</v>
          </cell>
          <cell r="G410" t="str">
            <v>Ton</v>
          </cell>
          <cell r="H410">
            <v>8.602091959032469E-3</v>
          </cell>
          <cell r="I410">
            <v>8.602091959032469E-3</v>
          </cell>
          <cell r="J410">
            <v>8.602091959032469E-3</v>
          </cell>
        </row>
        <row r="411">
          <cell r="A411" t="str">
            <v>Slagteri</v>
          </cell>
          <cell r="D411" t="str">
            <v>Slagtesvin</v>
          </cell>
          <cell r="E411" t="str">
            <v>Antal</v>
          </cell>
          <cell r="F411" t="str">
            <v>Slagteriaffald til andet</v>
          </cell>
          <cell r="G411" t="str">
            <v>Ton</v>
          </cell>
          <cell r="H411">
            <v>8.4876879494443225E-3</v>
          </cell>
          <cell r="I411">
            <v>8.4876879494443225E-3</v>
          </cell>
          <cell r="J411">
            <v>8.4876879494443225E-3</v>
          </cell>
        </row>
        <row r="412">
          <cell r="A412" t="str">
            <v>Slagteri</v>
          </cell>
          <cell r="D412" t="str">
            <v>Slagtekøer</v>
          </cell>
          <cell r="E412" t="str">
            <v>Antal</v>
          </cell>
          <cell r="F412" t="str">
            <v>Oksekød</v>
          </cell>
          <cell r="G412" t="str">
            <v>Ton</v>
          </cell>
          <cell r="H412">
            <v>0.24929292929292929</v>
          </cell>
          <cell r="I412">
            <v>0.24929292929292929</v>
          </cell>
          <cell r="J412">
            <v>0.24929292929292929</v>
          </cell>
        </row>
        <row r="413">
          <cell r="A413" t="str">
            <v>Slagteri</v>
          </cell>
          <cell r="D413" t="str">
            <v>Slagtekøer</v>
          </cell>
          <cell r="E413" t="str">
            <v>Antal</v>
          </cell>
          <cell r="F413" t="str">
            <v>Industriaffald</v>
          </cell>
          <cell r="G413" t="str">
            <v>Ton</v>
          </cell>
          <cell r="H413">
            <v>0.10777272727272727</v>
          </cell>
          <cell r="I413">
            <v>0.12090909090909092</v>
          </cell>
          <cell r="J413">
            <v>0.12090909090909092</v>
          </cell>
        </row>
        <row r="414">
          <cell r="A414" t="str">
            <v>Slagteri</v>
          </cell>
          <cell r="D414" t="str">
            <v>Slagtekøer</v>
          </cell>
          <cell r="E414" t="str">
            <v>Antal</v>
          </cell>
          <cell r="F414" t="str">
            <v>Slagteriaffald til foder</v>
          </cell>
          <cell r="G414" t="str">
            <v>Ton</v>
          </cell>
          <cell r="H414">
            <v>1.5959595959595962E-2</v>
          </cell>
          <cell r="I414">
            <v>1.5959595959595962E-2</v>
          </cell>
          <cell r="J414">
            <v>1.5959595959595962E-2</v>
          </cell>
        </row>
        <row r="415">
          <cell r="A415" t="str">
            <v>Slagteri</v>
          </cell>
          <cell r="D415" t="str">
            <v>Slagtekøer</v>
          </cell>
          <cell r="E415" t="str">
            <v>Antal</v>
          </cell>
          <cell r="F415" t="str">
            <v>Slagteriaffald til andet</v>
          </cell>
          <cell r="G415" t="str">
            <v>Ton</v>
          </cell>
          <cell r="H415">
            <v>0.16404040404040401</v>
          </cell>
          <cell r="I415">
            <v>0.16404040404040401</v>
          </cell>
          <cell r="J415">
            <v>0.16404040404040401</v>
          </cell>
        </row>
        <row r="416">
          <cell r="A416" t="str">
            <v>Slagteri</v>
          </cell>
          <cell r="D416" t="str">
            <v>Slagtefjerkræ</v>
          </cell>
          <cell r="E416" t="str">
            <v>Antal</v>
          </cell>
          <cell r="F416" t="str">
            <v>Fjerkrækød</v>
          </cell>
          <cell r="G416" t="str">
            <v>Ton</v>
          </cell>
          <cell r="H416">
            <v>1.8872748768472907E-3</v>
          </cell>
          <cell r="I416">
            <v>1.8872748768472907E-3</v>
          </cell>
          <cell r="J416">
            <v>1.8872748768472907E-3</v>
          </cell>
        </row>
        <row r="417">
          <cell r="A417" t="str">
            <v>Slagteri</v>
          </cell>
          <cell r="D417" t="str">
            <v>Slagtefjerkræ</v>
          </cell>
          <cell r="E417" t="str">
            <v>Antal</v>
          </cell>
          <cell r="F417" t="str">
            <v>Industriaffald</v>
          </cell>
          <cell r="G417" t="str">
            <v>Ton</v>
          </cell>
          <cell r="H417">
            <v>5.1578009852216749E-6</v>
          </cell>
          <cell r="I417">
            <v>6.9611822660098529E-6</v>
          </cell>
          <cell r="J417">
            <v>6.9611822660098529E-6</v>
          </cell>
        </row>
        <row r="418">
          <cell r="A418" t="str">
            <v>Foderproduktion</v>
          </cell>
          <cell r="D418" t="str">
            <v>Korn</v>
          </cell>
          <cell r="E418" t="str">
            <v>Ton</v>
          </cell>
          <cell r="F418" t="str">
            <v>Foder</v>
          </cell>
          <cell r="G418" t="str">
            <v>FE</v>
          </cell>
          <cell r="H418">
            <v>899.89334145969838</v>
          </cell>
          <cell r="I418">
            <v>899.89334145969838</v>
          </cell>
          <cell r="J418">
            <v>899.89334145969838</v>
          </cell>
        </row>
        <row r="419">
          <cell r="A419" t="str">
            <v>Foderproduktion</v>
          </cell>
          <cell r="D419" t="str">
            <v>Halm</v>
          </cell>
          <cell r="E419" t="str">
            <v>Ton</v>
          </cell>
          <cell r="F419" t="str">
            <v>Foder</v>
          </cell>
          <cell r="G419" t="str">
            <v>FE</v>
          </cell>
          <cell r="H419">
            <v>190.03476245654693</v>
          </cell>
          <cell r="I419">
            <v>190.03476245654693</v>
          </cell>
          <cell r="J419">
            <v>190.03476245654693</v>
          </cell>
        </row>
        <row r="420">
          <cell r="A420" t="str">
            <v>Foderproduktion</v>
          </cell>
          <cell r="D420" t="str">
            <v>Kartofler</v>
          </cell>
          <cell r="E420" t="str">
            <v>Ton</v>
          </cell>
          <cell r="F420" t="str">
            <v>Foder</v>
          </cell>
          <cell r="G420" t="str">
            <v>FE</v>
          </cell>
          <cell r="H420">
            <v>250</v>
          </cell>
          <cell r="I420">
            <v>250</v>
          </cell>
          <cell r="J420">
            <v>250</v>
          </cell>
        </row>
        <row r="421">
          <cell r="A421" t="str">
            <v>Foderproduktion</v>
          </cell>
          <cell r="D421" t="str">
            <v>Bælgsæd</v>
          </cell>
          <cell r="E421" t="str">
            <v>Ton</v>
          </cell>
          <cell r="F421" t="str">
            <v>Foder</v>
          </cell>
          <cell r="G421" t="str">
            <v>FE</v>
          </cell>
          <cell r="H421">
            <v>1083.3333333333333</v>
          </cell>
          <cell r="I421">
            <v>1083.3333333333333</v>
          </cell>
          <cell r="J421">
            <v>1083.3333333333333</v>
          </cell>
        </row>
        <row r="422">
          <cell r="A422" t="str">
            <v>Foderproduktion</v>
          </cell>
          <cell r="D422" t="str">
            <v>Roer</v>
          </cell>
          <cell r="E422" t="str">
            <v>Ton</v>
          </cell>
          <cell r="F422" t="str">
            <v>Foder</v>
          </cell>
          <cell r="G422" t="str">
            <v>FE</v>
          </cell>
          <cell r="H422">
            <v>152.28966986155484</v>
          </cell>
          <cell r="I422">
            <v>152.28966986155484</v>
          </cell>
          <cell r="J422">
            <v>152.28966986155484</v>
          </cell>
        </row>
        <row r="423">
          <cell r="A423" t="str">
            <v>Foderproduktion</v>
          </cell>
          <cell r="D423" t="str">
            <v>Majs</v>
          </cell>
          <cell r="E423" t="str">
            <v>Ton</v>
          </cell>
          <cell r="F423" t="str">
            <v>Foder</v>
          </cell>
          <cell r="G423" t="str">
            <v>FE</v>
          </cell>
          <cell r="H423">
            <v>264.92478226444973</v>
          </cell>
          <cell r="I423">
            <v>264.92478226444973</v>
          </cell>
          <cell r="J423">
            <v>264.92478226444973</v>
          </cell>
        </row>
        <row r="424">
          <cell r="A424" t="str">
            <v>Foderproduktion</v>
          </cell>
          <cell r="D424" t="str">
            <v>Rapskage</v>
          </cell>
          <cell r="E424" t="str">
            <v>Ton</v>
          </cell>
          <cell r="F424" t="str">
            <v>Foder</v>
          </cell>
          <cell r="G424" t="str">
            <v>FE</v>
          </cell>
          <cell r="H424">
            <v>1008.3682008368201</v>
          </cell>
          <cell r="I424">
            <v>1008.3682008368201</v>
          </cell>
          <cell r="J424">
            <v>1008.3682008368201</v>
          </cell>
        </row>
        <row r="425">
          <cell r="A425" t="str">
            <v>Foderproduktion</v>
          </cell>
          <cell r="D425" t="str">
            <v>Tang</v>
          </cell>
          <cell r="E425" t="str">
            <v>Ton</v>
          </cell>
          <cell r="F425" t="str">
            <v>Foder</v>
          </cell>
          <cell r="G425" t="str">
            <v>FE</v>
          </cell>
          <cell r="H425">
            <v>1360</v>
          </cell>
          <cell r="I425">
            <v>1360</v>
          </cell>
          <cell r="J425">
            <v>1360</v>
          </cell>
        </row>
        <row r="426">
          <cell r="A426" t="str">
            <v>Foderproduktion</v>
          </cell>
          <cell r="D426" t="str">
            <v>Muslinger</v>
          </cell>
          <cell r="E426" t="str">
            <v>Ton</v>
          </cell>
          <cell r="F426" t="str">
            <v>Foder</v>
          </cell>
          <cell r="G426" t="str">
            <v>FE</v>
          </cell>
          <cell r="H426">
            <v>1410</v>
          </cell>
          <cell r="I426">
            <v>1410</v>
          </cell>
          <cell r="J426">
            <v>1410</v>
          </cell>
        </row>
        <row r="427">
          <cell r="A427" t="str">
            <v>Foderproduktion</v>
          </cell>
          <cell r="D427" t="str">
            <v>Græs</v>
          </cell>
          <cell r="E427" t="str">
            <v>Ton</v>
          </cell>
          <cell r="F427" t="str">
            <v>Foder</v>
          </cell>
          <cell r="G427" t="str">
            <v>FE</v>
          </cell>
          <cell r="H427">
            <v>166.31286143034919</v>
          </cell>
          <cell r="I427">
            <v>166.31286143034919</v>
          </cell>
          <cell r="J427">
            <v>166.31286143034919</v>
          </cell>
        </row>
        <row r="428">
          <cell r="A428" t="str">
            <v>Foderproduktion</v>
          </cell>
          <cell r="D428" t="str">
            <v>Mælk til foder</v>
          </cell>
          <cell r="E428" t="str">
            <v>Ton</v>
          </cell>
          <cell r="F428" t="str">
            <v>Foder</v>
          </cell>
          <cell r="G428" t="str">
            <v>FE</v>
          </cell>
          <cell r="H428">
            <v>96.335697399527191</v>
          </cell>
          <cell r="I428">
            <v>96.335697399527191</v>
          </cell>
          <cell r="J428">
            <v>96.335697399527191</v>
          </cell>
        </row>
        <row r="429">
          <cell r="A429" t="str">
            <v>Foderproduktion</v>
          </cell>
          <cell r="D429" t="str">
            <v>Fiberfraktion</v>
          </cell>
          <cell r="E429" t="str">
            <v>Ton</v>
          </cell>
          <cell r="F429" t="str">
            <v>Foder</v>
          </cell>
          <cell r="G429" t="str">
            <v>FE</v>
          </cell>
          <cell r="H429">
            <v>309.40000000000003</v>
          </cell>
          <cell r="I429">
            <v>309.40000000000003</v>
          </cell>
          <cell r="J429">
            <v>309.40000000000003</v>
          </cell>
        </row>
        <row r="430">
          <cell r="A430" t="str">
            <v>Foderproduktion</v>
          </cell>
          <cell r="D430" t="str">
            <v>Græsprotein</v>
          </cell>
          <cell r="E430" t="str">
            <v>Ton</v>
          </cell>
          <cell r="F430" t="str">
            <v>Foder</v>
          </cell>
          <cell r="G430" t="str">
            <v>FE</v>
          </cell>
          <cell r="H430">
            <v>2750</v>
          </cell>
          <cell r="I430">
            <v>2750</v>
          </cell>
          <cell r="J430">
            <v>2750</v>
          </cell>
        </row>
        <row r="431">
          <cell r="A431" t="str">
            <v>Foderproduktion</v>
          </cell>
          <cell r="D431" t="str">
            <v>Slagteriaffald til foder</v>
          </cell>
          <cell r="E431" t="str">
            <v>Ton</v>
          </cell>
          <cell r="F431" t="str">
            <v>Foder</v>
          </cell>
          <cell r="G431" t="str">
            <v>FE</v>
          </cell>
          <cell r="H431">
            <v>2750</v>
          </cell>
          <cell r="I431">
            <v>2750</v>
          </cell>
          <cell r="J431">
            <v>2750</v>
          </cell>
        </row>
        <row r="432">
          <cell r="A432" t="str">
            <v>Foderproduktion</v>
          </cell>
          <cell r="D432" t="str">
            <v>Import af foder</v>
          </cell>
          <cell r="E432" t="str">
            <v>Ton</v>
          </cell>
          <cell r="F432" t="str">
            <v>Foder</v>
          </cell>
          <cell r="G432" t="str">
            <v>FE</v>
          </cell>
          <cell r="H432">
            <v>743.22820037105748</v>
          </cell>
          <cell r="I432">
            <v>743.22820037105748</v>
          </cell>
          <cell r="J432">
            <v>743.22820037105748</v>
          </cell>
        </row>
        <row r="433">
          <cell r="A433" t="str">
            <v>Biogasanlæg</v>
          </cell>
          <cell r="D433" t="str">
            <v>Halm</v>
          </cell>
          <cell r="E433" t="str">
            <v>Ton</v>
          </cell>
          <cell r="F433" t="str">
            <v>Biogas</v>
          </cell>
          <cell r="G433" t="str">
            <v>Nm3 CH4</v>
          </cell>
          <cell r="H433">
            <v>160.6</v>
          </cell>
          <cell r="I433">
            <v>160.6</v>
          </cell>
          <cell r="J433">
            <v>160.6</v>
          </cell>
        </row>
        <row r="434">
          <cell r="A434" t="str">
            <v>Biogasanlæg</v>
          </cell>
          <cell r="D434" t="str">
            <v>Korn</v>
          </cell>
          <cell r="E434" t="str">
            <v>Ton</v>
          </cell>
          <cell r="F434" t="str">
            <v>Biogas</v>
          </cell>
          <cell r="G434" t="str">
            <v>Nm3 CH4</v>
          </cell>
          <cell r="H434">
            <v>95.4</v>
          </cell>
          <cell r="I434">
            <v>95.4</v>
          </cell>
          <cell r="J434">
            <v>95.4</v>
          </cell>
        </row>
        <row r="435">
          <cell r="A435" t="str">
            <v>Biogasanlæg</v>
          </cell>
          <cell r="D435" t="str">
            <v>Græs</v>
          </cell>
          <cell r="E435" t="str">
            <v>Ton</v>
          </cell>
          <cell r="F435" t="str">
            <v>Biogas</v>
          </cell>
          <cell r="G435" t="str">
            <v>Nm3 CH4</v>
          </cell>
          <cell r="H435">
            <v>51.25</v>
          </cell>
          <cell r="I435">
            <v>51.25</v>
          </cell>
          <cell r="J435">
            <v>51.25</v>
          </cell>
        </row>
        <row r="436">
          <cell r="A436" t="str">
            <v>Biogasanlæg</v>
          </cell>
          <cell r="D436" t="str">
            <v>Svinegylle</v>
          </cell>
          <cell r="E436" t="str">
            <v>Ton</v>
          </cell>
          <cell r="F436" t="str">
            <v>Biogas</v>
          </cell>
          <cell r="G436" t="str">
            <v>Nm3 CH4</v>
          </cell>
          <cell r="H436">
            <v>12</v>
          </cell>
          <cell r="I436">
            <v>12</v>
          </cell>
          <cell r="J436">
            <v>12</v>
          </cell>
        </row>
        <row r="437">
          <cell r="A437" t="str">
            <v>Biogasanlæg</v>
          </cell>
          <cell r="D437" t="str">
            <v>Svinegylle</v>
          </cell>
          <cell r="E437" t="str">
            <v>Ton</v>
          </cell>
          <cell r="F437" t="str">
            <v>CO2 - atmosfære</v>
          </cell>
          <cell r="G437" t="str">
            <v>t CO2-ækvivalenter</v>
          </cell>
          <cell r="H437">
            <v>-1.2727600045138086E-2</v>
          </cell>
          <cell r="I437">
            <v>-1.2727600045138086E-2</v>
          </cell>
          <cell r="J437">
            <v>-1.2727600045138086E-2</v>
          </cell>
        </row>
        <row r="438">
          <cell r="A438" t="str">
            <v>Biogasanlæg</v>
          </cell>
          <cell r="D438" t="str">
            <v>Kvæggylle</v>
          </cell>
          <cell r="E438" t="str">
            <v>Ton</v>
          </cell>
          <cell r="F438" t="str">
            <v>Biogas</v>
          </cell>
          <cell r="G438" t="str">
            <v>Nm3 CH4</v>
          </cell>
          <cell r="H438">
            <v>14.1</v>
          </cell>
          <cell r="I438">
            <v>14.1</v>
          </cell>
          <cell r="J438">
            <v>14.1</v>
          </cell>
        </row>
        <row r="439">
          <cell r="A439" t="str">
            <v>Biogasanlæg</v>
          </cell>
          <cell r="D439" t="str">
            <v>Kvæggylle</v>
          </cell>
          <cell r="E439" t="str">
            <v>Ton</v>
          </cell>
          <cell r="F439" t="str">
            <v>CO2 - atmosfære</v>
          </cell>
          <cell r="G439" t="str">
            <v>t CO2-ækvivalenter</v>
          </cell>
          <cell r="H439">
            <v>-2.942635474487016E-2</v>
          </cell>
          <cell r="I439">
            <v>-2.942635474487016E-2</v>
          </cell>
          <cell r="J439">
            <v>-2.942635474487016E-2</v>
          </cell>
        </row>
        <row r="440">
          <cell r="A440" t="str">
            <v>Biogasanlæg</v>
          </cell>
          <cell r="D440" t="str">
            <v>Fjerkrægylle</v>
          </cell>
          <cell r="E440" t="str">
            <v>Ton</v>
          </cell>
          <cell r="F440" t="str">
            <v>Biogas</v>
          </cell>
          <cell r="G440" t="str">
            <v>Nm3 CH4</v>
          </cell>
          <cell r="H440">
            <v>13.1</v>
          </cell>
          <cell r="I440">
            <v>13.1</v>
          </cell>
          <cell r="J440">
            <v>13.1</v>
          </cell>
        </row>
        <row r="441">
          <cell r="A441" t="str">
            <v>Biogasanlæg</v>
          </cell>
          <cell r="D441" t="str">
            <v>Dybstrøelse</v>
          </cell>
          <cell r="E441" t="str">
            <v>Ton</v>
          </cell>
          <cell r="F441" t="str">
            <v>Biogas</v>
          </cell>
          <cell r="G441" t="str">
            <v>Nm3 CH4</v>
          </cell>
          <cell r="H441">
            <v>60</v>
          </cell>
          <cell r="I441">
            <v>60</v>
          </cell>
          <cell r="J441">
            <v>60</v>
          </cell>
        </row>
        <row r="442">
          <cell r="A442" t="str">
            <v>Biogasanlæg</v>
          </cell>
          <cell r="D442" t="str">
            <v>Majs</v>
          </cell>
          <cell r="E442" t="str">
            <v>Ton</v>
          </cell>
          <cell r="F442" t="str">
            <v>Biogas</v>
          </cell>
          <cell r="G442" t="str">
            <v>Nm3 CH4</v>
          </cell>
          <cell r="H442">
            <v>100</v>
          </cell>
          <cell r="I442">
            <v>100</v>
          </cell>
          <cell r="J442">
            <v>100</v>
          </cell>
        </row>
        <row r="443">
          <cell r="A443" t="str">
            <v>Biogasanlæg</v>
          </cell>
          <cell r="D443" t="str">
            <v>Roer</v>
          </cell>
          <cell r="E443" t="str">
            <v>Ton</v>
          </cell>
          <cell r="F443" t="str">
            <v>Biogas</v>
          </cell>
          <cell r="G443" t="str">
            <v>Nm3 CH4</v>
          </cell>
          <cell r="H443">
            <v>75.599999999999994</v>
          </cell>
          <cell r="I443">
            <v>75.599999999999994</v>
          </cell>
          <cell r="J443">
            <v>75.599999999999994</v>
          </cell>
        </row>
        <row r="444">
          <cell r="A444" t="str">
            <v>Biogasanlæg</v>
          </cell>
          <cell r="D444" t="str">
            <v>Bioaffald</v>
          </cell>
          <cell r="E444" t="str">
            <v>Ton</v>
          </cell>
          <cell r="F444" t="str">
            <v>Biogas</v>
          </cell>
          <cell r="G444" t="str">
            <v>Nm3 CH4</v>
          </cell>
          <cell r="H444">
            <v>94.9</v>
          </cell>
          <cell r="I444">
            <v>94.9</v>
          </cell>
          <cell r="J444">
            <v>94.9</v>
          </cell>
        </row>
        <row r="445">
          <cell r="A445" t="str">
            <v>Biogasanlæg</v>
          </cell>
          <cell r="D445" t="str">
            <v>Industriaffald</v>
          </cell>
          <cell r="E445" t="str">
            <v>Ton</v>
          </cell>
          <cell r="F445" t="str">
            <v>Biogas</v>
          </cell>
          <cell r="G445" t="str">
            <v>Nm3 CH4</v>
          </cell>
          <cell r="H445">
            <v>120.7</v>
          </cell>
          <cell r="I445">
            <v>120.7</v>
          </cell>
          <cell r="J445">
            <v>120.7</v>
          </cell>
        </row>
        <row r="446">
          <cell r="A446" t="str">
            <v>Biogasanlæg</v>
          </cell>
          <cell r="D446" t="str">
            <v>Muslinger</v>
          </cell>
          <cell r="E446" t="str">
            <v>Ton</v>
          </cell>
          <cell r="F446" t="str">
            <v>Biogas</v>
          </cell>
          <cell r="G446" t="str">
            <v>Nm3 CH4</v>
          </cell>
          <cell r="H446">
            <v>25</v>
          </cell>
          <cell r="I446">
            <v>25</v>
          </cell>
          <cell r="J446">
            <v>25</v>
          </cell>
        </row>
        <row r="447">
          <cell r="A447" t="str">
            <v>Biogasanlæg</v>
          </cell>
          <cell r="D447" t="str">
            <v>Tang</v>
          </cell>
          <cell r="E447" t="str">
            <v>Ton</v>
          </cell>
          <cell r="F447" t="str">
            <v>Biogas</v>
          </cell>
          <cell r="G447" t="str">
            <v>Nm3 CH4</v>
          </cell>
          <cell r="H447">
            <v>25</v>
          </cell>
          <cell r="I447">
            <v>25</v>
          </cell>
          <cell r="J447">
            <v>25</v>
          </cell>
        </row>
        <row r="448">
          <cell r="A448" t="str">
            <v>Biogasanlæg</v>
          </cell>
          <cell r="D448" t="str">
            <v>Have/parkaffald</v>
          </cell>
          <cell r="E448" t="str">
            <v>Ton</v>
          </cell>
          <cell r="F448" t="str">
            <v>Biogas</v>
          </cell>
          <cell r="G448" t="str">
            <v>Nm3 CH4</v>
          </cell>
          <cell r="H448">
            <v>47.3</v>
          </cell>
          <cell r="I448">
            <v>47.3</v>
          </cell>
          <cell r="J448">
            <v>47.3</v>
          </cell>
        </row>
        <row r="449">
          <cell r="A449" t="str">
            <v>Biogasanlæg</v>
          </cell>
          <cell r="D449" t="str">
            <v>Brun saft</v>
          </cell>
          <cell r="E449" t="str">
            <v>PJ</v>
          </cell>
          <cell r="F449" t="str">
            <v>Biogas</v>
          </cell>
          <cell r="G449" t="str">
            <v>Nm3 CH4</v>
          </cell>
          <cell r="H449">
            <v>15.822453396634783</v>
          </cell>
          <cell r="I449">
            <v>15.822453396634783</v>
          </cell>
          <cell r="J449">
            <v>15.822453396634783</v>
          </cell>
        </row>
        <row r="450">
          <cell r="A450" t="str">
            <v>Biogasanlæg</v>
          </cell>
          <cell r="D450" t="str">
            <v>Glycerin</v>
          </cell>
          <cell r="E450" t="str">
            <v>Ton</v>
          </cell>
          <cell r="F450" t="str">
            <v>Biogas</v>
          </cell>
          <cell r="G450" t="str">
            <v>Nm3 CH4</v>
          </cell>
          <cell r="H450">
            <v>423.36</v>
          </cell>
          <cell r="I450">
            <v>423.36</v>
          </cell>
          <cell r="J450">
            <v>423.36</v>
          </cell>
        </row>
        <row r="451">
          <cell r="A451" t="str">
            <v>Biogasanlæg</v>
          </cell>
          <cell r="D451" t="str">
            <v>Spildevandsslam</v>
          </cell>
          <cell r="E451" t="str">
            <v>Ton</v>
          </cell>
          <cell r="F451" t="str">
            <v>Biogas</v>
          </cell>
          <cell r="G451" t="str">
            <v>Nm3 CH4</v>
          </cell>
          <cell r="H451">
            <v>13.9</v>
          </cell>
          <cell r="I451">
            <v>13.9</v>
          </cell>
          <cell r="J451">
            <v>13.9</v>
          </cell>
        </row>
        <row r="452">
          <cell r="A452" t="str">
            <v>Biogasanlæg</v>
          </cell>
          <cell r="D452" t="str">
            <v>Total til biogas</v>
          </cell>
          <cell r="E452" t="str">
            <v>Ton</v>
          </cell>
          <cell r="F452" t="str">
            <v>Biogasgylle</v>
          </cell>
          <cell r="G452" t="str">
            <v>Ton</v>
          </cell>
          <cell r="H452">
            <v>0.91930000000000001</v>
          </cell>
          <cell r="I452">
            <v>0.91930000000000001</v>
          </cell>
          <cell r="J452">
            <v>0.91930000000000001</v>
          </cell>
        </row>
        <row r="453">
          <cell r="A453" t="str">
            <v>Gødning</v>
          </cell>
          <cell r="D453" t="str">
            <v>Svinegylle</v>
          </cell>
          <cell r="E453" t="str">
            <v>Ton</v>
          </cell>
          <cell r="F453" t="str">
            <v>Gødning</v>
          </cell>
          <cell r="G453" t="str">
            <v>kg N</v>
          </cell>
          <cell r="H453">
            <v>5.3</v>
          </cell>
          <cell r="I453">
            <v>5.3</v>
          </cell>
          <cell r="J453">
            <v>5.3</v>
          </cell>
        </row>
        <row r="454">
          <cell r="A454" t="str">
            <v>Gødning</v>
          </cell>
          <cell r="D454" t="str">
            <v>Kvæggylle</v>
          </cell>
          <cell r="E454" t="str">
            <v>Ton</v>
          </cell>
          <cell r="F454" t="str">
            <v>Gødning</v>
          </cell>
          <cell r="G454" t="str">
            <v>kg N</v>
          </cell>
          <cell r="H454">
            <v>8</v>
          </cell>
          <cell r="I454">
            <v>8</v>
          </cell>
          <cell r="J454">
            <v>8</v>
          </cell>
        </row>
        <row r="455">
          <cell r="A455" t="str">
            <v>Gødning</v>
          </cell>
          <cell r="D455" t="str">
            <v>Fjerkrægylle</v>
          </cell>
          <cell r="E455" t="str">
            <v>Ton</v>
          </cell>
          <cell r="F455" t="str">
            <v>Gødning</v>
          </cell>
          <cell r="G455" t="str">
            <v>kg N</v>
          </cell>
          <cell r="H455">
            <v>7</v>
          </cell>
          <cell r="I455">
            <v>7</v>
          </cell>
          <cell r="J455">
            <v>7</v>
          </cell>
        </row>
        <row r="456">
          <cell r="A456" t="str">
            <v>Gødning</v>
          </cell>
          <cell r="D456" t="str">
            <v>Dybstrøelse</v>
          </cell>
          <cell r="E456" t="str">
            <v>Ton</v>
          </cell>
          <cell r="F456" t="str">
            <v>Gødning</v>
          </cell>
          <cell r="G456" t="str">
            <v>kg N</v>
          </cell>
          <cell r="H456">
            <v>14</v>
          </cell>
          <cell r="I456">
            <v>14</v>
          </cell>
          <cell r="J456">
            <v>14</v>
          </cell>
        </row>
        <row r="457">
          <cell r="A457" t="str">
            <v>Gødning</v>
          </cell>
          <cell r="D457" t="str">
            <v>Biogasgylle</v>
          </cell>
          <cell r="E457" t="str">
            <v>Ton</v>
          </cell>
          <cell r="F457" t="str">
            <v>Gødning</v>
          </cell>
          <cell r="G457" t="str">
            <v>kg N</v>
          </cell>
          <cell r="H457">
            <v>7</v>
          </cell>
          <cell r="I457">
            <v>7</v>
          </cell>
          <cell r="J457">
            <v>7</v>
          </cell>
        </row>
        <row r="458">
          <cell r="A458" t="str">
            <v>Gødning</v>
          </cell>
          <cell r="D458" t="str">
            <v>Kunstgødning</v>
          </cell>
          <cell r="E458" t="str">
            <v>Ton</v>
          </cell>
          <cell r="F458" t="str">
            <v>Gødning</v>
          </cell>
          <cell r="G458" t="str">
            <v>kg N</v>
          </cell>
          <cell r="H458">
            <v>160</v>
          </cell>
          <cell r="I458">
            <v>160</v>
          </cell>
          <cell r="J458">
            <v>160</v>
          </cell>
        </row>
        <row r="459">
          <cell r="A459" t="str">
            <v>Til energi</v>
          </cell>
          <cell r="D459" t="str">
            <v>Halm</v>
          </cell>
          <cell r="E459" t="str">
            <v>Ton</v>
          </cell>
          <cell r="F459" t="str">
            <v>Energi</v>
          </cell>
          <cell r="G459" t="str">
            <v>PJ</v>
          </cell>
          <cell r="H459">
            <v>1.0335806339134365E-5</v>
          </cell>
          <cell r="I459">
            <v>1.0335806339134365E-5</v>
          </cell>
          <cell r="J459">
            <v>1.0335806339134365E-5</v>
          </cell>
        </row>
        <row r="460">
          <cell r="A460" t="str">
            <v>Til energi</v>
          </cell>
          <cell r="D460" t="str">
            <v>Rapsolie</v>
          </cell>
          <cell r="E460" t="str">
            <v>Ton</v>
          </cell>
          <cell r="F460" t="str">
            <v>Energi</v>
          </cell>
          <cell r="G460" t="str">
            <v>PJ</v>
          </cell>
          <cell r="H460">
            <v>3.4999999999999997E-5</v>
          </cell>
          <cell r="I460">
            <v>3.4999999999999997E-5</v>
          </cell>
          <cell r="J460">
            <v>3.4999999999999997E-5</v>
          </cell>
        </row>
        <row r="461">
          <cell r="A461" t="str">
            <v>Til energi</v>
          </cell>
          <cell r="D461" t="str">
            <v>Pil &amp; poppel</v>
          </cell>
          <cell r="E461" t="str">
            <v>Ton</v>
          </cell>
          <cell r="F461" t="str">
            <v>Energi</v>
          </cell>
          <cell r="G461" t="str">
            <v>PJ</v>
          </cell>
          <cell r="H461">
            <v>1.8399999999999997E-5</v>
          </cell>
          <cell r="I461">
            <v>1.8399999999999997E-5</v>
          </cell>
          <cell r="J461">
            <v>1.8399999999999997E-5</v>
          </cell>
        </row>
        <row r="462">
          <cell r="A462" t="str">
            <v>Til energi</v>
          </cell>
          <cell r="D462" t="str">
            <v>Træ til energi</v>
          </cell>
          <cell r="E462" t="str">
            <v>m3</v>
          </cell>
          <cell r="F462" t="str">
            <v>Energi</v>
          </cell>
          <cell r="G462" t="str">
            <v>PJ</v>
          </cell>
          <cell r="H462">
            <v>1.449356890077532E-5</v>
          </cell>
          <cell r="I462">
            <v>1.449356890077532E-5</v>
          </cell>
          <cell r="J462">
            <v>1.449356890077532E-5</v>
          </cell>
        </row>
        <row r="463">
          <cell r="A463" t="str">
            <v>Til energi</v>
          </cell>
          <cell r="D463" t="str">
            <v>Have/parkaffald</v>
          </cell>
          <cell r="E463" t="str">
            <v>Ton</v>
          </cell>
          <cell r="F463" t="str">
            <v>Energi</v>
          </cell>
          <cell r="G463" t="str">
            <v>PJ</v>
          </cell>
          <cell r="H463">
            <v>1.7852220520673815E-5</v>
          </cell>
          <cell r="I463">
            <v>1.7852220520673815E-5</v>
          </cell>
          <cell r="J463">
            <v>1.7852220520673815E-5</v>
          </cell>
        </row>
        <row r="464">
          <cell r="A464" t="str">
            <v>Til energi</v>
          </cell>
          <cell r="D464" t="str">
            <v>Bioaffald</v>
          </cell>
          <cell r="E464" t="str">
            <v>Ton</v>
          </cell>
          <cell r="F464" t="str">
            <v>Energi</v>
          </cell>
          <cell r="G464" t="str">
            <v>PJ</v>
          </cell>
          <cell r="H464">
            <v>1.7852220520673815E-5</v>
          </cell>
          <cell r="I464">
            <v>1.7852220520673815E-5</v>
          </cell>
          <cell r="J464">
            <v>1.7852220520673815E-5</v>
          </cell>
        </row>
        <row r="465">
          <cell r="A465" t="str">
            <v>Til energi</v>
          </cell>
          <cell r="D465" t="str">
            <v>Pyrolyseolie</v>
          </cell>
          <cell r="E465" t="str">
            <v>Ton</v>
          </cell>
          <cell r="F465" t="str">
            <v>Energi</v>
          </cell>
          <cell r="G465" t="str">
            <v>PJ</v>
          </cell>
          <cell r="H465">
            <v>3.326857142857142E-5</v>
          </cell>
          <cell r="I465">
            <v>3.326857142857142E-5</v>
          </cell>
          <cell r="J465">
            <v>3.326857142857142E-5</v>
          </cell>
        </row>
        <row r="466">
          <cell r="A466" t="str">
            <v>Til energi</v>
          </cell>
          <cell r="D466" t="str">
            <v>Pyrolysegas</v>
          </cell>
          <cell r="E466" t="str">
            <v>Ton</v>
          </cell>
          <cell r="F466" t="str">
            <v>Energi</v>
          </cell>
          <cell r="G466" t="str">
            <v>PJ</v>
          </cell>
          <cell r="H466">
            <v>8.9614285714285689E-6</v>
          </cell>
          <cell r="I466">
            <v>8.9614285714285689E-6</v>
          </cell>
          <cell r="J466">
            <v>8.9614285714285689E-6</v>
          </cell>
        </row>
        <row r="467">
          <cell r="A467" t="str">
            <v>Til energi</v>
          </cell>
          <cell r="D467" t="str">
            <v>Biogas</v>
          </cell>
          <cell r="E467" t="str">
            <v>Nm3 CH4</v>
          </cell>
          <cell r="F467" t="str">
            <v>Energi</v>
          </cell>
          <cell r="G467" t="str">
            <v>PJ</v>
          </cell>
          <cell r="H467">
            <v>3.5900000000000004E-8</v>
          </cell>
          <cell r="I467">
            <v>3.5900000000000004E-8</v>
          </cell>
          <cell r="J467">
            <v>3.5900000000000004E-8</v>
          </cell>
        </row>
        <row r="468">
          <cell r="A468" t="str">
            <v>Proteinproces</v>
          </cell>
          <cell r="D468" t="str">
            <v>Græs</v>
          </cell>
          <cell r="E468" t="str">
            <v>Ton</v>
          </cell>
          <cell r="F468" t="str">
            <v>Græsprotein</v>
          </cell>
          <cell r="G468" t="str">
            <v>Ton</v>
          </cell>
          <cell r="H468">
            <v>0.16717139181723129</v>
          </cell>
          <cell r="I468">
            <v>0.16717139181723129</v>
          </cell>
          <cell r="J468">
            <v>0.16717139181723129</v>
          </cell>
        </row>
        <row r="469">
          <cell r="A469" t="str">
            <v>Proteinproces</v>
          </cell>
          <cell r="D469" t="str">
            <v>Græs</v>
          </cell>
          <cell r="E469" t="str">
            <v>Ton</v>
          </cell>
          <cell r="F469" t="str">
            <v>Fiberfraktion</v>
          </cell>
          <cell r="G469" t="str">
            <v>Ton</v>
          </cell>
          <cell r="H469">
            <v>0.34417639491782914</v>
          </cell>
          <cell r="I469">
            <v>0.34417639491782914</v>
          </cell>
          <cell r="J469">
            <v>0.34417639491782914</v>
          </cell>
        </row>
        <row r="470">
          <cell r="A470" t="str">
            <v>Proteinproces</v>
          </cell>
          <cell r="D470" t="str">
            <v>Græs</v>
          </cell>
          <cell r="E470" t="str">
            <v>Ton</v>
          </cell>
          <cell r="F470" t="str">
            <v>Brun saft</v>
          </cell>
          <cell r="G470" t="str">
            <v>PJ</v>
          </cell>
          <cell r="H470">
            <v>0.48865221326493952</v>
          </cell>
          <cell r="I470">
            <v>0.48865221326493952</v>
          </cell>
          <cell r="J470">
            <v>0.48865221326493952</v>
          </cell>
        </row>
        <row r="471">
          <cell r="A471" t="str">
            <v>Rapskageproduktion</v>
          </cell>
          <cell r="D471" t="str">
            <v>Raps</v>
          </cell>
          <cell r="E471" t="str">
            <v>Ton</v>
          </cell>
          <cell r="F471" t="str">
            <v>Rapskage</v>
          </cell>
          <cell r="G471" t="str">
            <v>Ton</v>
          </cell>
          <cell r="H471">
            <v>0.5</v>
          </cell>
          <cell r="I471">
            <v>0.5</v>
          </cell>
          <cell r="J471">
            <v>0.5</v>
          </cell>
        </row>
        <row r="472">
          <cell r="A472" t="str">
            <v>Rapskageproduktion</v>
          </cell>
          <cell r="D472" t="str">
            <v>Raps</v>
          </cell>
          <cell r="E472" t="str">
            <v>Ton</v>
          </cell>
          <cell r="F472" t="str">
            <v>Rapsolie</v>
          </cell>
          <cell r="G472" t="str">
            <v>Ton</v>
          </cell>
          <cell r="H472">
            <v>0.32</v>
          </cell>
          <cell r="I472">
            <v>0.32</v>
          </cell>
          <cell r="J472">
            <v>0.32</v>
          </cell>
        </row>
        <row r="473">
          <cell r="A473" t="str">
            <v>Pyrolyseproces</v>
          </cell>
          <cell r="D473" t="str">
            <v>Halm</v>
          </cell>
          <cell r="E473" t="str">
            <v>Ton</v>
          </cell>
          <cell r="F473" t="str">
            <v>CO2 - atmosfære</v>
          </cell>
          <cell r="G473" t="str">
            <v>t CO2-ækvivalenter</v>
          </cell>
          <cell r="H473">
            <v>-0.65266666666666662</v>
          </cell>
          <cell r="I473">
            <v>-0.65266666666666662</v>
          </cell>
          <cell r="J473">
            <v>-0.65266666666666662</v>
          </cell>
        </row>
        <row r="474">
          <cell r="A474" t="str">
            <v>Pyrolyseproces</v>
          </cell>
          <cell r="D474" t="str">
            <v>Halm</v>
          </cell>
          <cell r="E474" t="str">
            <v>Ton</v>
          </cell>
          <cell r="F474" t="str">
            <v>Pyrolyseolie</v>
          </cell>
          <cell r="G474" t="str">
            <v>Ton</v>
          </cell>
          <cell r="H474">
            <v>0.14000000000000001</v>
          </cell>
          <cell r="I474">
            <v>0.14000000000000001</v>
          </cell>
          <cell r="J474">
            <v>0.14000000000000001</v>
          </cell>
        </row>
        <row r="475">
          <cell r="A475" t="str">
            <v>Pyrolyseproces</v>
          </cell>
          <cell r="D475" t="str">
            <v>Halm</v>
          </cell>
          <cell r="E475" t="str">
            <v>Ton</v>
          </cell>
          <cell r="F475" t="str">
            <v>Pyrolysegas</v>
          </cell>
          <cell r="G475" t="str">
            <v>Ton</v>
          </cell>
          <cell r="H475">
            <v>0.56000000000000005</v>
          </cell>
          <cell r="I475">
            <v>0.56000000000000005</v>
          </cell>
          <cell r="J475">
            <v>0.56000000000000005</v>
          </cell>
        </row>
      </sheetData>
      <sheetData sheetId="2"/>
      <sheetData sheetId="3">
        <row r="20">
          <cell r="D20" t="str">
            <v>PJ</v>
          </cell>
        </row>
        <row r="23">
          <cell r="D23">
            <v>4.6575999999999992E-6</v>
          </cell>
        </row>
        <row r="24">
          <cell r="D24">
            <v>5.0183999999999993E-6</v>
          </cell>
        </row>
      </sheetData>
      <sheetData sheetId="4">
        <row r="7">
          <cell r="A7" t="str">
            <v>Bebyggelse &amp; infrastruktur</v>
          </cell>
          <cell r="B7">
            <v>0.69809884645309694</v>
          </cell>
          <cell r="C7">
            <v>0.30191806772436658</v>
          </cell>
        </row>
        <row r="8">
          <cell r="A8" t="str">
            <v>Landbrugsafgrøder</v>
          </cell>
          <cell r="B8">
            <v>0.77910074969845278</v>
          </cell>
          <cell r="C8">
            <v>0.22089925030154711</v>
          </cell>
        </row>
        <row r="9">
          <cell r="A9" t="str">
            <v>Skov</v>
          </cell>
          <cell r="B9">
            <v>0.77355804310298804</v>
          </cell>
          <cell r="C9">
            <v>0.22642416045274155</v>
          </cell>
        </row>
        <row r="10">
          <cell r="A10" t="str">
            <v>Natur</v>
          </cell>
          <cell r="B10">
            <v>0.82510044406851346</v>
          </cell>
          <cell r="C10">
            <v>0.17494184817086067</v>
          </cell>
        </row>
        <row r="11">
          <cell r="A11" t="str">
            <v>Ikke klassificeret</v>
          </cell>
          <cell r="B11">
            <v>0.70816884300030369</v>
          </cell>
          <cell r="C11">
            <v>0.29183115699969631</v>
          </cell>
        </row>
        <row r="15">
          <cell r="B15" t="str">
            <v>Bebyggelse &amp; infrastruktur</v>
          </cell>
          <cell r="D15">
            <v>173400</v>
          </cell>
          <cell r="E15">
            <v>62229.999999999993</v>
          </cell>
        </row>
        <row r="16">
          <cell r="B16" t="str">
            <v>Bebyggelse &amp; infrastruktur</v>
          </cell>
          <cell r="D16">
            <v>211940</v>
          </cell>
          <cell r="E16">
            <v>101240</v>
          </cell>
        </row>
        <row r="17">
          <cell r="B17" t="str">
            <v>Bebyggelse &amp; infrastruktur</v>
          </cell>
          <cell r="D17">
            <v>27389.999999999996</v>
          </cell>
          <cell r="E17">
            <v>15030.000000000002</v>
          </cell>
        </row>
        <row r="18">
          <cell r="B18" t="str">
            <v>Landbrugsafgrøder</v>
          </cell>
          <cell r="D18">
            <v>2008809.9999999998</v>
          </cell>
          <cell r="E18">
            <v>569560</v>
          </cell>
        </row>
        <row r="19">
          <cell r="B19" t="str">
            <v>Skov</v>
          </cell>
          <cell r="D19">
            <v>434670</v>
          </cell>
          <cell r="E19">
            <v>127230</v>
          </cell>
        </row>
        <row r="20">
          <cell r="B20" t="str">
            <v>Natur</v>
          </cell>
          <cell r="D20">
            <v>320960</v>
          </cell>
          <cell r="E20">
            <v>54720.000000000007</v>
          </cell>
        </row>
        <row r="21">
          <cell r="B21" t="str">
            <v>Natur</v>
          </cell>
          <cell r="D21">
            <v>69230</v>
          </cell>
          <cell r="E21">
            <v>28010.000000000004</v>
          </cell>
        </row>
        <row r="22">
          <cell r="B22" t="str">
            <v>Ikke klassificeret</v>
          </cell>
          <cell r="D22">
            <v>46640</v>
          </cell>
          <cell r="E22">
            <v>19220</v>
          </cell>
        </row>
        <row r="23">
          <cell r="D23">
            <v>3293040</v>
          </cell>
        </row>
      </sheetData>
      <sheetData sheetId="5">
        <row r="3">
          <cell r="D3">
            <v>0.18592592592592588</v>
          </cell>
        </row>
        <row r="4">
          <cell r="D4">
            <v>0.35481481481481475</v>
          </cell>
          <cell r="F4">
            <v>0.90270682785509138</v>
          </cell>
          <cell r="G4">
            <v>9.7293172144908485E-2</v>
          </cell>
        </row>
        <row r="5">
          <cell r="D5">
            <v>0.36196608711435069</v>
          </cell>
        </row>
        <row r="15">
          <cell r="D15">
            <v>78232</v>
          </cell>
          <cell r="E15">
            <v>129000</v>
          </cell>
        </row>
        <row r="16">
          <cell r="D16">
            <v>100502</v>
          </cell>
          <cell r="E16">
            <v>162000</v>
          </cell>
        </row>
        <row r="17">
          <cell r="D17">
            <v>178734</v>
          </cell>
        </row>
        <row r="23">
          <cell r="D23" t="str">
            <v>3 &amp; 4</v>
          </cell>
        </row>
        <row r="24">
          <cell r="D24">
            <v>3</v>
          </cell>
        </row>
        <row r="25">
          <cell r="D25">
            <v>0.5</v>
          </cell>
        </row>
      </sheetData>
      <sheetData sheetId="6">
        <row r="2">
          <cell r="C2" t="str">
            <v>Korn</v>
          </cell>
        </row>
        <row r="3">
          <cell r="C3" t="str">
            <v>Bælgsæd</v>
          </cell>
        </row>
        <row r="4">
          <cell r="C4" t="str">
            <v>Raps</v>
          </cell>
        </row>
        <row r="5">
          <cell r="C5" t="str">
            <v>Græs</v>
          </cell>
        </row>
        <row r="6">
          <cell r="C6" t="str">
            <v>Grøntsager</v>
          </cell>
        </row>
        <row r="7">
          <cell r="C7" t="str">
            <v>Kartofler</v>
          </cell>
        </row>
        <row r="8">
          <cell r="C8" t="str">
            <v>Roer</v>
          </cell>
        </row>
        <row r="9">
          <cell r="C9" t="str">
            <v>Majs</v>
          </cell>
        </row>
        <row r="10">
          <cell r="C10" t="str">
            <v>Frugt</v>
          </cell>
        </row>
        <row r="11">
          <cell r="C11" t="str">
            <v>Øvrige</v>
          </cell>
          <cell r="D11">
            <v>71837</v>
          </cell>
        </row>
        <row r="12">
          <cell r="C12" t="str">
            <v>Frø</v>
          </cell>
          <cell r="D12">
            <v>110335</v>
          </cell>
        </row>
        <row r="13">
          <cell r="C13" t="str">
            <v>Juletræer</v>
          </cell>
          <cell r="D13">
            <v>19484</v>
          </cell>
        </row>
        <row r="14">
          <cell r="C14" t="str">
            <v>Pil &amp; poppel</v>
          </cell>
        </row>
        <row r="15">
          <cell r="C15" t="str">
            <v>Permanent græs</v>
          </cell>
        </row>
        <row r="16">
          <cell r="D16">
            <v>2639353</v>
          </cell>
        </row>
        <row r="19">
          <cell r="D19" t="str">
            <v>I modellen</v>
          </cell>
        </row>
      </sheetData>
      <sheetData sheetId="7">
        <row r="3">
          <cell r="G3" t="str">
            <v>JB1-10</v>
          </cell>
          <cell r="H3" t="str">
            <v>OC6</v>
          </cell>
          <cell r="I3" t="str">
            <v>OC12</v>
          </cell>
          <cell r="P3" t="str">
            <v>JB1-10</v>
          </cell>
          <cell r="Q3" t="str">
            <v>OC6</v>
          </cell>
          <cell r="R3" t="str">
            <v>OC12</v>
          </cell>
        </row>
        <row r="4">
          <cell r="F4" t="str">
            <v>Korn</v>
          </cell>
          <cell r="G4">
            <v>0.52078807763652124</v>
          </cell>
          <cell r="H4">
            <v>0.29260742948449031</v>
          </cell>
          <cell r="I4">
            <v>0.19001733521339526</v>
          </cell>
          <cell r="O4" t="str">
            <v>Korn</v>
          </cell>
          <cell r="P4">
            <v>0.59758624874726696</v>
          </cell>
          <cell r="Q4">
            <v>0.38313743571343106</v>
          </cell>
          <cell r="R4">
            <v>0.26300634149592406</v>
          </cell>
        </row>
        <row r="5">
          <cell r="F5" t="str">
            <v>Bælgsæd</v>
          </cell>
          <cell r="G5">
            <v>3.5982037432552356E-2</v>
          </cell>
          <cell r="H5">
            <v>2.5083538683672694E-2</v>
          </cell>
          <cell r="I5">
            <v>1.0941050385004404E-2</v>
          </cell>
          <cell r="O5" t="str">
            <v>Bælgsæd</v>
          </cell>
          <cell r="P5">
            <v>1.3024294772492263E-2</v>
          </cell>
          <cell r="Q5">
            <v>1.0360648699894549E-2</v>
          </cell>
          <cell r="R5">
            <v>4.777062450510427E-3</v>
          </cell>
        </row>
        <row r="6">
          <cell r="F6" t="str">
            <v>Raps</v>
          </cell>
          <cell r="G6">
            <v>6.0508874709232517E-2</v>
          </cell>
          <cell r="H6">
            <v>2.68590267661553E-2</v>
          </cell>
          <cell r="I6">
            <v>1.4168164812818053E-2</v>
          </cell>
          <cell r="O6" t="str">
            <v>Raps</v>
          </cell>
          <cell r="P6">
            <v>8.2618389494347674E-2</v>
          </cell>
          <cell r="Q6">
            <v>4.184827857039744E-2</v>
          </cell>
          <cell r="R6">
            <v>2.3334832279686194E-2</v>
          </cell>
        </row>
        <row r="7">
          <cell r="F7" t="str">
            <v>Græs</v>
          </cell>
          <cell r="G7">
            <v>0.1153713931066581</v>
          </cell>
          <cell r="H7">
            <v>0.247864579659376</v>
          </cell>
          <cell r="I7">
            <v>0.32676260561918435</v>
          </cell>
          <cell r="O7" t="str">
            <v>Græs</v>
          </cell>
          <cell r="P7">
            <v>5.0192728928725582E-2</v>
          </cell>
          <cell r="Q7">
            <v>0.12305147357318001</v>
          </cell>
          <cell r="R7">
            <v>0.17147801882246</v>
          </cell>
        </row>
        <row r="8">
          <cell r="F8" t="str">
            <v>Grøntsager</v>
          </cell>
          <cell r="G8">
            <v>4.464610531367031E-3</v>
          </cell>
          <cell r="H8">
            <v>1.1592719622443278E-3</v>
          </cell>
          <cell r="I8">
            <v>3.7980026350827641E-4</v>
          </cell>
          <cell r="O8" t="str">
            <v>Grøntsager</v>
          </cell>
          <cell r="P8">
            <v>7.865213752064254E-3</v>
          </cell>
          <cell r="Q8">
            <v>2.3304616484464778E-3</v>
          </cell>
          <cell r="R8">
            <v>8.0707825675165219E-4</v>
          </cell>
        </row>
        <row r="9">
          <cell r="F9" t="str">
            <v>Kartofler</v>
          </cell>
          <cell r="G9">
            <v>2.6596251788237935E-2</v>
          </cell>
          <cell r="H9">
            <v>1.8301899560384409E-2</v>
          </cell>
          <cell r="I9">
            <v>2.0102939321744374E-2</v>
          </cell>
          <cell r="O9" t="str">
            <v>Kartofler</v>
          </cell>
          <cell r="P9">
            <v>5.0455539319474536E-3</v>
          </cell>
          <cell r="Q9">
            <v>3.9619980918168913E-3</v>
          </cell>
          <cell r="R9">
            <v>4.6002497853152241E-3</v>
          </cell>
        </row>
        <row r="10">
          <cell r="F10" t="str">
            <v>Roer</v>
          </cell>
          <cell r="G10">
            <v>2.5963485234511219E-3</v>
          </cell>
          <cell r="H10">
            <v>4.801561809645839E-4</v>
          </cell>
          <cell r="I10">
            <v>2.1739444616266637E-4</v>
          </cell>
          <cell r="O10" t="str">
            <v>Roer</v>
          </cell>
          <cell r="P10">
            <v>5.2451600979001756E-2</v>
          </cell>
          <cell r="Q10">
            <v>1.1068989105563098E-2</v>
          </cell>
          <cell r="R10">
            <v>5.2975813997076116E-3</v>
          </cell>
        </row>
        <row r="11">
          <cell r="D11">
            <v>4971.7778828726805</v>
          </cell>
          <cell r="F11" t="str">
            <v>Majs</v>
          </cell>
          <cell r="G11">
            <v>8.8910930707760349E-2</v>
          </cell>
          <cell r="H11">
            <v>6.1980947409938016E-2</v>
          </cell>
          <cell r="I11">
            <v>2.7035127582052489E-2</v>
          </cell>
          <cell r="O11" t="str">
            <v>Majs</v>
          </cell>
          <cell r="P11">
            <v>1.4835264654900416E-2</v>
          </cell>
          <cell r="Q11">
            <v>1.180125052022097E-2</v>
          </cell>
          <cell r="R11">
            <v>5.4412915988347344E-3</v>
          </cell>
        </row>
        <row r="12">
          <cell r="D12">
            <v>84.698510248354609</v>
          </cell>
          <cell r="F12" t="str">
            <v>Frugt</v>
          </cell>
          <cell r="G12">
            <v>1.6337629108489173E-3</v>
          </cell>
          <cell r="H12">
            <v>1.0558987213584255E-3</v>
          </cell>
          <cell r="I12">
            <v>7.7474460216058903E-4</v>
          </cell>
          <cell r="O12" t="str">
            <v>Frugt</v>
          </cell>
          <cell r="P12">
            <v>3.4518876571883301E-3</v>
          </cell>
          <cell r="Q12">
            <v>2.5457723300503447E-3</v>
          </cell>
          <cell r="R12">
            <v>1.9745112589809222E-3</v>
          </cell>
        </row>
        <row r="13">
          <cell r="D13">
            <v>1497.9695004367711</v>
          </cell>
          <cell r="F13" t="str">
            <v>Øvrige</v>
          </cell>
          <cell r="G13">
            <v>2.8894569741786228E-2</v>
          </cell>
          <cell r="H13">
            <v>1.8674520667567855E-2</v>
          </cell>
          <cell r="I13">
            <v>1.3702056639031946E-2</v>
          </cell>
          <cell r="O13" t="str">
            <v>Øvrige</v>
          </cell>
          <cell r="P13">
            <v>2.4648152078224853E-2</v>
          </cell>
          <cell r="Q13">
            <v>1.8178049165924595E-2</v>
          </cell>
          <cell r="R13">
            <v>1.4098968050185802E-2</v>
          </cell>
        </row>
        <row r="14">
          <cell r="F14" t="str">
            <v>Frø</v>
          </cell>
          <cell r="G14">
            <v>3.0394546158686284E-2</v>
          </cell>
          <cell r="H14">
            <v>4.6094224108143921E-2</v>
          </cell>
          <cell r="I14">
            <v>4.3595363130338828E-2</v>
          </cell>
          <cell r="O14" t="str">
            <v>Frø</v>
          </cell>
          <cell r="P14">
            <v>7.6260655541220079E-2</v>
          </cell>
          <cell r="Q14">
            <v>0.13197177490971568</v>
          </cell>
          <cell r="R14">
            <v>0.13194064586313403</v>
          </cell>
        </row>
        <row r="15">
          <cell r="F15" t="str">
            <v>Juletræer</v>
          </cell>
          <cell r="G15">
            <v>8.1942098326515649E-3</v>
          </cell>
          <cell r="H15">
            <v>5.2959065402847453E-3</v>
          </cell>
          <cell r="I15">
            <v>3.8857656730126948E-3</v>
          </cell>
          <cell r="O15" t="str">
            <v>Juletræer</v>
          </cell>
          <cell r="P15">
            <v>5.4090883153768499E-3</v>
          </cell>
          <cell r="Q15">
            <v>3.9892107541244148E-3</v>
          </cell>
          <cell r="R15">
            <v>3.0940479065976268E-3</v>
          </cell>
        </row>
        <row r="16">
          <cell r="D16">
            <v>697.69320083554544</v>
          </cell>
          <cell r="F16" t="str">
            <v>Pil &amp; poppel</v>
          </cell>
          <cell r="G16">
            <v>3.0140932866304453E-3</v>
          </cell>
          <cell r="H16">
            <v>8.6978313609362562E-3</v>
          </cell>
          <cell r="I16">
            <v>9.1724425287411978E-3</v>
          </cell>
          <cell r="O16" t="str">
            <v>Pil &amp; poppel</v>
          </cell>
          <cell r="P16">
            <v>2.5711346585440159E-3</v>
          </cell>
          <cell r="Q16">
            <v>8.4665951501828891E-3</v>
          </cell>
          <cell r="R16">
            <v>9.4381433066404435E-3</v>
          </cell>
        </row>
        <row r="17">
          <cell r="D17">
            <v>19720.343681186703</v>
          </cell>
          <cell r="F17" t="str">
            <v>Permanent græs</v>
          </cell>
          <cell r="G17">
            <v>7.2650293633615873E-2</v>
          </cell>
          <cell r="H17">
            <v>0.24584476889448309</v>
          </cell>
          <cell r="I17">
            <v>0.33924520978284484</v>
          </cell>
          <cell r="O17" t="str">
            <v>Permanent græs</v>
          </cell>
          <cell r="P17">
            <v>6.4039786488699332E-2</v>
          </cell>
          <cell r="Q17">
            <v>0.24728806176705159</v>
          </cell>
          <cell r="R17">
            <v>0.36071122752527124</v>
          </cell>
        </row>
        <row r="20">
          <cell r="D20" t="str">
            <v>OC12</v>
          </cell>
        </row>
        <row r="23">
          <cell r="D23">
            <v>1176.2708480000085</v>
          </cell>
        </row>
        <row r="24">
          <cell r="D24">
            <v>30906.035967996911</v>
          </cell>
        </row>
        <row r="25">
          <cell r="D25">
            <v>38.260223999999972</v>
          </cell>
        </row>
      </sheetData>
      <sheetData sheetId="8">
        <row r="5">
          <cell r="A5" t="str">
            <v>Korn</v>
          </cell>
          <cell r="B5">
            <v>70.099999999999994</v>
          </cell>
          <cell r="C5">
            <v>38.555</v>
          </cell>
          <cell r="D5">
            <v>0.67</v>
          </cell>
          <cell r="E5">
            <v>1.2</v>
          </cell>
          <cell r="F5">
            <v>1.4</v>
          </cell>
        </row>
        <row r="6">
          <cell r="A6" t="str">
            <v>Bælgsæd</v>
          </cell>
          <cell r="B6">
            <v>38.6</v>
          </cell>
          <cell r="C6">
            <v>19.309999999999999</v>
          </cell>
          <cell r="D6">
            <v>0.56999999999999995</v>
          </cell>
          <cell r="E6">
            <v>1.2</v>
          </cell>
          <cell r="F6">
            <v>1.4</v>
          </cell>
        </row>
        <row r="7">
          <cell r="A7" t="str">
            <v>Raps</v>
          </cell>
          <cell r="B7">
            <v>44</v>
          </cell>
          <cell r="C7">
            <v>39.6</v>
          </cell>
          <cell r="D7">
            <v>0.55000000000000004</v>
          </cell>
          <cell r="E7">
            <v>1.2</v>
          </cell>
          <cell r="F7">
            <v>1.4</v>
          </cell>
        </row>
        <row r="8">
          <cell r="A8" t="str">
            <v>Græs</v>
          </cell>
          <cell r="B8">
            <v>496.2</v>
          </cell>
          <cell r="D8">
            <v>0.78</v>
          </cell>
          <cell r="E8">
            <v>1.2</v>
          </cell>
          <cell r="F8">
            <v>1.4</v>
          </cell>
        </row>
        <row r="9">
          <cell r="A9" t="str">
            <v>Grøntsager</v>
          </cell>
          <cell r="B9">
            <v>207.5</v>
          </cell>
          <cell r="D9">
            <v>0.56999999999999995</v>
          </cell>
          <cell r="E9">
            <v>1.2</v>
          </cell>
          <cell r="F9">
            <v>1.4</v>
          </cell>
        </row>
        <row r="10">
          <cell r="A10" t="str">
            <v>Kartofler</v>
          </cell>
          <cell r="B10">
            <v>424.70899470899468</v>
          </cell>
          <cell r="D10">
            <v>0.56999999999999995</v>
          </cell>
          <cell r="E10">
            <v>1.2</v>
          </cell>
          <cell r="F10">
            <v>1.4</v>
          </cell>
        </row>
        <row r="11">
          <cell r="A11" t="str">
            <v>Roer</v>
          </cell>
          <cell r="B11">
            <v>812.53731343283573</v>
          </cell>
          <cell r="D11">
            <v>0.56999999999999995</v>
          </cell>
          <cell r="E11">
            <v>1.2</v>
          </cell>
          <cell r="F11">
            <v>1.4</v>
          </cell>
        </row>
        <row r="12">
          <cell r="A12" t="str">
            <v>Majs</v>
          </cell>
          <cell r="B12">
            <v>445.1</v>
          </cell>
          <cell r="D12">
            <v>0.83</v>
          </cell>
          <cell r="E12">
            <v>1.2</v>
          </cell>
          <cell r="F12">
            <v>1.4</v>
          </cell>
        </row>
        <row r="13">
          <cell r="A13" t="str">
            <v>Frugt</v>
          </cell>
          <cell r="B13">
            <v>84.9</v>
          </cell>
          <cell r="D13">
            <v>0.56999999999999995</v>
          </cell>
          <cell r="E13">
            <v>1.2</v>
          </cell>
          <cell r="F13">
            <v>1.4</v>
          </cell>
        </row>
        <row r="14">
          <cell r="A14" t="str">
            <v>Øvrige</v>
          </cell>
          <cell r="B14">
            <v>297.95943508186303</v>
          </cell>
          <cell r="D14">
            <v>0.56999999999999995</v>
          </cell>
          <cell r="E14">
            <v>1.2</v>
          </cell>
          <cell r="F14">
            <v>1.4</v>
          </cell>
        </row>
        <row r="15">
          <cell r="A15" t="str">
            <v>Frø</v>
          </cell>
          <cell r="B15">
            <v>142.8886075949367</v>
          </cell>
          <cell r="C15">
            <v>40</v>
          </cell>
          <cell r="D15">
            <v>0.56999999999999995</v>
          </cell>
          <cell r="E15">
            <v>1.2</v>
          </cell>
          <cell r="F15">
            <v>1.4</v>
          </cell>
        </row>
        <row r="16">
          <cell r="A16" t="str">
            <v>Juletræer</v>
          </cell>
          <cell r="B16">
            <v>500</v>
          </cell>
          <cell r="D16">
            <v>0.56999999999999995</v>
          </cell>
          <cell r="E16">
            <v>1.2</v>
          </cell>
          <cell r="F16">
            <v>1.4</v>
          </cell>
        </row>
        <row r="17">
          <cell r="A17" t="str">
            <v>Pil &amp; poppel</v>
          </cell>
          <cell r="B17">
            <v>243.90243902439025</v>
          </cell>
          <cell r="D17">
            <v>0.56999999999999995</v>
          </cell>
          <cell r="E17">
            <v>1.2</v>
          </cell>
          <cell r="F17">
            <v>1.4</v>
          </cell>
        </row>
        <row r="18">
          <cell r="A18" t="str">
            <v>Permanent græs</v>
          </cell>
          <cell r="B18">
            <v>137.9</v>
          </cell>
          <cell r="D18">
            <v>1</v>
          </cell>
          <cell r="E18">
            <v>1.2</v>
          </cell>
          <cell r="F18">
            <v>1.4</v>
          </cell>
        </row>
      </sheetData>
      <sheetData sheetId="9">
        <row r="2">
          <cell r="A2" t="str">
            <v>Korn</v>
          </cell>
          <cell r="B2">
            <v>0.89989334145969835</v>
          </cell>
          <cell r="C2">
            <v>899.89334145969838</v>
          </cell>
          <cell r="D2">
            <v>5906</v>
          </cell>
          <cell r="E2">
            <v>0.39994582515067378</v>
          </cell>
        </row>
        <row r="3">
          <cell r="A3" t="str">
            <v>Halm</v>
          </cell>
          <cell r="B3">
            <v>0.19003476245654694</v>
          </cell>
          <cell r="C3">
            <v>190.03476245654693</v>
          </cell>
          <cell r="D3">
            <v>164</v>
          </cell>
          <cell r="E3">
            <v>1.1105844111871065E-2</v>
          </cell>
        </row>
        <row r="4">
          <cell r="A4" t="str">
            <v>Kartofler</v>
          </cell>
          <cell r="B4">
            <v>0.25</v>
          </cell>
          <cell r="C4">
            <v>250</v>
          </cell>
          <cell r="D4">
            <v>0</v>
          </cell>
          <cell r="E4">
            <v>0</v>
          </cell>
        </row>
        <row r="5">
          <cell r="A5" t="str">
            <v>Bælgsæd</v>
          </cell>
          <cell r="B5">
            <v>1.0833333333333333</v>
          </cell>
          <cell r="C5">
            <v>1083.3333333333333</v>
          </cell>
          <cell r="D5">
            <v>78</v>
          </cell>
          <cell r="E5">
            <v>5.2820478093045303E-3</v>
          </cell>
        </row>
        <row r="6">
          <cell r="A6" t="str">
            <v>Roer</v>
          </cell>
          <cell r="B6">
            <v>0.15228966986155484</v>
          </cell>
          <cell r="C6">
            <v>152.28966986155484</v>
          </cell>
          <cell r="D6">
            <v>143</v>
          </cell>
          <cell r="E6">
            <v>9.683754317058306E-3</v>
          </cell>
        </row>
        <row r="7">
          <cell r="A7" t="str">
            <v>Majs</v>
          </cell>
          <cell r="B7">
            <v>0.26492478226444971</v>
          </cell>
          <cell r="C7">
            <v>264.92478226444973</v>
          </cell>
          <cell r="D7">
            <v>1673</v>
          </cell>
          <cell r="E7">
            <v>0.1132931536534164</v>
          </cell>
        </row>
        <row r="8">
          <cell r="A8" t="str">
            <v>Rapskage</v>
          </cell>
          <cell r="B8">
            <v>1.00836820083682</v>
          </cell>
          <cell r="C8">
            <v>1008.3682008368201</v>
          </cell>
          <cell r="D8">
            <v>241</v>
          </cell>
          <cell r="E8">
            <v>1.6320173359517843E-2</v>
          </cell>
        </row>
        <row r="9">
          <cell r="A9" t="str">
            <v>Tang</v>
          </cell>
          <cell r="B9">
            <v>1.36</v>
          </cell>
          <cell r="C9">
            <v>1360</v>
          </cell>
          <cell r="D9">
            <v>0</v>
          </cell>
          <cell r="E9">
            <v>0</v>
          </cell>
        </row>
        <row r="10">
          <cell r="A10" t="str">
            <v>Muslinger</v>
          </cell>
          <cell r="B10">
            <v>1.41</v>
          </cell>
          <cell r="C10">
            <v>1410</v>
          </cell>
          <cell r="D10">
            <v>0</v>
          </cell>
          <cell r="E10">
            <v>0</v>
          </cell>
        </row>
        <row r="11">
          <cell r="A11" t="str">
            <v>Græs</v>
          </cell>
          <cell r="B11">
            <v>0.16631286143034918</v>
          </cell>
          <cell r="C11">
            <v>166.31286143034919</v>
          </cell>
          <cell r="D11">
            <v>2272</v>
          </cell>
          <cell r="E11">
            <v>0.15385657208640888</v>
          </cell>
        </row>
        <row r="12">
          <cell r="A12" t="str">
            <v>Mælk til foder</v>
          </cell>
          <cell r="B12">
            <v>9.6335697399527187E-2</v>
          </cell>
          <cell r="C12">
            <v>96.335697399527191</v>
          </cell>
          <cell r="D12">
            <v>163</v>
          </cell>
          <cell r="E12">
            <v>1.1038125550213313E-2</v>
          </cell>
        </row>
        <row r="13">
          <cell r="A13" t="str">
            <v>Fiberfraktion</v>
          </cell>
          <cell r="B13">
            <v>0.30940000000000001</v>
          </cell>
          <cell r="C13">
            <v>309.40000000000003</v>
          </cell>
          <cell r="D13">
            <v>0</v>
          </cell>
          <cell r="E13">
            <v>0</v>
          </cell>
        </row>
        <row r="14">
          <cell r="A14" t="str">
            <v>Græsprotein</v>
          </cell>
          <cell r="B14">
            <v>0.19800000000000001</v>
          </cell>
          <cell r="C14">
            <v>2750</v>
          </cell>
          <cell r="D14">
            <v>0</v>
          </cell>
          <cell r="E14">
            <v>0</v>
          </cell>
        </row>
        <row r="15">
          <cell r="A15" t="str">
            <v>Slagteriaffald til foder</v>
          </cell>
          <cell r="B15">
            <v>2.75</v>
          </cell>
          <cell r="C15">
            <v>2750</v>
          </cell>
          <cell r="D15">
            <v>121</v>
          </cell>
          <cell r="E15">
            <v>8.1939459605877979E-3</v>
          </cell>
        </row>
        <row r="16">
          <cell r="A16" t="str">
            <v>Import af foder</v>
          </cell>
          <cell r="B16">
            <v>0.74322820037105752</v>
          </cell>
          <cell r="C16">
            <v>743.22820037105748</v>
          </cell>
          <cell r="D16">
            <v>4006</v>
          </cell>
          <cell r="E16">
            <v>0.27128055800094808</v>
          </cell>
        </row>
        <row r="20">
          <cell r="D20" t="str">
            <v>Modelnavn</v>
          </cell>
        </row>
        <row r="23">
          <cell r="D23" t="str">
            <v>Korn</v>
          </cell>
        </row>
      </sheetData>
      <sheetData sheetId="10">
        <row r="11">
          <cell r="D11" t="str">
            <v>Fra Virkemidler til reduktion af klimagasser I landbruget, s. 94 - OBS: producerede mængder er fra 2015</v>
          </cell>
        </row>
        <row r="13">
          <cell r="C13" t="str">
            <v>Køer</v>
          </cell>
          <cell r="D13" t="str">
            <v>Svin</v>
          </cell>
          <cell r="E13" t="str">
            <v>Fjerkræ</v>
          </cell>
        </row>
        <row r="14">
          <cell r="A14" t="str">
            <v>Vestdanmark</v>
          </cell>
          <cell r="B14" t="str">
            <v>Konventionel</v>
          </cell>
          <cell r="C14">
            <v>1184629</v>
          </cell>
          <cell r="D14">
            <v>10266966</v>
          </cell>
          <cell r="E14">
            <v>18212034</v>
          </cell>
        </row>
        <row r="15">
          <cell r="A15" t="str">
            <v>Vestdanmark</v>
          </cell>
          <cell r="B15" t="str">
            <v>Økologisk</v>
          </cell>
          <cell r="C15">
            <v>207835</v>
          </cell>
          <cell r="D15">
            <v>475477</v>
          </cell>
          <cell r="E15">
            <v>3062300</v>
          </cell>
        </row>
        <row r="16">
          <cell r="A16" t="str">
            <v>Østdanmark</v>
          </cell>
          <cell r="B16" t="str">
            <v>Konventionel</v>
          </cell>
          <cell r="C16">
            <v>82455</v>
          </cell>
          <cell r="D16">
            <v>1541102</v>
          </cell>
          <cell r="E16">
            <v>1570560</v>
          </cell>
        </row>
        <row r="17">
          <cell r="A17" t="str">
            <v>Østdanmark</v>
          </cell>
          <cell r="B17" t="str">
            <v>Økologisk</v>
          </cell>
          <cell r="C17">
            <v>16513</v>
          </cell>
          <cell r="D17">
            <v>15447</v>
          </cell>
          <cell r="E17">
            <v>214987</v>
          </cell>
        </row>
        <row r="22">
          <cell r="D22">
            <v>29506</v>
          </cell>
          <cell r="E22">
            <v>287584</v>
          </cell>
          <cell r="F22">
            <v>864637</v>
          </cell>
        </row>
        <row r="23">
          <cell r="D23">
            <v>69462</v>
          </cell>
          <cell r="E23">
            <v>1268965</v>
          </cell>
          <cell r="F23">
            <v>920910</v>
          </cell>
        </row>
        <row r="24">
          <cell r="D24">
            <v>571543</v>
          </cell>
          <cell r="E24">
            <v>3681778</v>
          </cell>
          <cell r="F24">
            <v>9783918</v>
          </cell>
        </row>
        <row r="25">
          <cell r="D25">
            <v>475308</v>
          </cell>
          <cell r="E25">
            <v>4307984</v>
          </cell>
          <cell r="F25">
            <v>4748413</v>
          </cell>
        </row>
        <row r="26">
          <cell r="D26">
            <v>345613</v>
          </cell>
          <cell r="E26">
            <v>2752681</v>
          </cell>
          <cell r="F26">
            <v>6742003</v>
          </cell>
        </row>
        <row r="36">
          <cell r="C36">
            <v>848</v>
          </cell>
          <cell r="D36">
            <v>2359</v>
          </cell>
          <cell r="E36">
            <v>24420</v>
          </cell>
          <cell r="F36">
            <v>22801</v>
          </cell>
          <cell r="G36">
            <v>18657</v>
          </cell>
        </row>
        <row r="37">
          <cell r="C37">
            <v>505</v>
          </cell>
          <cell r="D37">
            <v>1349</v>
          </cell>
          <cell r="E37">
            <v>8183</v>
          </cell>
          <cell r="F37">
            <v>6354</v>
          </cell>
          <cell r="G37">
            <v>6057</v>
          </cell>
        </row>
        <row r="38">
          <cell r="C38">
            <v>1082</v>
          </cell>
          <cell r="D38">
            <v>3051</v>
          </cell>
          <cell r="E38">
            <v>22312</v>
          </cell>
          <cell r="F38">
            <v>17972</v>
          </cell>
          <cell r="G38">
            <v>14772</v>
          </cell>
        </row>
        <row r="39">
          <cell r="C39">
            <v>659</v>
          </cell>
          <cell r="D39">
            <v>495</v>
          </cell>
          <cell r="E39">
            <v>10929</v>
          </cell>
          <cell r="F39">
            <v>12310</v>
          </cell>
          <cell r="G39">
            <v>8777</v>
          </cell>
        </row>
        <row r="40">
          <cell r="C40">
            <v>247</v>
          </cell>
          <cell r="D40">
            <v>554</v>
          </cell>
          <cell r="E40">
            <v>1582</v>
          </cell>
          <cell r="F40">
            <v>1770</v>
          </cell>
          <cell r="G40">
            <v>1399</v>
          </cell>
        </row>
        <row r="41">
          <cell r="C41">
            <v>16</v>
          </cell>
          <cell r="D41">
            <v>20</v>
          </cell>
          <cell r="E41">
            <v>74</v>
          </cell>
          <cell r="F41">
            <v>75</v>
          </cell>
          <cell r="G41">
            <v>75</v>
          </cell>
        </row>
        <row r="42">
          <cell r="C42">
            <v>251</v>
          </cell>
          <cell r="D42">
            <v>1073</v>
          </cell>
          <cell r="E42">
            <v>2693</v>
          </cell>
          <cell r="F42">
            <v>3331</v>
          </cell>
          <cell r="G42">
            <v>1718</v>
          </cell>
        </row>
        <row r="43">
          <cell r="C43">
            <v>141</v>
          </cell>
          <cell r="D43">
            <v>378</v>
          </cell>
          <cell r="E43">
            <v>1131</v>
          </cell>
          <cell r="F43">
            <v>688</v>
          </cell>
          <cell r="G43">
            <v>533</v>
          </cell>
        </row>
        <row r="44">
          <cell r="C44">
            <v>495</v>
          </cell>
          <cell r="D44">
            <v>970</v>
          </cell>
          <cell r="E44">
            <v>2301</v>
          </cell>
          <cell r="F44">
            <v>2635</v>
          </cell>
          <cell r="G44">
            <v>1321</v>
          </cell>
        </row>
        <row r="45">
          <cell r="C45">
            <v>75</v>
          </cell>
          <cell r="D45">
            <v>163</v>
          </cell>
          <cell r="E45">
            <v>950</v>
          </cell>
          <cell r="F45">
            <v>2513</v>
          </cell>
          <cell r="G45">
            <v>573</v>
          </cell>
        </row>
        <row r="46">
          <cell r="C46">
            <v>26</v>
          </cell>
          <cell r="D46">
            <v>42</v>
          </cell>
          <cell r="E46">
            <v>296</v>
          </cell>
          <cell r="F46">
            <v>693</v>
          </cell>
          <cell r="G46">
            <v>112</v>
          </cell>
        </row>
        <row r="47">
          <cell r="C47" t="str">
            <v xml:space="preserve"> </v>
          </cell>
          <cell r="D47">
            <v>15</v>
          </cell>
          <cell r="E47">
            <v>14</v>
          </cell>
          <cell r="F47">
            <v>17</v>
          </cell>
          <cell r="G47">
            <v>11</v>
          </cell>
        </row>
        <row r="48">
          <cell r="C48">
            <v>23</v>
          </cell>
          <cell r="D48">
            <v>91</v>
          </cell>
          <cell r="E48">
            <v>262</v>
          </cell>
          <cell r="F48">
            <v>190</v>
          </cell>
          <cell r="G48">
            <v>127</v>
          </cell>
        </row>
        <row r="49">
          <cell r="C49">
            <v>369</v>
          </cell>
          <cell r="D49">
            <v>271</v>
          </cell>
          <cell r="E49">
            <v>1733</v>
          </cell>
          <cell r="F49">
            <v>1437</v>
          </cell>
          <cell r="G49">
            <v>993</v>
          </cell>
        </row>
        <row r="50">
          <cell r="C50">
            <v>294</v>
          </cell>
          <cell r="D50">
            <v>643</v>
          </cell>
          <cell r="E50">
            <v>736</v>
          </cell>
          <cell r="F50">
            <v>1319</v>
          </cell>
          <cell r="G50">
            <v>985</v>
          </cell>
        </row>
        <row r="51">
          <cell r="C51" t="str">
            <v xml:space="preserve"> </v>
          </cell>
          <cell r="D51">
            <v>8</v>
          </cell>
          <cell r="E51">
            <v>2</v>
          </cell>
          <cell r="F51">
            <v>2</v>
          </cell>
          <cell r="G51" t="str">
            <v xml:space="preserve"> </v>
          </cell>
        </row>
        <row r="58">
          <cell r="C58">
            <v>57</v>
          </cell>
          <cell r="D58">
            <v>450</v>
          </cell>
          <cell r="E58">
            <v>4506</v>
          </cell>
          <cell r="F58">
            <v>5750</v>
          </cell>
          <cell r="G58">
            <v>1898</v>
          </cell>
        </row>
        <row r="59">
          <cell r="C59">
            <v>655</v>
          </cell>
          <cell r="D59">
            <v>4922</v>
          </cell>
          <cell r="E59">
            <v>104993</v>
          </cell>
          <cell r="F59">
            <v>108801</v>
          </cell>
          <cell r="G59">
            <v>26855</v>
          </cell>
        </row>
        <row r="60">
          <cell r="C60">
            <v>1641</v>
          </cell>
          <cell r="D60">
            <v>7721</v>
          </cell>
          <cell r="E60">
            <v>85643</v>
          </cell>
          <cell r="F60">
            <v>100177</v>
          </cell>
          <cell r="G60">
            <v>36846</v>
          </cell>
        </row>
        <row r="61">
          <cell r="C61" t="str">
            <v xml:space="preserve"> </v>
          </cell>
          <cell r="D61">
            <v>1</v>
          </cell>
          <cell r="E61">
            <v>4</v>
          </cell>
          <cell r="F61">
            <v>4</v>
          </cell>
          <cell r="G61" t="str">
            <v xml:space="preserve"> </v>
          </cell>
        </row>
        <row r="65">
          <cell r="C65">
            <v>6712</v>
          </cell>
          <cell r="D65">
            <v>166472</v>
          </cell>
          <cell r="E65">
            <v>293520</v>
          </cell>
          <cell r="F65">
            <v>541007</v>
          </cell>
          <cell r="G65">
            <v>271753</v>
          </cell>
        </row>
        <row r="66">
          <cell r="C66" t="str">
            <v xml:space="preserve"> </v>
          </cell>
          <cell r="D66">
            <v>24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</row>
        <row r="67">
          <cell r="C67" t="str">
            <v xml:space="preserve"> </v>
          </cell>
          <cell r="D67">
            <v>25005</v>
          </cell>
          <cell r="E67">
            <v>101840</v>
          </cell>
          <cell r="F67">
            <v>166634</v>
          </cell>
          <cell r="G67">
            <v>251586</v>
          </cell>
        </row>
        <row r="68">
          <cell r="C68" t="str">
            <v xml:space="preserve"> </v>
          </cell>
          <cell r="D68">
            <v>50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C69">
            <v>200</v>
          </cell>
          <cell r="D69">
            <v>50</v>
          </cell>
          <cell r="E69" t="str">
            <v xml:space="preserve"> </v>
          </cell>
          <cell r="F69">
            <v>72</v>
          </cell>
          <cell r="G69" t="str">
            <v xml:space="preserve"> </v>
          </cell>
        </row>
        <row r="70">
          <cell r="C70" t="str">
            <v xml:space="preserve"> </v>
          </cell>
          <cell r="D70">
            <v>7443</v>
          </cell>
          <cell r="E70">
            <v>292682</v>
          </cell>
          <cell r="F70">
            <v>24810</v>
          </cell>
          <cell r="G70">
            <v>899700</v>
          </cell>
        </row>
        <row r="71">
          <cell r="C71" t="str">
            <v xml:space="preserve"> </v>
          </cell>
          <cell r="D71" t="str">
            <v xml:space="preserve"> </v>
          </cell>
          <cell r="E71">
            <v>72</v>
          </cell>
          <cell r="F71" t="str">
            <v xml:space="preserve"> </v>
          </cell>
          <cell r="G71" t="str">
            <v xml:space="preserve"> </v>
          </cell>
        </row>
        <row r="72">
          <cell r="C72" t="str">
            <v xml:space="preserve"> </v>
          </cell>
          <cell r="D72">
            <v>50</v>
          </cell>
          <cell r="E72">
            <v>50</v>
          </cell>
          <cell r="F72">
            <v>1005</v>
          </cell>
          <cell r="G72" t="str">
            <v xml:space="preserve"> </v>
          </cell>
        </row>
        <row r="73">
          <cell r="C73" t="str">
            <v xml:space="preserve"> </v>
          </cell>
          <cell r="D73" t="str">
            <v xml:space="preserve"> </v>
          </cell>
          <cell r="E73">
            <v>50</v>
          </cell>
          <cell r="F73">
            <v>160</v>
          </cell>
          <cell r="G73" t="str">
            <v xml:space="preserve"> </v>
          </cell>
        </row>
        <row r="74">
          <cell r="C74" t="str">
            <v xml:space="preserve"> </v>
          </cell>
          <cell r="D74">
            <v>2</v>
          </cell>
          <cell r="E74" t="str">
            <v xml:space="preserve"> </v>
          </cell>
          <cell r="F74" t="str">
            <v xml:space="preserve"> </v>
          </cell>
          <cell r="G74">
            <v>102</v>
          </cell>
        </row>
        <row r="75">
          <cell r="C75">
            <v>363</v>
          </cell>
          <cell r="D75">
            <v>2327</v>
          </cell>
          <cell r="E75">
            <v>450</v>
          </cell>
          <cell r="F75">
            <v>2901</v>
          </cell>
          <cell r="G75">
            <v>80</v>
          </cell>
        </row>
        <row r="76">
          <cell r="C76" t="str">
            <v xml:space="preserve"> </v>
          </cell>
          <cell r="D76" t="str">
            <v xml:space="preserve"> </v>
          </cell>
          <cell r="E76">
            <v>12</v>
          </cell>
          <cell r="F76" t="str">
            <v xml:space="preserve"> </v>
          </cell>
          <cell r="G76" t="str">
            <v xml:space="preserve"> </v>
          </cell>
        </row>
        <row r="77">
          <cell r="C77">
            <v>423</v>
          </cell>
          <cell r="D77">
            <v>5846</v>
          </cell>
          <cell r="E77">
            <v>3283</v>
          </cell>
          <cell r="F77">
            <v>152100</v>
          </cell>
          <cell r="G77">
            <v>58205</v>
          </cell>
        </row>
        <row r="78">
          <cell r="C78" t="str">
            <v xml:space="preserve"> </v>
          </cell>
          <cell r="D78">
            <v>20</v>
          </cell>
          <cell r="E78">
            <v>24</v>
          </cell>
          <cell r="F78" t="str">
            <v xml:space="preserve"> </v>
          </cell>
          <cell r="G78">
            <v>202</v>
          </cell>
        </row>
      </sheetData>
      <sheetData sheetId="11">
        <row r="11">
          <cell r="D11">
            <v>0</v>
          </cell>
        </row>
        <row r="12">
          <cell r="D12">
            <v>0.5803853136012822</v>
          </cell>
        </row>
        <row r="13">
          <cell r="D13">
            <v>2.0313485976044867</v>
          </cell>
        </row>
        <row r="18">
          <cell r="D18">
            <v>20</v>
          </cell>
        </row>
        <row r="19">
          <cell r="D19">
            <v>0</v>
          </cell>
        </row>
        <row r="20">
          <cell r="D20">
            <v>0.48888888888888882</v>
          </cell>
        </row>
        <row r="23">
          <cell r="D23">
            <v>0</v>
          </cell>
        </row>
        <row r="24">
          <cell r="D24">
            <v>0.77777777777777768</v>
          </cell>
        </row>
        <row r="25">
          <cell r="D25">
            <v>2.6117339112057687</v>
          </cell>
        </row>
      </sheetData>
      <sheetData sheetId="12">
        <row r="11">
          <cell r="D11">
            <v>0</v>
          </cell>
        </row>
        <row r="12">
          <cell r="D12">
            <v>2.6666666666666665</v>
          </cell>
        </row>
        <row r="13">
          <cell r="D13">
            <v>0</v>
          </cell>
        </row>
        <row r="16">
          <cell r="D16">
            <v>306</v>
          </cell>
        </row>
        <row r="17">
          <cell r="D17">
            <v>22</v>
          </cell>
        </row>
        <row r="18">
          <cell r="D18">
            <v>0</v>
          </cell>
        </row>
        <row r="19">
          <cell r="D19">
            <v>104</v>
          </cell>
        </row>
        <row r="20">
          <cell r="D20">
            <v>7</v>
          </cell>
        </row>
        <row r="23">
          <cell r="D23">
            <v>18</v>
          </cell>
        </row>
        <row r="24">
          <cell r="D24">
            <v>0</v>
          </cell>
        </row>
        <row r="25">
          <cell r="D25">
            <v>118</v>
          </cell>
        </row>
      </sheetData>
      <sheetData sheetId="13">
        <row r="3">
          <cell r="A3" t="str">
            <v>Årstal</v>
          </cell>
          <cell r="B3">
            <v>2019</v>
          </cell>
          <cell r="C3">
            <v>2030</v>
          </cell>
          <cell r="D3">
            <v>2050</v>
          </cell>
        </row>
        <row r="4">
          <cell r="A4" t="str">
            <v>Antal personer</v>
          </cell>
          <cell r="B4">
            <v>5806081</v>
          </cell>
          <cell r="C4">
            <v>6043285</v>
          </cell>
          <cell r="D4">
            <v>6301050</v>
          </cell>
        </row>
        <row r="5">
          <cell r="A5" t="str">
            <v>Vestdanmark</v>
          </cell>
          <cell r="B5">
            <v>3133781</v>
          </cell>
          <cell r="C5">
            <v>3238884</v>
          </cell>
          <cell r="D5">
            <v>3365158</v>
          </cell>
        </row>
        <row r="6">
          <cell r="A6" t="str">
            <v>Østdanmark</v>
          </cell>
          <cell r="B6">
            <v>2672300</v>
          </cell>
          <cell r="C6">
            <v>2804401</v>
          </cell>
          <cell r="D6">
            <v>2935892</v>
          </cell>
        </row>
        <row r="11">
          <cell r="D11">
            <v>1835562</v>
          </cell>
        </row>
        <row r="12">
          <cell r="D12">
            <v>836738</v>
          </cell>
        </row>
        <row r="13">
          <cell r="D13">
            <v>1223348</v>
          </cell>
        </row>
        <row r="19">
          <cell r="D19">
            <v>2048</v>
          </cell>
        </row>
        <row r="20">
          <cell r="D20">
            <v>2050612</v>
          </cell>
        </row>
        <row r="23">
          <cell r="D23">
            <v>1481432</v>
          </cell>
        </row>
        <row r="24">
          <cell r="D24">
            <v>603952</v>
          </cell>
        </row>
      </sheetData>
      <sheetData sheetId="14">
        <row r="16">
          <cell r="D16" t="str">
            <v>..</v>
          </cell>
        </row>
        <row r="17">
          <cell r="D17" t="str">
            <v>..</v>
          </cell>
        </row>
        <row r="18">
          <cell r="D18">
            <v>706269</v>
          </cell>
        </row>
        <row r="19">
          <cell r="D19" t="str">
            <v>..</v>
          </cell>
        </row>
        <row r="20">
          <cell r="D20" t="str">
            <v>..</v>
          </cell>
        </row>
      </sheetData>
      <sheetData sheetId="15">
        <row r="16">
          <cell r="D16">
            <v>189772</v>
          </cell>
        </row>
        <row r="17">
          <cell r="D17">
            <v>488981</v>
          </cell>
        </row>
        <row r="18">
          <cell r="D18">
            <v>222906</v>
          </cell>
        </row>
        <row r="19">
          <cell r="D19">
            <v>224372</v>
          </cell>
        </row>
        <row r="23">
          <cell r="D23" t="str">
            <v>100030 Mejerier</v>
          </cell>
        </row>
        <row r="24">
          <cell r="D24">
            <v>0</v>
          </cell>
        </row>
        <row r="25">
          <cell r="D25">
            <v>9</v>
          </cell>
        </row>
      </sheetData>
      <sheetData sheetId="16">
        <row r="2">
          <cell r="A2" t="str">
            <v>Halm</v>
          </cell>
          <cell r="B2">
            <v>160.6</v>
          </cell>
          <cell r="C2">
            <v>0.85</v>
          </cell>
        </row>
        <row r="3">
          <cell r="A3" t="str">
            <v>Græs</v>
          </cell>
          <cell r="B3">
            <v>51.25</v>
          </cell>
          <cell r="C3">
            <v>0.28000000000000003</v>
          </cell>
        </row>
        <row r="4">
          <cell r="A4" t="str">
            <v>Svinegylle</v>
          </cell>
          <cell r="B4">
            <v>12</v>
          </cell>
          <cell r="C4">
            <v>0.05</v>
          </cell>
        </row>
        <row r="5">
          <cell r="A5" t="str">
            <v>Kvæggylle</v>
          </cell>
          <cell r="B5">
            <v>14.1</v>
          </cell>
          <cell r="C5">
            <v>7.5999999999999998E-2</v>
          </cell>
        </row>
        <row r="6">
          <cell r="A6" t="str">
            <v>Fjerkrægylle</v>
          </cell>
          <cell r="B6">
            <v>13.1</v>
          </cell>
          <cell r="C6">
            <v>6.3E-2</v>
          </cell>
        </row>
        <row r="7">
          <cell r="A7" t="str">
            <v>Dybstrøelse</v>
          </cell>
          <cell r="B7">
            <v>60</v>
          </cell>
          <cell r="C7">
            <v>0.3</v>
          </cell>
        </row>
        <row r="8">
          <cell r="A8" t="str">
            <v>Majs</v>
          </cell>
          <cell r="B8">
            <v>100</v>
          </cell>
          <cell r="C8">
            <v>0.3</v>
          </cell>
        </row>
        <row r="9">
          <cell r="A9" t="str">
            <v>Roer</v>
          </cell>
          <cell r="B9">
            <v>75.599999999999994</v>
          </cell>
          <cell r="C9">
            <v>0.2</v>
          </cell>
        </row>
        <row r="10">
          <cell r="A10" t="str">
            <v>Bioaffald</v>
          </cell>
          <cell r="B10">
            <v>94.9</v>
          </cell>
          <cell r="C10">
            <v>0.28000000000000003</v>
          </cell>
        </row>
        <row r="11">
          <cell r="A11" t="str">
            <v>Industriaffald</v>
          </cell>
          <cell r="B11">
            <v>120.7</v>
          </cell>
          <cell r="C11">
            <v>0.42</v>
          </cell>
        </row>
        <row r="12">
          <cell r="A12" t="str">
            <v>Muslinger</v>
          </cell>
          <cell r="B12">
            <v>25</v>
          </cell>
          <cell r="C12">
            <v>0.15</v>
          </cell>
        </row>
        <row r="13">
          <cell r="A13" t="str">
            <v>Tang</v>
          </cell>
          <cell r="B13">
            <v>25</v>
          </cell>
          <cell r="C13">
            <v>0.15</v>
          </cell>
        </row>
        <row r="14">
          <cell r="A14" t="str">
            <v>Korn</v>
          </cell>
          <cell r="B14">
            <v>95.4</v>
          </cell>
          <cell r="C14">
            <v>0.31</v>
          </cell>
        </row>
        <row r="15">
          <cell r="A15" t="str">
            <v>Have/parkaffald</v>
          </cell>
          <cell r="B15">
            <v>47.3</v>
          </cell>
          <cell r="C15">
            <v>0.3</v>
          </cell>
        </row>
        <row r="16">
          <cell r="A16" t="str">
            <v>Brun saft</v>
          </cell>
          <cell r="B16">
            <v>15.822453396634783</v>
          </cell>
          <cell r="C16">
            <v>4.2763387558472386E-2</v>
          </cell>
        </row>
        <row r="17">
          <cell r="A17" t="str">
            <v>Glycerin</v>
          </cell>
          <cell r="B17">
            <v>423.36</v>
          </cell>
          <cell r="C17">
            <v>0.9</v>
          </cell>
        </row>
        <row r="18">
          <cell r="A18" t="str">
            <v>Spildevandsslam</v>
          </cell>
          <cell r="B18">
            <v>13.9</v>
          </cell>
          <cell r="C18">
            <v>0.06</v>
          </cell>
        </row>
      </sheetData>
      <sheetData sheetId="17">
        <row r="2">
          <cell r="A2" t="str">
            <v>Halm</v>
          </cell>
          <cell r="B2" t="str">
            <v>PJ/ton</v>
          </cell>
          <cell r="C2">
            <v>1.0335806339134365E-5</v>
          </cell>
        </row>
        <row r="3">
          <cell r="A3" t="str">
            <v>Rapsolie</v>
          </cell>
          <cell r="B3" t="str">
            <v>PJ/ton</v>
          </cell>
          <cell r="C3">
            <v>3.4999999999999997E-5</v>
          </cell>
        </row>
        <row r="4">
          <cell r="A4" t="str">
            <v>Pil &amp; poppel</v>
          </cell>
          <cell r="B4" t="str">
            <v>PJ/ton</v>
          </cell>
          <cell r="C4">
            <v>1.8399999999999997E-5</v>
          </cell>
        </row>
        <row r="5">
          <cell r="A5" t="str">
            <v>Træ til energi</v>
          </cell>
          <cell r="B5" t="str">
            <v>PJ/m3</v>
          </cell>
          <cell r="C5">
            <v>1.449356890077532E-5</v>
          </cell>
        </row>
        <row r="6">
          <cell r="A6" t="str">
            <v>Have/parkaffald</v>
          </cell>
          <cell r="B6" t="str">
            <v>PJ/ton</v>
          </cell>
          <cell r="C6">
            <v>1.7852220520673815E-5</v>
          </cell>
        </row>
        <row r="7">
          <cell r="A7" t="str">
            <v>Bioaffald</v>
          </cell>
          <cell r="B7" t="str">
            <v>PJ/ton</v>
          </cell>
          <cell r="C7">
            <v>1.7852220520673815E-5</v>
          </cell>
        </row>
        <row r="8">
          <cell r="A8" t="str">
            <v>Pyrolyseolie</v>
          </cell>
          <cell r="B8" t="str">
            <v>PJ/ton</v>
          </cell>
          <cell r="C8">
            <v>3.326857142857142E-5</v>
          </cell>
        </row>
        <row r="9">
          <cell r="A9" t="str">
            <v>Pyrolysegas</v>
          </cell>
          <cell r="B9" t="str">
            <v>PJ/ton</v>
          </cell>
          <cell r="C9">
            <v>8.9614285714285689E-6</v>
          </cell>
        </row>
        <row r="10">
          <cell r="A10" t="str">
            <v>Biogas</v>
          </cell>
          <cell r="B10" t="str">
            <v>PJ/m3</v>
          </cell>
          <cell r="C10">
            <v>3.5900000000000004E-8</v>
          </cell>
        </row>
        <row r="13">
          <cell r="D13" t="str">
            <v>DK-BioRes 2019</v>
          </cell>
        </row>
        <row r="18">
          <cell r="D18">
            <v>215072</v>
          </cell>
        </row>
        <row r="19">
          <cell r="D19">
            <v>1.449356890077532E-5</v>
          </cell>
        </row>
        <row r="24">
          <cell r="D24">
            <v>1.7852220520673815E-5</v>
          </cell>
        </row>
      </sheetData>
      <sheetData sheetId="18">
        <row r="2">
          <cell r="A2" t="str">
            <v>Bælgsæd</v>
          </cell>
          <cell r="B2">
            <v>0.85</v>
          </cell>
        </row>
        <row r="3">
          <cell r="A3" t="str">
            <v>Bioaffald</v>
          </cell>
          <cell r="B3">
            <v>0.28000000000000003</v>
          </cell>
        </row>
        <row r="4">
          <cell r="A4" t="str">
            <v>Brun saft</v>
          </cell>
          <cell r="B4">
            <v>4.2763387558472386E-2</v>
          </cell>
        </row>
        <row r="5">
          <cell r="A5" t="str">
            <v>Dybstrøelse</v>
          </cell>
          <cell r="B5">
            <v>0.3</v>
          </cell>
        </row>
        <row r="6">
          <cell r="A6" t="str">
            <v>Fjerkrægylle</v>
          </cell>
          <cell r="B6">
            <v>6.3E-2</v>
          </cell>
        </row>
        <row r="7">
          <cell r="A7" t="str">
            <v>Glycerin</v>
          </cell>
          <cell r="B7">
            <v>0.9</v>
          </cell>
        </row>
        <row r="8">
          <cell r="A8" t="str">
            <v>Græs</v>
          </cell>
          <cell r="B8">
            <v>0.28000000000000003</v>
          </cell>
        </row>
        <row r="9">
          <cell r="A9" t="str">
            <v>Halm</v>
          </cell>
          <cell r="B9">
            <v>0.85</v>
          </cell>
        </row>
        <row r="10">
          <cell r="A10" t="str">
            <v>Have/parkaffald</v>
          </cell>
          <cell r="B10">
            <v>0.3</v>
          </cell>
        </row>
        <row r="11">
          <cell r="A11" t="str">
            <v>Industriaffald</v>
          </cell>
          <cell r="B11">
            <v>0.42</v>
          </cell>
        </row>
        <row r="12">
          <cell r="A12" t="str">
            <v>Kartofler</v>
          </cell>
          <cell r="B12">
            <v>0.25</v>
          </cell>
        </row>
        <row r="13">
          <cell r="A13" t="str">
            <v>Korn</v>
          </cell>
          <cell r="B13">
            <v>0.31</v>
          </cell>
        </row>
        <row r="14">
          <cell r="A14" t="str">
            <v>Kvæggylle</v>
          </cell>
          <cell r="B14">
            <v>7.5999999999999998E-2</v>
          </cell>
        </row>
        <row r="15">
          <cell r="A15" t="str">
            <v>Majs</v>
          </cell>
          <cell r="B15">
            <v>0.3</v>
          </cell>
        </row>
        <row r="16">
          <cell r="A16" t="str">
            <v>Muslinger</v>
          </cell>
          <cell r="B16">
            <v>0.15</v>
          </cell>
        </row>
        <row r="17">
          <cell r="A17" t="str">
            <v>Pil &amp; poppel</v>
          </cell>
          <cell r="B17">
            <v>0.41500000000000004</v>
          </cell>
        </row>
        <row r="18">
          <cell r="A18" t="str">
            <v>Raps</v>
          </cell>
          <cell r="B18">
            <v>0.91</v>
          </cell>
        </row>
        <row r="19">
          <cell r="A19" t="str">
            <v>Rapskage</v>
          </cell>
          <cell r="B19">
            <v>0.91</v>
          </cell>
        </row>
        <row r="20">
          <cell r="A20" t="str">
            <v>Rapsolie</v>
          </cell>
          <cell r="B20">
            <v>0.91</v>
          </cell>
        </row>
        <row r="21">
          <cell r="A21" t="str">
            <v>Roer</v>
          </cell>
          <cell r="B21">
            <v>0.2</v>
          </cell>
        </row>
        <row r="22">
          <cell r="A22" t="str">
            <v>Spildevandsslam</v>
          </cell>
          <cell r="B22">
            <v>0.06</v>
          </cell>
        </row>
        <row r="23">
          <cell r="A23" t="str">
            <v>Svinegylle</v>
          </cell>
          <cell r="B23">
            <v>0.05</v>
          </cell>
        </row>
        <row r="24">
          <cell r="A24" t="str">
            <v>Tang</v>
          </cell>
          <cell r="B24">
            <v>0.15</v>
          </cell>
        </row>
        <row r="25">
          <cell r="A25" t="str">
            <v>Træ til energi</v>
          </cell>
          <cell r="B25">
            <v>0.49458333333333332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19212965" createdVersion="7" refreshedVersion="7" minRefreshableVersion="3" recordCount="415" xr:uid="{36C76FB9-81B2-490E-BBB1-DC6F97FF2F43}">
  <cacheSource type="worksheet">
    <worksheetSource ref="A1:E416" sheet="Forbrug af biomasse"/>
  </cacheSource>
  <cacheFields count="5">
    <cacheField name="Type" numFmtId="0">
      <sharedItems containsBlank="1" count="10">
        <s v="Fødevarer"/>
        <s v="Biogas"/>
        <s v="Foder"/>
        <s v="Energi"/>
        <s v="Materialer"/>
        <s v="Gødning"/>
        <s v="Proteinproces"/>
        <s v="Rapskageproduktion"/>
        <s v="Pyrolyseproces"/>
        <m/>
      </sharedItems>
    </cacheField>
    <cacheField name="Region" numFmtId="0">
      <sharedItems containsBlank="1"/>
    </cacheField>
    <cacheField name="Commodity" numFmtId="0">
      <sharedItems containsBlank="1" count="43">
        <s v="Korn"/>
        <s v="Grøntsager"/>
        <s v="Kartofler"/>
        <s v="Svinekød"/>
        <s v="Oksekød"/>
        <s v="Bælgsæd"/>
        <s v="Muslinger"/>
        <s v="Tang"/>
        <s v="Kunstigt kød"/>
        <s v="Mejeriprodukter"/>
        <s v="Fjerkrækød"/>
        <s v="Æg"/>
        <s v="Frugt"/>
        <s v="Fisk"/>
        <s v="Svinegylle"/>
        <s v="Kvæggylle"/>
        <s v="Fjerkrægylle"/>
        <s v="Spildevandsslam"/>
        <s v="Bioaffald"/>
        <s v="Industriaffald"/>
        <s v="Dybstrøelse"/>
        <s v="Brun saft"/>
        <s v="Halm"/>
        <s v="Græs"/>
        <s v="Majs"/>
        <s v="Roer"/>
        <s v="Have/parkaffald"/>
        <s v="Glycerin"/>
        <s v="Rapskage"/>
        <s v="Mælk til foder"/>
        <s v="Fiberfraktion"/>
        <s v="Græsprotein"/>
        <s v="Slagteriaffald til foder"/>
        <s v="Import af foder"/>
        <s v="Rapsolie"/>
        <s v="Pil &amp; poppel"/>
        <s v="Træ til energi"/>
        <s v="Biogasgylle"/>
        <s v="Kunstgødning"/>
        <s v="Raps"/>
        <s v="Pyrolysegas"/>
        <s v="Pyrolyseolie"/>
        <m/>
      </sharedItems>
    </cacheField>
    <cacheField name="År" numFmtId="0">
      <sharedItems containsString="0" containsBlank="1" containsNumber="1" containsInteger="1" minValue="2019" maxValue="2050" count="4">
        <n v="2019"/>
        <n v="2030"/>
        <n v="2050"/>
        <m/>
      </sharedItems>
    </cacheField>
    <cacheField name="Mængde [ton]" numFmtId="0">
      <sharedItems containsString="0" containsBlank="1" containsNumber="1" minValue="0" maxValue="17711207.1286259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19444442" createdVersion="6" refreshedVersion="7" minRefreshableVersion="3" recordCount="90" xr:uid="{FC2A2616-E417-4F32-BDA6-6390F46EA845}">
  <cacheSource type="worksheet">
    <worksheetSource ref="A1:E91" sheet="Arealanvendelsesresultater-big"/>
  </cacheSource>
  <cacheFields count="5">
    <cacheField name="Region" numFmtId="0">
      <sharedItems count="2">
        <s v="Vest"/>
        <s v="Øst"/>
      </sharedItems>
    </cacheField>
    <cacheField name="Areal" numFmtId="0">
      <sharedItems count="5">
        <s v="Bebyggelse &amp; infrastruktur"/>
        <s v="Landbrugsafgrøder"/>
        <s v="Skov"/>
        <s v="Natur"/>
        <s v="Ikke klassificeret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Jordbund" numFmtId="0">
      <sharedItems/>
    </cacheField>
    <cacheField name="Værdi" numFmtId="3">
      <sharedItems containsSemiMixedTypes="0" containsString="0" containsNumber="1" minValue="0" maxValue="1847465.5978301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19791666" createdVersion="6" refreshedVersion="7" minRefreshableVersion="3" recordCount="78" xr:uid="{81824FDB-A755-4503-A5B2-EA8604CC17F6}">
  <cacheSource type="worksheet">
    <worksheetSource ref="A1:D79" sheet="Produktion af afgrøder"/>
  </cacheSource>
  <cacheFields count="4">
    <cacheField name="Afgrøde" numFmtId="0">
      <sharedItems count="13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</sharedItems>
    </cacheField>
    <cacheField name="Region" numFmtId="0">
      <sharedItems count="2">
        <s v="Vestdanmark"/>
        <s v="Østdanmark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Produktion" numFmtId="171">
      <sharedItems containsSemiMixedTypes="0" containsString="0" containsNumber="1" minValue="15804.526381892863" maxValue="16463363.6023058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254628" createdVersion="6" refreshedVersion="7" minRefreshableVersion="3" recordCount="504" xr:uid="{F72A13A1-772B-43D6-AC9C-AC1BB492D974}">
  <cacheSource type="worksheet">
    <worksheetSource ref="A1:J505" sheet="Landbrugsresultater - pivot"/>
  </cacheSource>
  <cacheFields count="10">
    <cacheField name="Region" numFmtId="0">
      <sharedItems count="2">
        <s v="Vestdanmark"/>
        <s v="Østdanmark"/>
      </sharedItems>
    </cacheField>
    <cacheField name="Afgrøde" numFmtId="0">
      <sharedItems count="15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  <s v="Permanent græs"/>
        <s v="Frøgræs" u="1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Kon/Øko" numFmtId="0">
      <sharedItems/>
    </cacheField>
    <cacheField name="Jordbund" numFmtId="0">
      <sharedItems count="5">
        <s v="JB1-10"/>
        <s v="OC6"/>
        <s v="OC12"/>
        <s v="JB1" u="1"/>
        <s v="Jordbund1-10" u="1"/>
      </sharedItems>
    </cacheField>
    <cacheField name="Bioenergi-navn" numFmtId="0">
      <sharedItems/>
    </cacheField>
    <cacheField name="Arealanvendelse" numFmtId="1">
      <sharedItems containsSemiMixedTypes="0" containsString="0" containsNumber="1" minValue="0.69641242298342532" maxValue="853064.00210361299"/>
    </cacheField>
    <cacheField name="Udbytte, hovedafgrøde" numFmtId="0">
      <sharedItems containsSemiMixedTypes="0" containsString="0" containsNumber="1" minValue="11.531545105971047" maxValue="9377249.6664450932"/>
    </cacheField>
    <cacheField name="Halmudbytte" numFmtId="0">
      <sharedItems containsSemiMixedTypes="0" containsString="0" containsNumber="1" minValue="0" maxValue="1951850.0829625644"/>
    </cacheField>
    <cacheField name="Potentielt til bioenergi" numFmtId="1">
      <sharedItems containsSemiMixedTypes="0" containsString="0" containsNumber="1" minValue="3.7694768510062779" maxValue="9377249.66644509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370374" createdVersion="7" refreshedVersion="7" minRefreshableVersion="3" recordCount="288" xr:uid="{E73CE649-34D2-4547-A4AF-B1792D0E11FA}">
  <cacheSource type="worksheet">
    <worksheetSource ref="A2:Y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01840559.46824086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711207.128625918"/>
    </cacheField>
    <cacheField name="Energi" numFmtId="3">
      <sharedItems containsSemiMixedTypes="0" containsString="0" containsNumber="1" minValue="0" maxValue="501840559.46824086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4150059.6334856153"/>
    </cacheField>
    <cacheField name="Forbrug energi [ton/m3]" numFmtId="3">
      <sharedItems containsSemiMixedTypes="0" containsString="0" containsNumber="1" minValue="0" maxValue="501840559.46824086"/>
    </cacheField>
    <cacheField name="Potentiale til energi [PJ]" numFmtId="0">
      <sharedItems containsSemiMixedTypes="0" containsString="0" containsNumber="1" minValue="0" maxValue="7.635590968159347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1162016.6973759723"/>
    </cacheField>
    <cacheField name="Forbrug/potentiale [Ton TS]" numFmtId="0">
      <sharedItems containsSemiMixedTypes="0" containsString="0" containsNumber="1" minValue="0" maxValue="1183188.63405331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62016.6973759725"/>
    </cacheField>
    <cacheField name="Import at least one year" numFmtId="0">
      <sharedItems containsSemiMixedTypes="0" containsString="0" containsNumber="1" containsInteger="1" minValue="0" maxValue="1" count="2">
        <n v="0"/>
        <n v="1"/>
      </sharedItems>
    </cacheField>
    <cacheField name="Import" numFmtId="0" formula=" ABS('Produktion minus forbrug [ton]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601851" createdVersion="7" refreshedVersion="7" minRefreshableVersion="3" recordCount="288" xr:uid="{DB7E48C5-4053-49AC-B0E7-43CEB6C0C35A}">
  <cacheSource type="worksheet">
    <worksheetSource ref="A2:Z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01840559.46824086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711207.128625918"/>
    </cacheField>
    <cacheField name="Energi" numFmtId="3">
      <sharedItems containsSemiMixedTypes="0" containsString="0" containsNumber="1" minValue="0" maxValue="501840559.46824086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4150059.6334856153"/>
    </cacheField>
    <cacheField name="Forbrug energi [ton/m3]" numFmtId="3">
      <sharedItems containsSemiMixedTypes="0" containsString="0" containsNumber="1" minValue="0" maxValue="501840559.46824086"/>
    </cacheField>
    <cacheField name="Potentiale til energi [PJ]" numFmtId="0">
      <sharedItems containsSemiMixedTypes="0" containsString="0" containsNumber="1" minValue="0" maxValue="7.635590968159347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1162016.6973759723"/>
    </cacheField>
    <cacheField name="Forbrug/potentiale [Ton TS]" numFmtId="0">
      <sharedItems containsSemiMixedTypes="0" containsString="0" containsNumber="1" minValue="0" maxValue="1183188.63405331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62016.6973759725"/>
    </cacheField>
    <cacheField name="Import at least one year" numFmtId="0">
      <sharedItems containsSemiMixedTypes="0" containsString="0" containsNumber="1" containsInteger="1" minValue="0" maxValue="1"/>
    </cacheField>
    <cacheField name="Export at least one yea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949074" createdVersion="7" refreshedVersion="7" minRefreshableVersion="3" recordCount="54" xr:uid="{AF2992CF-3A57-490B-B2C1-71BF0E3C8484}">
  <cacheSource type="worksheet">
    <worksheetSource ref="A1:E55" sheet="CO2-udledning"/>
  </cacheSource>
  <cacheFields count="5">
    <cacheField name="Region" numFmtId="0">
      <sharedItems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Total" numFmtId="0">
      <sharedItems containsSemiMixedTypes="0" containsString="0" containsNumber="1" minValue="-1258781.6445090303" maxValue="12546079.333675962"/>
    </cacheField>
    <cacheField name="Sted" numFmtId="0">
      <sharedItems/>
    </cacheField>
    <cacheField name="Sted2" numFmtId="0">
      <sharedItems count="7">
        <s v="CO2 - atmosfære"/>
        <s v="Husdyr"/>
        <s v="Marker"/>
        <s v="Hav"/>
        <s v="Skov"/>
        <s v="Biogasanlæg"/>
        <s v="Pyrolysepro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1296297" createdVersion="6" refreshedVersion="7" minRefreshableVersion="3" recordCount="288" xr:uid="{822B5E33-E9A7-41DC-AB73-B52BC0B6315D}">
  <cacheSource type="worksheet">
    <worksheetSource ref="A2:X290" sheet="Resultat-Produktion &amp; forbrug"/>
  </cacheSource>
  <cacheFields count="24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 count="12">
        <m/>
        <s v="Bionedbrydeligt affald"/>
        <s v="Husdyrgødning"/>
        <s v="Glycerin"/>
        <s v="Græs og urter"/>
        <s v="Halm og strå"/>
        <s v="Havbiomasse"/>
        <s v="Vedmasse"/>
        <s v="Pyrolyseprodukter"/>
        <s v="Rapsolie"/>
        <s v=""/>
        <s v="Pyrolyse" u="1"/>
      </sharedItems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01840559.46824086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711207.128625918"/>
    </cacheField>
    <cacheField name="Energi" numFmtId="3">
      <sharedItems containsSemiMixedTypes="0" containsString="0" containsNumber="1" minValue="0" maxValue="501840559.46824086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4150059.6334856153"/>
    </cacheField>
    <cacheField name="Forbrug energi [ton/m3]" numFmtId="3">
      <sharedItems containsSemiMixedTypes="0" containsString="0" containsNumber="1" minValue="0" maxValue="501840559.46824086"/>
    </cacheField>
    <cacheField name="Potentiale til energi [PJ]" numFmtId="0">
      <sharedItems containsSemiMixedTypes="0" containsString="0" containsNumber="1" minValue="0" maxValue="7.635590968159347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1162016.6973759723"/>
    </cacheField>
    <cacheField name="Forbrug/potentiale [Ton TS]" numFmtId="0">
      <sharedItems containsSemiMixedTypes="0" containsString="0" containsNumber="1" minValue="0" maxValue="1183188.63405331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62016.69737597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">
  <r>
    <x v="0"/>
    <s v="Vestdanmark"/>
    <x v="0"/>
    <x v="0"/>
    <n v="286329.90483694919"/>
  </r>
  <r>
    <x v="0"/>
    <s v="Vestdanmark"/>
    <x v="1"/>
    <x v="0"/>
    <n v="261374.54615849949"/>
  </r>
  <r>
    <x v="0"/>
    <s v="Vestdanmark"/>
    <x v="2"/>
    <x v="0"/>
    <n v="119523.03367046962"/>
  </r>
  <r>
    <x v="0"/>
    <s v="Vestdanmark"/>
    <x v="3"/>
    <x v="0"/>
    <n v="117920.63695532705"/>
  </r>
  <r>
    <x v="0"/>
    <s v="Vestdanmark"/>
    <x v="4"/>
    <x v="0"/>
    <n v="58080.313724265572"/>
  </r>
  <r>
    <x v="0"/>
    <s v="Vestdanmark"/>
    <x v="5"/>
    <x v="0"/>
    <n v="0"/>
  </r>
  <r>
    <x v="0"/>
    <s v="Vestdanmark"/>
    <x v="6"/>
    <x v="0"/>
    <n v="0"/>
  </r>
  <r>
    <x v="0"/>
    <s v="Vestdanmark"/>
    <x v="7"/>
    <x v="0"/>
    <n v="0"/>
  </r>
  <r>
    <x v="0"/>
    <s v="Vestdanmark"/>
    <x v="8"/>
    <x v="0"/>
    <n v="0"/>
  </r>
  <r>
    <x v="0"/>
    <s v="Vestdanmark"/>
    <x v="9"/>
    <x v="0"/>
    <n v="457077.09579476295"/>
  </r>
  <r>
    <x v="0"/>
    <s v="Vestdanmark"/>
    <x v="10"/>
    <x v="0"/>
    <n v="34149.438191562753"/>
  </r>
  <r>
    <x v="0"/>
    <s v="Vestdanmark"/>
    <x v="11"/>
    <x v="0"/>
    <n v="31522.55833067331"/>
  </r>
  <r>
    <x v="0"/>
    <s v="Vestdanmark"/>
    <x v="12"/>
    <x v="0"/>
    <n v="249553.58678449702"/>
  </r>
  <r>
    <x v="0"/>
    <s v="Vestdanmark"/>
    <x v="13"/>
    <x v="0"/>
    <n v="48597.277426454682"/>
  </r>
  <r>
    <x v="0"/>
    <s v="Vestdanmark"/>
    <x v="0"/>
    <x v="1"/>
    <n v="295933.04302308214"/>
  </r>
  <r>
    <x v="0"/>
    <s v="Vestdanmark"/>
    <x v="1"/>
    <x v="1"/>
    <n v="270140.71358529059"/>
  </r>
  <r>
    <x v="0"/>
    <s v="Vestdanmark"/>
    <x v="2"/>
    <x v="1"/>
    <n v="123531.68309679118"/>
  </r>
  <r>
    <x v="0"/>
    <s v="Vestdanmark"/>
    <x v="3"/>
    <x v="1"/>
    <n v="121875.54404868034"/>
  </r>
  <r>
    <x v="0"/>
    <s v="Vestdanmark"/>
    <x v="4"/>
    <x v="1"/>
    <n v="60028.253038902265"/>
  </r>
  <r>
    <x v="0"/>
    <s v="Vestdanmark"/>
    <x v="5"/>
    <x v="1"/>
    <n v="0"/>
  </r>
  <r>
    <x v="0"/>
    <s v="Vestdanmark"/>
    <x v="6"/>
    <x v="1"/>
    <n v="0"/>
  </r>
  <r>
    <x v="0"/>
    <s v="Vestdanmark"/>
    <x v="7"/>
    <x v="1"/>
    <n v="0"/>
  </r>
  <r>
    <x v="0"/>
    <s v="Vestdanmark"/>
    <x v="8"/>
    <x v="1"/>
    <n v="0"/>
  </r>
  <r>
    <x v="0"/>
    <s v="Vestdanmark"/>
    <x v="9"/>
    <x v="1"/>
    <n v="472406.87601849809"/>
  </r>
  <r>
    <x v="0"/>
    <s v="Vestdanmark"/>
    <x v="10"/>
    <x v="1"/>
    <n v="35294.766599083188"/>
  </r>
  <r>
    <x v="0"/>
    <s v="Vestdanmark"/>
    <x v="11"/>
    <x v="1"/>
    <n v="32579.784552999867"/>
  </r>
  <r>
    <x v="0"/>
    <s v="Vestdanmark"/>
    <x v="12"/>
    <x v="1"/>
    <n v="257923.29437791562"/>
  </r>
  <r>
    <x v="0"/>
    <s v="Vestdanmark"/>
    <x v="13"/>
    <x v="1"/>
    <n v="50227.167852541468"/>
  </r>
  <r>
    <x v="0"/>
    <s v="Vestdanmark"/>
    <x v="0"/>
    <x v="2"/>
    <n v="307470.55071854044"/>
  </r>
  <r>
    <x v="0"/>
    <s v="Vestdanmark"/>
    <x v="1"/>
    <x v="2"/>
    <n v="280672.65868343826"/>
  </r>
  <r>
    <x v="0"/>
    <s v="Vestdanmark"/>
    <x v="2"/>
    <x v="2"/>
    <n v="128347.79869443661"/>
  </r>
  <r>
    <x v="0"/>
    <s v="Vestdanmark"/>
    <x v="3"/>
    <x v="2"/>
    <n v="126627.09194270898"/>
  </r>
  <r>
    <x v="0"/>
    <s v="Vestdanmark"/>
    <x v="4"/>
    <x v="2"/>
    <n v="62368.567673274578"/>
  </r>
  <r>
    <x v="0"/>
    <s v="Vestdanmark"/>
    <x v="5"/>
    <x v="2"/>
    <n v="0"/>
  </r>
  <r>
    <x v="0"/>
    <s v="Vestdanmark"/>
    <x v="6"/>
    <x v="2"/>
    <n v="0"/>
  </r>
  <r>
    <x v="0"/>
    <s v="Vestdanmark"/>
    <x v="7"/>
    <x v="2"/>
    <n v="0"/>
  </r>
  <r>
    <x v="0"/>
    <s v="Vestdanmark"/>
    <x v="8"/>
    <x v="2"/>
    <n v="0"/>
  </r>
  <r>
    <x v="0"/>
    <s v="Vestdanmark"/>
    <x v="9"/>
    <x v="2"/>
    <n v="490824.54885344987"/>
  </r>
  <r>
    <x v="0"/>
    <s v="Vestdanmark"/>
    <x v="10"/>
    <x v="2"/>
    <n v="36670.799626981883"/>
  </r>
  <r>
    <x v="0"/>
    <s v="Vestdanmark"/>
    <x v="11"/>
    <x v="2"/>
    <n v="33849.968886444818"/>
  </r>
  <r>
    <x v="0"/>
    <s v="Vestdanmark"/>
    <x v="12"/>
    <x v="2"/>
    <n v="267978.92035102146"/>
  </r>
  <r>
    <x v="0"/>
    <s v="Vestdanmark"/>
    <x v="13"/>
    <x v="2"/>
    <n v="52185.36869993576"/>
  </r>
  <r>
    <x v="0"/>
    <s v="Østdanmark"/>
    <x v="0"/>
    <x v="0"/>
    <n v="244164.92559492172"/>
  </r>
  <r>
    <x v="0"/>
    <s v="Østdanmark"/>
    <x v="1"/>
    <x v="0"/>
    <n v="222884.49629995148"/>
  </r>
  <r>
    <x v="0"/>
    <s v="Østdanmark"/>
    <x v="2"/>
    <x v="0"/>
    <n v="101922.05609696274"/>
  </r>
  <r>
    <x v="0"/>
    <s v="Østdanmark"/>
    <x v="3"/>
    <x v="0"/>
    <n v="100555.62853170674"/>
  </r>
  <r>
    <x v="0"/>
    <s v="Østdanmark"/>
    <x v="4"/>
    <x v="0"/>
    <n v="49527.399127557059"/>
  </r>
  <r>
    <x v="0"/>
    <s v="Østdanmark"/>
    <x v="5"/>
    <x v="0"/>
    <n v="0"/>
  </r>
  <r>
    <x v="0"/>
    <s v="Østdanmark"/>
    <x v="6"/>
    <x v="0"/>
    <n v="0"/>
  </r>
  <r>
    <x v="0"/>
    <s v="Østdanmark"/>
    <x v="7"/>
    <x v="0"/>
    <n v="0"/>
  </r>
  <r>
    <x v="0"/>
    <s v="Østdanmark"/>
    <x v="8"/>
    <x v="0"/>
    <n v="0"/>
  </r>
  <r>
    <x v="0"/>
    <s v="Østdanmark"/>
    <x v="9"/>
    <x v="0"/>
    <n v="389767.86287629709"/>
  </r>
  <r>
    <x v="0"/>
    <s v="Østdanmark"/>
    <x v="10"/>
    <x v="0"/>
    <n v="29120.587456275069"/>
  </r>
  <r>
    <x v="0"/>
    <s v="Østdanmark"/>
    <x v="11"/>
    <x v="0"/>
    <n v="26880.542267330831"/>
  </r>
  <r>
    <x v="0"/>
    <s v="Østdanmark"/>
    <x v="12"/>
    <x v="0"/>
    <n v="212804.29294970242"/>
  </r>
  <r>
    <x v="0"/>
    <s v="Østdanmark"/>
    <x v="13"/>
    <x v="0"/>
    <n v="41440.835995468369"/>
  </r>
  <r>
    <x v="0"/>
    <s v="Østdanmark"/>
    <x v="0"/>
    <x v="1"/>
    <n v="256234.83946537593"/>
  </r>
  <r>
    <x v="0"/>
    <s v="Østdanmark"/>
    <x v="1"/>
    <x v="1"/>
    <n v="233902.44520004498"/>
  </r>
  <r>
    <x v="0"/>
    <s v="Østdanmark"/>
    <x v="2"/>
    <x v="1"/>
    <n v="106960.41463921656"/>
  </r>
  <r>
    <x v="0"/>
    <s v="Østdanmark"/>
    <x v="3"/>
    <x v="1"/>
    <n v="105526.43984954793"/>
  </r>
  <r>
    <x v="0"/>
    <s v="Østdanmark"/>
    <x v="4"/>
    <x v="1"/>
    <n v="51975.70917962808"/>
  </r>
  <r>
    <x v="0"/>
    <s v="Østdanmark"/>
    <x v="5"/>
    <x v="1"/>
    <n v="0"/>
  </r>
  <r>
    <x v="0"/>
    <s v="Østdanmark"/>
    <x v="6"/>
    <x v="1"/>
    <n v="0"/>
  </r>
  <r>
    <x v="0"/>
    <s v="Østdanmark"/>
    <x v="7"/>
    <x v="1"/>
    <n v="0"/>
  </r>
  <r>
    <x v="0"/>
    <s v="Østdanmark"/>
    <x v="8"/>
    <x v="1"/>
    <n v="0"/>
  </r>
  <r>
    <x v="0"/>
    <s v="Østdanmark"/>
    <x v="9"/>
    <x v="1"/>
    <n v="409035.43180711387"/>
  </r>
  <r>
    <x v="0"/>
    <s v="Østdanmark"/>
    <x v="10"/>
    <x v="1"/>
    <n v="30560.118468347584"/>
  </r>
  <r>
    <x v="0"/>
    <s v="Østdanmark"/>
    <x v="11"/>
    <x v="1"/>
    <n v="28209.340124628539"/>
  </r>
  <r>
    <x v="0"/>
    <s v="Østdanmark"/>
    <x v="12"/>
    <x v="1"/>
    <n v="223323.94265330929"/>
  </r>
  <r>
    <x v="0"/>
    <s v="Østdanmark"/>
    <x v="13"/>
    <x v="1"/>
    <n v="43489.39935880233"/>
  </r>
  <r>
    <x v="0"/>
    <s v="Østdanmark"/>
    <x v="0"/>
    <x v="2"/>
    <n v="268249.01834925939"/>
  </r>
  <r>
    <x v="0"/>
    <s v="Østdanmark"/>
    <x v="1"/>
    <x v="2"/>
    <n v="244869.51675001203"/>
  </r>
  <r>
    <x v="0"/>
    <s v="Østdanmark"/>
    <x v="2"/>
    <x v="2"/>
    <n v="111975.50765955324"/>
  </r>
  <r>
    <x v="0"/>
    <s v="Østdanmark"/>
    <x v="3"/>
    <x v="2"/>
    <n v="110474.29755686472"/>
  </r>
  <r>
    <x v="0"/>
    <s v="Østdanmark"/>
    <x v="4"/>
    <x v="2"/>
    <n v="54412.71372203785"/>
  </r>
  <r>
    <x v="0"/>
    <s v="Østdanmark"/>
    <x v="5"/>
    <x v="2"/>
    <n v="0"/>
  </r>
  <r>
    <x v="0"/>
    <s v="Østdanmark"/>
    <x v="6"/>
    <x v="2"/>
    <n v="0"/>
  </r>
  <r>
    <x v="0"/>
    <s v="Østdanmark"/>
    <x v="7"/>
    <x v="2"/>
    <n v="0"/>
  </r>
  <r>
    <x v="0"/>
    <s v="Østdanmark"/>
    <x v="8"/>
    <x v="2"/>
    <n v="0"/>
  </r>
  <r>
    <x v="0"/>
    <s v="Østdanmark"/>
    <x v="9"/>
    <x v="2"/>
    <n v="428214.02929147833"/>
  </r>
  <r>
    <x v="0"/>
    <s v="Østdanmark"/>
    <x v="10"/>
    <x v="2"/>
    <n v="31993.002188443785"/>
  </r>
  <r>
    <x v="0"/>
    <s v="Østdanmark"/>
    <x v="11"/>
    <x v="2"/>
    <n v="29532.002020101954"/>
  </r>
  <r>
    <x v="0"/>
    <s v="Østdanmark"/>
    <x v="12"/>
    <x v="2"/>
    <n v="233795.01599247381"/>
  </r>
  <r>
    <x v="0"/>
    <s v="Østdanmark"/>
    <x v="13"/>
    <x v="2"/>
    <n v="45528.503114323845"/>
  </r>
  <r>
    <x v="1"/>
    <s v="Vestdanmark"/>
    <x v="14"/>
    <x v="0"/>
    <n v="2534442.072977222"/>
  </r>
  <r>
    <x v="1"/>
    <s v="Vestdanmark"/>
    <x v="15"/>
    <x v="0"/>
    <n v="4066864.6068164087"/>
  </r>
  <r>
    <x v="1"/>
    <s v="Vestdanmark"/>
    <x v="16"/>
    <x v="0"/>
    <n v="4103.8061780475591"/>
  </r>
  <r>
    <x v="1"/>
    <s v="Vestdanmark"/>
    <x v="17"/>
    <x v="0"/>
    <n v="1460182.5874658169"/>
  </r>
  <r>
    <x v="1"/>
    <s v="Vestdanmark"/>
    <x v="18"/>
    <x v="0"/>
    <n v="393543.64426779439"/>
  </r>
  <r>
    <x v="1"/>
    <s v="Vestdanmark"/>
    <x v="19"/>
    <x v="0"/>
    <n v="716103.75203569303"/>
  </r>
  <r>
    <x v="1"/>
    <s v="Vestdanmark"/>
    <x v="20"/>
    <x v="0"/>
    <n v="671194.67155029252"/>
  </r>
  <r>
    <x v="1"/>
    <s v="Vestdanmark"/>
    <x v="21"/>
    <x v="0"/>
    <n v="0"/>
  </r>
  <r>
    <x v="1"/>
    <s v="Vestdanmark"/>
    <x v="22"/>
    <x v="0"/>
    <n v="53138.892747161146"/>
  </r>
  <r>
    <x v="1"/>
    <s v="Vestdanmark"/>
    <x v="0"/>
    <x v="0"/>
    <n v="2840.1853290986264"/>
  </r>
  <r>
    <x v="1"/>
    <s v="Vestdanmark"/>
    <x v="23"/>
    <x v="0"/>
    <n v="75746.163899662715"/>
  </r>
  <r>
    <x v="1"/>
    <s v="Vestdanmark"/>
    <x v="24"/>
    <x v="0"/>
    <n v="314821.43493156106"/>
  </r>
  <r>
    <x v="1"/>
    <s v="Vestdanmark"/>
    <x v="25"/>
    <x v="0"/>
    <n v="4101.0489241972273"/>
  </r>
  <r>
    <x v="1"/>
    <s v="Vestdanmark"/>
    <x v="26"/>
    <x v="0"/>
    <n v="42.099811904105366"/>
  </r>
  <r>
    <x v="1"/>
    <s v="Vestdanmark"/>
    <x v="27"/>
    <x v="0"/>
    <n v="114193.60000000001"/>
  </r>
  <r>
    <x v="1"/>
    <s v="Vestdanmark"/>
    <x v="6"/>
    <x v="0"/>
    <n v="0"/>
  </r>
  <r>
    <x v="1"/>
    <s v="Vestdanmark"/>
    <x v="7"/>
    <x v="0"/>
    <n v="0"/>
  </r>
  <r>
    <x v="1"/>
    <s v="Vestdanmark"/>
    <x v="14"/>
    <x v="1"/>
    <n v="7989661.5832169671"/>
  </r>
  <r>
    <x v="1"/>
    <s v="Vestdanmark"/>
    <x v="15"/>
    <x v="1"/>
    <n v="9867457.5006151944"/>
  </r>
  <r>
    <x v="1"/>
    <s v="Vestdanmark"/>
    <x v="16"/>
    <x v="1"/>
    <n v="4171.3630677727415"/>
  </r>
  <r>
    <x v="1"/>
    <s v="Vestdanmark"/>
    <x v="17"/>
    <x v="1"/>
    <n v="1507101.1523820646"/>
  </r>
  <r>
    <x v="1"/>
    <s v="Vestdanmark"/>
    <x v="18"/>
    <x v="1"/>
    <n v="195082.24112879002"/>
  </r>
  <r>
    <x v="1"/>
    <s v="Vestdanmark"/>
    <x v="19"/>
    <x v="1"/>
    <n v="523057.13098607323"/>
  </r>
  <r>
    <x v="1"/>
    <s v="Vestdanmark"/>
    <x v="20"/>
    <x v="1"/>
    <n v="1326462.9092294232"/>
  </r>
  <r>
    <x v="1"/>
    <s v="Vestdanmark"/>
    <x v="21"/>
    <x v="1"/>
    <n v="0"/>
  </r>
  <r>
    <x v="1"/>
    <s v="Vestdanmark"/>
    <x v="22"/>
    <x v="1"/>
    <n v="52868.994212030084"/>
  </r>
  <r>
    <x v="1"/>
    <s v="Vestdanmark"/>
    <x v="0"/>
    <x v="1"/>
    <n v="2833.9333697705197"/>
  </r>
  <r>
    <x v="1"/>
    <s v="Vestdanmark"/>
    <x v="23"/>
    <x v="1"/>
    <n v="75614.059561949907"/>
  </r>
  <r>
    <x v="1"/>
    <s v="Vestdanmark"/>
    <x v="24"/>
    <x v="1"/>
    <n v="314692.31350359169"/>
  </r>
  <r>
    <x v="1"/>
    <s v="Vestdanmark"/>
    <x v="25"/>
    <x v="1"/>
    <n v="4075.7207832735812"/>
  </r>
  <r>
    <x v="1"/>
    <s v="Vestdanmark"/>
    <x v="26"/>
    <x v="1"/>
    <n v="41.80391161429587"/>
  </r>
  <r>
    <x v="1"/>
    <s v="Vestdanmark"/>
    <x v="27"/>
    <x v="1"/>
    <n v="114193.60000000001"/>
  </r>
  <r>
    <x v="1"/>
    <s v="Vestdanmark"/>
    <x v="6"/>
    <x v="1"/>
    <n v="0"/>
  </r>
  <r>
    <x v="1"/>
    <s v="Vestdanmark"/>
    <x v="7"/>
    <x v="1"/>
    <n v="0"/>
  </r>
  <r>
    <x v="1"/>
    <s v="Vestdanmark"/>
    <x v="14"/>
    <x v="2"/>
    <n v="7649114.6368171675"/>
  </r>
  <r>
    <x v="1"/>
    <s v="Vestdanmark"/>
    <x v="15"/>
    <x v="2"/>
    <n v="9678908.9419378657"/>
  </r>
  <r>
    <x v="1"/>
    <s v="Vestdanmark"/>
    <x v="16"/>
    <x v="2"/>
    <n v="4307.7658612412106"/>
  </r>
  <r>
    <x v="1"/>
    <s v="Vestdanmark"/>
    <x v="17"/>
    <x v="2"/>
    <n v="1563200.2483061554"/>
  </r>
  <r>
    <x v="1"/>
    <s v="Vestdanmark"/>
    <x v="18"/>
    <x v="2"/>
    <n v="197484.23354298095"/>
  </r>
  <r>
    <x v="1"/>
    <s v="Vestdanmark"/>
    <x v="19"/>
    <x v="2"/>
    <n v="519697.15308066551"/>
  </r>
  <r>
    <x v="1"/>
    <s v="Vestdanmark"/>
    <x v="20"/>
    <x v="2"/>
    <n v="1388988.8638442878"/>
  </r>
  <r>
    <x v="1"/>
    <s v="Vestdanmark"/>
    <x v="21"/>
    <x v="2"/>
    <n v="0"/>
  </r>
  <r>
    <x v="1"/>
    <s v="Vestdanmark"/>
    <x v="22"/>
    <x v="2"/>
    <n v="52543.907435919093"/>
  </r>
  <r>
    <x v="1"/>
    <s v="Vestdanmark"/>
    <x v="0"/>
    <x v="2"/>
    <n v="2825.7560217041437"/>
  </r>
  <r>
    <x v="1"/>
    <s v="Vestdanmark"/>
    <x v="23"/>
    <x v="2"/>
    <n v="75527.053678542041"/>
  </r>
  <r>
    <x v="1"/>
    <s v="Vestdanmark"/>
    <x v="24"/>
    <x v="2"/>
    <n v="314525.12457946909"/>
  </r>
  <r>
    <x v="1"/>
    <s v="Vestdanmark"/>
    <x v="25"/>
    <x v="2"/>
    <n v="4034.07077562927"/>
  </r>
  <r>
    <x v="1"/>
    <s v="Vestdanmark"/>
    <x v="26"/>
    <x v="2"/>
    <n v="41.656918132692169"/>
  </r>
  <r>
    <x v="1"/>
    <s v="Vestdanmark"/>
    <x v="27"/>
    <x v="2"/>
    <n v="114193.60000000001"/>
  </r>
  <r>
    <x v="1"/>
    <s v="Vestdanmark"/>
    <x v="6"/>
    <x v="2"/>
    <n v="0"/>
  </r>
  <r>
    <x v="1"/>
    <s v="Vestdanmark"/>
    <x v="7"/>
    <x v="2"/>
    <n v="0"/>
  </r>
  <r>
    <x v="1"/>
    <s v="Østdanmark"/>
    <x v="14"/>
    <x v="0"/>
    <n v="380427.26035611134"/>
  </r>
  <r>
    <x v="1"/>
    <s v="Østdanmark"/>
    <x v="15"/>
    <x v="0"/>
    <n v="286645.05985025823"/>
  </r>
  <r>
    <x v="1"/>
    <s v="Østdanmark"/>
    <x v="16"/>
    <x v="0"/>
    <n v="337.693821952441"/>
  </r>
  <r>
    <x v="1"/>
    <s v="Østdanmark"/>
    <x v="17"/>
    <x v="0"/>
    <n v="1208651.4125341829"/>
  </r>
  <r>
    <x v="1"/>
    <s v="Østdanmark"/>
    <x v="18"/>
    <x v="0"/>
    <n v="335590.35573220561"/>
  </r>
  <r>
    <x v="1"/>
    <s v="Østdanmark"/>
    <x v="19"/>
    <x v="0"/>
    <n v="279550.24796430691"/>
  </r>
  <r>
    <x v="1"/>
    <s v="Østdanmark"/>
    <x v="20"/>
    <x v="0"/>
    <n v="85892.328449707566"/>
  </r>
  <r>
    <x v="1"/>
    <s v="Østdanmark"/>
    <x v="21"/>
    <x v="0"/>
    <n v="0"/>
  </r>
  <r>
    <x v="1"/>
    <s v="Østdanmark"/>
    <x v="22"/>
    <x v="0"/>
    <n v="22795.107252838847"/>
  </r>
  <r>
    <x v="1"/>
    <s v="Østdanmark"/>
    <x v="0"/>
    <x v="0"/>
    <n v="945.81467090137289"/>
  </r>
  <r>
    <x v="1"/>
    <s v="Østdanmark"/>
    <x v="23"/>
    <x v="0"/>
    <n v="9930.836100337272"/>
  </r>
  <r>
    <x v="1"/>
    <s v="Østdanmark"/>
    <x v="24"/>
    <x v="0"/>
    <n v="15204.565068438918"/>
  </r>
  <r>
    <x v="1"/>
    <s v="Østdanmark"/>
    <x v="25"/>
    <x v="0"/>
    <n v="24543.951075802775"/>
  </r>
  <r>
    <x v="1"/>
    <s v="Østdanmark"/>
    <x v="26"/>
    <x v="0"/>
    <n v="35.900188095894634"/>
  </r>
  <r>
    <x v="1"/>
    <s v="Østdanmark"/>
    <x v="27"/>
    <x v="0"/>
    <n v="28548.400000000001"/>
  </r>
  <r>
    <x v="1"/>
    <s v="Østdanmark"/>
    <x v="6"/>
    <x v="0"/>
    <n v="0"/>
  </r>
  <r>
    <x v="1"/>
    <s v="Østdanmark"/>
    <x v="7"/>
    <x v="0"/>
    <n v="0"/>
  </r>
  <r>
    <x v="1"/>
    <s v="Østdanmark"/>
    <x v="14"/>
    <x v="1"/>
    <n v="1157678.9141627084"/>
  </r>
  <r>
    <x v="1"/>
    <s v="Østdanmark"/>
    <x v="15"/>
    <x v="1"/>
    <n v="701319.77122631879"/>
  </r>
  <r>
    <x v="1"/>
    <s v="Østdanmark"/>
    <x v="16"/>
    <x v="1"/>
    <n v="350.10096257642732"/>
  </r>
  <r>
    <x v="1"/>
    <s v="Østdanmark"/>
    <x v="17"/>
    <x v="1"/>
    <n v="1268228.6485488336"/>
  </r>
  <r>
    <x v="1"/>
    <s v="Østdanmark"/>
    <x v="18"/>
    <x v="1"/>
    <n v="168912.75887120995"/>
  </r>
  <r>
    <x v="1"/>
    <s v="Østdanmark"/>
    <x v="19"/>
    <x v="1"/>
    <n v="202910.8690139266"/>
  </r>
  <r>
    <x v="1"/>
    <s v="Østdanmark"/>
    <x v="20"/>
    <x v="1"/>
    <n v="179027.55479609076"/>
  </r>
  <r>
    <x v="1"/>
    <s v="Østdanmark"/>
    <x v="21"/>
    <x v="1"/>
    <n v="0"/>
  </r>
  <r>
    <x v="1"/>
    <s v="Østdanmark"/>
    <x v="22"/>
    <x v="1"/>
    <n v="23065.005787969905"/>
  </r>
  <r>
    <x v="1"/>
    <s v="Østdanmark"/>
    <x v="0"/>
    <x v="1"/>
    <n v="952.06663022948101"/>
  </r>
  <r>
    <x v="1"/>
    <s v="Østdanmark"/>
    <x v="23"/>
    <x v="1"/>
    <n v="10062.940438050116"/>
  </r>
  <r>
    <x v="1"/>
    <s v="Østdanmark"/>
    <x v="24"/>
    <x v="1"/>
    <n v="15333.686496408332"/>
  </r>
  <r>
    <x v="1"/>
    <s v="Østdanmark"/>
    <x v="25"/>
    <x v="1"/>
    <n v="24569.279216726416"/>
  </r>
  <r>
    <x v="1"/>
    <s v="Østdanmark"/>
    <x v="26"/>
    <x v="1"/>
    <n v="36.19608838570413"/>
  </r>
  <r>
    <x v="1"/>
    <s v="Østdanmark"/>
    <x v="27"/>
    <x v="1"/>
    <n v="28548.400000000001"/>
  </r>
  <r>
    <x v="1"/>
    <s v="Østdanmark"/>
    <x v="6"/>
    <x v="1"/>
    <n v="0"/>
  </r>
  <r>
    <x v="1"/>
    <s v="Østdanmark"/>
    <x v="7"/>
    <x v="1"/>
    <n v="0"/>
  </r>
  <r>
    <x v="1"/>
    <s v="Østdanmark"/>
    <x v="14"/>
    <x v="2"/>
    <n v="1108334.6440677529"/>
  </r>
  <r>
    <x v="1"/>
    <s v="Østdanmark"/>
    <x v="15"/>
    <x v="2"/>
    <n v="687918.86911669304"/>
  </r>
  <r>
    <x v="1"/>
    <s v="Østdanmark"/>
    <x v="16"/>
    <x v="2"/>
    <n v="361.54919868427658"/>
  </r>
  <r>
    <x v="1"/>
    <s v="Østdanmark"/>
    <x v="17"/>
    <x v="2"/>
    <n v="1327477.7098236387"/>
  </r>
  <r>
    <x v="1"/>
    <s v="Østdanmark"/>
    <x v="18"/>
    <x v="2"/>
    <n v="172292.76645701908"/>
  </r>
  <r>
    <x v="1"/>
    <s v="Østdanmark"/>
    <x v="19"/>
    <x v="2"/>
    <n v="203334.8469193347"/>
  </r>
  <r>
    <x v="1"/>
    <s v="Østdanmark"/>
    <x v="20"/>
    <x v="2"/>
    <n v="188529.05350799995"/>
  </r>
  <r>
    <x v="1"/>
    <s v="Østdanmark"/>
    <x v="21"/>
    <x v="2"/>
    <n v="0"/>
  </r>
  <r>
    <x v="1"/>
    <s v="Østdanmark"/>
    <x v="22"/>
    <x v="2"/>
    <n v="23390.092564080911"/>
  </r>
  <r>
    <x v="1"/>
    <s v="Østdanmark"/>
    <x v="0"/>
    <x v="2"/>
    <n v="960.24397829585632"/>
  </r>
  <r>
    <x v="1"/>
    <s v="Østdanmark"/>
    <x v="23"/>
    <x v="2"/>
    <n v="10149.946321457959"/>
  </r>
  <r>
    <x v="1"/>
    <s v="Østdanmark"/>
    <x v="24"/>
    <x v="2"/>
    <n v="15500.875420530891"/>
  </r>
  <r>
    <x v="1"/>
    <s v="Østdanmark"/>
    <x v="25"/>
    <x v="2"/>
    <n v="24610.929224370728"/>
  </r>
  <r>
    <x v="1"/>
    <s v="Østdanmark"/>
    <x v="26"/>
    <x v="2"/>
    <n v="36.343081867307831"/>
  </r>
  <r>
    <x v="1"/>
    <s v="Østdanmark"/>
    <x v="27"/>
    <x v="2"/>
    <n v="28548.400000000001"/>
  </r>
  <r>
    <x v="1"/>
    <s v="Østdanmark"/>
    <x v="6"/>
    <x v="2"/>
    <n v="0"/>
  </r>
  <r>
    <x v="1"/>
    <s v="Østdanmark"/>
    <x v="7"/>
    <x v="2"/>
    <n v="0"/>
  </r>
  <r>
    <x v="2"/>
    <s v="Vestdanmark"/>
    <x v="0"/>
    <x v="0"/>
    <n v="5879215.2019956242"/>
  </r>
  <r>
    <x v="2"/>
    <s v="Vestdanmark"/>
    <x v="22"/>
    <x v="0"/>
    <n v="773085.89354292618"/>
  </r>
  <r>
    <x v="2"/>
    <s v="Vestdanmark"/>
    <x v="2"/>
    <x v="0"/>
    <n v="0"/>
  </r>
  <r>
    <x v="2"/>
    <s v="Vestdanmark"/>
    <x v="5"/>
    <x v="0"/>
    <n v="64498.47547519199"/>
  </r>
  <r>
    <x v="2"/>
    <s v="Vestdanmark"/>
    <x v="25"/>
    <x v="0"/>
    <n v="841167.61765562883"/>
  </r>
  <r>
    <x v="2"/>
    <s v="Vestdanmark"/>
    <x v="24"/>
    <x v="0"/>
    <n v="5657053.7864699634"/>
  </r>
  <r>
    <x v="2"/>
    <s v="Vestdanmark"/>
    <x v="28"/>
    <x v="0"/>
    <n v="214099.10609126228"/>
  </r>
  <r>
    <x v="2"/>
    <s v="Vestdanmark"/>
    <x v="7"/>
    <x v="0"/>
    <n v="0"/>
  </r>
  <r>
    <x v="2"/>
    <s v="Vestdanmark"/>
    <x v="6"/>
    <x v="0"/>
    <n v="0"/>
  </r>
  <r>
    <x v="2"/>
    <s v="Vestdanmark"/>
    <x v="23"/>
    <x v="0"/>
    <n v="12237689.9092583"/>
  </r>
  <r>
    <x v="2"/>
    <s v="Vestdanmark"/>
    <x v="29"/>
    <x v="0"/>
    <n v="1515714.1736670118"/>
  </r>
  <r>
    <x v="2"/>
    <s v="Vestdanmark"/>
    <x v="30"/>
    <x v="0"/>
    <n v="0"/>
  </r>
  <r>
    <x v="2"/>
    <s v="Vestdanmark"/>
    <x v="31"/>
    <x v="0"/>
    <n v="0"/>
  </r>
  <r>
    <x v="2"/>
    <s v="Vestdanmark"/>
    <x v="32"/>
    <x v="0"/>
    <n v="39415.735012617326"/>
  </r>
  <r>
    <x v="2"/>
    <s v="Vestdanmark"/>
    <x v="33"/>
    <x v="0"/>
    <n v="4828427.5390456235"/>
  </r>
  <r>
    <x v="2"/>
    <s v="Vestdanmark"/>
    <x v="0"/>
    <x v="1"/>
    <n v="5879215.2019956233"/>
  </r>
  <r>
    <x v="2"/>
    <s v="Vestdanmark"/>
    <x v="22"/>
    <x v="1"/>
    <n v="773085.89354292606"/>
  </r>
  <r>
    <x v="2"/>
    <s v="Vestdanmark"/>
    <x v="2"/>
    <x v="1"/>
    <n v="0"/>
  </r>
  <r>
    <x v="2"/>
    <s v="Vestdanmark"/>
    <x v="5"/>
    <x v="1"/>
    <n v="64498.475475191975"/>
  </r>
  <r>
    <x v="2"/>
    <s v="Vestdanmark"/>
    <x v="25"/>
    <x v="1"/>
    <n v="841167.61765562883"/>
  </r>
  <r>
    <x v="2"/>
    <s v="Vestdanmark"/>
    <x v="24"/>
    <x v="1"/>
    <n v="5657053.7864699624"/>
  </r>
  <r>
    <x v="2"/>
    <s v="Vestdanmark"/>
    <x v="28"/>
    <x v="1"/>
    <n v="214099.10609126225"/>
  </r>
  <r>
    <x v="2"/>
    <s v="Vestdanmark"/>
    <x v="7"/>
    <x v="1"/>
    <n v="0"/>
  </r>
  <r>
    <x v="2"/>
    <s v="Vestdanmark"/>
    <x v="6"/>
    <x v="1"/>
    <n v="0"/>
  </r>
  <r>
    <x v="2"/>
    <s v="Vestdanmark"/>
    <x v="23"/>
    <x v="1"/>
    <n v="12237689.909258299"/>
  </r>
  <r>
    <x v="2"/>
    <s v="Vestdanmark"/>
    <x v="29"/>
    <x v="1"/>
    <n v="1515714.1736670113"/>
  </r>
  <r>
    <x v="2"/>
    <s v="Vestdanmark"/>
    <x v="30"/>
    <x v="1"/>
    <n v="0"/>
  </r>
  <r>
    <x v="2"/>
    <s v="Vestdanmark"/>
    <x v="31"/>
    <x v="1"/>
    <n v="0"/>
  </r>
  <r>
    <x v="2"/>
    <s v="Vestdanmark"/>
    <x v="32"/>
    <x v="1"/>
    <n v="39415.735012617326"/>
  </r>
  <r>
    <x v="2"/>
    <s v="Vestdanmark"/>
    <x v="33"/>
    <x v="1"/>
    <n v="4828427.5390456226"/>
  </r>
  <r>
    <x v="2"/>
    <s v="Vestdanmark"/>
    <x v="0"/>
    <x v="2"/>
    <n v="5879215.2019956233"/>
  </r>
  <r>
    <x v="2"/>
    <s v="Vestdanmark"/>
    <x v="22"/>
    <x v="2"/>
    <n v="773085.89354292606"/>
  </r>
  <r>
    <x v="2"/>
    <s v="Vestdanmark"/>
    <x v="2"/>
    <x v="2"/>
    <n v="0"/>
  </r>
  <r>
    <x v="2"/>
    <s v="Vestdanmark"/>
    <x v="5"/>
    <x v="2"/>
    <n v="64498.475475191975"/>
  </r>
  <r>
    <x v="2"/>
    <s v="Vestdanmark"/>
    <x v="25"/>
    <x v="2"/>
    <n v="841167.61765562883"/>
  </r>
  <r>
    <x v="2"/>
    <s v="Vestdanmark"/>
    <x v="24"/>
    <x v="2"/>
    <n v="5657053.7864699624"/>
  </r>
  <r>
    <x v="2"/>
    <s v="Vestdanmark"/>
    <x v="28"/>
    <x v="2"/>
    <n v="214099.10609126225"/>
  </r>
  <r>
    <x v="2"/>
    <s v="Vestdanmark"/>
    <x v="7"/>
    <x v="2"/>
    <n v="0"/>
  </r>
  <r>
    <x v="2"/>
    <s v="Vestdanmark"/>
    <x v="6"/>
    <x v="2"/>
    <n v="0"/>
  </r>
  <r>
    <x v="2"/>
    <s v="Vestdanmark"/>
    <x v="23"/>
    <x v="2"/>
    <n v="12237689.909258299"/>
  </r>
  <r>
    <x v="2"/>
    <s v="Vestdanmark"/>
    <x v="29"/>
    <x v="2"/>
    <n v="1515714.1736670113"/>
  </r>
  <r>
    <x v="2"/>
    <s v="Vestdanmark"/>
    <x v="30"/>
    <x v="2"/>
    <n v="0"/>
  </r>
  <r>
    <x v="2"/>
    <s v="Vestdanmark"/>
    <x v="31"/>
    <x v="2"/>
    <n v="0"/>
  </r>
  <r>
    <x v="2"/>
    <s v="Vestdanmark"/>
    <x v="32"/>
    <x v="2"/>
    <n v="39415.735012617326"/>
  </r>
  <r>
    <x v="2"/>
    <s v="Vestdanmark"/>
    <x v="33"/>
    <x v="2"/>
    <n v="4828427.5390456226"/>
  </r>
  <r>
    <x v="2"/>
    <s v="Østdanmark"/>
    <x v="0"/>
    <x v="0"/>
    <n v="721621.60770550335"/>
  </r>
  <r>
    <x v="2"/>
    <s v="Østdanmark"/>
    <x v="22"/>
    <x v="0"/>
    <n v="94889.448034412548"/>
  </r>
  <r>
    <x v="2"/>
    <s v="Østdanmark"/>
    <x v="2"/>
    <x v="0"/>
    <n v="0"/>
  </r>
  <r>
    <x v="2"/>
    <s v="Østdanmark"/>
    <x v="5"/>
    <x v="0"/>
    <n v="7916.616753740097"/>
  </r>
  <r>
    <x v="2"/>
    <s v="Østdanmark"/>
    <x v="25"/>
    <x v="0"/>
    <n v="103245.87683002709"/>
  </r>
  <r>
    <x v="2"/>
    <s v="Østdanmark"/>
    <x v="24"/>
    <x v="0"/>
    <n v="694353.2611092875"/>
  </r>
  <r>
    <x v="2"/>
    <s v="Østdanmark"/>
    <x v="28"/>
    <x v="0"/>
    <n v="26278.769501998373"/>
  </r>
  <r>
    <x v="2"/>
    <s v="Østdanmark"/>
    <x v="7"/>
    <x v="0"/>
    <n v="0"/>
  </r>
  <r>
    <x v="2"/>
    <s v="Østdanmark"/>
    <x v="6"/>
    <x v="0"/>
    <n v="0"/>
  </r>
  <r>
    <x v="2"/>
    <s v="Østdanmark"/>
    <x v="23"/>
    <x v="0"/>
    <n v="1502068.0760117143"/>
  </r>
  <r>
    <x v="2"/>
    <s v="Østdanmark"/>
    <x v="29"/>
    <x v="0"/>
    <n v="186040.49371289223"/>
  </r>
  <r>
    <x v="2"/>
    <s v="Østdanmark"/>
    <x v="30"/>
    <x v="0"/>
    <n v="0"/>
  </r>
  <r>
    <x v="2"/>
    <s v="Østdanmark"/>
    <x v="31"/>
    <x v="0"/>
    <n v="0"/>
  </r>
  <r>
    <x v="2"/>
    <s v="Østdanmark"/>
    <x v="32"/>
    <x v="0"/>
    <n v="4837.9324606189475"/>
  </r>
  <r>
    <x v="2"/>
    <s v="Østdanmark"/>
    <x v="33"/>
    <x v="0"/>
    <n v="592646.72642582108"/>
  </r>
  <r>
    <x v="2"/>
    <s v="Østdanmark"/>
    <x v="0"/>
    <x v="1"/>
    <n v="721621.60770550347"/>
  </r>
  <r>
    <x v="2"/>
    <s v="Østdanmark"/>
    <x v="22"/>
    <x v="1"/>
    <n v="94889.448034412562"/>
  </r>
  <r>
    <x v="2"/>
    <s v="Østdanmark"/>
    <x v="2"/>
    <x v="1"/>
    <n v="0"/>
  </r>
  <r>
    <x v="2"/>
    <s v="Østdanmark"/>
    <x v="5"/>
    <x v="1"/>
    <n v="7916.616753740097"/>
  </r>
  <r>
    <x v="2"/>
    <s v="Østdanmark"/>
    <x v="25"/>
    <x v="1"/>
    <n v="103245.8768300271"/>
  </r>
  <r>
    <x v="2"/>
    <s v="Østdanmark"/>
    <x v="24"/>
    <x v="1"/>
    <n v="694353.26110928762"/>
  </r>
  <r>
    <x v="2"/>
    <s v="Østdanmark"/>
    <x v="28"/>
    <x v="1"/>
    <n v="26278.769501998377"/>
  </r>
  <r>
    <x v="2"/>
    <s v="Østdanmark"/>
    <x v="7"/>
    <x v="1"/>
    <n v="0"/>
  </r>
  <r>
    <x v="2"/>
    <s v="Østdanmark"/>
    <x v="6"/>
    <x v="1"/>
    <n v="0"/>
  </r>
  <r>
    <x v="2"/>
    <s v="Østdanmark"/>
    <x v="23"/>
    <x v="1"/>
    <n v="1502068.0760117145"/>
  </r>
  <r>
    <x v="2"/>
    <s v="Østdanmark"/>
    <x v="29"/>
    <x v="1"/>
    <n v="186040.49371289229"/>
  </r>
  <r>
    <x v="2"/>
    <s v="Østdanmark"/>
    <x v="30"/>
    <x v="1"/>
    <n v="0"/>
  </r>
  <r>
    <x v="2"/>
    <s v="Østdanmark"/>
    <x v="31"/>
    <x v="1"/>
    <n v="0"/>
  </r>
  <r>
    <x v="2"/>
    <s v="Østdanmark"/>
    <x v="32"/>
    <x v="1"/>
    <n v="4837.9324606189484"/>
  </r>
  <r>
    <x v="2"/>
    <s v="Østdanmark"/>
    <x v="33"/>
    <x v="1"/>
    <n v="592646.72642582119"/>
  </r>
  <r>
    <x v="2"/>
    <s v="Østdanmark"/>
    <x v="0"/>
    <x v="2"/>
    <n v="721621.60770550335"/>
  </r>
  <r>
    <x v="2"/>
    <s v="Østdanmark"/>
    <x v="22"/>
    <x v="2"/>
    <n v="94889.448034412548"/>
  </r>
  <r>
    <x v="2"/>
    <s v="Østdanmark"/>
    <x v="2"/>
    <x v="2"/>
    <n v="0"/>
  </r>
  <r>
    <x v="2"/>
    <s v="Østdanmark"/>
    <x v="5"/>
    <x v="2"/>
    <n v="7916.616753740097"/>
  </r>
  <r>
    <x v="2"/>
    <s v="Østdanmark"/>
    <x v="25"/>
    <x v="2"/>
    <n v="103245.87683002709"/>
  </r>
  <r>
    <x v="2"/>
    <s v="Østdanmark"/>
    <x v="24"/>
    <x v="2"/>
    <n v="694353.2611092875"/>
  </r>
  <r>
    <x v="2"/>
    <s v="Østdanmark"/>
    <x v="28"/>
    <x v="2"/>
    <n v="26278.769501998373"/>
  </r>
  <r>
    <x v="2"/>
    <s v="Østdanmark"/>
    <x v="7"/>
    <x v="2"/>
    <n v="0"/>
  </r>
  <r>
    <x v="2"/>
    <s v="Østdanmark"/>
    <x v="6"/>
    <x v="2"/>
    <n v="0"/>
  </r>
  <r>
    <x v="2"/>
    <s v="Østdanmark"/>
    <x v="23"/>
    <x v="2"/>
    <n v="1502068.0760117143"/>
  </r>
  <r>
    <x v="2"/>
    <s v="Østdanmark"/>
    <x v="29"/>
    <x v="2"/>
    <n v="186040.49371289223"/>
  </r>
  <r>
    <x v="2"/>
    <s v="Østdanmark"/>
    <x v="30"/>
    <x v="2"/>
    <n v="0"/>
  </r>
  <r>
    <x v="2"/>
    <s v="Østdanmark"/>
    <x v="31"/>
    <x v="2"/>
    <n v="0"/>
  </r>
  <r>
    <x v="2"/>
    <s v="Østdanmark"/>
    <x v="32"/>
    <x v="2"/>
    <n v="4837.9324606189475"/>
  </r>
  <r>
    <x v="2"/>
    <s v="Østdanmark"/>
    <x v="33"/>
    <x v="2"/>
    <n v="592646.72642582108"/>
  </r>
  <r>
    <x v="3"/>
    <s v="Vestdanmark"/>
    <x v="22"/>
    <x v="0"/>
    <n v="1159590.3134327475"/>
  </r>
  <r>
    <x v="3"/>
    <s v="Vestdanmark"/>
    <x v="34"/>
    <x v="0"/>
    <n v="3102.9355833262225"/>
  </r>
  <r>
    <x v="3"/>
    <s v="Vestdanmark"/>
    <x v="35"/>
    <x v="0"/>
    <n v="172205.06744997756"/>
  </r>
  <r>
    <x v="3"/>
    <s v="Vestdanmark"/>
    <x v="36"/>
    <x v="0"/>
    <n v="2328635.6388303456"/>
  </r>
  <r>
    <x v="3"/>
    <s v="Vestdanmark"/>
    <x v="26"/>
    <x v="0"/>
    <n v="530420.38785042788"/>
  </r>
  <r>
    <x v="3"/>
    <s v="Vestdanmark"/>
    <x v="18"/>
    <x v="0"/>
    <n v="0"/>
  </r>
  <r>
    <x v="4"/>
    <s v="Vestdanmark"/>
    <x v="22"/>
    <x v="0"/>
    <n v="0"/>
  </r>
  <r>
    <x v="4"/>
    <s v="Vestdanmark"/>
    <x v="34"/>
    <x v="0"/>
    <n v="152043.84358298479"/>
  </r>
  <r>
    <x v="4"/>
    <s v="Vestdanmark"/>
    <x v="35"/>
    <x v="0"/>
    <n v="0"/>
  </r>
  <r>
    <x v="4"/>
    <s v="Vestdanmark"/>
    <x v="36"/>
    <x v="0"/>
    <n v="0"/>
  </r>
  <r>
    <x v="4"/>
    <s v="Vestdanmark"/>
    <x v="26"/>
    <x v="0"/>
    <n v="0"/>
  </r>
  <r>
    <x v="4"/>
    <s v="Vestdanmark"/>
    <x v="18"/>
    <x v="0"/>
    <n v="0"/>
  </r>
  <r>
    <x v="3"/>
    <s v="Østdanmark"/>
    <x v="22"/>
    <x v="0"/>
    <n v="734174.89910281403"/>
  </r>
  <r>
    <x v="3"/>
    <s v="Østdanmark"/>
    <x v="34"/>
    <x v="0"/>
    <n v="1238.8744472557355"/>
  </r>
  <r>
    <x v="3"/>
    <s v="Østdanmark"/>
    <x v="35"/>
    <x v="0"/>
    <n v="37577.319945022478"/>
  </r>
  <r>
    <x v="3"/>
    <s v="Østdanmark"/>
    <x v="36"/>
    <x v="0"/>
    <n v="681602.85349434032"/>
  </r>
  <r>
    <x v="3"/>
    <s v="Østdanmark"/>
    <x v="26"/>
    <x v="0"/>
    <n v="452310.61214957217"/>
  </r>
  <r>
    <x v="3"/>
    <s v="Østdanmark"/>
    <x v="18"/>
    <x v="0"/>
    <n v="0"/>
  </r>
  <r>
    <x v="4"/>
    <s v="Østdanmark"/>
    <x v="22"/>
    <x v="0"/>
    <n v="0"/>
  </r>
  <r>
    <x v="4"/>
    <s v="Østdanmark"/>
    <x v="34"/>
    <x v="0"/>
    <n v="60704.847915530983"/>
  </r>
  <r>
    <x v="4"/>
    <s v="Østdanmark"/>
    <x v="35"/>
    <x v="0"/>
    <n v="0"/>
  </r>
  <r>
    <x v="4"/>
    <s v="Østdanmark"/>
    <x v="36"/>
    <x v="0"/>
    <n v="0"/>
  </r>
  <r>
    <x v="4"/>
    <s v="Østdanmark"/>
    <x v="26"/>
    <x v="0"/>
    <n v="0"/>
  </r>
  <r>
    <x v="4"/>
    <s v="Østdanmark"/>
    <x v="18"/>
    <x v="0"/>
    <n v="0"/>
  </r>
  <r>
    <x v="3"/>
    <s v="Vestdanmark"/>
    <x v="22"/>
    <x v="1"/>
    <n v="1086254.4459537058"/>
  </r>
  <r>
    <x v="3"/>
    <s v="Vestdanmark"/>
    <x v="34"/>
    <x v="1"/>
    <n v="162493.02564918654"/>
  </r>
  <r>
    <x v="3"/>
    <s v="Vestdanmark"/>
    <x v="35"/>
    <x v="1"/>
    <n v="177516.46640303911"/>
  </r>
  <r>
    <x v="3"/>
    <s v="Vestdanmark"/>
    <x v="36"/>
    <x v="1"/>
    <n v="2203715.0015238998"/>
  </r>
  <r>
    <x v="3"/>
    <s v="Vestdanmark"/>
    <x v="26"/>
    <x v="1"/>
    <n v="526692.30595677684"/>
  </r>
  <r>
    <x v="3"/>
    <s v="Vestdanmark"/>
    <x v="18"/>
    <x v="1"/>
    <n v="0"/>
  </r>
  <r>
    <x v="4"/>
    <s v="Vestdanmark"/>
    <x v="22"/>
    <x v="1"/>
    <n v="0"/>
  </r>
  <r>
    <x v="4"/>
    <s v="Vestdanmark"/>
    <x v="34"/>
    <x v="1"/>
    <n v="0"/>
  </r>
  <r>
    <x v="4"/>
    <s v="Vestdanmark"/>
    <x v="35"/>
    <x v="1"/>
    <n v="0"/>
  </r>
  <r>
    <x v="4"/>
    <s v="Vestdanmark"/>
    <x v="36"/>
    <x v="1"/>
    <n v="0"/>
  </r>
  <r>
    <x v="4"/>
    <s v="Vestdanmark"/>
    <x v="26"/>
    <x v="1"/>
    <n v="0"/>
  </r>
  <r>
    <x v="4"/>
    <s v="Vestdanmark"/>
    <x v="18"/>
    <x v="1"/>
    <n v="0"/>
  </r>
  <r>
    <x v="3"/>
    <s v="Østdanmark"/>
    <x v="22"/>
    <x v="1"/>
    <n v="716279.67540878139"/>
  </r>
  <r>
    <x v="3"/>
    <s v="Østdanmark"/>
    <x v="34"/>
    <x v="1"/>
    <n v="65410.493211637622"/>
  </r>
  <r>
    <x v="3"/>
    <s v="Østdanmark"/>
    <x v="35"/>
    <x v="1"/>
    <n v="39419.677245239443"/>
  </r>
  <r>
    <x v="3"/>
    <s v="Østdanmark"/>
    <x v="36"/>
    <x v="1"/>
    <n v="645037.98201828008"/>
  </r>
  <r>
    <x v="3"/>
    <s v="Østdanmark"/>
    <x v="26"/>
    <x v="1"/>
    <n v="456038.69404322316"/>
  </r>
  <r>
    <x v="3"/>
    <s v="Østdanmark"/>
    <x v="18"/>
    <x v="1"/>
    <n v="0"/>
  </r>
  <r>
    <x v="4"/>
    <s v="Østdanmark"/>
    <x v="22"/>
    <x v="1"/>
    <n v="0"/>
  </r>
  <r>
    <x v="4"/>
    <s v="Østdanmark"/>
    <x v="34"/>
    <x v="1"/>
    <n v="0"/>
  </r>
  <r>
    <x v="4"/>
    <s v="Østdanmark"/>
    <x v="35"/>
    <x v="1"/>
    <n v="0"/>
  </r>
  <r>
    <x v="4"/>
    <s v="Østdanmark"/>
    <x v="36"/>
    <x v="1"/>
    <n v="0"/>
  </r>
  <r>
    <x v="4"/>
    <s v="Østdanmark"/>
    <x v="26"/>
    <x v="1"/>
    <n v="0"/>
  </r>
  <r>
    <x v="4"/>
    <s v="Østdanmark"/>
    <x v="18"/>
    <x v="1"/>
    <n v="0"/>
  </r>
  <r>
    <x v="3"/>
    <s v="Vestdanmark"/>
    <x v="22"/>
    <x v="2"/>
    <n v="1004436.1243752033"/>
  </r>
  <r>
    <x v="3"/>
    <s v="Vestdanmark"/>
    <x v="34"/>
    <x v="2"/>
    <n v="156492.78628542495"/>
  </r>
  <r>
    <x v="3"/>
    <s v="Vestdanmark"/>
    <x v="35"/>
    <x v="2"/>
    <n v="171775.11908496951"/>
  </r>
  <r>
    <x v="3"/>
    <s v="Vestdanmark"/>
    <x v="36"/>
    <x v="2"/>
    <n v="2001135.6433479721"/>
  </r>
  <r>
    <x v="3"/>
    <s v="Vestdanmark"/>
    <x v="26"/>
    <x v="2"/>
    <n v="524840.3181212655"/>
  </r>
  <r>
    <x v="3"/>
    <s v="Vestdanmark"/>
    <x v="18"/>
    <x v="2"/>
    <n v="0"/>
  </r>
  <r>
    <x v="4"/>
    <s v="Vestdanmark"/>
    <x v="22"/>
    <x v="2"/>
    <n v="0"/>
  </r>
  <r>
    <x v="4"/>
    <s v="Vestdanmark"/>
    <x v="34"/>
    <x v="2"/>
    <n v="0"/>
  </r>
  <r>
    <x v="4"/>
    <s v="Vestdanmark"/>
    <x v="35"/>
    <x v="2"/>
    <n v="0"/>
  </r>
  <r>
    <x v="4"/>
    <s v="Vestdanmark"/>
    <x v="36"/>
    <x v="2"/>
    <n v="0"/>
  </r>
  <r>
    <x v="4"/>
    <s v="Vestdanmark"/>
    <x v="26"/>
    <x v="2"/>
    <n v="0"/>
  </r>
  <r>
    <x v="4"/>
    <s v="Vestdanmark"/>
    <x v="18"/>
    <x v="2"/>
    <n v="0"/>
  </r>
  <r>
    <x v="3"/>
    <s v="Østdanmark"/>
    <x v="22"/>
    <x v="2"/>
    <n v="696380.30259275995"/>
  </r>
  <r>
    <x v="3"/>
    <s v="Østdanmark"/>
    <x v="34"/>
    <x v="2"/>
    <n v="63732.21710113556"/>
  </r>
  <r>
    <x v="3"/>
    <s v="Østdanmark"/>
    <x v="35"/>
    <x v="2"/>
    <n v="38470.033999756291"/>
  </r>
  <r>
    <x v="3"/>
    <s v="Østdanmark"/>
    <x v="36"/>
    <x v="2"/>
    <n v="585110.82295504375"/>
  </r>
  <r>
    <x v="3"/>
    <s v="Østdanmark"/>
    <x v="26"/>
    <x v="2"/>
    <n v="457890.6818787345"/>
  </r>
  <r>
    <x v="3"/>
    <s v="Østdanmark"/>
    <x v="18"/>
    <x v="2"/>
    <n v="0"/>
  </r>
  <r>
    <x v="4"/>
    <s v="Østdanmark"/>
    <x v="22"/>
    <x v="2"/>
    <n v="0"/>
  </r>
  <r>
    <x v="4"/>
    <s v="Østdanmark"/>
    <x v="34"/>
    <x v="2"/>
    <n v="0"/>
  </r>
  <r>
    <x v="4"/>
    <s v="Østdanmark"/>
    <x v="35"/>
    <x v="2"/>
    <n v="0"/>
  </r>
  <r>
    <x v="4"/>
    <s v="Østdanmark"/>
    <x v="36"/>
    <x v="2"/>
    <n v="0"/>
  </r>
  <r>
    <x v="4"/>
    <s v="Østdanmark"/>
    <x v="26"/>
    <x v="2"/>
    <n v="0"/>
  </r>
  <r>
    <x v="4"/>
    <s v="Østdanmark"/>
    <x v="18"/>
    <x v="2"/>
    <n v="0"/>
  </r>
  <r>
    <x v="5"/>
    <s v="Vestdanmark"/>
    <x v="14"/>
    <x v="0"/>
    <n v="12818096.433914844"/>
  </r>
  <r>
    <x v="5"/>
    <s v="Vestdanmark"/>
    <x v="15"/>
    <x v="0"/>
    <n v="6000958.9027446285"/>
  </r>
  <r>
    <x v="5"/>
    <s v="Vestdanmark"/>
    <x v="16"/>
    <x v="0"/>
    <n v="3107.1675348074377"/>
  </r>
  <r>
    <x v="5"/>
    <s v="Vestdanmark"/>
    <x v="20"/>
    <x v="0"/>
    <n v="730307.97492940596"/>
  </r>
  <r>
    <x v="5"/>
    <s v="Vestdanmark"/>
    <x v="37"/>
    <x v="0"/>
    <n v="7001759.6428652545"/>
  </r>
  <r>
    <x v="5"/>
    <s v="Vestdanmark"/>
    <x v="38"/>
    <x v="0"/>
    <n v="720643.40546424"/>
  </r>
  <r>
    <x v="5"/>
    <s v="Vestdanmark"/>
    <x v="14"/>
    <x v="1"/>
    <n v="7085171.5926641021"/>
  </r>
  <r>
    <x v="5"/>
    <s v="Vestdanmark"/>
    <x v="15"/>
    <x v="1"/>
    <n v="2064375.9771023891"/>
  </r>
  <r>
    <x v="5"/>
    <s v="Vestdanmark"/>
    <x v="16"/>
    <x v="1"/>
    <n v="3158.317751313647"/>
  </r>
  <r>
    <x v="5"/>
    <s v="Vestdanmark"/>
    <x v="20"/>
    <x v="1"/>
    <n v="502160.95849399589"/>
  </r>
  <r>
    <x v="5"/>
    <s v="Vestdanmark"/>
    <x v="37"/>
    <x v="1"/>
    <n v="17711207.128625918"/>
  </r>
  <r>
    <x v="5"/>
    <s v="Vestdanmark"/>
    <x v="38"/>
    <x v="1"/>
    <n v="620537.39357630478"/>
  </r>
  <r>
    <x v="5"/>
    <s v="Vestdanmark"/>
    <x v="14"/>
    <x v="2"/>
    <n v="6783177.1307623936"/>
  </r>
  <r>
    <x v="5"/>
    <s v="Vestdanmark"/>
    <x v="15"/>
    <x v="2"/>
    <n v="2024929.6339054219"/>
  </r>
  <r>
    <x v="5"/>
    <s v="Vestdanmark"/>
    <x v="16"/>
    <x v="2"/>
    <n v="3261.5941520826309"/>
  </r>
  <r>
    <x v="5"/>
    <s v="Vestdanmark"/>
    <x v="20"/>
    <x v="2"/>
    <n v="525831.49845533748"/>
  </r>
  <r>
    <x v="5"/>
    <s v="Vestdanmark"/>
    <x v="37"/>
    <x v="2"/>
    <n v="17222483.674164686"/>
  </r>
  <r>
    <x v="5"/>
    <s v="Vestdanmark"/>
    <x v="38"/>
    <x v="2"/>
    <n v="597110.0145929947"/>
  </r>
  <r>
    <x v="5"/>
    <s v="Østdanmark"/>
    <x v="14"/>
    <x v="0"/>
    <n v="1924034.2327518209"/>
  </r>
  <r>
    <x v="5"/>
    <s v="Østdanmark"/>
    <x v="15"/>
    <x v="0"/>
    <n v="422965.94308870414"/>
  </r>
  <r>
    <x v="5"/>
    <s v="Østdanmark"/>
    <x v="16"/>
    <x v="0"/>
    <n v="255.68246519256246"/>
  </r>
  <r>
    <x v="5"/>
    <s v="Østdanmark"/>
    <x v="20"/>
    <x v="0"/>
    <n v="93457.017927737121"/>
  </r>
  <r>
    <x v="5"/>
    <s v="Østdanmark"/>
    <x v="37"/>
    <x v="0"/>
    <n v="1801732.0926432305"/>
  </r>
  <r>
    <x v="5"/>
    <s v="Østdanmark"/>
    <x v="38"/>
    <x v="0"/>
    <n v="387847.14852834243"/>
  </r>
  <r>
    <x v="5"/>
    <s v="Østdanmark"/>
    <x v="14"/>
    <x v="1"/>
    <n v="1026620.9238801375"/>
  </r>
  <r>
    <x v="5"/>
    <s v="Østdanmark"/>
    <x v="15"/>
    <x v="1"/>
    <n v="146723.47845392721"/>
  </r>
  <r>
    <x v="5"/>
    <s v="Østdanmark"/>
    <x v="16"/>
    <x v="1"/>
    <n v="265.07644309358068"/>
  </r>
  <r>
    <x v="5"/>
    <s v="Østdanmark"/>
    <x v="20"/>
    <x v="1"/>
    <n v="67774.717172805787"/>
  </r>
  <r>
    <x v="5"/>
    <s v="Østdanmark"/>
    <x v="37"/>
    <x v="1"/>
    <n v="3047051.4177026679"/>
  </r>
  <r>
    <x v="5"/>
    <s v="Østdanmark"/>
    <x v="38"/>
    <x v="1"/>
    <n v="371889.1498666883"/>
  </r>
  <r>
    <x v="5"/>
    <s v="Østdanmark"/>
    <x v="14"/>
    <x v="2"/>
    <n v="982862.79756951681"/>
  </r>
  <r>
    <x v="5"/>
    <s v="Østdanmark"/>
    <x v="15"/>
    <x v="2"/>
    <n v="143919.86867046604"/>
  </r>
  <r>
    <x v="5"/>
    <s v="Østdanmark"/>
    <x v="16"/>
    <x v="2"/>
    <n v="273.74439328952366"/>
  </r>
  <r>
    <x v="5"/>
    <s v="Østdanmark"/>
    <x v="20"/>
    <x v="2"/>
    <n v="71371.713113742837"/>
  </r>
  <r>
    <x v="5"/>
    <s v="Østdanmark"/>
    <x v="37"/>
    <x v="2"/>
    <n v="3027912.4262798992"/>
  </r>
  <r>
    <x v="5"/>
    <s v="Østdanmark"/>
    <x v="38"/>
    <x v="2"/>
    <n v="362262.716942953"/>
  </r>
  <r>
    <x v="6"/>
    <s v="Vestdanmark"/>
    <x v="23"/>
    <x v="0"/>
    <n v="0"/>
  </r>
  <r>
    <x v="6"/>
    <s v="Vestdanmark"/>
    <x v="23"/>
    <x v="1"/>
    <n v="0"/>
  </r>
  <r>
    <x v="6"/>
    <s v="Vestdanmark"/>
    <x v="23"/>
    <x v="2"/>
    <n v="0"/>
  </r>
  <r>
    <x v="6"/>
    <s v="Østdanmark"/>
    <x v="23"/>
    <x v="0"/>
    <n v="0"/>
  </r>
  <r>
    <x v="6"/>
    <s v="Østdanmark"/>
    <x v="23"/>
    <x v="1"/>
    <n v="0"/>
  </r>
  <r>
    <x v="6"/>
    <s v="Østdanmark"/>
    <x v="23"/>
    <x v="2"/>
    <n v="0"/>
  </r>
  <r>
    <x v="7"/>
    <s v="Vestdanmark"/>
    <x v="39"/>
    <x v="0"/>
    <n v="484833.6848947219"/>
  </r>
  <r>
    <x v="7"/>
    <s v="Vestdanmark"/>
    <x v="39"/>
    <x v="1"/>
    <n v="507790.70515370794"/>
  </r>
  <r>
    <x v="7"/>
    <s v="Vestdanmark"/>
    <x v="39"/>
    <x v="2"/>
    <n v="489039.95714195294"/>
  </r>
  <r>
    <x v="7"/>
    <s v="Østdanmark"/>
    <x v="39"/>
    <x v="0"/>
    <n v="193574.13238370849"/>
  </r>
  <r>
    <x v="7"/>
    <s v="Østdanmark"/>
    <x v="39"/>
    <x v="1"/>
    <n v="204407.79128636757"/>
  </r>
  <r>
    <x v="7"/>
    <s v="Østdanmark"/>
    <x v="39"/>
    <x v="2"/>
    <n v="199163.17844104863"/>
  </r>
  <r>
    <x v="8"/>
    <s v="Vestdanmark"/>
    <x v="22"/>
    <x v="0"/>
    <n v="0"/>
  </r>
  <r>
    <x v="8"/>
    <s v="Vestdanmark"/>
    <x v="22"/>
    <x v="1"/>
    <n v="0"/>
  </r>
  <r>
    <x v="8"/>
    <s v="Vestdanmark"/>
    <x v="22"/>
    <x v="2"/>
    <n v="0"/>
  </r>
  <r>
    <x v="8"/>
    <s v="Østdanmark"/>
    <x v="22"/>
    <x v="0"/>
    <n v="0"/>
  </r>
  <r>
    <x v="8"/>
    <s v="Østdanmark"/>
    <x v="22"/>
    <x v="1"/>
    <n v="0"/>
  </r>
  <r>
    <x v="8"/>
    <s v="Østdanmark"/>
    <x v="22"/>
    <x v="2"/>
    <n v="0"/>
  </r>
  <r>
    <x v="3"/>
    <s v="Vestdanmark"/>
    <x v="40"/>
    <x v="0"/>
    <n v="0"/>
  </r>
  <r>
    <x v="3"/>
    <s v="Vestdanmark"/>
    <x v="41"/>
    <x v="0"/>
    <n v="0"/>
  </r>
  <r>
    <x v="3"/>
    <s v="Vestdanmark"/>
    <x v="40"/>
    <x v="1"/>
    <n v="0"/>
  </r>
  <r>
    <x v="3"/>
    <s v="Vestdanmark"/>
    <x v="41"/>
    <x v="1"/>
    <n v="0"/>
  </r>
  <r>
    <x v="3"/>
    <s v="Vestdanmark"/>
    <x v="40"/>
    <x v="2"/>
    <n v="0"/>
  </r>
  <r>
    <x v="3"/>
    <s v="Vestdanmark"/>
    <x v="41"/>
    <x v="2"/>
    <n v="0"/>
  </r>
  <r>
    <x v="3"/>
    <s v="Østdanmark"/>
    <x v="40"/>
    <x v="0"/>
    <n v="0"/>
  </r>
  <r>
    <x v="3"/>
    <s v="Østdanmark"/>
    <x v="41"/>
    <x v="0"/>
    <n v="0"/>
  </r>
  <r>
    <x v="3"/>
    <s v="Østdanmark"/>
    <x v="40"/>
    <x v="1"/>
    <n v="0"/>
  </r>
  <r>
    <x v="3"/>
    <s v="Østdanmark"/>
    <x v="41"/>
    <x v="1"/>
    <n v="0"/>
  </r>
  <r>
    <x v="3"/>
    <s v="Østdanmark"/>
    <x v="40"/>
    <x v="2"/>
    <n v="0"/>
  </r>
  <r>
    <x v="3"/>
    <s v="Østdanmark"/>
    <x v="41"/>
    <x v="2"/>
    <n v="0"/>
  </r>
  <r>
    <x v="9"/>
    <m/>
    <x v="42"/>
    <x v="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x v="0"/>
    <x v="0"/>
    <x v="0"/>
    <s v="JB1-10"/>
    <n v="412730"/>
  </r>
  <r>
    <x v="0"/>
    <x v="1"/>
    <x v="0"/>
    <s v="JB1-10"/>
    <n v="1847465.5978301479"/>
  </r>
  <r>
    <x v="0"/>
    <x v="2"/>
    <x v="0"/>
    <s v="JB1-10"/>
    <n v="434670"/>
  </r>
  <r>
    <x v="0"/>
    <x v="3"/>
    <x v="0"/>
    <s v="JB1-10"/>
    <n v="288846.71526402031"/>
  </r>
  <r>
    <x v="0"/>
    <x v="4"/>
    <x v="0"/>
    <s v="JB1-10"/>
    <n v="46640"/>
  </r>
  <r>
    <x v="0"/>
    <x v="0"/>
    <x v="0"/>
    <s v="OC6"/>
    <n v="0"/>
  </r>
  <r>
    <x v="0"/>
    <x v="1"/>
    <x v="0"/>
    <s v="OC6"/>
    <n v="90723.841613092387"/>
  </r>
  <r>
    <x v="0"/>
    <x v="2"/>
    <x v="0"/>
    <s v="OC6"/>
    <n v="0"/>
  </r>
  <r>
    <x v="0"/>
    <x v="3"/>
    <x v="0"/>
    <s v="OC6"/>
    <n v="55514.664499432409"/>
  </r>
  <r>
    <x v="0"/>
    <x v="4"/>
    <x v="0"/>
    <s v="OC6"/>
    <n v="0"/>
  </r>
  <r>
    <x v="0"/>
    <x v="0"/>
    <x v="0"/>
    <s v="OC12"/>
    <n v="0"/>
  </r>
  <r>
    <x v="0"/>
    <x v="1"/>
    <x v="0"/>
    <s v="OC12"/>
    <n v="70620.560556759505"/>
  </r>
  <r>
    <x v="0"/>
    <x v="2"/>
    <x v="0"/>
    <s v="OC12"/>
    <n v="0"/>
  </r>
  <r>
    <x v="0"/>
    <x v="3"/>
    <x v="0"/>
    <s v="OC12"/>
    <n v="45828.620236547278"/>
  </r>
  <r>
    <x v="0"/>
    <x v="4"/>
    <x v="0"/>
    <s v="OC12"/>
    <n v="0"/>
  </r>
  <r>
    <x v="0"/>
    <x v="0"/>
    <x v="1"/>
    <s v="JB1-10"/>
    <n v="412730"/>
  </r>
  <r>
    <x v="0"/>
    <x v="1"/>
    <x v="1"/>
    <s v="JB1-10"/>
    <n v="1828599.0251279764"/>
  </r>
  <r>
    <x v="0"/>
    <x v="2"/>
    <x v="1"/>
    <s v="JB1-10"/>
    <n v="453536.5727021714"/>
  </r>
  <r>
    <x v="0"/>
    <x v="3"/>
    <x v="1"/>
    <s v="JB1-10"/>
    <n v="288846.71526402031"/>
  </r>
  <r>
    <x v="0"/>
    <x v="4"/>
    <x v="1"/>
    <s v="JB1-10"/>
    <n v="46640"/>
  </r>
  <r>
    <x v="0"/>
    <x v="0"/>
    <x v="1"/>
    <s v="OC6"/>
    <n v="0"/>
  </r>
  <r>
    <x v="0"/>
    <x v="1"/>
    <x v="1"/>
    <s v="OC6"/>
    <n v="83953.540404179206"/>
  </r>
  <r>
    <x v="0"/>
    <x v="2"/>
    <x v="1"/>
    <s v="OC6"/>
    <n v="0"/>
  </r>
  <r>
    <x v="0"/>
    <x v="3"/>
    <x v="1"/>
    <s v="OC6"/>
    <n v="62284.965708345597"/>
  </r>
  <r>
    <x v="0"/>
    <x v="4"/>
    <x v="1"/>
    <s v="OC6"/>
    <n v="0"/>
  </r>
  <r>
    <x v="0"/>
    <x v="0"/>
    <x v="1"/>
    <s v="OC12"/>
    <n v="0"/>
  </r>
  <r>
    <x v="0"/>
    <x v="1"/>
    <x v="1"/>
    <s v="OC12"/>
    <n v="63850.259347846317"/>
  </r>
  <r>
    <x v="0"/>
    <x v="2"/>
    <x v="1"/>
    <s v="OC12"/>
    <n v="0"/>
  </r>
  <r>
    <x v="0"/>
    <x v="3"/>
    <x v="1"/>
    <s v="OC12"/>
    <n v="52598.921445460466"/>
  </r>
  <r>
    <x v="0"/>
    <x v="4"/>
    <x v="1"/>
    <s v="OC12"/>
    <n v="0"/>
  </r>
  <r>
    <x v="0"/>
    <x v="0"/>
    <x v="2"/>
    <s v="JB1-10"/>
    <n v="412730"/>
  </r>
  <r>
    <x v="0"/>
    <x v="1"/>
    <x v="2"/>
    <s v="JB1-10"/>
    <n v="1794296.1656694831"/>
  </r>
  <r>
    <x v="0"/>
    <x v="2"/>
    <x v="2"/>
    <s v="JB1-10"/>
    <n v="487839.43216066487"/>
  </r>
  <r>
    <x v="0"/>
    <x v="3"/>
    <x v="2"/>
    <s v="JB1-10"/>
    <n v="288846.71526402031"/>
  </r>
  <r>
    <x v="0"/>
    <x v="4"/>
    <x v="2"/>
    <s v="JB1-10"/>
    <n v="46640"/>
  </r>
  <r>
    <x v="0"/>
    <x v="0"/>
    <x v="2"/>
    <s v="OC6"/>
    <n v="0"/>
  </r>
  <r>
    <x v="0"/>
    <x v="1"/>
    <x v="2"/>
    <s v="OC6"/>
    <n v="83953.540404179206"/>
  </r>
  <r>
    <x v="0"/>
    <x v="2"/>
    <x v="2"/>
    <s v="OC6"/>
    <n v="0"/>
  </r>
  <r>
    <x v="0"/>
    <x v="3"/>
    <x v="2"/>
    <s v="OC6"/>
    <n v="62284.965708345597"/>
  </r>
  <r>
    <x v="0"/>
    <x v="4"/>
    <x v="2"/>
    <s v="OC6"/>
    <n v="0"/>
  </r>
  <r>
    <x v="0"/>
    <x v="0"/>
    <x v="2"/>
    <s v="OC12"/>
    <n v="0"/>
  </r>
  <r>
    <x v="0"/>
    <x v="1"/>
    <x v="2"/>
    <s v="OC12"/>
    <n v="63850.259347846317"/>
  </r>
  <r>
    <x v="0"/>
    <x v="2"/>
    <x v="2"/>
    <s v="OC12"/>
    <n v="0"/>
  </r>
  <r>
    <x v="0"/>
    <x v="3"/>
    <x v="2"/>
    <s v="OC12"/>
    <n v="52598.921445460466"/>
  </r>
  <r>
    <x v="0"/>
    <x v="4"/>
    <x v="2"/>
    <s v="OC12"/>
    <n v="0"/>
  </r>
  <r>
    <x v="1"/>
    <x v="0"/>
    <x v="0"/>
    <s v="JB1-10"/>
    <n v="178500"/>
  </r>
  <r>
    <x v="1"/>
    <x v="1"/>
    <x v="0"/>
    <s v="JB1-10"/>
    <n v="552170.40216985194"/>
  </r>
  <r>
    <x v="1"/>
    <x v="2"/>
    <x v="0"/>
    <s v="JB1-10"/>
    <n v="127230"/>
  </r>
  <r>
    <x v="1"/>
    <x v="3"/>
    <x v="0"/>
    <s v="JB1-10"/>
    <n v="71807.284735979716"/>
  </r>
  <r>
    <x v="1"/>
    <x v="4"/>
    <x v="0"/>
    <s v="JB1-10"/>
    <n v="19220"/>
  </r>
  <r>
    <x v="1"/>
    <x v="0"/>
    <x v="0"/>
    <s v="OC6"/>
    <n v="0"/>
  </r>
  <r>
    <x v="1"/>
    <x v="1"/>
    <x v="0"/>
    <s v="OC6"/>
    <n v="9778.158386907593"/>
  </r>
  <r>
    <x v="1"/>
    <x v="2"/>
    <x v="0"/>
    <s v="OC6"/>
    <n v="0"/>
  </r>
  <r>
    <x v="1"/>
    <x v="3"/>
    <x v="0"/>
    <s v="OC6"/>
    <n v="5983.3355005675821"/>
  </r>
  <r>
    <x v="1"/>
    <x v="4"/>
    <x v="0"/>
    <s v="OC6"/>
    <n v="0"/>
  </r>
  <r>
    <x v="1"/>
    <x v="0"/>
    <x v="0"/>
    <s v="OC12"/>
    <n v="0"/>
  </r>
  <r>
    <x v="1"/>
    <x v="1"/>
    <x v="0"/>
    <s v="OC12"/>
    <n v="7611.4394432404806"/>
  </r>
  <r>
    <x v="1"/>
    <x v="2"/>
    <x v="0"/>
    <s v="OC12"/>
    <n v="0"/>
  </r>
  <r>
    <x v="1"/>
    <x v="3"/>
    <x v="0"/>
    <s v="OC12"/>
    <n v="4939.3797634527136"/>
  </r>
  <r>
    <x v="1"/>
    <x v="4"/>
    <x v="0"/>
    <s v="OC12"/>
    <n v="0"/>
  </r>
  <r>
    <x v="1"/>
    <x v="0"/>
    <x v="1"/>
    <s v="JB1-10"/>
    <n v="178500"/>
  </r>
  <r>
    <x v="1"/>
    <x v="1"/>
    <x v="1"/>
    <s v="JB1-10"/>
    <n v="550136.97487202333"/>
  </r>
  <r>
    <x v="1"/>
    <x v="2"/>
    <x v="1"/>
    <s v="JB1-10"/>
    <n v="129263.42729782859"/>
  </r>
  <r>
    <x v="1"/>
    <x v="3"/>
    <x v="1"/>
    <s v="JB1-10"/>
    <n v="71807.284735979716"/>
  </r>
  <r>
    <x v="1"/>
    <x v="4"/>
    <x v="1"/>
    <s v="JB1-10"/>
    <n v="19220"/>
  </r>
  <r>
    <x v="1"/>
    <x v="0"/>
    <x v="1"/>
    <s v="OC6"/>
    <n v="0"/>
  </r>
  <r>
    <x v="1"/>
    <x v="1"/>
    <x v="1"/>
    <s v="OC6"/>
    <n v="9048.4595958207792"/>
  </r>
  <r>
    <x v="1"/>
    <x v="2"/>
    <x v="1"/>
    <s v="OC6"/>
    <n v="0"/>
  </r>
  <r>
    <x v="1"/>
    <x v="3"/>
    <x v="1"/>
    <s v="OC6"/>
    <n v="6713.0342916543959"/>
  </r>
  <r>
    <x v="1"/>
    <x v="4"/>
    <x v="1"/>
    <s v="OC6"/>
    <n v="0"/>
  </r>
  <r>
    <x v="1"/>
    <x v="0"/>
    <x v="1"/>
    <s v="OC12"/>
    <n v="0"/>
  </r>
  <r>
    <x v="1"/>
    <x v="1"/>
    <x v="1"/>
    <s v="OC12"/>
    <n v="6881.7406521536668"/>
  </r>
  <r>
    <x v="1"/>
    <x v="2"/>
    <x v="1"/>
    <s v="OC12"/>
    <n v="0"/>
  </r>
  <r>
    <x v="1"/>
    <x v="3"/>
    <x v="1"/>
    <s v="OC12"/>
    <n v="5669.0785545395274"/>
  </r>
  <r>
    <x v="1"/>
    <x v="4"/>
    <x v="1"/>
    <s v="OC12"/>
    <n v="0"/>
  </r>
  <r>
    <x v="1"/>
    <x v="0"/>
    <x v="2"/>
    <s v="JB1-10"/>
    <n v="178500"/>
  </r>
  <r>
    <x v="1"/>
    <x v="1"/>
    <x v="2"/>
    <s v="JB1-10"/>
    <n v="546439.83433051687"/>
  </r>
  <r>
    <x v="1"/>
    <x v="2"/>
    <x v="2"/>
    <s v="JB1-10"/>
    <n v="132960.5678393351"/>
  </r>
  <r>
    <x v="1"/>
    <x v="3"/>
    <x v="2"/>
    <s v="JB1-10"/>
    <n v="71807.284735979716"/>
  </r>
  <r>
    <x v="1"/>
    <x v="4"/>
    <x v="2"/>
    <s v="JB1-10"/>
    <n v="19220"/>
  </r>
  <r>
    <x v="1"/>
    <x v="0"/>
    <x v="2"/>
    <s v="OC6"/>
    <n v="0"/>
  </r>
  <r>
    <x v="1"/>
    <x v="1"/>
    <x v="2"/>
    <s v="OC6"/>
    <n v="9048.4595958207792"/>
  </r>
  <r>
    <x v="1"/>
    <x v="2"/>
    <x v="2"/>
    <s v="OC6"/>
    <n v="0"/>
  </r>
  <r>
    <x v="1"/>
    <x v="3"/>
    <x v="2"/>
    <s v="OC6"/>
    <n v="6713.0342916543959"/>
  </r>
  <r>
    <x v="1"/>
    <x v="4"/>
    <x v="2"/>
    <s v="OC6"/>
    <n v="0"/>
  </r>
  <r>
    <x v="1"/>
    <x v="0"/>
    <x v="2"/>
    <s v="OC12"/>
    <n v="0"/>
  </r>
  <r>
    <x v="1"/>
    <x v="1"/>
    <x v="2"/>
    <s v="OC12"/>
    <n v="6881.7406521536668"/>
  </r>
  <r>
    <x v="1"/>
    <x v="2"/>
    <x v="2"/>
    <s v="OC12"/>
    <n v="0"/>
  </r>
  <r>
    <x v="1"/>
    <x v="3"/>
    <x v="2"/>
    <s v="OC12"/>
    <n v="5669.0785545395274"/>
  </r>
  <r>
    <x v="1"/>
    <x v="4"/>
    <x v="2"/>
    <s v="OC12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x v="0"/>
    <x v="0"/>
    <n v="6833990.0005322779"/>
  </r>
  <r>
    <x v="1"/>
    <x v="0"/>
    <x v="0"/>
    <n v="258086.32953598633"/>
  </r>
  <r>
    <x v="2"/>
    <x v="0"/>
    <x v="0"/>
    <n v="484833.6848947219"/>
  </r>
  <r>
    <x v="3"/>
    <x v="0"/>
    <x v="0"/>
    <n v="15863611.568544758"/>
  </r>
  <r>
    <x v="4"/>
    <x v="0"/>
    <x v="0"/>
    <n v="184529.62070571107"/>
  </r>
  <r>
    <x v="5"/>
    <x v="0"/>
    <x v="0"/>
    <n v="2145904.0489790672"/>
  </r>
  <r>
    <x v="6"/>
    <x v="0"/>
    <x v="0"/>
    <n v="376449.39511597221"/>
  </r>
  <r>
    <x v="7"/>
    <x v="0"/>
    <x v="0"/>
    <n v="7581538.5357748987"/>
  </r>
  <r>
    <x v="8"/>
    <x v="0"/>
    <x v="0"/>
    <n v="25923.363510878662"/>
  </r>
  <r>
    <x v="9"/>
    <x v="0"/>
    <x v="0"/>
    <n v="1609044.2994914718"/>
  </r>
  <r>
    <x v="10"/>
    <x v="0"/>
    <x v="0"/>
    <n v="890042.58416558511"/>
  </r>
  <r>
    <x v="11"/>
    <x v="0"/>
    <x v="0"/>
    <n v="765723.03528474667"/>
  </r>
  <r>
    <x v="12"/>
    <x v="0"/>
    <x v="0"/>
    <n v="172205.06744997756"/>
  </r>
  <r>
    <x v="0"/>
    <x v="0"/>
    <x v="1"/>
    <n v="7171156.7599390233"/>
  </r>
  <r>
    <x v="1"/>
    <x v="0"/>
    <x v="1"/>
    <n v="270118.44306124689"/>
  </r>
  <r>
    <x v="2"/>
    <x v="0"/>
    <x v="1"/>
    <n v="507790.70515370794"/>
  </r>
  <r>
    <x v="3"/>
    <x v="0"/>
    <x v="1"/>
    <n v="16463363.602305863"/>
  </r>
  <r>
    <x v="4"/>
    <x v="0"/>
    <x v="1"/>
    <n v="192243.07548074043"/>
  </r>
  <r>
    <x v="5"/>
    <x v="0"/>
    <x v="1"/>
    <n v="2241845.3275075206"/>
  </r>
  <r>
    <x v="6"/>
    <x v="0"/>
    <x v="1"/>
    <n v="395099.15710561507"/>
  </r>
  <r>
    <x v="7"/>
    <x v="0"/>
    <x v="1"/>
    <n v="7983307.7524896674"/>
  </r>
  <r>
    <x v="8"/>
    <x v="0"/>
    <x v="1"/>
    <n v="27117.337735936886"/>
  </r>
  <r>
    <x v="9"/>
    <x v="0"/>
    <x v="1"/>
    <n v="1683153.4103621913"/>
  </r>
  <r>
    <x v="10"/>
    <x v="0"/>
    <x v="1"/>
    <n v="925155.87360935542"/>
  </r>
  <r>
    <x v="11"/>
    <x v="0"/>
    <x v="1"/>
    <n v="800990.58717012103"/>
  </r>
  <r>
    <x v="12"/>
    <x v="0"/>
    <x v="1"/>
    <n v="177516.46640303911"/>
  </r>
  <r>
    <x v="0"/>
    <x v="0"/>
    <x v="2"/>
    <n v="6945589.6789912721"/>
  </r>
  <r>
    <x v="1"/>
    <x v="0"/>
    <x v="2"/>
    <n v="260463.0327135307"/>
  </r>
  <r>
    <x v="2"/>
    <x v="0"/>
    <x v="2"/>
    <n v="489039.95714195294"/>
  </r>
  <r>
    <x v="3"/>
    <x v="0"/>
    <x v="2"/>
    <n v="16099999.551723864"/>
  </r>
  <r>
    <x v="4"/>
    <x v="0"/>
    <x v="2"/>
    <n v="185255.23058853028"/>
  </r>
  <r>
    <x v="5"/>
    <x v="0"/>
    <x v="2"/>
    <n v="2162497.7416876755"/>
  </r>
  <r>
    <x v="6"/>
    <x v="0"/>
    <x v="2"/>
    <n v="380710.74225422333"/>
  </r>
  <r>
    <x v="7"/>
    <x v="0"/>
    <x v="2"/>
    <n v="7786550.4071108392"/>
  </r>
  <r>
    <x v="8"/>
    <x v="0"/>
    <x v="2"/>
    <n v="26150.496751056631"/>
  </r>
  <r>
    <x v="9"/>
    <x v="0"/>
    <x v="2"/>
    <n v="1623142.2943438755"/>
  </r>
  <r>
    <x v="10"/>
    <x v="0"/>
    <x v="2"/>
    <n v="893493.81900150096"/>
  </r>
  <r>
    <x v="11"/>
    <x v="0"/>
    <x v="2"/>
    <n v="772432.08575229661"/>
  </r>
  <r>
    <x v="12"/>
    <x v="0"/>
    <x v="2"/>
    <n v="171775.11908496951"/>
  </r>
  <r>
    <x v="0"/>
    <x v="1"/>
    <x v="0"/>
    <n v="2275797.9689121391"/>
  </r>
  <r>
    <x v="1"/>
    <x v="1"/>
    <x v="0"/>
    <n v="27039.772448692573"/>
  </r>
  <r>
    <x v="2"/>
    <x v="1"/>
    <x v="0"/>
    <n v="193574.13238370849"/>
  </r>
  <r>
    <x v="3"/>
    <x v="1"/>
    <x v="0"/>
    <n v="2079827.1270254222"/>
  </r>
  <r>
    <x v="4"/>
    <x v="1"/>
    <x v="0"/>
    <n v="96079.800747233821"/>
  </r>
  <r>
    <x v="5"/>
    <x v="1"/>
    <x v="0"/>
    <n v="116414.7916544996"/>
  </r>
  <r>
    <x v="6"/>
    <x v="1"/>
    <x v="0"/>
    <n v="2252973.7408705982"/>
  </r>
  <r>
    <x v="7"/>
    <x v="1"/>
    <x v="0"/>
    <n v="366156.75807184458"/>
  </r>
  <r>
    <x v="8"/>
    <x v="1"/>
    <x v="0"/>
    <n v="15804.526381892863"/>
  </r>
  <r>
    <x v="9"/>
    <x v="1"/>
    <x v="0"/>
    <n v="396057.87190930446"/>
  </r>
  <r>
    <x v="10"/>
    <x v="1"/>
    <x v="0"/>
    <n v="612515.4514426298"/>
  </r>
  <r>
    <x v="11"/>
    <x v="1"/>
    <x v="0"/>
    <n v="145851.60720031991"/>
  </r>
  <r>
    <x v="12"/>
    <x v="1"/>
    <x v="0"/>
    <n v="37577.319945022478"/>
  </r>
  <r>
    <x v="0"/>
    <x v="1"/>
    <x v="1"/>
    <n v="2409167.1046716827"/>
  </r>
  <r>
    <x v="1"/>
    <x v="1"/>
    <x v="1"/>
    <n v="28552.425442007137"/>
  </r>
  <r>
    <x v="2"/>
    <x v="1"/>
    <x v="1"/>
    <n v="204407.79128636757"/>
  </r>
  <r>
    <x v="3"/>
    <x v="1"/>
    <x v="1"/>
    <n v="2190992.6315255472"/>
  </r>
  <r>
    <x v="4"/>
    <x v="1"/>
    <x v="1"/>
    <n v="100834.72491971773"/>
  </r>
  <r>
    <x v="5"/>
    <x v="1"/>
    <x v="1"/>
    <n v="122853.28204903381"/>
  </r>
  <r>
    <x v="6"/>
    <x v="1"/>
    <x v="1"/>
    <n v="2381738.5992335565"/>
  </r>
  <r>
    <x v="7"/>
    <x v="1"/>
    <x v="1"/>
    <n v="388994.37014569982"/>
  </r>
  <r>
    <x v="8"/>
    <x v="1"/>
    <x v="1"/>
    <n v="16686.121067916127"/>
  </r>
  <r>
    <x v="9"/>
    <x v="1"/>
    <x v="1"/>
    <n v="418150.43620360433"/>
  </r>
  <r>
    <x v="10"/>
    <x v="1"/>
    <x v="1"/>
    <n v="645001.32802557282"/>
  </r>
  <r>
    <x v="11"/>
    <x v="1"/>
    <x v="1"/>
    <n v="153987.37784910508"/>
  </r>
  <r>
    <x v="12"/>
    <x v="1"/>
    <x v="1"/>
    <n v="39419.677245239443"/>
  </r>
  <r>
    <x v="0"/>
    <x v="1"/>
    <x v="2"/>
    <n v="2360239.3885877775"/>
  </r>
  <r>
    <x v="1"/>
    <x v="1"/>
    <x v="2"/>
    <n v="27846.800257878294"/>
  </r>
  <r>
    <x v="2"/>
    <x v="1"/>
    <x v="2"/>
    <n v="199163.17844104863"/>
  </r>
  <r>
    <x v="3"/>
    <x v="1"/>
    <x v="2"/>
    <n v="2163650.2851152783"/>
  </r>
  <r>
    <x v="4"/>
    <x v="1"/>
    <x v="2"/>
    <n v="98333.203509519633"/>
  </r>
  <r>
    <x v="5"/>
    <x v="1"/>
    <x v="2"/>
    <n v="119824.59197839584"/>
  </r>
  <r>
    <x v="6"/>
    <x v="1"/>
    <x v="2"/>
    <n v="2322627.8500566902"/>
  </r>
  <r>
    <x v="7"/>
    <x v="1"/>
    <x v="2"/>
    <n v="383747.87380717852"/>
  </r>
  <r>
    <x v="8"/>
    <x v="1"/>
    <x v="2"/>
    <n v="16274.021455837808"/>
  </r>
  <r>
    <x v="9"/>
    <x v="1"/>
    <x v="2"/>
    <n v="407823.31273083866"/>
  </r>
  <r>
    <x v="10"/>
    <x v="1"/>
    <x v="2"/>
    <n v="629229.83697533351"/>
  </r>
  <r>
    <x v="11"/>
    <x v="1"/>
    <x v="2"/>
    <n v="150184.32869116802"/>
  </r>
  <r>
    <x v="12"/>
    <x v="1"/>
    <x v="2"/>
    <n v="38470.03399975629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">
  <r>
    <x v="0"/>
    <x v="0"/>
    <x v="0"/>
    <s v="Konventionel"/>
    <x v="0"/>
    <s v="Halm"/>
    <n v="853064.00210361299"/>
    <n v="5979978.6547463275"/>
    <n v="1951850.0829625644"/>
    <n v="1951850.0829625644"/>
  </r>
  <r>
    <x v="0"/>
    <x v="1"/>
    <x v="0"/>
    <s v="Konventionel"/>
    <x v="0"/>
    <s v="Halm"/>
    <n v="58939.484550716581"/>
    <n v="227506.41036576603"/>
    <n v="67541.817252888548"/>
    <n v="67541.817252888548"/>
  </r>
  <r>
    <x v="0"/>
    <x v="2"/>
    <x v="0"/>
    <s v="Konventionel"/>
    <x v="0"/>
    <s v="Halm"/>
    <n v="99115.06241944003"/>
    <n v="436106.27464553615"/>
    <n v="232926.54181955411"/>
    <n v="232926.54181955411"/>
  </r>
  <r>
    <x v="0"/>
    <x v="3"/>
    <x v="0"/>
    <s v="Konventionel"/>
    <x v="0"/>
    <s v="Græs"/>
    <n v="188981.25083524975"/>
    <n v="9377249.6664450932"/>
    <n v="0"/>
    <n v="9377249.6664450932"/>
  </r>
  <r>
    <x v="0"/>
    <x v="4"/>
    <x v="0"/>
    <s v="Konventionel"/>
    <x v="0"/>
    <s v="Grøntsager"/>
    <n v="7313.1446192208541"/>
    <n v="151747.75084883274"/>
    <n v="0"/>
    <n v="151747.75084883274"/>
  </r>
  <r>
    <x v="0"/>
    <x v="5"/>
    <x v="0"/>
    <s v="Konventionel"/>
    <x v="0"/>
    <s v="Kartofler"/>
    <n v="43565.33101601588"/>
    <n v="1850258.7939976689"/>
    <n v="0"/>
    <n v="1850258.7939976689"/>
  </r>
  <r>
    <x v="0"/>
    <x v="6"/>
    <x v="0"/>
    <s v="Konventionel"/>
    <x v="0"/>
    <s v="Roer"/>
    <n v="4252.8843446697592"/>
    <n v="345562.72197585326"/>
    <n v="0"/>
    <n v="345562.72197585326"/>
  </r>
  <r>
    <x v="0"/>
    <x v="7"/>
    <x v="0"/>
    <s v="Konventionel"/>
    <x v="0"/>
    <s v="Majs"/>
    <n v="145638.34626271055"/>
    <n v="6482362.7921532467"/>
    <n v="0"/>
    <n v="6482362.7921532467"/>
  </r>
  <r>
    <x v="0"/>
    <x v="8"/>
    <x v="0"/>
    <s v="Konventionel"/>
    <x v="0"/>
    <s v="Frugt"/>
    <n v="2676.1448409922077"/>
    <n v="22720.469700023848"/>
    <n v="0"/>
    <n v="22720.469700023848"/>
  </r>
  <r>
    <x v="0"/>
    <x v="9"/>
    <x v="0"/>
    <s v="Konventionel"/>
    <x v="0"/>
    <s v="Øvrige"/>
    <n v="47330.033772765404"/>
    <n v="1410243.012533868"/>
    <n v="0"/>
    <n v="1410243.012533868"/>
  </r>
  <r>
    <x v="0"/>
    <x v="10"/>
    <x v="0"/>
    <s v="Konventionel"/>
    <x v="0"/>
    <s v="Halm"/>
    <n v="49787.032963432102"/>
    <n v="711399.98164280283"/>
    <n v="118184.45884859514"/>
    <n v="118184.45884859514"/>
  </r>
  <r>
    <x v="0"/>
    <x v="11"/>
    <x v="0"/>
    <s v="Konventionel"/>
    <x v="0"/>
    <s v="Juletræer"/>
    <n v="13422.322311297707"/>
    <n v="671116.11556488543"/>
    <n v="0"/>
    <n v="671116.11556488543"/>
  </r>
  <r>
    <x v="0"/>
    <x v="12"/>
    <x v="0"/>
    <s v="Konventionel"/>
    <x v="0"/>
    <s v="Pil &amp; poppel"/>
    <n v="4937.1607996010098"/>
    <n v="120418.55608782951"/>
    <n v="0"/>
    <n v="120418.55608782951"/>
  </r>
  <r>
    <x v="0"/>
    <x v="13"/>
    <x v="0"/>
    <s v="Konventionel"/>
    <x v="0"/>
    <s v="Græs"/>
    <n v="119003.01274629038"/>
    <n v="1641051.5457713446"/>
    <n v="0"/>
    <n v="1641051.5457713446"/>
  </r>
  <r>
    <x v="0"/>
    <x v="0"/>
    <x v="1"/>
    <s v="Konventionel"/>
    <x v="0"/>
    <s v="Halm"/>
    <n v="823750.37397071952"/>
    <n v="5774490.1215347433"/>
    <n v="1873822.0444380243"/>
    <n v="1873822.0444380243"/>
  </r>
  <r>
    <x v="0"/>
    <x v="1"/>
    <x v="1"/>
    <s v="Konventionel"/>
    <x v="0"/>
    <s v="Halm"/>
    <n v="56914.161564160306"/>
    <n v="219688.66363765878"/>
    <n v="64841.735128432192"/>
    <n v="64841.735128432192"/>
  </r>
  <r>
    <x v="0"/>
    <x v="2"/>
    <x v="1"/>
    <s v="Konventionel"/>
    <x v="0"/>
    <s v="Halm"/>
    <n v="95709.195948732828"/>
    <n v="421120.46217442444"/>
    <n v="223614.96541461936"/>
    <n v="223614.96541461936"/>
  </r>
  <r>
    <x v="0"/>
    <x v="3"/>
    <x v="1"/>
    <s v="Konventionel"/>
    <x v="0"/>
    <s v="Græs"/>
    <n v="182487.33467255518"/>
    <n v="9055021.5464521889"/>
    <n v="0"/>
    <n v="9055021.5464521889"/>
  </r>
  <r>
    <x v="0"/>
    <x v="4"/>
    <x v="1"/>
    <s v="Konventionel"/>
    <x v="0"/>
    <s v="Grøntsager"/>
    <n v="7061.8448324272804"/>
    <n v="146533.28027286608"/>
    <n v="0"/>
    <n v="146533.28027286608"/>
  </r>
  <r>
    <x v="0"/>
    <x v="5"/>
    <x v="1"/>
    <s v="Konventionel"/>
    <x v="0"/>
    <s v="Kartofler"/>
    <n v="42068.306279606026"/>
    <n v="1786678.8069121563"/>
    <n v="0"/>
    <n v="1786678.8069121563"/>
  </r>
  <r>
    <x v="0"/>
    <x v="6"/>
    <x v="1"/>
    <s v="Konventionel"/>
    <x v="0"/>
    <s v="Roer"/>
    <n v="4106.7435277270333"/>
    <n v="333688.23529770103"/>
    <n v="0"/>
    <n v="333688.23529770103"/>
  </r>
  <r>
    <x v="0"/>
    <x v="7"/>
    <x v="1"/>
    <s v="Konventionel"/>
    <x v="0"/>
    <s v="Majs"/>
    <n v="140633.81165134837"/>
    <n v="6259610.9566015163"/>
    <n v="0"/>
    <n v="6259610.9566015163"/>
  </r>
  <r>
    <x v="0"/>
    <x v="8"/>
    <x v="1"/>
    <s v="Konventionel"/>
    <x v="0"/>
    <s v="Frugt"/>
    <n v="2584.1851351493174"/>
    <n v="21939.731797417709"/>
    <n v="0"/>
    <n v="21939.731797417709"/>
  </r>
  <r>
    <x v="0"/>
    <x v="9"/>
    <x v="1"/>
    <s v="Konventionel"/>
    <x v="0"/>
    <s v="Øvrige"/>
    <n v="45703.64348304407"/>
    <n v="1361783.1793390682"/>
    <n v="0"/>
    <n v="1361783.1793390682"/>
  </r>
  <r>
    <x v="0"/>
    <x v="10"/>
    <x v="1"/>
    <s v="Konventionel"/>
    <x v="0"/>
    <s v="Halm"/>
    <n v="48076.213415858583"/>
    <n v="686954.31934290484"/>
    <n v="113459.86366142624"/>
    <n v="113459.86366142624"/>
  </r>
  <r>
    <x v="0"/>
    <x v="11"/>
    <x v="1"/>
    <s v="Konventionel"/>
    <x v="0"/>
    <s v="Juletræer"/>
    <n v="12961.094356603833"/>
    <n v="648054.71783019172"/>
    <n v="0"/>
    <n v="648054.71783019172"/>
  </r>
  <r>
    <x v="0"/>
    <x v="12"/>
    <x v="1"/>
    <s v="Konventionel"/>
    <x v="0"/>
    <s v="Pil &amp; poppel"/>
    <n v="4767.5063594242874"/>
    <n v="116280.6429127875"/>
    <n v="0"/>
    <n v="116280.6429127875"/>
  </r>
  <r>
    <x v="0"/>
    <x v="13"/>
    <x v="1"/>
    <s v="Konventionel"/>
    <x v="0"/>
    <s v="Græs"/>
    <n v="114913.74153834289"/>
    <n v="1584660.4958137486"/>
    <n v="0"/>
    <n v="1584660.4958137486"/>
  </r>
  <r>
    <x v="0"/>
    <x v="0"/>
    <x v="2"/>
    <s v="Konventionel"/>
    <x v="0"/>
    <s v="Halm"/>
    <n v="770919.64193441265"/>
    <n v="5404146.6899602329"/>
    <n v="1753645.6008920954"/>
    <n v="1753645.6008920954"/>
  </r>
  <r>
    <x v="0"/>
    <x v="1"/>
    <x v="2"/>
    <s v="Konventionel"/>
    <x v="0"/>
    <s v="Halm"/>
    <n v="53264.00623351871"/>
    <n v="205599.06406138223"/>
    <n v="60683.14966178553"/>
    <n v="60683.14966178553"/>
  </r>
  <r>
    <x v="0"/>
    <x v="2"/>
    <x v="2"/>
    <s v="Konventionel"/>
    <x v="0"/>
    <s v="Halm"/>
    <n v="89570.944550794622"/>
    <n v="394112.15602349635"/>
    <n v="209273.55484847655"/>
    <n v="209273.55484847655"/>
  </r>
  <r>
    <x v="0"/>
    <x v="3"/>
    <x v="2"/>
    <s v="Konventionel"/>
    <x v="0"/>
    <s v="Græs"/>
    <n v="170783.61983035918"/>
    <n v="8474283.2159824222"/>
    <n v="0"/>
    <n v="8474283.2159824222"/>
  </r>
  <r>
    <x v="0"/>
    <x v="4"/>
    <x v="2"/>
    <s v="Konventionel"/>
    <x v="0"/>
    <s v="Grøntsager"/>
    <n v="6608.9376850525514"/>
    <n v="137135.45696484044"/>
    <n v="0"/>
    <n v="137135.45696484044"/>
  </r>
  <r>
    <x v="0"/>
    <x v="5"/>
    <x v="2"/>
    <s v="Konventionel"/>
    <x v="0"/>
    <s v="Kartofler"/>
    <n v="39370.280898972756"/>
    <n v="1672091.2422013455"/>
    <n v="0"/>
    <n v="1672091.2422013455"/>
  </r>
  <r>
    <x v="0"/>
    <x v="6"/>
    <x v="2"/>
    <s v="Konventionel"/>
    <x v="0"/>
    <s v="Roer"/>
    <n v="3843.3600153052266"/>
    <n v="312287.34213912912"/>
    <n v="0"/>
    <n v="312287.34213912912"/>
  </r>
  <r>
    <x v="0"/>
    <x v="7"/>
    <x v="2"/>
    <s v="Konventionel"/>
    <x v="0"/>
    <s v="Majs"/>
    <n v="131614.34719540758"/>
    <n v="5858154.5936675919"/>
    <n v="0"/>
    <n v="5858154.5936675919"/>
  </r>
  <r>
    <x v="0"/>
    <x v="8"/>
    <x v="2"/>
    <s v="Konventionel"/>
    <x v="0"/>
    <s v="Frugt"/>
    <n v="2418.4499844031116"/>
    <n v="20532.640367582419"/>
    <n v="0"/>
    <n v="20532.640367582419"/>
  </r>
  <r>
    <x v="0"/>
    <x v="9"/>
    <x v="2"/>
    <s v="Konventionel"/>
    <x v="0"/>
    <s v="Øvrige"/>
    <n v="42772.467949494108"/>
    <n v="1274446.0387288358"/>
    <n v="0"/>
    <n v="1274446.0387288358"/>
  </r>
  <r>
    <x v="0"/>
    <x v="10"/>
    <x v="2"/>
    <s v="Konventionel"/>
    <x v="0"/>
    <s v="Halm"/>
    <n v="44992.874544580809"/>
    <n v="642896.91953688243"/>
    <n v="106183.18392521072"/>
    <n v="106183.18392521072"/>
  </r>
  <r>
    <x v="0"/>
    <x v="11"/>
    <x v="2"/>
    <s v="Konventionel"/>
    <x v="0"/>
    <s v="Juletræer"/>
    <n v="12129.842408819752"/>
    <n v="606492.12044098764"/>
    <n v="0"/>
    <n v="606492.12044098764"/>
  </r>
  <r>
    <x v="0"/>
    <x v="12"/>
    <x v="2"/>
    <s v="Konventionel"/>
    <x v="0"/>
    <s v="Pil &amp; poppel"/>
    <n v="4461.7452224161889"/>
    <n v="108823.05420527291"/>
    <n v="0"/>
    <n v="108823.05420527291"/>
  </r>
  <r>
    <x v="0"/>
    <x v="13"/>
    <x v="2"/>
    <s v="Konventionel"/>
    <x v="0"/>
    <s v="Græs"/>
    <n v="107543.81822378619"/>
    <n v="1483029.2533060117"/>
    <n v="0"/>
    <n v="1483029.2533060117"/>
  </r>
  <r>
    <x v="0"/>
    <x v="0"/>
    <x v="0"/>
    <s v="Økologisk"/>
    <x v="0"/>
    <s v="Halm"/>
    <n v="109074.05508995618"/>
    <n v="512288.11454099719"/>
    <n v="167209.55986589516"/>
    <n v="167209.55986589516"/>
  </r>
  <r>
    <x v="0"/>
    <x v="1"/>
    <x v="0"/>
    <s v="Økologisk"/>
    <x v="0"/>
    <s v="Halm"/>
    <n v="7536.0917457605292"/>
    <n v="16580.909059022317"/>
    <n v="4922.5194479169131"/>
    <n v="4922.5194479169131"/>
  </r>
  <r>
    <x v="0"/>
    <x v="2"/>
    <x v="0"/>
    <s v="Økologisk"/>
    <x v="0"/>
    <s v="Halm"/>
    <n v="12673.001969281737"/>
    <n v="30668.664765661812"/>
    <n v="16380.287194663799"/>
    <n v="16380.287194663799"/>
  </r>
  <r>
    <x v="0"/>
    <x v="3"/>
    <x v="0"/>
    <s v="Økologisk"/>
    <x v="0"/>
    <s v="Græs"/>
    <n v="24163.428903039348"/>
    <n v="935211.68689167371"/>
    <n v="0"/>
    <n v="935211.68689167371"/>
  </r>
  <r>
    <x v="0"/>
    <x v="4"/>
    <x v="0"/>
    <s v="Økologisk"/>
    <x v="0"/>
    <s v="Grøntsager"/>
    <n v="935.06974518991217"/>
    <n v="11059.537411233687"/>
    <n v="0"/>
    <n v="11059.537411233687"/>
  </r>
  <r>
    <x v="0"/>
    <x v="5"/>
    <x v="0"/>
    <s v="Økologisk"/>
    <x v="0"/>
    <s v="Kartofler"/>
    <n v="5570.3291939822529"/>
    <n v="134848.82799393893"/>
    <n v="0"/>
    <n v="134848.82799393893"/>
  </r>
  <r>
    <x v="0"/>
    <x v="6"/>
    <x v="0"/>
    <s v="Økologisk"/>
    <x v="0"/>
    <s v="Roer"/>
    <n v="543.78023238328944"/>
    <n v="25184.978559760264"/>
    <n v="0"/>
    <n v="25184.978559760264"/>
  </r>
  <r>
    <x v="0"/>
    <x v="7"/>
    <x v="0"/>
    <s v="Økologisk"/>
    <x v="0"/>
    <s v="Majs"/>
    <n v="18621.539490936779"/>
    <n v="687941.11987552466"/>
    <n v="0"/>
    <n v="687941.11987552466"/>
  </r>
  <r>
    <x v="0"/>
    <x v="8"/>
    <x v="0"/>
    <s v="Økologisk"/>
    <x v="0"/>
    <s v="Frugt"/>
    <n v="342.17593181200988"/>
    <n v="1655.8919868178593"/>
    <n v="0"/>
    <n v="1655.8919868178593"/>
  </r>
  <r>
    <x v="0"/>
    <x v="9"/>
    <x v="0"/>
    <s v="Økologisk"/>
    <x v="0"/>
    <s v="Øvrige"/>
    <n v="6051.6897892885954"/>
    <n v="102780.0100417052"/>
    <n v="0"/>
    <n v="102780.0100417052"/>
  </r>
  <r>
    <x v="0"/>
    <x v="10"/>
    <x v="0"/>
    <s v="Økologisk"/>
    <x v="0"/>
    <s v="Halm"/>
    <n v="6365.8454264012817"/>
    <n v="51847.586981155291"/>
    <n v="8613.4090077190758"/>
    <n v="8613.4090077190758"/>
  </r>
  <r>
    <x v="0"/>
    <x v="11"/>
    <x v="0"/>
    <s v="Økologisk"/>
    <x v="0"/>
    <s v="Juletræer"/>
    <n v="1716.1984559275936"/>
    <n v="48911.655993936416"/>
    <n v="0"/>
    <n v="48911.655993936416"/>
  </r>
  <r>
    <x v="0"/>
    <x v="12"/>
    <x v="0"/>
    <s v="Økologisk"/>
    <x v="0"/>
    <s v="Pil &amp; poppel"/>
    <n v="631.27285609954106"/>
    <n v="8776.2323896765465"/>
    <n v="0"/>
    <n v="8776.2323896765465"/>
  </r>
  <r>
    <x v="0"/>
    <x v="13"/>
    <x v="0"/>
    <s v="Økologisk"/>
    <x v="0"/>
    <s v="Græs"/>
    <n v="15215.905414073572"/>
    <n v="209827.33566007458"/>
    <n v="0"/>
    <n v="209827.33566007458"/>
  </r>
  <r>
    <x v="0"/>
    <x v="0"/>
    <x v="1"/>
    <s v="Økologisk"/>
    <x v="0"/>
    <s v="Halm"/>
    <n v="128562.19709369613"/>
    <n v="603818.07108996273"/>
    <n v="195938.96406869288"/>
    <n v="195938.96406869288"/>
  </r>
  <r>
    <x v="0"/>
    <x v="1"/>
    <x v="1"/>
    <s v="Økologisk"/>
    <x v="0"/>
    <s v="Halm"/>
    <n v="8882.5570071232869"/>
    <n v="19543.401927072653"/>
    <n v="5768.2907724079287"/>
    <n v="5768.2907724079287"/>
  </r>
  <r>
    <x v="0"/>
    <x v="2"/>
    <x v="1"/>
    <s v="Økologisk"/>
    <x v="0"/>
    <s v="Halm"/>
    <n v="14937.273356160618"/>
    <n v="36148.201521908697"/>
    <n v="19194.69500813352"/>
    <n v="19194.69500813352"/>
  </r>
  <r>
    <x v="0"/>
    <x v="3"/>
    <x v="1"/>
    <s v="Økologisk"/>
    <x v="0"/>
    <s v="Græs"/>
    <n v="28480.682289936361"/>
    <n v="1102304.9350767811"/>
    <n v="0"/>
    <n v="1102304.9350767811"/>
  </r>
  <r>
    <x v="0"/>
    <x v="4"/>
    <x v="1"/>
    <s v="Økologisk"/>
    <x v="0"/>
    <s v="Grøntsager"/>
    <n v="1102.1376328065699"/>
    <n v="13035.532852019704"/>
    <n v="0"/>
    <n v="13035.532852019704"/>
  </r>
  <r>
    <x v="0"/>
    <x v="5"/>
    <x v="1"/>
    <s v="Økologisk"/>
    <x v="0"/>
    <s v="Kartofler"/>
    <n v="6565.5738124240625"/>
    <n v="158942.12045305254"/>
    <n v="0"/>
    <n v="158942.12045305254"/>
  </r>
  <r>
    <x v="0"/>
    <x v="6"/>
    <x v="1"/>
    <s v="Økologisk"/>
    <x v="0"/>
    <s v="Roer"/>
    <n v="640.93685114814969"/>
    <n v="29684.751105385072"/>
    <n v="0"/>
    <n v="29684.751105385072"/>
  </r>
  <r>
    <x v="0"/>
    <x v="7"/>
    <x v="1"/>
    <s v="Økologisk"/>
    <x v="0"/>
    <s v="Majs"/>
    <n v="21948.629564083272"/>
    <n v="810854.80657479749"/>
    <n v="0"/>
    <n v="810854.80657479749"/>
  </r>
  <r>
    <x v="0"/>
    <x v="8"/>
    <x v="1"/>
    <s v="Økologisk"/>
    <x v="0"/>
    <s v="Frugt"/>
    <n v="403.3121309192577"/>
    <n v="1951.7483951575637"/>
    <n v="0"/>
    <n v="1951.7483951575637"/>
  </r>
  <r>
    <x v="0"/>
    <x v="9"/>
    <x v="1"/>
    <s v="Økologisk"/>
    <x v="0"/>
    <s v="Øvrige"/>
    <n v="7132.9385782785548"/>
    <n v="121143.60190767782"/>
    <n v="0"/>
    <n v="121143.60190767782"/>
  </r>
  <r>
    <x v="0"/>
    <x v="10"/>
    <x v="1"/>
    <s v="Økologisk"/>
    <x v="0"/>
    <s v="Halm"/>
    <n v="7503.2240591224381"/>
    <n v="61111.138582007545"/>
    <n v="10093.337004331503"/>
    <n v="10093.337004331503"/>
  </r>
  <r>
    <x v="0"/>
    <x v="11"/>
    <x v="1"/>
    <s v="Økologisk"/>
    <x v="0"/>
    <s v="Juletræer"/>
    <n v="2022.8297550768989"/>
    <n v="57650.648019691616"/>
    <n v="0"/>
    <n v="57650.648019691616"/>
  </r>
  <r>
    <x v="0"/>
    <x v="12"/>
    <x v="1"/>
    <s v="Økologisk"/>
    <x v="0"/>
    <s v="Pil &amp; poppel"/>
    <n v="744.06168615292358"/>
    <n v="10344.272222126012"/>
    <n v="0"/>
    <n v="10344.272222126012"/>
  </r>
  <r>
    <x v="0"/>
    <x v="13"/>
    <x v="1"/>
    <s v="Økologisk"/>
    <x v="0"/>
    <s v="Græs"/>
    <n v="17934.514575348316"/>
    <n v="247316.95599405328"/>
    <n v="0"/>
    <n v="247316.95599405328"/>
  </r>
  <r>
    <x v="0"/>
    <x v="0"/>
    <x v="2"/>
    <s v="Økologisk"/>
    <x v="0"/>
    <s v="Halm"/>
    <n v="163528.40889517844"/>
    <n v="768043.87805798464"/>
    <n v="249230.23842981603"/>
    <n v="249230.23842981603"/>
  </r>
  <r>
    <x v="0"/>
    <x v="1"/>
    <x v="2"/>
    <s v="Økologisk"/>
    <x v="0"/>
    <s v="Halm"/>
    <n v="11298.425564685787"/>
    <n v="24858.79592742167"/>
    <n v="7337.1444591067957"/>
    <n v="7337.1444591067957"/>
  </r>
  <r>
    <x v="0"/>
    <x v="2"/>
    <x v="2"/>
    <s v="Økologisk"/>
    <x v="0"/>
    <s v="Halm"/>
    <n v="18999.897328956435"/>
    <n v="45979.751536074575"/>
    <n v="24415.2480656556"/>
    <n v="24415.2480656556"/>
  </r>
  <r>
    <x v="0"/>
    <x v="3"/>
    <x v="2"/>
    <s v="Økologisk"/>
    <x v="0"/>
    <s v="Græs"/>
    <n v="36226.828448864071"/>
    <n v="1402108.6775534553"/>
    <n v="0"/>
    <n v="1402108.6775534553"/>
  </r>
  <r>
    <x v="0"/>
    <x v="4"/>
    <x v="2"/>
    <s v="Økologisk"/>
    <x v="0"/>
    <s v="Grøntsager"/>
    <n v="1401.8958725869049"/>
    <n v="16580.923433021617"/>
    <n v="0"/>
    <n v="16580.923433021617"/>
  </r>
  <r>
    <x v="0"/>
    <x v="5"/>
    <x v="2"/>
    <s v="Økologisk"/>
    <x v="0"/>
    <s v="Kartofler"/>
    <n v="8351.2717058427061"/>
    <n v="202171.03201161724"/>
    <n v="0"/>
    <n v="202171.03201161724"/>
  </r>
  <r>
    <x v="0"/>
    <x v="6"/>
    <x v="2"/>
    <s v="Økologisk"/>
    <x v="0"/>
    <s v="Roer"/>
    <n v="815.25818506474513"/>
    <n v="37758.378640458337"/>
    <n v="0"/>
    <n v="37758.378640458337"/>
  </r>
  <r>
    <x v="0"/>
    <x v="7"/>
    <x v="2"/>
    <s v="Økologisk"/>
    <x v="0"/>
    <s v="Majs"/>
    <n v="27918.194859631913"/>
    <n v="1031390.2481578398"/>
    <n v="0"/>
    <n v="1031390.2481578398"/>
  </r>
  <r>
    <x v="0"/>
    <x v="8"/>
    <x v="2"/>
    <s v="Økologisk"/>
    <x v="0"/>
    <s v="Frugt"/>
    <n v="513.00454214611455"/>
    <n v="2482.5828808076922"/>
    <n v="0"/>
    <n v="2482.5828808076922"/>
  </r>
  <r>
    <x v="0"/>
    <x v="9"/>
    <x v="2"/>
    <s v="Økologisk"/>
    <x v="0"/>
    <s v="Øvrige"/>
    <n v="9072.9477468623863"/>
    <n v="154092.11195539558"/>
    <n v="0"/>
    <n v="154092.11195539558"/>
  </r>
  <r>
    <x v="0"/>
    <x v="10"/>
    <x v="2"/>
    <s v="Økologisk"/>
    <x v="0"/>
    <s v="Halm"/>
    <n v="9543.9430852141104"/>
    <n v="77732.082089459407"/>
    <n v="12838.51223823002"/>
    <n v="12838.51223823002"/>
  </r>
  <r>
    <x v="0"/>
    <x v="11"/>
    <x v="2"/>
    <s v="Økologisk"/>
    <x v="0"/>
    <s v="Juletræer"/>
    <n v="2572.9968745981287"/>
    <n v="73330.410926046665"/>
    <n v="0"/>
    <n v="73330.410926046665"/>
  </r>
  <r>
    <x v="0"/>
    <x v="12"/>
    <x v="2"/>
    <s v="Økologisk"/>
    <x v="0"/>
    <s v="Pil &amp; poppel"/>
    <n v="946.43080475494912"/>
    <n v="13157.696553910268"/>
    <n v="0"/>
    <n v="13157.696553910268"/>
  </r>
  <r>
    <x v="0"/>
    <x v="13"/>
    <x v="2"/>
    <s v="Økologisk"/>
    <x v="0"/>
    <s v="Græs"/>
    <n v="22812.325077772828"/>
    <n v="314581.96282248734"/>
    <n v="0"/>
    <n v="314581.96282248734"/>
  </r>
  <r>
    <x v="0"/>
    <x v="0"/>
    <x v="0"/>
    <s v="Konventionel"/>
    <x v="1"/>
    <s v="Halm"/>
    <n v="23536.994348302134"/>
    <n v="197993.19645791754"/>
    <n v="64624.484340873154"/>
    <n v="64624.484340873154"/>
  </r>
  <r>
    <x v="0"/>
    <x v="1"/>
    <x v="0"/>
    <s v="Konventionel"/>
    <x v="1"/>
    <s v="Halm"/>
    <n v="2017.6900814622547"/>
    <n v="9345.9404573331649"/>
    <n v="2774.6110600167958"/>
    <n v="2774.6110600167958"/>
  </r>
  <r>
    <x v="0"/>
    <x v="2"/>
    <x v="0"/>
    <s v="Konventionel"/>
    <x v="1"/>
    <s v="Halm"/>
    <n v="2160.5082355894242"/>
    <n v="11407.483483912161"/>
    <n v="6092.7939661749042"/>
    <n v="6092.7939661749042"/>
  </r>
  <r>
    <x v="0"/>
    <x v="3"/>
    <x v="0"/>
    <s v="Konventionel"/>
    <x v="1"/>
    <s v="Græs"/>
    <n v="19937.932611161701"/>
    <n v="1187184.2593990124"/>
    <n v="0"/>
    <n v="1187184.2593990124"/>
  </r>
  <r>
    <x v="0"/>
    <x v="4"/>
    <x v="0"/>
    <s v="Konventionel"/>
    <x v="1"/>
    <s v="Grøntsager"/>
    <n v="93.250460767730289"/>
    <n v="2321.9364731164837"/>
    <n v="0"/>
    <n v="2321.9364731164837"/>
  </r>
  <r>
    <x v="0"/>
    <x v="5"/>
    <x v="0"/>
    <s v="Konventionel"/>
    <x v="1"/>
    <s v="Kartofler"/>
    <n v="1472.183079133998"/>
    <n v="75029.927467991118"/>
    <n v="0"/>
    <n v="75029.927467991118"/>
  </r>
  <r>
    <x v="0"/>
    <x v="6"/>
    <x v="0"/>
    <s v="Konventionel"/>
    <x v="1"/>
    <s v="Roer"/>
    <n v="38.623193326213141"/>
    <n v="3765.9342889773907"/>
    <n v="0"/>
    <n v="3765.9342889773907"/>
  </r>
  <r>
    <x v="0"/>
    <x v="7"/>
    <x v="0"/>
    <s v="Konventionel"/>
    <x v="1"/>
    <s v="Majs"/>
    <n v="4985.6738479275327"/>
    <n v="266294.8115655054"/>
    <n v="0"/>
    <n v="266294.8115655054"/>
  </r>
  <r>
    <x v="0"/>
    <x v="8"/>
    <x v="0"/>
    <s v="Konventionel"/>
    <x v="1"/>
    <s v="Frugt"/>
    <n v="84.935239958799571"/>
    <n v="865.32022470025004"/>
    <n v="0"/>
    <n v="865.32022470025004"/>
  </r>
  <r>
    <x v="0"/>
    <x v="9"/>
    <x v="0"/>
    <s v="Konventionel"/>
    <x v="1"/>
    <s v="Øvrige"/>
    <n v="1502.156278752635"/>
    <n v="53709.79634661704"/>
    <n v="0"/>
    <n v="53709.79634661704"/>
  </r>
  <r>
    <x v="0"/>
    <x v="10"/>
    <x v="0"/>
    <s v="Konventionel"/>
    <x v="1"/>
    <s v="Halm"/>
    <n v="3707.7646805966074"/>
    <n v="63575.679900016141"/>
    <n v="10561.790158560274"/>
    <n v="10561.790158560274"/>
  </r>
  <r>
    <x v="0"/>
    <x v="11"/>
    <x v="0"/>
    <s v="Konventionel"/>
    <x v="1"/>
    <s v="Juletræer"/>
    <n v="425.99643668454917"/>
    <n v="25559.786201072948"/>
    <n v="0"/>
    <n v="25559.786201072948"/>
  </r>
  <r>
    <x v="0"/>
    <x v="12"/>
    <x v="0"/>
    <s v="Konventionel"/>
    <x v="1"/>
    <s v="Pil &amp; poppel"/>
    <n v="699.64323170301793"/>
    <n v="20477.362879112719"/>
    <n v="0"/>
    <n v="20477.362879112719"/>
  </r>
  <r>
    <x v="0"/>
    <x v="13"/>
    <x v="0"/>
    <s v="Konventionel"/>
    <x v="1"/>
    <s v="Græs"/>
    <n v="19775.461430434403"/>
    <n v="327244.33575082856"/>
    <n v="0"/>
    <n v="327244.33575082856"/>
  </r>
  <r>
    <x v="0"/>
    <x v="0"/>
    <x v="1"/>
    <s v="Konventionel"/>
    <x v="1"/>
    <s v="Halm"/>
    <n v="21249.096650527637"/>
    <n v="178747.40102423847"/>
    <n v="58003.531632365382"/>
    <n v="58003.531632365382"/>
  </r>
  <r>
    <x v="0"/>
    <x v="1"/>
    <x v="1"/>
    <s v="Konventionel"/>
    <x v="1"/>
    <s v="Halm"/>
    <n v="1821.561874780974"/>
    <n v="8437.4746039854726"/>
    <n v="2490.3446739830588"/>
    <n v="2490.3446739830588"/>
  </r>
  <r>
    <x v="0"/>
    <x v="2"/>
    <x v="1"/>
    <s v="Konventionel"/>
    <x v="1"/>
    <s v="Halm"/>
    <n v="1950.4974863373875"/>
    <n v="10298.626727861405"/>
    <n v="5468.5707924944063"/>
    <n v="5468.5707924944063"/>
  </r>
  <r>
    <x v="0"/>
    <x v="3"/>
    <x v="1"/>
    <s v="Konventionel"/>
    <x v="1"/>
    <s v="Græs"/>
    <n v="17999.879287766547"/>
    <n v="1071784.8123107711"/>
    <n v="0"/>
    <n v="1071784.8123107711"/>
  </r>
  <r>
    <x v="0"/>
    <x v="4"/>
    <x v="1"/>
    <s v="Konventionel"/>
    <x v="1"/>
    <s v="Grøntsager"/>
    <n v="84.186112476280258"/>
    <n v="2096.2342006593785"/>
    <n v="0"/>
    <n v="2096.2342006593785"/>
  </r>
  <r>
    <x v="0"/>
    <x v="5"/>
    <x v="1"/>
    <s v="Konventionel"/>
    <x v="1"/>
    <s v="Kartofler"/>
    <n v="1329.0805135468072"/>
    <n v="67736.693855493475"/>
    <n v="0"/>
    <n v="67736.693855493475"/>
  </r>
  <r>
    <x v="0"/>
    <x v="6"/>
    <x v="1"/>
    <s v="Konventionel"/>
    <x v="1"/>
    <s v="Roer"/>
    <n v="34.868851808171492"/>
    <n v="3399.8691804839214"/>
    <n v="0"/>
    <n v="3399.8691804839214"/>
  </r>
  <r>
    <x v="0"/>
    <x v="7"/>
    <x v="1"/>
    <s v="Konventionel"/>
    <x v="1"/>
    <s v="Majs"/>
    <n v="4501.0447763591501"/>
    <n v="240409.80359489494"/>
    <n v="0"/>
    <n v="240409.80359489494"/>
  </r>
  <r>
    <x v="0"/>
    <x v="8"/>
    <x v="1"/>
    <s v="Konventionel"/>
    <x v="1"/>
    <s v="Frugt"/>
    <n v="76.679167110837156"/>
    <n v="781.20735452520898"/>
    <n v="0"/>
    <n v="781.20735452520898"/>
  </r>
  <r>
    <x v="0"/>
    <x v="9"/>
    <x v="1"/>
    <s v="Konventionel"/>
    <x v="1"/>
    <s v="Øvrige"/>
    <n v="1356.1401884652369"/>
    <n v="48488.971733629587"/>
    <n v="0"/>
    <n v="48488.971733629587"/>
  </r>
  <r>
    <x v="0"/>
    <x v="10"/>
    <x v="1"/>
    <s v="Konventionel"/>
    <x v="1"/>
    <s v="Halm"/>
    <n v="3347.3539097439348"/>
    <n v="57395.848714893385"/>
    <n v="9479.7062723948238"/>
    <n v="9479.7062723948238"/>
  </r>
  <r>
    <x v="0"/>
    <x v="11"/>
    <x v="1"/>
    <s v="Konventionel"/>
    <x v="1"/>
    <s v="Juletræer"/>
    <n v="384.58773970616767"/>
    <n v="23075.26438237006"/>
    <n v="0"/>
    <n v="23075.26438237006"/>
  </r>
  <r>
    <x v="0"/>
    <x v="12"/>
    <x v="1"/>
    <s v="Konventionel"/>
    <x v="1"/>
    <s v="Pil &amp; poppel"/>
    <n v="631.63488214957056"/>
    <n v="18486.874599499628"/>
    <n v="0"/>
    <n v="18486.874599499628"/>
  </r>
  <r>
    <x v="0"/>
    <x v="13"/>
    <x v="1"/>
    <s v="Konventionel"/>
    <x v="1"/>
    <s v="Græs"/>
    <n v="17853.201008836309"/>
    <n v="295434.77029422327"/>
    <n v="0"/>
    <n v="295434.77029422327"/>
  </r>
  <r>
    <x v="0"/>
    <x v="0"/>
    <x v="2"/>
    <s v="Konventionel"/>
    <x v="1"/>
    <s v="Halm"/>
    <n v="20266.479464376069"/>
    <n v="170481.62525433148"/>
    <n v="55321.287395030566"/>
    <n v="55321.287395030566"/>
  </r>
  <r>
    <x v="0"/>
    <x v="1"/>
    <x v="2"/>
    <s v="Konventionel"/>
    <x v="1"/>
    <s v="Halm"/>
    <n v="1737.3277996465938"/>
    <n v="8047.3023679630242"/>
    <n v="2375.184226631241"/>
    <n v="2375.184226631241"/>
  </r>
  <r>
    <x v="0"/>
    <x v="2"/>
    <x v="2"/>
    <s v="Konventionel"/>
    <x v="1"/>
    <s v="Halm"/>
    <n v="1860.3010707842134"/>
    <n v="9822.3896537406454"/>
    <n v="5215.6889061362835"/>
    <n v="5215.6889061362835"/>
  </r>
  <r>
    <x v="0"/>
    <x v="3"/>
    <x v="2"/>
    <s v="Konventionel"/>
    <x v="1"/>
    <s v="Græs"/>
    <n v="17167.514927638611"/>
    <n v="1022222.5088513135"/>
    <n v="0"/>
    <n v="1022222.5088513135"/>
  </r>
  <r>
    <x v="0"/>
    <x v="4"/>
    <x v="2"/>
    <s v="Konventionel"/>
    <x v="1"/>
    <s v="Grøntsager"/>
    <n v="80.293113055411794"/>
    <n v="1999.2985150797538"/>
    <n v="0"/>
    <n v="1999.2985150797538"/>
  </r>
  <r>
    <x v="0"/>
    <x v="5"/>
    <x v="2"/>
    <s v="Konventionel"/>
    <x v="1"/>
    <s v="Kartofler"/>
    <n v="1267.6201429781686"/>
    <n v="64604.361191655618"/>
    <n v="0"/>
    <n v="64604.361191655618"/>
  </r>
  <r>
    <x v="0"/>
    <x v="6"/>
    <x v="2"/>
    <s v="Konventionel"/>
    <x v="1"/>
    <s v="Roer"/>
    <n v="33.25641935461443"/>
    <n v="3242.6497964153004"/>
    <n v="0"/>
    <n v="3242.6497964153004"/>
  </r>
  <r>
    <x v="0"/>
    <x v="7"/>
    <x v="2"/>
    <s v="Konventionel"/>
    <x v="1"/>
    <s v="Majs"/>
    <n v="4292.903977452369"/>
    <n v="229292.58724368596"/>
    <n v="0"/>
    <n v="229292.58724368596"/>
  </r>
  <r>
    <x v="0"/>
    <x v="8"/>
    <x v="2"/>
    <s v="Konventionel"/>
    <x v="1"/>
    <s v="Frugt"/>
    <n v="73.133309672185732"/>
    <n v="745.08215894022828"/>
    <n v="0"/>
    <n v="745.08215894022828"/>
  </r>
  <r>
    <x v="0"/>
    <x v="9"/>
    <x v="2"/>
    <s v="Konventionel"/>
    <x v="1"/>
    <s v="Øvrige"/>
    <n v="1293.4285034495033"/>
    <n v="46246.707144791224"/>
    <n v="0"/>
    <n v="46246.707144791224"/>
  </r>
  <r>
    <x v="0"/>
    <x v="10"/>
    <x v="2"/>
    <s v="Konventionel"/>
    <x v="1"/>
    <s v="Halm"/>
    <n v="3192.5629775014409"/>
    <n v="54741.705421719133"/>
    <n v="9041.3383522840795"/>
    <n v="9041.3383522840795"/>
  </r>
  <r>
    <x v="0"/>
    <x v="11"/>
    <x v="2"/>
    <s v="Konventionel"/>
    <x v="1"/>
    <s v="Juletræer"/>
    <n v="366.8033355579056"/>
    <n v="22008.20013347434"/>
    <n v="0"/>
    <n v="22008.20013347434"/>
  </r>
  <r>
    <x v="0"/>
    <x v="12"/>
    <x v="2"/>
    <s v="Konventionel"/>
    <x v="1"/>
    <s v="Pil &amp; poppel"/>
    <n v="602.42633268600662"/>
    <n v="17631.990224956291"/>
    <n v="0"/>
    <n v="17631.990224956291"/>
  </r>
  <r>
    <x v="0"/>
    <x v="13"/>
    <x v="2"/>
    <s v="Konventionel"/>
    <x v="1"/>
    <s v="Græs"/>
    <n v="17027.619459294743"/>
    <n v="281773.04681240948"/>
    <n v="0"/>
    <n v="281773.04681240948"/>
  </r>
  <r>
    <x v="0"/>
    <x v="0"/>
    <x v="0"/>
    <s v="Økologisk"/>
    <x v="1"/>
    <s v="Halm"/>
    <n v="3009.4757390628633"/>
    <n v="16961.525644387857"/>
    <n v="5536.1995665140876"/>
    <n v="5536.1995665140876"/>
  </r>
  <r>
    <x v="0"/>
    <x v="1"/>
    <x v="0"/>
    <s v="Økologisk"/>
    <x v="1"/>
    <s v="Halm"/>
    <n v="257.98490917114276"/>
    <n v="681.14207659001795"/>
    <n v="202.21660385890681"/>
    <n v="202.21660385890681"/>
  </r>
  <r>
    <x v="0"/>
    <x v="2"/>
    <x v="0"/>
    <s v="Økologisk"/>
    <x v="1"/>
    <s v="Halm"/>
    <n v="276.24585462505803"/>
    <n v="802.21796183116862"/>
    <n v="428.46862450383645"/>
    <n v="428.46862450383645"/>
  </r>
  <r>
    <x v="0"/>
    <x v="3"/>
    <x v="0"/>
    <s v="Økologisk"/>
    <x v="1"/>
    <s v="Græs"/>
    <n v="2549.2942553512476"/>
    <n v="118400.23816969505"/>
    <n v="0"/>
    <n v="118400.23816969505"/>
  </r>
  <r>
    <x v="0"/>
    <x v="4"/>
    <x v="0"/>
    <s v="Økologisk"/>
    <x v="1"/>
    <s v="Grøntsager"/>
    <n v="11.923145121422927"/>
    <n v="169.22519870835558"/>
    <n v="0"/>
    <n v="169.22519870835558"/>
  </r>
  <r>
    <x v="0"/>
    <x v="5"/>
    <x v="0"/>
    <s v="Økologisk"/>
    <x v="1"/>
    <s v="Kartofler"/>
    <n v="188.23555780104221"/>
    <n v="5468.260881316256"/>
    <n v="0"/>
    <n v="5468.260881316256"/>
  </r>
  <r>
    <x v="0"/>
    <x v="6"/>
    <x v="0"/>
    <s v="Økologisk"/>
    <x v="1"/>
    <s v="Roer"/>
    <n v="4.9384199851650941"/>
    <n v="274.46529470267632"/>
    <n v="0"/>
    <n v="274.46529470267632"/>
  </r>
  <r>
    <x v="0"/>
    <x v="7"/>
    <x v="0"/>
    <s v="Økologisk"/>
    <x v="1"/>
    <s v="Majs"/>
    <n v="637.47580792109272"/>
    <n v="28260.552017725568"/>
    <n v="0"/>
    <n v="28260.552017725568"/>
  </r>
  <r>
    <x v="0"/>
    <x v="8"/>
    <x v="0"/>
    <s v="Økologisk"/>
    <x v="1"/>
    <s v="Frugt"/>
    <n v="10.859948397188985"/>
    <n v="63.065457934219978"/>
    <n v="0"/>
    <n v="63.065457934219978"/>
  </r>
  <r>
    <x v="0"/>
    <x v="9"/>
    <x v="0"/>
    <s v="Økologisk"/>
    <x v="1"/>
    <s v="Øvrige"/>
    <n v="192.06797649221136"/>
    <n v="3914.4270588688119"/>
    <n v="0"/>
    <n v="3914.4270588688119"/>
  </r>
  <r>
    <x v="0"/>
    <x v="10"/>
    <x v="0"/>
    <s v="Økologisk"/>
    <x v="1"/>
    <s v="Halm"/>
    <n v="474.0804066690265"/>
    <n v="4633.4631410733318"/>
    <n v="769.75449543603963"/>
    <n v="769.75449543603963"/>
  </r>
  <r>
    <x v="0"/>
    <x v="11"/>
    <x v="0"/>
    <s v="Økologisk"/>
    <x v="1"/>
    <s v="Juletræer"/>
    <n v="54.468549473984133"/>
    <n v="1862.824392010257"/>
    <n v="0"/>
    <n v="1862.824392010257"/>
  </r>
  <r>
    <x v="0"/>
    <x v="12"/>
    <x v="0"/>
    <s v="Økologisk"/>
    <x v="1"/>
    <s v="Pil &amp; poppel"/>
    <n v="89.457443063950791"/>
    <n v="1492.4119769693252"/>
    <n v="0"/>
    <n v="1492.4119769693252"/>
  </r>
  <r>
    <x v="0"/>
    <x v="13"/>
    <x v="0"/>
    <s v="Økologisk"/>
    <x v="1"/>
    <s v="Græs"/>
    <n v="2528.5204441559808"/>
    <n v="41841.956309893176"/>
    <n v="0"/>
    <n v="41841.956309893176"/>
  </r>
  <r>
    <x v="0"/>
    <x v="0"/>
    <x v="1"/>
    <s v="Økologisk"/>
    <x v="1"/>
    <s v="Halm"/>
    <n v="3316.333003261539"/>
    <n v="18690.985459702162"/>
    <n v="6065.2247816733534"/>
    <n v="6065.2247816733534"/>
  </r>
  <r>
    <x v="0"/>
    <x v="1"/>
    <x v="1"/>
    <s v="Økologisk"/>
    <x v="1"/>
    <s v="Halm"/>
    <n v="284.29000357853357"/>
    <n v="750.59383904818742"/>
    <n v="221.5399105930594"/>
    <n v="221.5399105930594"/>
  </r>
  <r>
    <x v="0"/>
    <x v="2"/>
    <x v="1"/>
    <s v="Økologisk"/>
    <x v="1"/>
    <s v="Halm"/>
    <n v="304.4129024919622"/>
    <n v="884.01506883665832"/>
    <n v="469.41200155226556"/>
    <n v="469.41200155226556"/>
  </r>
  <r>
    <x v="0"/>
    <x v="3"/>
    <x v="1"/>
    <s v="Økologisk"/>
    <x v="1"/>
    <s v="Græs"/>
    <n v="2809.229715431773"/>
    <n v="130472.76385702222"/>
    <n v="0"/>
    <n v="130472.76385702222"/>
  </r>
  <r>
    <x v="0"/>
    <x v="4"/>
    <x v="1"/>
    <s v="Økologisk"/>
    <x v="1"/>
    <s v="Grøntsager"/>
    <n v="13.138873045431023"/>
    <n v="186.48002513380249"/>
    <n v="0"/>
    <n v="186.48002513380249"/>
  </r>
  <r>
    <x v="0"/>
    <x v="5"/>
    <x v="1"/>
    <s v="Økologisk"/>
    <x v="1"/>
    <s v="Kartofler"/>
    <n v="207.42875066915491"/>
    <n v="6025.82496205806"/>
    <n v="0"/>
    <n v="6025.82496205806"/>
  </r>
  <r>
    <x v="0"/>
    <x v="6"/>
    <x v="1"/>
    <s v="Økologisk"/>
    <x v="1"/>
    <s v="Roer"/>
    <n v="5.4419595307550885"/>
    <n v="302.45079010200891"/>
    <n v="0"/>
    <n v="302.45079010200891"/>
  </r>
  <r>
    <x v="0"/>
    <x v="7"/>
    <x v="1"/>
    <s v="Økologisk"/>
    <x v="1"/>
    <s v="Majs"/>
    <n v="702.47519631038767"/>
    <n v="31142.102303824257"/>
    <n v="0"/>
    <n v="31142.102303824257"/>
  </r>
  <r>
    <x v="0"/>
    <x v="8"/>
    <x v="1"/>
    <s v="Økologisk"/>
    <x v="1"/>
    <s v="Frugt"/>
    <n v="11.967268855448575"/>
    <n v="69.495845006606757"/>
    <n v="0"/>
    <n v="69.495845006606757"/>
  </r>
  <r>
    <x v="0"/>
    <x v="9"/>
    <x v="1"/>
    <s v="Økologisk"/>
    <x v="1"/>
    <s v="Øvrige"/>
    <n v="211.65193692810058"/>
    <n v="4313.5565027778002"/>
    <n v="0"/>
    <n v="4313.5565027778002"/>
  </r>
  <r>
    <x v="0"/>
    <x v="10"/>
    <x v="1"/>
    <s v="Økologisk"/>
    <x v="1"/>
    <s v="Halm"/>
    <n v="522.41939631841763"/>
    <n v="5105.9081602439846"/>
    <n v="843.31028631304218"/>
    <n v="843.31028631304218"/>
  </r>
  <r>
    <x v="0"/>
    <x v="11"/>
    <x v="1"/>
    <s v="Økologisk"/>
    <x v="1"/>
    <s v="Juletræer"/>
    <n v="60.022364000384563"/>
    <n v="2052.7648488131522"/>
    <n v="0"/>
    <n v="2052.7648488131522"/>
  </r>
  <r>
    <x v="0"/>
    <x v="12"/>
    <x v="1"/>
    <s v="Økologisk"/>
    <x v="1"/>
    <s v="Pil &amp; poppel"/>
    <n v="98.578854439528371"/>
    <n v="1644.5838155277415"/>
    <n v="0"/>
    <n v="1644.5838155277415"/>
  </r>
  <r>
    <x v="0"/>
    <x v="13"/>
    <x v="1"/>
    <s v="Økologisk"/>
    <x v="1"/>
    <s v="Græs"/>
    <n v="2786.3377297027769"/>
    <n v="46108.316751121551"/>
    <n v="0"/>
    <n v="46108.316751121551"/>
  </r>
  <r>
    <x v="0"/>
    <x v="0"/>
    <x v="2"/>
    <s v="Økologisk"/>
    <x v="1"/>
    <s v="Halm"/>
    <n v="4298.9501894131054"/>
    <n v="24229.05522553984"/>
    <n v="7862.3284206876779"/>
    <n v="7862.3284206876779"/>
  </r>
  <r>
    <x v="0"/>
    <x v="1"/>
    <x v="2"/>
    <s v="Økologisk"/>
    <x v="1"/>
    <s v="Halm"/>
    <n v="368.52407871291382"/>
    <n v="972.99201358098344"/>
    <n v="287.18136558359549"/>
    <n v="287.18136558359549"/>
  </r>
  <r>
    <x v="0"/>
    <x v="2"/>
    <x v="2"/>
    <s v="Økologisk"/>
    <x v="1"/>
    <s v="Halm"/>
    <n v="394.60931804513621"/>
    <n v="1145.9454596030757"/>
    <n v="608.49703904923308"/>
    <n v="608.49703904923308"/>
  </r>
  <r>
    <x v="0"/>
    <x v="3"/>
    <x v="2"/>
    <s v="Økologisk"/>
    <x v="1"/>
    <s v="Græs"/>
    <n v="3641.5940755597057"/>
    <n v="169131.36055539915"/>
    <n v="0"/>
    <n v="169131.36055539915"/>
  </r>
  <r>
    <x v="0"/>
    <x v="4"/>
    <x v="2"/>
    <s v="Økologisk"/>
    <x v="1"/>
    <s v="Grøntsager"/>
    <n v="17.031872466299472"/>
    <n v="241.7333659141884"/>
    <n v="0"/>
    <n v="241.7333659141884"/>
  </r>
  <r>
    <x v="0"/>
    <x v="5"/>
    <x v="2"/>
    <s v="Økologisk"/>
    <x v="1"/>
    <s v="Kartofler"/>
    <n v="268.88912123779335"/>
    <n v="7811.2545804456331"/>
    <n v="0"/>
    <n v="7811.2545804456331"/>
  </r>
  <r>
    <x v="0"/>
    <x v="6"/>
    <x v="2"/>
    <s v="Økologisk"/>
    <x v="1"/>
    <s v="Roer"/>
    <n v="7.0543919843121516"/>
    <n v="392.06583902112266"/>
    <n v="0"/>
    <n v="392.06583902112266"/>
  </r>
  <r>
    <x v="0"/>
    <x v="7"/>
    <x v="2"/>
    <s v="Økologisk"/>
    <x v="1"/>
    <s v="Majs"/>
    <n v="910.61599521716903"/>
    <n v="40369.391875327732"/>
    <n v="0"/>
    <n v="40369.391875327732"/>
  </r>
  <r>
    <x v="0"/>
    <x v="8"/>
    <x v="2"/>
    <s v="Økologisk"/>
    <x v="1"/>
    <s v="Frugt"/>
    <n v="15.513126294100001"/>
    <n v="90.087206490045759"/>
    <n v="0"/>
    <n v="90.087206490045759"/>
  </r>
  <r>
    <x v="0"/>
    <x v="9"/>
    <x v="2"/>
    <s v="Økologisk"/>
    <x v="1"/>
    <s v="Øvrige"/>
    <n v="274.36362194383406"/>
    <n v="5591.6473184156675"/>
    <n v="0"/>
    <n v="5591.6473184156675"/>
  </r>
  <r>
    <x v="0"/>
    <x v="10"/>
    <x v="2"/>
    <s v="Økologisk"/>
    <x v="1"/>
    <s v="Halm"/>
    <n v="677.21032856091165"/>
    <n v="6618.7698373533121"/>
    <n v="1093.1800007761658"/>
    <n v="1093.1800007761658"/>
  </r>
  <r>
    <x v="0"/>
    <x v="11"/>
    <x v="2"/>
    <s v="Økologisk"/>
    <x v="1"/>
    <s v="Juletræer"/>
    <n v="77.80676814864664"/>
    <n v="2660.9914706837153"/>
    <n v="0"/>
    <n v="2660.9914706837153"/>
  </r>
  <r>
    <x v="0"/>
    <x v="12"/>
    <x v="2"/>
    <s v="Økologisk"/>
    <x v="1"/>
    <s v="Pil &amp; poppel"/>
    <n v="127.78740390309231"/>
    <n v="2131.8679090174423"/>
    <n v="0"/>
    <n v="2131.8679090174423"/>
  </r>
  <r>
    <x v="0"/>
    <x v="13"/>
    <x v="2"/>
    <s v="Økologisk"/>
    <x v="1"/>
    <s v="Græs"/>
    <n v="3611.9192792443396"/>
    <n v="59770.040232935331"/>
    <n v="0"/>
    <n v="59770.040232935331"/>
  </r>
  <r>
    <x v="0"/>
    <x v="0"/>
    <x v="0"/>
    <s v="Konventionel"/>
    <x v="2"/>
    <s v="Halm"/>
    <n v="11897.853201235472"/>
    <n v="116765.53131692491"/>
    <n v="38111.977508016003"/>
    <n v="38111.977508016003"/>
  </r>
  <r>
    <x v="0"/>
    <x v="1"/>
    <x v="0"/>
    <s v="Konventionel"/>
    <x v="2"/>
    <s v="Halm"/>
    <n v="685.06913436036109"/>
    <n v="3702.113602083391"/>
    <n v="1099.0788345670951"/>
    <n v="1099.0788345670951"/>
  </r>
  <r>
    <x v="0"/>
    <x v="2"/>
    <x v="0"/>
    <s v="Konventionel"/>
    <x v="2"/>
    <s v="Halm"/>
    <n v="887.13350750082327"/>
    <n v="5464.7424062050713"/>
    <n v="2918.7462428661602"/>
    <n v="2918.7462428661602"/>
  </r>
  <r>
    <x v="0"/>
    <x v="3"/>
    <x v="0"/>
    <s v="Konventionel"/>
    <x v="2"/>
    <s v="Græs"/>
    <n v="20460.09912171523"/>
    <n v="1421322.1657873136"/>
    <n v="0"/>
    <n v="1421322.1657873136"/>
  </r>
  <r>
    <x v="0"/>
    <x v="4"/>
    <x v="0"/>
    <s v="Konventionel"/>
    <x v="2"/>
    <s v="Grøntsager"/>
    <n v="23.781029114723999"/>
    <n v="690.83889578273215"/>
    <n v="0"/>
    <n v="690.83889578273215"/>
  </r>
  <r>
    <x v="0"/>
    <x v="5"/>
    <x v="0"/>
    <s v="Konventionel"/>
    <x v="2"/>
    <s v="Kartofler"/>
    <n v="1258.7368446928817"/>
    <n v="74843.560387776015"/>
    <n v="0"/>
    <n v="74843.560387776015"/>
  </r>
  <r>
    <x v="0"/>
    <x v="6"/>
    <x v="0"/>
    <s v="Konventionel"/>
    <x v="2"/>
    <s v="Roer"/>
    <n v="13.612059153984784"/>
    <n v="1548.442836537469"/>
    <n v="0"/>
    <n v="1548.442836537469"/>
  </r>
  <r>
    <x v="0"/>
    <x v="7"/>
    <x v="0"/>
    <s v="Konventionel"/>
    <x v="2"/>
    <s v="Majs"/>
    <n v="1692.7928122278877"/>
    <n v="105484.6913011686"/>
    <n v="0"/>
    <n v="105484.6913011686"/>
  </r>
  <r>
    <x v="0"/>
    <x v="8"/>
    <x v="0"/>
    <s v="Konventionel"/>
    <x v="2"/>
    <s v="Frugt"/>
    <n v="48.510297939945318"/>
    <n v="576.59340131419003"/>
    <n v="0"/>
    <n v="576.59340131419003"/>
  </r>
  <r>
    <x v="0"/>
    <x v="9"/>
    <x v="0"/>
    <s v="Konventionel"/>
    <x v="2"/>
    <s v="Øvrige"/>
    <n v="857.94834593977373"/>
    <n v="35788.732627988727"/>
    <n v="0"/>
    <n v="35788.732627988727"/>
  </r>
  <r>
    <x v="0"/>
    <x v="10"/>
    <x v="0"/>
    <s v="Konventionel"/>
    <x v="2"/>
    <s v="Halm"/>
    <n v="2729.7047934959128"/>
    <n v="54606.120392299723"/>
    <n v="9071.6825343208366"/>
    <n v="9071.6825343208366"/>
  </r>
  <r>
    <x v="0"/>
    <x v="11"/>
    <x v="0"/>
    <s v="Konventionel"/>
    <x v="2"/>
    <s v="Juletræer"/>
    <n v="243.3055357816946"/>
    <n v="17031.387504718623"/>
    <n v="0"/>
    <n v="17031.387504718623"/>
  </r>
  <r>
    <x v="0"/>
    <x v="12"/>
    <x v="0"/>
    <s v="Konventionel"/>
    <x v="2"/>
    <s v="Pil &amp; poppel"/>
    <n v="574.32851892788028"/>
    <n v="19611.217719488595"/>
    <n v="0"/>
    <n v="19611.217719488595"/>
  </r>
  <r>
    <x v="0"/>
    <x v="13"/>
    <x v="0"/>
    <s v="Konventionel"/>
    <x v="2"/>
    <s v="Græs"/>
    <n v="21241.691978712064"/>
    <n v="410092.10534101515"/>
    <n v="0"/>
    <n v="410092.10534101515"/>
  </r>
  <r>
    <x v="0"/>
    <x v="0"/>
    <x v="1"/>
    <s v="Konventionel"/>
    <x v="2"/>
    <s v="Halm"/>
    <n v="10494.747555877077"/>
    <n v="102995.45251337762"/>
    <n v="33422.024340591037"/>
    <n v="33422.024340591037"/>
  </r>
  <r>
    <x v="0"/>
    <x v="1"/>
    <x v="1"/>
    <s v="Konventionel"/>
    <x v="2"/>
    <s v="Halm"/>
    <n v="604.279402496633"/>
    <n v="3265.5258910918051"/>
    <n v="963.82927265854437"/>
    <n v="963.82927265854437"/>
  </r>
  <r>
    <x v="0"/>
    <x v="2"/>
    <x v="1"/>
    <s v="Konventionel"/>
    <x v="2"/>
    <s v="Halm"/>
    <n v="782.5144630809657"/>
    <n v="4820.2890925787488"/>
    <n v="2559.5735081593152"/>
    <n v="2559.5735081593152"/>
  </r>
  <r>
    <x v="0"/>
    <x v="3"/>
    <x v="1"/>
    <s v="Konventionel"/>
    <x v="2"/>
    <s v="Græs"/>
    <n v="18047.25370357795"/>
    <n v="1253706.6202801529"/>
    <n v="0"/>
    <n v="1253706.6202801529"/>
  </r>
  <r>
    <x v="0"/>
    <x v="4"/>
    <x v="1"/>
    <s v="Konventionel"/>
    <x v="2"/>
    <s v="Grøntsager"/>
    <n v="20.976548706457006"/>
    <n v="609.36873992257597"/>
    <n v="0"/>
    <n v="609.36873992257597"/>
  </r>
  <r>
    <x v="0"/>
    <x v="5"/>
    <x v="1"/>
    <s v="Konventionel"/>
    <x v="2"/>
    <s v="Kartofler"/>
    <n v="1110.2948742854976"/>
    <n v="66017.310784368063"/>
    <n v="0"/>
    <n v="66017.310784368063"/>
  </r>
  <r>
    <x v="0"/>
    <x v="6"/>
    <x v="1"/>
    <s v="Konventionel"/>
    <x v="2"/>
    <s v="Roer"/>
    <n v="12.006798379551526"/>
    <n v="1365.8360377550734"/>
    <n v="0"/>
    <n v="1365.8360377550734"/>
  </r>
  <r>
    <x v="0"/>
    <x v="7"/>
    <x v="1"/>
    <s v="Konventionel"/>
    <x v="2"/>
    <s v="Majs"/>
    <n v="1493.1629200879825"/>
    <n v="93044.95420236254"/>
    <n v="0"/>
    <n v="93044.95420236254"/>
  </r>
  <r>
    <x v="0"/>
    <x v="8"/>
    <x v="1"/>
    <s v="Konventionel"/>
    <x v="2"/>
    <s v="Frugt"/>
    <n v="42.789511866497449"/>
    <n v="508.5961380451887"/>
    <n v="0"/>
    <n v="508.5961380451887"/>
  </r>
  <r>
    <x v="0"/>
    <x v="9"/>
    <x v="1"/>
    <s v="Konventionel"/>
    <x v="2"/>
    <s v="Øvrige"/>
    <n v="756.77108755092502"/>
    <n v="31568.192002614502"/>
    <n v="0"/>
    <n v="31568.192002614502"/>
  </r>
  <r>
    <x v="0"/>
    <x v="10"/>
    <x v="1"/>
    <s v="Konventionel"/>
    <x v="2"/>
    <s v="Halm"/>
    <n v="2407.7925845338555"/>
    <n v="48166.458169403915"/>
    <n v="7955.3466992998583"/>
    <n v="7955.3466992998583"/>
  </r>
  <r>
    <x v="0"/>
    <x v="11"/>
    <x v="1"/>
    <s v="Konventionel"/>
    <x v="2"/>
    <s v="Juletræer"/>
    <n v="214.61268127859856"/>
    <n v="15022.887689501898"/>
    <n v="0"/>
    <n v="15022.887689501898"/>
  </r>
  <r>
    <x v="0"/>
    <x v="12"/>
    <x v="1"/>
    <s v="Konventionel"/>
    <x v="2"/>
    <s v="Pil &amp; poppel"/>
    <n v="506.59835168103979"/>
    <n v="17298.4803013038"/>
    <n v="0"/>
    <n v="17298.4803013038"/>
  </r>
  <r>
    <x v="0"/>
    <x v="13"/>
    <x v="1"/>
    <s v="Konventionel"/>
    <x v="2"/>
    <s v="Græs"/>
    <n v="18736.673852484033"/>
    <n v="361730.22539605678"/>
    <n v="0"/>
    <n v="361730.22539605678"/>
  </r>
  <r>
    <x v="0"/>
    <x v="0"/>
    <x v="2"/>
    <s v="Konventionel"/>
    <x v="2"/>
    <s v="Halm"/>
    <n v="10009.441310518599"/>
    <n v="98232.657021429521"/>
    <n v="31876.497203453881"/>
    <n v="31876.497203453881"/>
  </r>
  <r>
    <x v="0"/>
    <x v="1"/>
    <x v="2"/>
    <s v="Konventionel"/>
    <x v="2"/>
    <s v="Halm"/>
    <n v="576.33584631181759"/>
    <n v="3114.5189134690627"/>
    <n v="919.25913288242691"/>
    <n v="919.25913288242691"/>
  </r>
  <r>
    <x v="0"/>
    <x v="2"/>
    <x v="2"/>
    <s v="Konventionel"/>
    <x v="2"/>
    <s v="Halm"/>
    <n v="746.32882316970711"/>
    <n v="4597.3855507253957"/>
    <n v="2441.2117274351849"/>
    <n v="2441.2117274351849"/>
  </r>
  <r>
    <x v="0"/>
    <x v="3"/>
    <x v="2"/>
    <s v="Konventionel"/>
    <x v="2"/>
    <s v="Græs"/>
    <n v="17212.698619019429"/>
    <n v="1195731.7476660416"/>
    <n v="0"/>
    <n v="1195731.7476660416"/>
  </r>
  <r>
    <x v="0"/>
    <x v="4"/>
    <x v="2"/>
    <s v="Konventionel"/>
    <x v="2"/>
    <s v="Grøntsager"/>
    <n v="20.00653489344165"/>
    <n v="581.18983865448001"/>
    <n v="0"/>
    <n v="581.18983865448001"/>
  </r>
  <r>
    <x v="0"/>
    <x v="5"/>
    <x v="2"/>
    <s v="Konventionel"/>
    <x v="2"/>
    <s v="Kartofler"/>
    <n v="1058.9517587116018"/>
    <n v="62964.487164281672"/>
    <n v="0"/>
    <n v="62964.487164281672"/>
  </r>
  <r>
    <x v="0"/>
    <x v="6"/>
    <x v="2"/>
    <s v="Konventionel"/>
    <x v="2"/>
    <s v="Roer"/>
    <n v="11.451570708820819"/>
    <n v="1302.6759897663992"/>
    <n v="0"/>
    <n v="1302.6759897663992"/>
  </r>
  <r>
    <x v="0"/>
    <x v="7"/>
    <x v="2"/>
    <s v="Konventionel"/>
    <x v="2"/>
    <s v="Majs"/>
    <n v="1424.1149237833358"/>
    <n v="88742.297360634795"/>
    <n v="0"/>
    <n v="88742.297360634795"/>
  </r>
  <r>
    <x v="0"/>
    <x v="8"/>
    <x v="2"/>
    <s v="Konventionel"/>
    <x v="2"/>
    <s v="Frugt"/>
    <n v="40.810806115445544"/>
    <n v="485.07724148818579"/>
    <n v="0"/>
    <n v="485.07724148818579"/>
  </r>
  <r>
    <x v="0"/>
    <x v="9"/>
    <x v="2"/>
    <s v="Konventionel"/>
    <x v="2"/>
    <s v="Øvrige"/>
    <n v="721.77589275088224"/>
    <n v="30108.391216366432"/>
    <n v="0"/>
    <n v="30108.391216366432"/>
  </r>
  <r>
    <x v="0"/>
    <x v="10"/>
    <x v="2"/>
    <s v="Konventionel"/>
    <x v="2"/>
    <s v="Halm"/>
    <n v="2296.4495748444288"/>
    <n v="45939.10750261067"/>
    <n v="7587.4693952859907"/>
    <n v="7587.4693952859907"/>
  </r>
  <r>
    <x v="0"/>
    <x v="11"/>
    <x v="2"/>
    <s v="Konventionel"/>
    <x v="2"/>
    <s v="Juletræer"/>
    <n v="204.6883954391258"/>
    <n v="14328.187680738807"/>
    <n v="0"/>
    <n v="14328.187680738807"/>
  </r>
  <r>
    <x v="0"/>
    <x v="12"/>
    <x v="2"/>
    <s v="Konventionel"/>
    <x v="2"/>
    <s v="Pil &amp; poppel"/>
    <n v="483.1718383085061"/>
    <n v="16498.550576388014"/>
    <n v="0"/>
    <n v="16498.550576388014"/>
  </r>
  <r>
    <x v="0"/>
    <x v="13"/>
    <x v="2"/>
    <s v="Konventionel"/>
    <x v="2"/>
    <s v="Græs"/>
    <n v="17870.23806739807"/>
    <n v="345002.81612918718"/>
    <n v="0"/>
    <n v="345002.81612918718"/>
  </r>
  <r>
    <x v="0"/>
    <x v="0"/>
    <x v="0"/>
    <s v="Økologisk"/>
    <x v="2"/>
    <s v="Halm"/>
    <n v="1521.2775270361781"/>
    <n v="10002.977825723145"/>
    <n v="3264.9469548714701"/>
    <n v="3264.9469548714701"/>
  </r>
  <r>
    <x v="0"/>
    <x v="1"/>
    <x v="0"/>
    <s v="Økologisk"/>
    <x v="2"/>
    <s v="Halm"/>
    <n v="87.593976908399355"/>
    <n v="269.81397519140432"/>
    <n v="80.102033939855289"/>
    <n v="80.102033939855289"/>
  </r>
  <r>
    <x v="0"/>
    <x v="2"/>
    <x v="0"/>
    <s v="Økologisk"/>
    <x v="2"/>
    <s v="Halm"/>
    <n v="113.43023364094317"/>
    <n v="384.3016315755155"/>
    <n v="205.25742293264076"/>
    <n v="205.25742293264076"/>
  </r>
  <r>
    <x v="0"/>
    <x v="3"/>
    <x v="0"/>
    <s v="Økologisk"/>
    <x v="2"/>
    <s v="Græs"/>
    <n v="2616.0592560989035"/>
    <n v="141751.27543408933"/>
    <n v="0"/>
    <n v="141751.27543408933"/>
  </r>
  <r>
    <x v="0"/>
    <x v="4"/>
    <x v="0"/>
    <s v="Økologisk"/>
    <x v="2"/>
    <s v="Grøntsager"/>
    <n v="3.0406783938354529"/>
    <n v="50.34907318432434"/>
    <n v="0"/>
    <n v="50.34907318432434"/>
  </r>
  <r>
    <x v="0"/>
    <x v="5"/>
    <x v="0"/>
    <s v="Økologisk"/>
    <x v="2"/>
    <s v="Kartofler"/>
    <n v="160.94399904722869"/>
    <n v="5454.6782503755512"/>
    <n v="0"/>
    <n v="5454.6782503755512"/>
  </r>
  <r>
    <x v="0"/>
    <x v="6"/>
    <x v="0"/>
    <s v="Økologisk"/>
    <x v="2"/>
    <s v="Roer"/>
    <n v="1.7404584959489884"/>
    <n v="112.85216014109164"/>
    <n v="0"/>
    <n v="112.85216014109164"/>
  </r>
  <r>
    <x v="0"/>
    <x v="7"/>
    <x v="0"/>
    <s v="Økologisk"/>
    <x v="2"/>
    <s v="Majs"/>
    <n v="216.44305234016915"/>
    <n v="11194.568861726002"/>
    <n v="0"/>
    <n v="11194.568861726002"/>
  </r>
  <r>
    <x v="0"/>
    <x v="8"/>
    <x v="0"/>
    <s v="Økologisk"/>
    <x v="2"/>
    <s v="Frugt"/>
    <n v="6.2026001529591133"/>
    <n v="42.022740088301049"/>
    <n v="0"/>
    <n v="42.022740088301049"/>
  </r>
  <r>
    <x v="0"/>
    <x v="9"/>
    <x v="0"/>
    <s v="Økologisk"/>
    <x v="2"/>
    <s v="Øvrige"/>
    <n v="109.69857468913038"/>
    <n v="2608.3208824239755"/>
    <n v="0"/>
    <n v="2608.3208824239755"/>
  </r>
  <r>
    <x v="0"/>
    <x v="10"/>
    <x v="0"/>
    <s v="Økologisk"/>
    <x v="2"/>
    <s v="Halm"/>
    <n v="349.0241884441013"/>
    <n v="3979.7521082376879"/>
    <n v="661.15386758582895"/>
    <n v="661.15386758582895"/>
  </r>
  <r>
    <x v="0"/>
    <x v="11"/>
    <x v="0"/>
    <s v="Økologisk"/>
    <x v="2"/>
    <s v="Juletræer"/>
    <n v="31.109414238675758"/>
    <n v="1241.2656281231625"/>
    <n v="0"/>
    <n v="1241.2656281231625"/>
  </r>
  <r>
    <x v="0"/>
    <x v="12"/>
    <x v="0"/>
    <s v="Økologisk"/>
    <x v="2"/>
    <s v="Pil &amp; poppel"/>
    <n v="73.434514126483776"/>
    <n v="1429.2863969008304"/>
    <n v="0"/>
    <n v="1429.2863969008304"/>
  </r>
  <r>
    <x v="0"/>
    <x v="13"/>
    <x v="0"/>
    <s v="Økologisk"/>
    <x v="2"/>
    <s v="Græs"/>
    <n v="2715.9949023479103"/>
    <n v="52434.997584728757"/>
    <n v="0"/>
    <n v="52434.997584728757"/>
  </r>
  <r>
    <x v="0"/>
    <x v="0"/>
    <x v="1"/>
    <s v="Økologisk"/>
    <x v="2"/>
    <s v="Halm"/>
    <n v="1637.9085780848618"/>
    <n v="10769.871306167639"/>
    <n v="3494.8232388513989"/>
    <n v="3494.8232388513989"/>
  </r>
  <r>
    <x v="0"/>
    <x v="1"/>
    <x v="1"/>
    <s v="Økologisk"/>
    <x v="2"/>
    <s v="Halm"/>
    <n v="94.309502123751969"/>
    <n v="290.49967320175068"/>
    <n v="85.741806394306337"/>
    <n v="85.741806394306337"/>
  </r>
  <r>
    <x v="0"/>
    <x v="2"/>
    <x v="1"/>
    <s v="Økologisk"/>
    <x v="2"/>
    <s v="Halm"/>
    <n v="122.12653470049754"/>
    <n v="413.76469956528575"/>
    <n v="219.70905546916671"/>
    <n v="219.70905546916671"/>
  </r>
  <r>
    <x v="0"/>
    <x v="3"/>
    <x v="1"/>
    <s v="Økologisk"/>
    <x v="2"/>
    <s v="Græs"/>
    <n v="2816.6234103849979"/>
    <n v="152618.85215664754"/>
    <n v="0"/>
    <n v="152618.85215664754"/>
  </r>
  <r>
    <x v="0"/>
    <x v="4"/>
    <x v="1"/>
    <s v="Økologisk"/>
    <x v="2"/>
    <s v="Grøntsager"/>
    <n v="3.2737966189268159"/>
    <n v="54.209161314499674"/>
    <n v="0"/>
    <n v="54.209161314499674"/>
  </r>
  <r>
    <x v="0"/>
    <x v="5"/>
    <x v="1"/>
    <s v="Økologisk"/>
    <x v="2"/>
    <s v="Kartofler"/>
    <n v="173.28301506189848"/>
    <n v="5872.8694391411809"/>
    <n v="0"/>
    <n v="5872.8694391411809"/>
  </r>
  <r>
    <x v="0"/>
    <x v="6"/>
    <x v="1"/>
    <s v="Økologisk"/>
    <x v="2"/>
    <s v="Roer"/>
    <n v="1.8738933887161342"/>
    <n v="121.50414231821139"/>
    <n v="0"/>
    <n v="121.50414231821139"/>
  </r>
  <r>
    <x v="0"/>
    <x v="7"/>
    <x v="1"/>
    <s v="Økologisk"/>
    <x v="2"/>
    <s v="Majs"/>
    <n v="233.03698752818224"/>
    <n v="12052.817477889854"/>
    <n v="0"/>
    <n v="12052.817477889854"/>
  </r>
  <r>
    <x v="0"/>
    <x v="8"/>
    <x v="1"/>
    <s v="Økologisk"/>
    <x v="2"/>
    <s v="Frugt"/>
    <n v="6.6781319098001797"/>
    <n v="45.24447725153442"/>
    <n v="0"/>
    <n v="45.24447725153442"/>
  </r>
  <r>
    <x v="0"/>
    <x v="9"/>
    <x v="1"/>
    <s v="Økologisk"/>
    <x v="2"/>
    <s v="Øvrige"/>
    <n v="118.10878245014437"/>
    <n v="2808.291762544723"/>
    <n v="0"/>
    <n v="2808.291762544723"/>
  </r>
  <r>
    <x v="0"/>
    <x v="10"/>
    <x v="1"/>
    <s v="Økologisk"/>
    <x v="2"/>
    <s v="Halm"/>
    <n v="375.78265770181565"/>
    <n v="4284.8658452435047"/>
    <n v="707.70396359667529"/>
    <n v="707.70396359667529"/>
  </r>
  <r>
    <x v="0"/>
    <x v="11"/>
    <x v="1"/>
    <s v="Økologisk"/>
    <x v="2"/>
    <s v="Juletræer"/>
    <n v="33.494464708220583"/>
    <n v="1336.4291418580012"/>
    <n v="0"/>
    <n v="1336.4291418580012"/>
  </r>
  <r>
    <x v="0"/>
    <x v="12"/>
    <x v="1"/>
    <s v="Økologisk"/>
    <x v="2"/>
    <s v="Pil &amp; poppel"/>
    <n v="79.064482632301008"/>
    <n v="1538.8648083067364"/>
    <n v="0"/>
    <n v="1538.8648083067364"/>
  </r>
  <r>
    <x v="0"/>
    <x v="13"/>
    <x v="1"/>
    <s v="Økologisk"/>
    <x v="2"/>
    <s v="Græs"/>
    <n v="2924.2207746651384"/>
    <n v="56455.006275685155"/>
    <n v="0"/>
    <n v="56455.006275685155"/>
  </r>
  <r>
    <x v="0"/>
    <x v="0"/>
    <x v="2"/>
    <s v="Økologisk"/>
    <x v="2"/>
    <s v="Halm"/>
    <n v="2123.2148234433389"/>
    <n v="13960.944285772861"/>
    <n v="4530.3264207332932"/>
    <n v="4530.3264207332932"/>
  </r>
  <r>
    <x v="0"/>
    <x v="1"/>
    <x v="2"/>
    <s v="Økologisk"/>
    <x v="2"/>
    <s v="Halm"/>
    <n v="122.25305830856736"/>
    <n v="376.57365044671383"/>
    <n v="111.14678606669341"/>
    <n v="111.14678606669341"/>
  </r>
  <r>
    <x v="0"/>
    <x v="2"/>
    <x v="2"/>
    <s v="Økologisk"/>
    <x v="2"/>
    <s v="Halm"/>
    <n v="158.31217461175603"/>
    <n v="536.36164758462951"/>
    <n v="284.80803486743827"/>
    <n v="284.80803486743827"/>
  </r>
  <r>
    <x v="0"/>
    <x v="3"/>
    <x v="2"/>
    <s v="Økologisk"/>
    <x v="2"/>
    <s v="Græs"/>
    <n v="3651.178494943515"/>
    <n v="197839.25279565417"/>
    <n v="0"/>
    <n v="197839.25279565417"/>
  </r>
  <r>
    <x v="0"/>
    <x v="4"/>
    <x v="2"/>
    <s v="Økologisk"/>
    <x v="2"/>
    <s v="Grøntsager"/>
    <n v="4.2438104319421681"/>
    <n v="70.27113503731438"/>
    <n v="0"/>
    <n v="70.27113503731438"/>
  </r>
  <r>
    <x v="0"/>
    <x v="5"/>
    <x v="2"/>
    <s v="Økologisk"/>
    <x v="2"/>
    <s v="Kartofler"/>
    <n v="224.62613063579431"/>
    <n v="7612.9789025904211"/>
    <n v="0"/>
    <n v="7612.9789025904211"/>
  </r>
  <r>
    <x v="0"/>
    <x v="6"/>
    <x v="2"/>
    <s v="Økologisk"/>
    <x v="2"/>
    <s v="Roer"/>
    <n v="2.4291210594468406"/>
    <n v="157.50536967175552"/>
    <n v="0"/>
    <n v="157.50536967175552"/>
  </r>
  <r>
    <x v="0"/>
    <x v="7"/>
    <x v="2"/>
    <s v="Økologisk"/>
    <x v="2"/>
    <s v="Majs"/>
    <n v="302.08498383282881"/>
    <n v="15624.022656523883"/>
    <n v="0"/>
    <n v="15624.022656523883"/>
  </r>
  <r>
    <x v="0"/>
    <x v="8"/>
    <x v="2"/>
    <s v="Økologisk"/>
    <x v="2"/>
    <s v="Frugt"/>
    <n v="8.6568376608520836"/>
    <n v="58.650248289026081"/>
    <n v="0"/>
    <n v="58.650248289026081"/>
  </r>
  <r>
    <x v="0"/>
    <x v="9"/>
    <x v="2"/>
    <s v="Økologisk"/>
    <x v="2"/>
    <s v="Øvrige"/>
    <n v="153.10397725018711"/>
    <n v="3640.3782107061229"/>
    <n v="0"/>
    <n v="3640.3782107061229"/>
  </r>
  <r>
    <x v="0"/>
    <x v="10"/>
    <x v="2"/>
    <s v="Økologisk"/>
    <x v="2"/>
    <s v="Halm"/>
    <n v="487.12566739124247"/>
    <n v="5554.4557253156536"/>
    <n v="917.39402688457892"/>
    <n v="917.39402688457892"/>
  </r>
  <r>
    <x v="0"/>
    <x v="11"/>
    <x v="2"/>
    <s v="Økologisk"/>
    <x v="2"/>
    <s v="Juletræer"/>
    <n v="43.41875054769335"/>
    <n v="1732.4081468529648"/>
    <n v="0"/>
    <n v="1732.4081468529648"/>
  </r>
  <r>
    <x v="0"/>
    <x v="12"/>
    <x v="2"/>
    <s v="Økologisk"/>
    <x v="2"/>
    <s v="Pil &amp; poppel"/>
    <n v="102.49099600483463"/>
    <n v="1994.8247515087323"/>
    <n v="0"/>
    <n v="1994.8247515087323"/>
  </r>
  <r>
    <x v="0"/>
    <x v="13"/>
    <x v="2"/>
    <s v="Økologisk"/>
    <x v="2"/>
    <s v="Græs"/>
    <n v="3790.6565597511053"/>
    <n v="73182.415542554852"/>
    <n v="0"/>
    <n v="73182.415542554852"/>
  </r>
  <r>
    <x v="1"/>
    <x v="0"/>
    <x v="0"/>
    <s v="Konventionel"/>
    <x v="0"/>
    <s v="Halm"/>
    <n v="292562.01681062597"/>
    <n v="2050859.7378424881"/>
    <n v="669395.49128244352"/>
    <n v="669395.49128244352"/>
  </r>
  <r>
    <x v="1"/>
    <x v="1"/>
    <x v="0"/>
    <s v="Konventionel"/>
    <x v="0"/>
    <s v="Halm"/>
    <n v="6376.3414137528825"/>
    <n v="24612.677857086128"/>
    <n v="7306.9808769558722"/>
    <n v="7306.9808769558722"/>
  </r>
  <r>
    <x v="1"/>
    <x v="2"/>
    <x v="0"/>
    <s v="Konventionel"/>
    <x v="0"/>
    <s v="Halm"/>
    <n v="40447.722327584328"/>
    <n v="177969.97824137105"/>
    <n v="95054.655228607488"/>
    <n v="95054.655228607488"/>
  </r>
  <r>
    <x v="1"/>
    <x v="3"/>
    <x v="0"/>
    <s v="Konventionel"/>
    <x v="0"/>
    <s v="Græs"/>
    <n v="24572.998517620537"/>
    <n v="1219312.186444331"/>
    <n v="0"/>
    <n v="1219312.186444331"/>
  </r>
  <r>
    <x v="1"/>
    <x v="4"/>
    <x v="0"/>
    <s v="Konventionel"/>
    <x v="0"/>
    <s v="Grøntsager"/>
    <n v="3850.5952952805674"/>
    <n v="79899.852377071773"/>
    <n v="0"/>
    <n v="79899.852377071773"/>
  </r>
  <r>
    <x v="1"/>
    <x v="5"/>
    <x v="0"/>
    <s v="Konventionel"/>
    <x v="0"/>
    <s v="Kartofler"/>
    <n v="2470.1663355738019"/>
    <n v="104910.18611455506"/>
    <n v="0"/>
    <n v="104910.18611455506"/>
  </r>
  <r>
    <x v="1"/>
    <x v="6"/>
    <x v="0"/>
    <s v="Konventionel"/>
    <x v="0"/>
    <s v="Roer"/>
    <n v="25678.880997566026"/>
    <n v="2086504.8977723797"/>
    <n v="0"/>
    <n v="2086504.8977723797"/>
  </r>
  <r>
    <x v="1"/>
    <x v="7"/>
    <x v="0"/>
    <s v="Konventionel"/>
    <x v="0"/>
    <s v="Majs"/>
    <n v="7262.9431424427694"/>
    <n v="323273.59927012771"/>
    <n v="0"/>
    <n v="323273.59927012771"/>
  </r>
  <r>
    <x v="1"/>
    <x v="8"/>
    <x v="0"/>
    <s v="Konventionel"/>
    <x v="0"/>
    <s v="Frugt"/>
    <n v="1689.9505584470551"/>
    <n v="14347.680241215501"/>
    <n v="0"/>
    <n v="14347.680241215501"/>
  </r>
  <r>
    <x v="1"/>
    <x v="9"/>
    <x v="0"/>
    <s v="Konventionel"/>
    <x v="0"/>
    <s v="Øvrige"/>
    <n v="12067.066633104925"/>
    <n v="359549.63570951426"/>
    <n v="0"/>
    <n v="359549.63570951426"/>
  </r>
  <r>
    <x v="1"/>
    <x v="10"/>
    <x v="0"/>
    <s v="Konventionel"/>
    <x v="0"/>
    <s v="Halm"/>
    <n v="37335.148248827281"/>
    <n v="533476.73476254696"/>
    <n v="88626.174913066206"/>
    <n v="88626.174913066206"/>
  </r>
  <r>
    <x v="1"/>
    <x v="11"/>
    <x v="0"/>
    <s v="Konventionel"/>
    <x v="0"/>
    <s v="Juletræer"/>
    <n v="2648.1429081925139"/>
    <n v="132407.14540962569"/>
    <n v="0"/>
    <n v="132407.14540962569"/>
  </r>
  <r>
    <x v="1"/>
    <x v="12"/>
    <x v="0"/>
    <s v="Konventionel"/>
    <x v="0"/>
    <s v="Pil &amp; poppel"/>
    <n v="1258.7577822820135"/>
    <n v="30701.40932395155"/>
    <n v="0"/>
    <n v="30701.40932395155"/>
  </r>
  <r>
    <x v="1"/>
    <x v="13"/>
    <x v="0"/>
    <s v="Konventionel"/>
    <x v="0"/>
    <s v="Græs"/>
    <n v="31352.142273239417"/>
    <n v="432346.04194797156"/>
    <n v="0"/>
    <n v="432346.04194797156"/>
  </r>
  <r>
    <x v="1"/>
    <x v="0"/>
    <x v="1"/>
    <s v="Konventionel"/>
    <x v="0"/>
    <s v="Halm"/>
    <n v="284372.46181096468"/>
    <n v="1993450.9572948625"/>
    <n v="646874.83564218285"/>
    <n v="646874.83564218285"/>
  </r>
  <r>
    <x v="1"/>
    <x v="1"/>
    <x v="1"/>
    <s v="Konventionel"/>
    <x v="0"/>
    <s v="Halm"/>
    <n v="6197.8513989730473"/>
    <n v="23923.706400035964"/>
    <n v="7061.1501203360021"/>
    <n v="7061.1501203360021"/>
  </r>
  <r>
    <x v="1"/>
    <x v="2"/>
    <x v="1"/>
    <s v="Konventionel"/>
    <x v="0"/>
    <s v="Halm"/>
    <n v="39315.487698414414"/>
    <n v="172988.14587302343"/>
    <n v="91856.705458575452"/>
    <n v="91856.705458575452"/>
  </r>
  <r>
    <x v="1"/>
    <x v="3"/>
    <x v="1"/>
    <s v="Konventionel"/>
    <x v="0"/>
    <s v="Græs"/>
    <n v="23885.137786208805"/>
    <n v="1185180.5369516809"/>
    <n v="0"/>
    <n v="1185180.5369516809"/>
  </r>
  <r>
    <x v="1"/>
    <x v="4"/>
    <x v="1"/>
    <s v="Konventionel"/>
    <x v="0"/>
    <s v="Grøntsager"/>
    <n v="3742.8073387443319"/>
    <n v="77663.252278944885"/>
    <n v="0"/>
    <n v="77663.252278944885"/>
  </r>
  <r>
    <x v="1"/>
    <x v="5"/>
    <x v="1"/>
    <s v="Konventionel"/>
    <x v="0"/>
    <s v="Kartofler"/>
    <n v="2401.0200968240606"/>
    <n v="101973.48315982398"/>
    <n v="0"/>
    <n v="101973.48315982398"/>
  </r>
  <r>
    <x v="1"/>
    <x v="6"/>
    <x v="1"/>
    <s v="Konventionel"/>
    <x v="0"/>
    <s v="Roer"/>
    <n v="24960.063802661847"/>
    <n v="2028098.3185327027"/>
    <n v="0"/>
    <n v="2028098.3185327027"/>
  </r>
  <r>
    <x v="1"/>
    <x v="7"/>
    <x v="1"/>
    <s v="Konventionel"/>
    <x v="0"/>
    <s v="Majs"/>
    <n v="7059.6348901519423"/>
    <n v="314224.34896066296"/>
    <n v="0"/>
    <n v="314224.34896066296"/>
  </r>
  <r>
    <x v="1"/>
    <x v="8"/>
    <x v="1"/>
    <s v="Konventionel"/>
    <x v="0"/>
    <s v="Frugt"/>
    <n v="1642.6445438249691"/>
    <n v="13946.052177073991"/>
    <n v="0"/>
    <n v="13946.052177073991"/>
  </r>
  <r>
    <x v="1"/>
    <x v="9"/>
    <x v="1"/>
    <s v="Konventionel"/>
    <x v="0"/>
    <s v="Øvrige"/>
    <n v="11729.278744732668"/>
    <n v="349484.92686982499"/>
    <n v="0"/>
    <n v="349484.92686982499"/>
  </r>
  <r>
    <x v="1"/>
    <x v="10"/>
    <x v="1"/>
    <s v="Konventionel"/>
    <x v="0"/>
    <s v="Halm"/>
    <n v="36290.042485141646"/>
    <n v="518543.36402629869"/>
    <n v="85644.500264934293"/>
    <n v="85644.500264934293"/>
  </r>
  <r>
    <x v="1"/>
    <x v="11"/>
    <x v="1"/>
    <s v="Konventionel"/>
    <x v="0"/>
    <s v="Juletræer"/>
    <n v="2574.0146524810302"/>
    <n v="128700.73262405151"/>
    <n v="0"/>
    <n v="128700.73262405151"/>
  </r>
  <r>
    <x v="1"/>
    <x v="12"/>
    <x v="1"/>
    <s v="Konventionel"/>
    <x v="0"/>
    <s v="Pil &amp; poppel"/>
    <n v="1223.5219502296152"/>
    <n v="29841.998786088181"/>
    <n v="0"/>
    <n v="29841.998786088181"/>
  </r>
  <r>
    <x v="1"/>
    <x v="13"/>
    <x v="1"/>
    <s v="Konventionel"/>
    <x v="0"/>
    <s v="Græs"/>
    <n v="30474.516064946976"/>
    <n v="420243.57653561886"/>
    <n v="0"/>
    <n v="420243.57653561886"/>
  </r>
  <r>
    <x v="1"/>
    <x v="0"/>
    <x v="2"/>
    <s v="Konventionel"/>
    <x v="0"/>
    <s v="Halm"/>
    <n v="269399.56788001256"/>
    <n v="1888490.9708388881"/>
    <n v="612815.32003721921"/>
    <n v="612815.32003721921"/>
  </r>
  <r>
    <x v="1"/>
    <x v="1"/>
    <x v="2"/>
    <s v="Konventionel"/>
    <x v="0"/>
    <s v="Halm"/>
    <n v="5871.5196191458026"/>
    <n v="22664.065729902799"/>
    <n v="6689.3635868966203"/>
    <n v="6689.3635868966203"/>
  </r>
  <r>
    <x v="1"/>
    <x v="2"/>
    <x v="2"/>
    <s v="Konventionel"/>
    <x v="0"/>
    <s v="Halm"/>
    <n v="37245.432731055007"/>
    <n v="163879.90401664205"/>
    <n v="87020.229032836913"/>
    <n v="87020.229032836913"/>
  </r>
  <r>
    <x v="1"/>
    <x v="3"/>
    <x v="2"/>
    <s v="Konventionel"/>
    <x v="0"/>
    <s v="Græs"/>
    <n v="22627.527846337711"/>
    <n v="1122777.9317352772"/>
    <n v="0"/>
    <n v="1122777.9317352772"/>
  </r>
  <r>
    <x v="1"/>
    <x v="4"/>
    <x v="2"/>
    <s v="Konventionel"/>
    <x v="0"/>
    <s v="Grøntsager"/>
    <n v="3545.7395322129769"/>
    <n v="73574.095293419276"/>
    <n v="0"/>
    <n v="73574.095293419276"/>
  </r>
  <r>
    <x v="1"/>
    <x v="5"/>
    <x v="2"/>
    <s v="Konventionel"/>
    <x v="0"/>
    <s v="Kartofler"/>
    <n v="2274.6006151102201"/>
    <n v="96604.334060792258"/>
    <n v="0"/>
    <n v="96604.334060792258"/>
  </r>
  <r>
    <x v="1"/>
    <x v="6"/>
    <x v="2"/>
    <s v="Konventionel"/>
    <x v="0"/>
    <s v="Roer"/>
    <n v="23645.856423202276"/>
    <n v="1921314.0651927341"/>
    <n v="0"/>
    <n v="1921314.0651927341"/>
  </r>
  <r>
    <x v="1"/>
    <x v="7"/>
    <x v="2"/>
    <s v="Konventionel"/>
    <x v="0"/>
    <s v="Majs"/>
    <n v="6687.9281372253527"/>
    <n v="297679.68138790049"/>
    <n v="0"/>
    <n v="297679.68138790049"/>
  </r>
  <r>
    <x v="1"/>
    <x v="8"/>
    <x v="2"/>
    <s v="Konventionel"/>
    <x v="0"/>
    <s v="Frugt"/>
    <n v="1556.1553586052762"/>
    <n v="13211.758994558797"/>
    <n v="0"/>
    <n v="13211.758994558797"/>
  </r>
  <r>
    <x v="1"/>
    <x v="9"/>
    <x v="2"/>
    <s v="Konventionel"/>
    <x v="0"/>
    <s v="Øvrige"/>
    <n v="11111.704013997321"/>
    <n v="331083.70508075121"/>
    <n v="0"/>
    <n v="331083.70508075121"/>
  </r>
  <r>
    <x v="1"/>
    <x v="10"/>
    <x v="2"/>
    <s v="Konventionel"/>
    <x v="0"/>
    <s v="Halm"/>
    <n v="34379.284483401752"/>
    <n v="491240.80899434892"/>
    <n v="81135.111380828137"/>
    <n v="81135.111380828137"/>
  </r>
  <r>
    <x v="1"/>
    <x v="11"/>
    <x v="2"/>
    <s v="Konventionel"/>
    <x v="0"/>
    <s v="Juletræer"/>
    <n v="2438.4865914202696"/>
    <n v="121924.32957101348"/>
    <n v="0"/>
    <n v="121924.32957101348"/>
  </r>
  <r>
    <x v="1"/>
    <x v="12"/>
    <x v="2"/>
    <s v="Konventionel"/>
    <x v="0"/>
    <s v="Pil &amp; poppel"/>
    <n v="1159.1005774063997"/>
    <n v="28270.745790399997"/>
    <n v="0"/>
    <n v="28270.745790399997"/>
  </r>
  <r>
    <x v="1"/>
    <x v="13"/>
    <x v="2"/>
    <s v="Konventionel"/>
    <x v="0"/>
    <s v="Græs"/>
    <n v="28869.959513543392"/>
    <n v="398116.7416917634"/>
    <n v="0"/>
    <n v="398116.7416917634"/>
  </r>
  <r>
    <x v="1"/>
    <x v="0"/>
    <x v="0"/>
    <s v="Økologisk"/>
    <x v="0"/>
    <s v="Halm"/>
    <n v="37407.422491325582"/>
    <n v="175691.44121500885"/>
    <n v="57345.247183975873"/>
    <n v="57345.247183975873"/>
  </r>
  <r>
    <x v="1"/>
    <x v="1"/>
    <x v="0"/>
    <s v="Økologisk"/>
    <x v="0"/>
    <s v="Halm"/>
    <n v="815.28866875287099"/>
    <n v="1793.798128990067"/>
    <n v="532.54053466904622"/>
    <n v="532.54053466904622"/>
  </r>
  <r>
    <x v="1"/>
    <x v="2"/>
    <x v="0"/>
    <s v="Økologisk"/>
    <x v="0"/>
    <s v="Halm"/>
    <n v="5171.7070261351"/>
    <n v="12515.531003246942"/>
    <n v="6684.6076864892093"/>
    <n v="6684.6076864892093"/>
  </r>
  <r>
    <x v="1"/>
    <x v="3"/>
    <x v="0"/>
    <s v="Økologisk"/>
    <x v="0"/>
    <s v="Græs"/>
    <n v="3141.9408009562312"/>
    <n v="121604.41998388959"/>
    <n v="0"/>
    <n v="121604.41998388959"/>
  </r>
  <r>
    <x v="1"/>
    <x v="4"/>
    <x v="0"/>
    <s v="Økologisk"/>
    <x v="0"/>
    <s v="Grøntsager"/>
    <n v="492.34294534860186"/>
    <n v="5823.1861861105881"/>
    <n v="0"/>
    <n v="5823.1861861105881"/>
  </r>
  <r>
    <x v="1"/>
    <x v="5"/>
    <x v="0"/>
    <s v="Økologisk"/>
    <x v="0"/>
    <s v="Kartofler"/>
    <n v="315.83920819930114"/>
    <n v="7645.9658984285725"/>
    <n v="0"/>
    <n v="7645.9658984285725"/>
  </r>
  <r>
    <x v="1"/>
    <x v="6"/>
    <x v="0"/>
    <s v="Økologisk"/>
    <x v="0"/>
    <s v="Roer"/>
    <n v="3283.3406094619722"/>
    <n v="152066.69520013814"/>
    <n v="0"/>
    <n v="152066.69520013814"/>
  </r>
  <r>
    <x v="1"/>
    <x v="7"/>
    <x v="0"/>
    <s v="Økologisk"/>
    <x v="0"/>
    <s v="Majs"/>
    <n v="928.65090834978378"/>
    <n v="34307.429102438567"/>
    <n v="0"/>
    <n v="34307.429102438567"/>
  </r>
  <r>
    <x v="1"/>
    <x v="8"/>
    <x v="0"/>
    <s v="Økologisk"/>
    <x v="0"/>
    <s v="Frugt"/>
    <n v="216.07963746777307"/>
    <n v="1045.6741895977943"/>
    <n v="0"/>
    <n v="1045.6741895977943"/>
  </r>
  <r>
    <x v="1"/>
    <x v="9"/>
    <x v="0"/>
    <s v="Økologisk"/>
    <x v="0"/>
    <s v="Øvrige"/>
    <n v="1542.9134126721628"/>
    <n v="26204.359702741538"/>
    <n v="0"/>
    <n v="26204.359702741538"/>
  </r>
  <r>
    <x v="1"/>
    <x v="10"/>
    <x v="0"/>
    <s v="Økologisk"/>
    <x v="0"/>
    <s v="Halm"/>
    <n v="4773.7285911047593"/>
    <n v="38880.351590888582"/>
    <n v="6459.1698498517526"/>
    <n v="6459.1698498517526"/>
  </r>
  <r>
    <x v="1"/>
    <x v="11"/>
    <x v="0"/>
    <s v="Økologisk"/>
    <x v="0"/>
    <s v="Juletræer"/>
    <n v="338.59556228136813"/>
    <n v="9649.9735250189897"/>
    <n v="0"/>
    <n v="9649.9735250189897"/>
  </r>
  <r>
    <x v="1"/>
    <x v="12"/>
    <x v="0"/>
    <s v="Økologisk"/>
    <x v="0"/>
    <s v="Pil &amp; poppel"/>
    <n v="160.94667615908057"/>
    <n v="2237.5513514799004"/>
    <n v="0"/>
    <n v="2237.5513514799004"/>
  </r>
  <r>
    <x v="1"/>
    <x v="13"/>
    <x v="0"/>
    <s v="Økologisk"/>
    <x v="0"/>
    <s v="Græs"/>
    <n v="4008.7323870971445"/>
    <n v="55280.419618069631"/>
    <n v="0"/>
    <n v="55280.419618069631"/>
  </r>
  <r>
    <x v="1"/>
    <x v="0"/>
    <x v="1"/>
    <s v="Økologisk"/>
    <x v="0"/>
    <s v="Halm"/>
    <n v="44381.829299977158"/>
    <n v="208448.13767320273"/>
    <n v="67641.420674954294"/>
    <n v="67641.420674954294"/>
  </r>
  <r>
    <x v="1"/>
    <x v="1"/>
    <x v="1"/>
    <s v="Økologisk"/>
    <x v="0"/>
    <s v="Halm"/>
    <n v="967.29472700735414"/>
    <n v="2128.2418583615804"/>
    <n v="628.15664943335878"/>
    <n v="628.15664943335878"/>
  </r>
  <r>
    <x v="1"/>
    <x v="2"/>
    <x v="1"/>
    <s v="Økologisk"/>
    <x v="0"/>
    <s v="Halm"/>
    <n v="6135.9431668045636"/>
    <n v="14848.982463667046"/>
    <n v="7884.8096882072023"/>
    <n v="7884.8096882072023"/>
  </r>
  <r>
    <x v="1"/>
    <x v="3"/>
    <x v="1"/>
    <s v="Økologisk"/>
    <x v="0"/>
    <s v="Græs"/>
    <n v="3727.7382672117792"/>
    <n v="144276.89079885781"/>
    <n v="0"/>
    <n v="144276.89079885781"/>
  </r>
  <r>
    <x v="1"/>
    <x v="4"/>
    <x v="1"/>
    <s v="Økologisk"/>
    <x v="0"/>
    <s v="Grøntsager"/>
    <n v="584.13756153813279"/>
    <n v="6908.8870090922646"/>
    <n v="0"/>
    <n v="6908.8870090922646"/>
  </r>
  <r>
    <x v="1"/>
    <x v="5"/>
    <x v="1"/>
    <s v="Økologisk"/>
    <x v="0"/>
    <s v="Kartofler"/>
    <n v="374.72567985115398"/>
    <n v="9071.5139065300064"/>
    <n v="0"/>
    <n v="9071.5139065300064"/>
  </r>
  <r>
    <x v="1"/>
    <x v="6"/>
    <x v="1"/>
    <s v="Økologisk"/>
    <x v="0"/>
    <s v="Roer"/>
    <n v="3895.5012871206354"/>
    <n v="180418.68856773584"/>
    <n v="0"/>
    <n v="180418.68856773584"/>
  </r>
  <r>
    <x v="1"/>
    <x v="7"/>
    <x v="1"/>
    <s v="Økologisk"/>
    <x v="0"/>
    <s v="Majs"/>
    <n v="1101.7927285208236"/>
    <n v="40703.859307563347"/>
    <n v="0"/>
    <n v="40703.859307563347"/>
  </r>
  <r>
    <x v="1"/>
    <x v="8"/>
    <x v="1"/>
    <s v="Økologisk"/>
    <x v="0"/>
    <s v="Frugt"/>
    <n v="256.36648949869465"/>
    <n v="1240.6343526310329"/>
    <n v="0"/>
    <n v="1240.6343526310329"/>
  </r>
  <r>
    <x v="1"/>
    <x v="9"/>
    <x v="1"/>
    <s v="Økologisk"/>
    <x v="0"/>
    <s v="Øvrige"/>
    <n v="1830.5810757675265"/>
    <n v="31090.017482812756"/>
    <n v="0"/>
    <n v="31090.017482812756"/>
  </r>
  <r>
    <x v="1"/>
    <x v="10"/>
    <x v="1"/>
    <s v="Økologisk"/>
    <x v="0"/>
    <s v="Halm"/>
    <n v="5663.7638560625701"/>
    <n v="46129.377874940677"/>
    <n v="7618.895139175369"/>
    <n v="7618.895139175369"/>
  </r>
  <r>
    <x v="1"/>
    <x v="11"/>
    <x v="1"/>
    <s v="Økologisk"/>
    <x v="0"/>
    <s v="Juletræer"/>
    <n v="401.72483015599897"/>
    <n v="11449.157659445971"/>
    <n v="0"/>
    <n v="11449.157659445971"/>
  </r>
  <r>
    <x v="1"/>
    <x v="12"/>
    <x v="1"/>
    <s v="Økologisk"/>
    <x v="0"/>
    <s v="Pil &amp; poppel"/>
    <n v="190.95429281040239"/>
    <n v="2654.7304122421797"/>
    <n v="0"/>
    <n v="2654.7304122421797"/>
  </r>
  <r>
    <x v="1"/>
    <x v="13"/>
    <x v="1"/>
    <s v="Økologisk"/>
    <x v="0"/>
    <s v="Græs"/>
    <n v="4756.138345396349"/>
    <n v="65587.147783015665"/>
    <n v="0"/>
    <n v="65587.147783015665"/>
  </r>
  <r>
    <x v="1"/>
    <x v="0"/>
    <x v="2"/>
    <s v="Økologisk"/>
    <x v="0"/>
    <s v="Halm"/>
    <n v="57145.362883639027"/>
    <n v="268394.62585558742"/>
    <n v="87094.056090138125"/>
    <n v="87094.056090138125"/>
  </r>
  <r>
    <x v="1"/>
    <x v="1"/>
    <x v="2"/>
    <s v="Økologisk"/>
    <x v="0"/>
    <s v="Halm"/>
    <n v="1245.4738586066856"/>
    <n v="2740.2915837064297"/>
    <n v="808.80487005204611"/>
    <n v="808.80487005204611"/>
  </r>
  <r>
    <x v="1"/>
    <x v="2"/>
    <x v="2"/>
    <s v="Økologisk"/>
    <x v="0"/>
    <s v="Halm"/>
    <n v="7900.5463368904539"/>
    <n v="19119.322135274899"/>
    <n v="10152.360053830971"/>
    <n v="10152.360053830971"/>
  </r>
  <r>
    <x v="1"/>
    <x v="3"/>
    <x v="2"/>
    <s v="Økologisk"/>
    <x v="0"/>
    <s v="Græs"/>
    <n v="4799.7786340716357"/>
    <n v="185768.71234165499"/>
    <n v="0"/>
    <n v="185768.71234165499"/>
  </r>
  <r>
    <x v="1"/>
    <x v="4"/>
    <x v="2"/>
    <s v="Økologisk"/>
    <x v="0"/>
    <s v="Grøntsager"/>
    <n v="752.12656743911634"/>
    <n v="8895.7769763861488"/>
    <n v="0"/>
    <n v="8895.7769763861488"/>
  </r>
  <r>
    <x v="1"/>
    <x v="5"/>
    <x v="2"/>
    <s v="Økologisk"/>
    <x v="0"/>
    <s v="Kartofler"/>
    <n v="482.49103956883454"/>
    <n v="11680.342209168517"/>
    <n v="0"/>
    <n v="11680.342209168517"/>
  </r>
  <r>
    <x v="1"/>
    <x v="6"/>
    <x v="2"/>
    <s v="Økologisk"/>
    <x v="0"/>
    <s v="Roer"/>
    <n v="5015.7877261338162"/>
    <n v="232304.33697330329"/>
    <n v="0"/>
    <n v="232304.33697330329"/>
  </r>
  <r>
    <x v="1"/>
    <x v="7"/>
    <x v="2"/>
    <s v="Økologisk"/>
    <x v="0"/>
    <s v="Majs"/>
    <n v="1418.6514230478022"/>
    <n v="52409.665117081866"/>
    <n v="0"/>
    <n v="52409.665117081866"/>
  </r>
  <r>
    <x v="1"/>
    <x v="8"/>
    <x v="2"/>
    <s v="Økologisk"/>
    <x v="0"/>
    <s v="Frugt"/>
    <n v="330.09356091627075"/>
    <n v="1597.421769342109"/>
    <n v="0"/>
    <n v="1597.421769342109"/>
  </r>
  <r>
    <x v="1"/>
    <x v="9"/>
    <x v="2"/>
    <s v="Økologisk"/>
    <x v="0"/>
    <s v="Øvrige"/>
    <n v="2357.0281241812504"/>
    <n v="40031.029796127194"/>
    <n v="0"/>
    <n v="40031.029796127194"/>
  </r>
  <r>
    <x v="1"/>
    <x v="10"/>
    <x v="2"/>
    <s v="Økologisk"/>
    <x v="0"/>
    <s v="Halm"/>
    <n v="7292.5754964791595"/>
    <n v="59395.479632953095"/>
    <n v="9809.9725578637645"/>
    <n v="9809.9725578637645"/>
  </r>
  <r>
    <x v="1"/>
    <x v="11"/>
    <x v="2"/>
    <s v="Økologisk"/>
    <x v="0"/>
    <s v="Juletræer"/>
    <n v="517.25473151339054"/>
    <n v="14741.759848131631"/>
    <n v="0"/>
    <n v="14741.759848131631"/>
  </r>
  <r>
    <x v="1"/>
    <x v="12"/>
    <x v="2"/>
    <s v="Økologisk"/>
    <x v="0"/>
    <s v="Pil &amp; poppel"/>
    <n v="245.86981944984234"/>
    <n v="3418.1901728392713"/>
    <n v="0"/>
    <n v="3418.1901728392713"/>
  </r>
  <r>
    <x v="1"/>
    <x v="13"/>
    <x v="2"/>
    <s v="Økologisk"/>
    <x v="0"/>
    <s v="Græs"/>
    <n v="6123.9308059031428"/>
    <n v="84449.00581340435"/>
    <n v="0"/>
    <n v="84449.00581340435"/>
  </r>
  <r>
    <x v="1"/>
    <x v="0"/>
    <x v="0"/>
    <s v="Konventionel"/>
    <x v="1"/>
    <s v="Halm"/>
    <n v="3321.6653666372972"/>
    <n v="27941.849064152946"/>
    <n v="9120.1496799168599"/>
    <n v="9120.1496799168599"/>
  </r>
  <r>
    <x v="1"/>
    <x v="1"/>
    <x v="0"/>
    <s v="Konventionel"/>
    <x v="1"/>
    <s v="Halm"/>
    <n v="89.823141135380936"/>
    <n v="416.06078973908456"/>
    <n v="123.51960448705798"/>
    <n v="123.51960448705798"/>
  </r>
  <r>
    <x v="1"/>
    <x v="2"/>
    <x v="0"/>
    <s v="Konventionel"/>
    <x v="1"/>
    <s v="Halm"/>
    <n v="362.80969861856295"/>
    <n v="1915.6352087060125"/>
    <n v="1023.1503431459249"/>
    <n v="1023.1503431459249"/>
  </r>
  <r>
    <x v="1"/>
    <x v="3"/>
    <x v="0"/>
    <s v="Konventionel"/>
    <x v="1"/>
    <s v="Græs"/>
    <n v="1066.8125324809869"/>
    <n v="63522.285434047895"/>
    <n v="0"/>
    <n v="63522.285434047895"/>
  </r>
  <r>
    <x v="1"/>
    <x v="4"/>
    <x v="0"/>
    <s v="Konventionel"/>
    <x v="1"/>
    <s v="Grøntsager"/>
    <n v="20.204274039436456"/>
    <n v="503.08642358196778"/>
    <n v="0"/>
    <n v="503.08642358196778"/>
  </r>
  <r>
    <x v="1"/>
    <x v="5"/>
    <x v="0"/>
    <s v="Konventionel"/>
    <x v="1"/>
    <s v="Kartofler"/>
    <n v="34.349115010819808"/>
    <n v="1750.6053726466705"/>
    <n v="0"/>
    <n v="1750.6053726466705"/>
  </r>
  <r>
    <x v="1"/>
    <x v="6"/>
    <x v="0"/>
    <s v="Konventionel"/>
    <x v="1"/>
    <s v="Roer"/>
    <n v="95.964200645574223"/>
    <n v="9356.9392533941373"/>
    <n v="0"/>
    <n v="9356.9392533941373"/>
  </r>
  <r>
    <x v="1"/>
    <x v="7"/>
    <x v="0"/>
    <s v="Konventionel"/>
    <x v="1"/>
    <s v="Majs"/>
    <n v="102.31264680005847"/>
    <n v="5464.7230908847232"/>
    <n v="0"/>
    <n v="5464.7230908847232"/>
  </r>
  <r>
    <x v="1"/>
    <x v="8"/>
    <x v="0"/>
    <s v="Konventionel"/>
    <x v="1"/>
    <s v="Frugt"/>
    <n v="22.070941108444988"/>
    <n v="224.85874801283754"/>
    <n v="0"/>
    <n v="224.85874801283754"/>
  </r>
  <r>
    <x v="1"/>
    <x v="9"/>
    <x v="0"/>
    <s v="Konventionel"/>
    <x v="1"/>
    <s v="Øvrige"/>
    <n v="157.59722417896069"/>
    <n v="5634.9095864199417"/>
    <n v="0"/>
    <n v="5634.9095864199417"/>
  </r>
  <r>
    <x v="1"/>
    <x v="10"/>
    <x v="0"/>
    <s v="Konventionel"/>
    <x v="1"/>
    <s v="Halm"/>
    <n v="1144.1483740031422"/>
    <n v="19618.292165198385"/>
    <n v="3259.1752922503906"/>
    <n v="3259.1752922503906"/>
  </r>
  <r>
    <x v="1"/>
    <x v="11"/>
    <x v="0"/>
    <s v="Konventionel"/>
    <x v="1"/>
    <s v="Juletræer"/>
    <n v="34.585039119234281"/>
    <n v="2075.102347154057"/>
    <n v="0"/>
    <n v="2075.102347154057"/>
  </r>
  <r>
    <x v="1"/>
    <x v="12"/>
    <x v="0"/>
    <s v="Konventionel"/>
    <x v="1"/>
    <s v="Pil &amp; poppel"/>
    <n v="73.402370173862749"/>
    <n v="2148.3620538691534"/>
    <n v="0"/>
    <n v="2148.3620538691534"/>
  </r>
  <r>
    <x v="1"/>
    <x v="13"/>
    <x v="0"/>
    <s v="Konventionel"/>
    <x v="1"/>
    <s v="Græs"/>
    <n v="2143.8995874286088"/>
    <n v="35477.25037276862"/>
    <n v="0"/>
    <n v="35477.25037276862"/>
  </r>
  <r>
    <x v="1"/>
    <x v="0"/>
    <x v="1"/>
    <s v="Konventionel"/>
    <x v="1"/>
    <s v="Halm"/>
    <n v="3004.5351617033111"/>
    <n v="25274.149780248252"/>
    <n v="8201.4616036905572"/>
    <n v="8201.4616036905572"/>
  </r>
  <r>
    <x v="1"/>
    <x v="1"/>
    <x v="1"/>
    <s v="Konventionel"/>
    <x v="1"/>
    <s v="Halm"/>
    <n v="81.247433467117162"/>
    <n v="376.33811181968667"/>
    <n v="111.07726616970228"/>
    <n v="111.07726616970228"/>
  </r>
  <r>
    <x v="1"/>
    <x v="2"/>
    <x v="1"/>
    <s v="Konventionel"/>
    <x v="1"/>
    <s v="Halm"/>
    <n v="328.17107570651984"/>
    <n v="1732.7432797304245"/>
    <n v="920.08668153685562"/>
    <n v="920.08668153685562"/>
  </r>
  <r>
    <x v="1"/>
    <x v="3"/>
    <x v="1"/>
    <s v="Konventionel"/>
    <x v="1"/>
    <s v="Græs"/>
    <n v="964.96046741449936"/>
    <n v="57457.606071728951"/>
    <n v="0"/>
    <n v="57457.606071728951"/>
  </r>
  <r>
    <x v="1"/>
    <x v="4"/>
    <x v="1"/>
    <s v="Konventionel"/>
    <x v="1"/>
    <s v="Grøntsager"/>
    <n v="18.275306229787574"/>
    <n v="455.05512512171066"/>
    <n v="0"/>
    <n v="455.05512512171066"/>
  </r>
  <r>
    <x v="1"/>
    <x v="5"/>
    <x v="1"/>
    <s v="Konventionel"/>
    <x v="1"/>
    <s v="Kartofler"/>
    <n v="31.069693190641079"/>
    <n v="1583.4693793096885"/>
    <n v="0"/>
    <n v="1583.4693793096885"/>
  </r>
  <r>
    <x v="1"/>
    <x v="6"/>
    <x v="1"/>
    <s v="Konventionel"/>
    <x v="1"/>
    <s v="Roer"/>
    <n v="86.80218603605735"/>
    <n v="8463.6018050202292"/>
    <n v="0"/>
    <n v="8463.6018050202292"/>
  </r>
  <r>
    <x v="1"/>
    <x v="7"/>
    <x v="1"/>
    <s v="Konventionel"/>
    <x v="1"/>
    <s v="Majs"/>
    <n v="92.544525371292039"/>
    <n v="4942.9881891314508"/>
    <n v="0"/>
    <n v="4942.9881891314508"/>
  </r>
  <r>
    <x v="1"/>
    <x v="8"/>
    <x v="1"/>
    <s v="Konventionel"/>
    <x v="1"/>
    <s v="Frugt"/>
    <n v="19.963756517514042"/>
    <n v="203.39075140043306"/>
    <n v="0"/>
    <n v="203.39075140043306"/>
  </r>
  <r>
    <x v="1"/>
    <x v="9"/>
    <x v="1"/>
    <s v="Konventionel"/>
    <x v="1"/>
    <s v="Øvrige"/>
    <n v="142.55090419053352"/>
    <n v="5096.9264259624179"/>
    <n v="0"/>
    <n v="5096.9264259624179"/>
  </r>
  <r>
    <x v="1"/>
    <x v="10"/>
    <x v="1"/>
    <s v="Konventionel"/>
    <x v="1"/>
    <s v="Halm"/>
    <n v="1034.9128044099805"/>
    <n v="17745.269952517581"/>
    <n v="2930.8730620890651"/>
    <n v="2930.8730620890651"/>
  </r>
  <r>
    <x v="1"/>
    <x v="11"/>
    <x v="1"/>
    <s v="Konventionel"/>
    <x v="1"/>
    <s v="Juletræer"/>
    <n v="31.283092856466656"/>
    <n v="1876.9855713879997"/>
    <n v="0"/>
    <n v="1876.9855713879997"/>
  </r>
  <r>
    <x v="1"/>
    <x v="12"/>
    <x v="1"/>
    <s v="Konventionel"/>
    <x v="1"/>
    <s v="Pil &amp; poppel"/>
    <n v="66.394406960686013"/>
    <n v="1943.2509354347128"/>
    <n v="0"/>
    <n v="1943.2509354347128"/>
  </r>
  <r>
    <x v="1"/>
    <x v="13"/>
    <x v="1"/>
    <s v="Konventionel"/>
    <x v="1"/>
    <s v="Græs"/>
    <n v="1924.2067363305678"/>
    <n v="31841.773072798231"/>
    <n v="0"/>
    <n v="31841.773072798231"/>
  </r>
  <r>
    <x v="1"/>
    <x v="0"/>
    <x v="2"/>
    <s v="Konventionel"/>
    <x v="1"/>
    <s v="Halm"/>
    <n v="2865.5971195436209"/>
    <n v="24105.402969600938"/>
    <n v="7822.2032636355034"/>
    <n v="7822.2032636355034"/>
  </r>
  <r>
    <x v="1"/>
    <x v="1"/>
    <x v="2"/>
    <s v="Konventionel"/>
    <x v="1"/>
    <s v="Halm"/>
    <n v="77.490326717192659"/>
    <n v="358.93519335403641"/>
    <n v="105.94074519075649"/>
    <n v="105.94074519075649"/>
  </r>
  <r>
    <x v="1"/>
    <x v="2"/>
    <x v="2"/>
    <s v="Konventionel"/>
    <x v="1"/>
    <s v="Halm"/>
    <n v="312.99553463338594"/>
    <n v="1652.6164228642779"/>
    <n v="877.5393205409315"/>
    <n v="877.5393205409315"/>
  </r>
  <r>
    <x v="1"/>
    <x v="3"/>
    <x v="2"/>
    <s v="Konventionel"/>
    <x v="1"/>
    <s v="Græs"/>
    <n v="920.3380180542913"/>
    <n v="54800.606947024717"/>
    <n v="0"/>
    <n v="54800.606947024717"/>
  </r>
  <r>
    <x v="1"/>
    <x v="4"/>
    <x v="2"/>
    <s v="Konventionel"/>
    <x v="1"/>
    <s v="Grøntsager"/>
    <n v="17.430205363670229"/>
    <n v="434.01211355538874"/>
    <n v="0"/>
    <n v="434.01211355538874"/>
  </r>
  <r>
    <x v="1"/>
    <x v="5"/>
    <x v="2"/>
    <s v="Konventionel"/>
    <x v="1"/>
    <s v="Kartofler"/>
    <n v="29.632944372576752"/>
    <n v="1510.2453617693561"/>
    <n v="0"/>
    <n v="1510.2453617693561"/>
  </r>
  <r>
    <x v="1"/>
    <x v="6"/>
    <x v="2"/>
    <s v="Konventionel"/>
    <x v="1"/>
    <s v="Roer"/>
    <n v="82.788212115314806"/>
    <n v="8072.2213747302758"/>
    <n v="0"/>
    <n v="8072.2213747302758"/>
  </r>
  <r>
    <x v="1"/>
    <x v="7"/>
    <x v="2"/>
    <s v="Konventionel"/>
    <x v="1"/>
    <s v="Majs"/>
    <n v="88.265009747186056"/>
    <n v="4714.4107006167014"/>
    <n v="0"/>
    <n v="4714.4107006167014"/>
  </r>
  <r>
    <x v="1"/>
    <x v="8"/>
    <x v="2"/>
    <s v="Konventionel"/>
    <x v="1"/>
    <s v="Frugt"/>
    <n v="19.040577025374667"/>
    <n v="193.98539873451713"/>
    <n v="0"/>
    <n v="193.98539873451713"/>
  </r>
  <r>
    <x v="1"/>
    <x v="9"/>
    <x v="2"/>
    <s v="Konventionel"/>
    <x v="1"/>
    <s v="Øvrige"/>
    <n v="135.9589548638036"/>
    <n v="4861.2304062647327"/>
    <n v="0"/>
    <n v="4861.2304062647327"/>
  </r>
  <r>
    <x v="1"/>
    <x v="10"/>
    <x v="2"/>
    <s v="Konventionel"/>
    <x v="1"/>
    <s v="Halm"/>
    <n v="987.0555648996924"/>
    <n v="16924.679434482088"/>
    <n v="2795.3413597959288"/>
    <n v="2795.3413597959288"/>
  </r>
  <r>
    <x v="1"/>
    <x v="11"/>
    <x v="2"/>
    <s v="Konventionel"/>
    <x v="1"/>
    <s v="Juletræer"/>
    <n v="29.836475845762994"/>
    <n v="1790.1885507457796"/>
    <n v="0"/>
    <n v="1790.1885507457796"/>
  </r>
  <r>
    <x v="1"/>
    <x v="12"/>
    <x v="2"/>
    <s v="Konventionel"/>
    <x v="1"/>
    <s v="Pil &amp; poppel"/>
    <n v="63.324145367128274"/>
    <n v="1853.3896205013152"/>
    <n v="0"/>
    <n v="1853.3896205013152"/>
  </r>
  <r>
    <x v="1"/>
    <x v="13"/>
    <x v="2"/>
    <s v="Konventionel"/>
    <x v="1"/>
    <s v="Græs"/>
    <n v="1835.2260780031424"/>
    <n v="30369.321138796004"/>
    <n v="0"/>
    <n v="30369.321138796004"/>
  </r>
  <r>
    <x v="1"/>
    <x v="0"/>
    <x v="0"/>
    <s v="Økologisk"/>
    <x v="1"/>
    <s v="Halm"/>
    <n v="424.7131637222576"/>
    <n v="2393.7003792651931"/>
    <n v="781.29781954121086"/>
    <n v="781.29781954121086"/>
  </r>
  <r>
    <x v="1"/>
    <x v="1"/>
    <x v="0"/>
    <s v="Økologisk"/>
    <x v="1"/>
    <s v="Halm"/>
    <n v="11.484922843296186"/>
    <n v="30.322952687784319"/>
    <n v="9.0022400938663694"/>
    <n v="9.0022400938663694"/>
  </r>
  <r>
    <x v="1"/>
    <x v="2"/>
    <x v="0"/>
    <s v="Økologisk"/>
    <x v="1"/>
    <s v="Halm"/>
    <n v="46.389397462214085"/>
    <n v="134.71481023026973"/>
    <n v="71.951853718038222"/>
    <n v="71.951853718038222"/>
  </r>
  <r>
    <x v="1"/>
    <x v="3"/>
    <x v="0"/>
    <s v="Økologisk"/>
    <x v="1"/>
    <s v="Græs"/>
    <n v="136.4042658599414"/>
    <n v="6335.2033729641935"/>
    <n v="0"/>
    <n v="6335.2033729641935"/>
  </r>
  <r>
    <x v="1"/>
    <x v="4"/>
    <x v="0"/>
    <s v="Økologisk"/>
    <x v="1"/>
    <s v="Grøntsager"/>
    <n v="2.5833490736869646"/>
    <n v="36.665473402839091"/>
    <n v="0"/>
    <n v="36.665473402839091"/>
  </r>
  <r>
    <x v="1"/>
    <x v="5"/>
    <x v="0"/>
    <s v="Økologisk"/>
    <x v="1"/>
    <s v="Kartofler"/>
    <n v="4.3919298595914027"/>
    <n v="127.58598070016447"/>
    <n v="0"/>
    <n v="127.58598070016447"/>
  </r>
  <r>
    <x v="1"/>
    <x v="6"/>
    <x v="0"/>
    <s v="Økologisk"/>
    <x v="1"/>
    <s v="Roer"/>
    <n v="12.270128011576354"/>
    <n v="681.94368054022107"/>
    <n v="0"/>
    <n v="681.94368054022107"/>
  </r>
  <r>
    <x v="1"/>
    <x v="7"/>
    <x v="0"/>
    <s v="Økologisk"/>
    <x v="1"/>
    <s v="Majs"/>
    <n v="13.0818499502378"/>
    <n v="579.94404871994413"/>
    <n v="0"/>
    <n v="579.94404871994413"/>
  </r>
  <r>
    <x v="1"/>
    <x v="8"/>
    <x v="0"/>
    <s v="Økologisk"/>
    <x v="1"/>
    <s v="Frugt"/>
    <n v="2.8220239517940748"/>
    <n v="16.38794461190048"/>
    <n v="0"/>
    <n v="16.38794461190048"/>
  </r>
  <r>
    <x v="1"/>
    <x v="9"/>
    <x v="0"/>
    <s v="Økologisk"/>
    <x v="1"/>
    <s v="Øvrige"/>
    <n v="20.15061973044347"/>
    <n v="410.6782013659747"/>
    <n v="0"/>
    <n v="410.6782013659747"/>
  </r>
  <r>
    <x v="1"/>
    <x v="10"/>
    <x v="0"/>
    <s v="Økologisk"/>
    <x v="1"/>
    <s v="Halm"/>
    <n v="146.29254366537521"/>
    <n v="1429.8019900252987"/>
    <n v="237.5321602645615"/>
    <n v="237.5321602645615"/>
  </r>
  <r>
    <x v="1"/>
    <x v="11"/>
    <x v="0"/>
    <s v="Økologisk"/>
    <x v="1"/>
    <s v="Juletræer"/>
    <n v="4.4220954733493292"/>
    <n v="151.23566518854705"/>
    <n v="0"/>
    <n v="151.23566518854705"/>
  </r>
  <r>
    <x v="1"/>
    <x v="12"/>
    <x v="0"/>
    <s v="Økologisk"/>
    <x v="1"/>
    <s v="Pil &amp; poppel"/>
    <n v="9.3853382024492209"/>
    <n v="156.57491049939676"/>
    <n v="0"/>
    <n v="156.57491049939676"/>
  </r>
  <r>
    <x v="1"/>
    <x v="13"/>
    <x v="0"/>
    <s v="Økologisk"/>
    <x v="1"/>
    <s v="Græs"/>
    <n v="274.12224772100956"/>
    <n v="4536.1749552872661"/>
    <n v="0"/>
    <n v="4536.1749552872661"/>
  </r>
  <r>
    <x v="1"/>
    <x v="0"/>
    <x v="1"/>
    <s v="Økologisk"/>
    <x v="1"/>
    <s v="Halm"/>
    <n v="468.91589228895612"/>
    <n v="2642.828725576248"/>
    <n v="857.59792144949267"/>
    <n v="857.59792144949267"/>
  </r>
  <r>
    <x v="1"/>
    <x v="1"/>
    <x v="1"/>
    <s v="Økologisk"/>
    <x v="1"/>
    <s v="Halm"/>
    <n v="12.680235280995165"/>
    <n v="33.478864398294675"/>
    <n v="9.8813822332469243"/>
    <n v="9.8813822332469243"/>
  </r>
  <r>
    <x v="1"/>
    <x v="2"/>
    <x v="1"/>
    <s v="Økologisk"/>
    <x v="1"/>
    <s v="Halm"/>
    <n v="51.217451121826805"/>
    <n v="148.73547805778509"/>
    <n v="78.978538848683883"/>
    <n v="78.978538848683883"/>
  </r>
  <r>
    <x v="1"/>
    <x v="3"/>
    <x v="1"/>
    <s v="Økologisk"/>
    <x v="1"/>
    <s v="Græs"/>
    <n v="150.60076659070219"/>
    <n v="6994.5501957838824"/>
    <n v="0"/>
    <n v="6994.5501957838824"/>
  </r>
  <r>
    <x v="1"/>
    <x v="4"/>
    <x v="1"/>
    <s v="Økologisk"/>
    <x v="1"/>
    <s v="Grøntsager"/>
    <n v="2.8522154231460375"/>
    <n v="40.481493500711707"/>
    <n v="0"/>
    <n v="40.481493500711707"/>
  </r>
  <r>
    <x v="1"/>
    <x v="5"/>
    <x v="1"/>
    <s v="Økologisk"/>
    <x v="1"/>
    <s v="Kartofler"/>
    <n v="4.8490272609671052"/>
    <n v="140.86470374321448"/>
    <n v="0"/>
    <n v="140.86470374321448"/>
  </r>
  <r>
    <x v="1"/>
    <x v="6"/>
    <x v="1"/>
    <s v="Økologisk"/>
    <x v="1"/>
    <s v="Roer"/>
    <n v="13.547161982506061"/>
    <n v="752.91810277029674"/>
    <n v="0"/>
    <n v="752.91810277029674"/>
  </r>
  <r>
    <x v="1"/>
    <x v="7"/>
    <x v="1"/>
    <s v="Økologisk"/>
    <x v="1"/>
    <s v="Majs"/>
    <n v="14.443365231357719"/>
    <n v="640.30268970194118"/>
    <n v="0"/>
    <n v="640.30268970194118"/>
  </r>
  <r>
    <x v="1"/>
    <x v="8"/>
    <x v="1"/>
    <s v="Økologisk"/>
    <x v="1"/>
    <s v="Frugt"/>
    <n v="3.1157307859704"/>
    <n v="18.093547191055869"/>
    <n v="0"/>
    <n v="18.093547191055869"/>
  </r>
  <r>
    <x v="1"/>
    <x v="9"/>
    <x v="1"/>
    <s v="Økologisk"/>
    <x v="1"/>
    <s v="Øvrige"/>
    <n v="22.247828977713322"/>
    <n v="453.42021789341965"/>
    <n v="0"/>
    <n v="453.42021789341965"/>
  </r>
  <r>
    <x v="1"/>
    <x v="10"/>
    <x v="1"/>
    <s v="Økologisk"/>
    <x v="1"/>
    <s v="Halm"/>
    <n v="161.51818334722239"/>
    <n v="1578.6110090707834"/>
    <n v="260.72911228642022"/>
    <n v="260.72911228642022"/>
  </r>
  <r>
    <x v="1"/>
    <x v="11"/>
    <x v="1"/>
    <s v="Økologisk"/>
    <x v="1"/>
    <s v="Juletræer"/>
    <n v="4.8823324111248541"/>
    <n v="166.97576846046999"/>
    <n v="0"/>
    <n v="166.97576846046999"/>
  </r>
  <r>
    <x v="1"/>
    <x v="12"/>
    <x v="1"/>
    <s v="Økologisk"/>
    <x v="1"/>
    <s v="Pil &amp; poppel"/>
    <n v="10.362132878257356"/>
    <n v="172.87070460312273"/>
    <n v="0"/>
    <n v="172.87070460312273"/>
  </r>
  <r>
    <x v="1"/>
    <x v="13"/>
    <x v="1"/>
    <s v="Økologisk"/>
    <x v="1"/>
    <s v="Græs"/>
    <n v="300.30972185505971"/>
    <n v="4969.5252772575286"/>
    <n v="0"/>
    <n v="4969.5252772575286"/>
  </r>
  <r>
    <x v="1"/>
    <x v="0"/>
    <x v="2"/>
    <s v="Økologisk"/>
    <x v="1"/>
    <s v="Halm"/>
    <n v="607.85393444864678"/>
    <n v="3425.8890887099515"/>
    <n v="1111.7010092863791"/>
    <n v="1111.7010092863791"/>
  </r>
  <r>
    <x v="1"/>
    <x v="1"/>
    <x v="2"/>
    <s v="Økologisk"/>
    <x v="1"/>
    <s v="Halm"/>
    <n v="16.437342030919655"/>
    <n v="43.398527923715307"/>
    <n v="12.809199191246012"/>
    <n v="12.809199191246012"/>
  </r>
  <r>
    <x v="1"/>
    <x v="2"/>
    <x v="2"/>
    <s v="Økologisk"/>
    <x v="1"/>
    <s v="Halm"/>
    <n v="66.392992194960655"/>
    <n v="192.80524933416578"/>
    <n v="102.37958739644202"/>
    <n v="102.37958739644202"/>
  </r>
  <r>
    <x v="1"/>
    <x v="3"/>
    <x v="2"/>
    <s v="Økologisk"/>
    <x v="1"/>
    <s v="Græs"/>
    <n v="195.22321595091026"/>
    <n v="9067.0095130531809"/>
    <n v="0"/>
    <n v="9067.0095130531809"/>
  </r>
  <r>
    <x v="1"/>
    <x v="4"/>
    <x v="2"/>
    <s v="Økologisk"/>
    <x v="1"/>
    <s v="Grøntsager"/>
    <n v="3.697316289263382"/>
    <n v="52.476010093515178"/>
    <n v="0"/>
    <n v="52.476010093515178"/>
  </r>
  <r>
    <x v="1"/>
    <x v="5"/>
    <x v="2"/>
    <s v="Økologisk"/>
    <x v="1"/>
    <s v="Kartofler"/>
    <n v="6.2857760790314314"/>
    <n v="182.60239374120394"/>
    <n v="0"/>
    <n v="182.60239374120394"/>
  </r>
  <r>
    <x v="1"/>
    <x v="6"/>
    <x v="2"/>
    <s v="Økologisk"/>
    <x v="1"/>
    <s v="Roer"/>
    <n v="17.561135903248598"/>
    <n v="976.00494803557001"/>
    <n v="0"/>
    <n v="976.00494803557001"/>
  </r>
  <r>
    <x v="1"/>
    <x v="7"/>
    <x v="2"/>
    <s v="Økologisk"/>
    <x v="1"/>
    <s v="Majs"/>
    <n v="18.722880855463707"/>
    <n v="830.02200516918299"/>
    <n v="0"/>
    <n v="830.02200516918299"/>
  </r>
  <r>
    <x v="1"/>
    <x v="8"/>
    <x v="2"/>
    <s v="Økologisk"/>
    <x v="1"/>
    <s v="Frugt"/>
    <n v="4.0389102781097774"/>
    <n v="23.454598210627974"/>
    <n v="0"/>
    <n v="23.454598210627974"/>
  </r>
  <r>
    <x v="1"/>
    <x v="9"/>
    <x v="2"/>
    <s v="Økologisk"/>
    <x v="1"/>
    <s v="Øvrige"/>
    <n v="28.839778304443193"/>
    <n v="587.76694912109951"/>
    <n v="0"/>
    <n v="587.76694912109951"/>
  </r>
  <r>
    <x v="1"/>
    <x v="10"/>
    <x v="2"/>
    <s v="Økologisk"/>
    <x v="1"/>
    <s v="Halm"/>
    <n v="209.3754228575105"/>
    <n v="2046.3476043510154"/>
    <n v="337.98218259350773"/>
    <n v="337.98218259350773"/>
  </r>
  <r>
    <x v="1"/>
    <x v="11"/>
    <x v="2"/>
    <s v="Økologisk"/>
    <x v="1"/>
    <s v="Juletræer"/>
    <n v="6.3289494218285141"/>
    <n v="216.45007022653519"/>
    <n v="0"/>
    <n v="216.45007022653519"/>
  </r>
  <r>
    <x v="1"/>
    <x v="12"/>
    <x v="2"/>
    <s v="Økologisk"/>
    <x v="1"/>
    <s v="Pil &amp; poppel"/>
    <n v="13.432394471815089"/>
    <n v="224.09165411515903"/>
    <n v="0"/>
    <n v="224.09165411515903"/>
  </r>
  <r>
    <x v="1"/>
    <x v="13"/>
    <x v="2"/>
    <s v="Økologisk"/>
    <x v="1"/>
    <s v="Græs"/>
    <n v="389.29038018248474"/>
    <n v="6441.9772112597584"/>
    <n v="0"/>
    <n v="6441.9772112597584"/>
  </r>
  <r>
    <x v="1"/>
    <x v="0"/>
    <x v="0"/>
    <s v="Konventionel"/>
    <x v="2"/>
    <s v="Halm"/>
    <n v="1774.9136894308049"/>
    <n v="17419.002948073918"/>
    <n v="5685.5190147439571"/>
    <n v="5685.5190147439571"/>
  </r>
  <r>
    <x v="1"/>
    <x v="1"/>
    <x v="0"/>
    <s v="Konventionel"/>
    <x v="2"/>
    <s v="Halm"/>
    <n v="32.238285550267712"/>
    <n v="174.21569511364672"/>
    <n v="51.720936667380549"/>
    <n v="51.720936667380549"/>
  </r>
  <r>
    <x v="1"/>
    <x v="2"/>
    <x v="0"/>
    <s v="Konventionel"/>
    <x v="2"/>
    <s v="Halm"/>
    <n v="157.47648143468331"/>
    <n v="970.05512563764921"/>
    <n v="518.11129287869664"/>
    <n v="518.11129287869664"/>
  </r>
  <r>
    <x v="1"/>
    <x v="3"/>
    <x v="0"/>
    <s v="Konventionel"/>
    <x v="2"/>
    <s v="Græs"/>
    <n v="1157.2294466868368"/>
    <n v="80390.415202441189"/>
    <n v="0"/>
    <n v="80390.415202441189"/>
  </r>
  <r>
    <x v="1"/>
    <x v="4"/>
    <x v="0"/>
    <s v="Konventionel"/>
    <x v="2"/>
    <s v="Grøntsager"/>
    <n v="5.4466148542378683"/>
    <n v="158.22416151561006"/>
    <n v="0"/>
    <n v="158.22416151561006"/>
  </r>
  <r>
    <x v="1"/>
    <x v="5"/>
    <x v="0"/>
    <s v="Konventionel"/>
    <x v="2"/>
    <s v="Kartofler"/>
    <n v="31.045054930295858"/>
    <n v="1845.915969818406"/>
    <n v="0"/>
    <n v="1845.915969818406"/>
  </r>
  <r>
    <x v="1"/>
    <x v="6"/>
    <x v="0"/>
    <s v="Konventionel"/>
    <x v="2"/>
    <s v="Roer"/>
    <n v="35.751038145066026"/>
    <n v="4066.8673481557489"/>
    <n v="0"/>
    <n v="4066.8673481557489"/>
  </r>
  <r>
    <x v="1"/>
    <x v="7"/>
    <x v="0"/>
    <s v="Konventionel"/>
    <x v="2"/>
    <s v="Majs"/>
    <n v="36.720874835279488"/>
    <n v="2288.2245944856063"/>
    <n v="0"/>
    <n v="2288.2245944856063"/>
  </r>
  <r>
    <x v="1"/>
    <x v="8"/>
    <x v="0"/>
    <s v="Konventionel"/>
    <x v="2"/>
    <s v="Frugt"/>
    <n v="13.325104800010324"/>
    <n v="158.38219565292275"/>
    <n v="0"/>
    <n v="158.38219565292275"/>
  </r>
  <r>
    <x v="1"/>
    <x v="9"/>
    <x v="0"/>
    <s v="Konventionel"/>
    <x v="2"/>
    <s v="Øvrige"/>
    <n v="95.147711103802934"/>
    <n v="3969.0221549750004"/>
    <n v="0"/>
    <n v="3969.0221549750004"/>
  </r>
  <r>
    <x v="1"/>
    <x v="10"/>
    <x v="0"/>
    <s v="Konventionel"/>
    <x v="2"/>
    <s v="Halm"/>
    <n v="890.40917113569958"/>
    <n v="17812.105731467855"/>
    <n v="2959.1146066186934"/>
    <n v="2959.1146066186934"/>
  </r>
  <r>
    <x v="1"/>
    <x v="11"/>
    <x v="0"/>
    <s v="Konventionel"/>
    <x v="2"/>
    <s v="Juletræer"/>
    <n v="20.880363393290878"/>
    <n v="1461.6254375303615"/>
    <n v="0"/>
    <n v="1461.6254375303615"/>
  </r>
  <r>
    <x v="1"/>
    <x v="12"/>
    <x v="0"/>
    <s v="Konventionel"/>
    <x v="2"/>
    <s v="Pil &amp; poppel"/>
    <n v="63.693862522419288"/>
    <n v="2174.912378814317"/>
    <n v="0"/>
    <n v="2174.912378814317"/>
  </r>
  <r>
    <x v="1"/>
    <x v="13"/>
    <x v="0"/>
    <s v="Konventionel"/>
    <x v="2"/>
    <s v="Græs"/>
    <n v="2434.2808314981853"/>
    <n v="46996.225732903964"/>
    <n v="0"/>
    <n v="46996.225732903964"/>
  </r>
  <r>
    <x v="1"/>
    <x v="0"/>
    <x v="1"/>
    <s v="Konventionel"/>
    <x v="2"/>
    <s v="Halm"/>
    <n v="1618.1689827208891"/>
    <n v="15880.710396422801"/>
    <n v="5153.2905236391998"/>
    <n v="5153.2905236391998"/>
  </r>
  <r>
    <x v="1"/>
    <x v="1"/>
    <x v="1"/>
    <s v="Konventionel"/>
    <x v="2"/>
    <s v="Halm"/>
    <n v="29.391284795528069"/>
    <n v="158.8305030350337"/>
    <n v="46.879275596576036"/>
    <n v="46.879275596576036"/>
  </r>
  <r>
    <x v="1"/>
    <x v="2"/>
    <x v="1"/>
    <s v="Konventionel"/>
    <x v="2"/>
    <s v="Halm"/>
    <n v="143.56954892119037"/>
    <n v="884.38842135453274"/>
    <n v="469.61025173925685"/>
    <n v="469.61025173925685"/>
  </r>
  <r>
    <x v="1"/>
    <x v="3"/>
    <x v="1"/>
    <s v="Konventionel"/>
    <x v="2"/>
    <s v="Græs"/>
    <n v="1055.0331588914703"/>
    <n v="73291.04348187265"/>
    <n v="0"/>
    <n v="73291.04348187265"/>
  </r>
  <r>
    <x v="1"/>
    <x v="4"/>
    <x v="1"/>
    <s v="Konventionel"/>
    <x v="2"/>
    <s v="Grøntsager"/>
    <n v="4.9656179173315067"/>
    <n v="144.25120049848027"/>
    <n v="0"/>
    <n v="144.25120049848027"/>
  </r>
  <r>
    <x v="1"/>
    <x v="5"/>
    <x v="1"/>
    <s v="Konventionel"/>
    <x v="2"/>
    <s v="Kartofler"/>
    <n v="28.303429769129298"/>
    <n v="1682.9009685688955"/>
    <n v="0"/>
    <n v="1682.9009685688955"/>
  </r>
  <r>
    <x v="1"/>
    <x v="6"/>
    <x v="1"/>
    <s v="Konventionel"/>
    <x v="2"/>
    <s v="Roer"/>
    <n v="32.593822094509534"/>
    <n v="3707.7175294852809"/>
    <n v="0"/>
    <n v="3707.7175294852809"/>
  </r>
  <r>
    <x v="1"/>
    <x v="7"/>
    <x v="1"/>
    <s v="Konventionel"/>
    <x v="2"/>
    <s v="Majs"/>
    <n v="33.478011370728012"/>
    <n v="2086.1488005555452"/>
    <n v="0"/>
    <n v="2086.1488005555452"/>
  </r>
  <r>
    <x v="1"/>
    <x v="8"/>
    <x v="1"/>
    <s v="Konventionel"/>
    <x v="2"/>
    <s v="Frugt"/>
    <n v="12.148349188628277"/>
    <n v="144.3952784560357"/>
    <n v="0"/>
    <n v="144.3952784560357"/>
  </r>
  <r>
    <x v="1"/>
    <x v="9"/>
    <x v="1"/>
    <s v="Konventionel"/>
    <x v="2"/>
    <s v="Øvrige"/>
    <n v="86.745105298295798"/>
    <n v="3618.5131599115721"/>
    <n v="0"/>
    <n v="3618.5131599115721"/>
  </r>
  <r>
    <x v="1"/>
    <x v="10"/>
    <x v="1"/>
    <s v="Konventionel"/>
    <x v="2"/>
    <s v="Halm"/>
    <n v="811.77609437677165"/>
    <n v="16239.097812609396"/>
    <n v="2682.1082158208537"/>
    <n v="2682.1082158208537"/>
  </r>
  <r>
    <x v="1"/>
    <x v="11"/>
    <x v="1"/>
    <s v="Konventionel"/>
    <x v="2"/>
    <s v="Juletræer"/>
    <n v="19.036394046743428"/>
    <n v="1332.5475832720401"/>
    <n v="0"/>
    <n v="1332.5475832720401"/>
  </r>
  <r>
    <x v="1"/>
    <x v="12"/>
    <x v="1"/>
    <s v="Konventionel"/>
    <x v="2"/>
    <s v="Pil &amp; poppel"/>
    <n v="58.068982924189378"/>
    <n v="1982.843319362564"/>
    <n v="0"/>
    <n v="1982.843319362564"/>
  </r>
  <r>
    <x v="1"/>
    <x v="13"/>
    <x v="1"/>
    <s v="Konventionel"/>
    <x v="2"/>
    <s v="Græs"/>
    <n v="2019.4268817975167"/>
    <n v="38987.055379982856"/>
    <n v="0"/>
    <n v="38987.055379982856"/>
  </r>
  <r>
    <x v="1"/>
    <x v="0"/>
    <x v="2"/>
    <s v="Konventionel"/>
    <x v="2"/>
    <s v="Halm"/>
    <n v="1543.3403592424663"/>
    <n v="15146.342285605564"/>
    <n v="4914.9880716790058"/>
    <n v="4914.9880716790058"/>
  </r>
  <r>
    <x v="1"/>
    <x v="1"/>
    <x v="2"/>
    <s v="Konventionel"/>
    <x v="2"/>
    <s v="Halm"/>
    <n v="28.032150238509427"/>
    <n v="151.48573988890496"/>
    <n v="44.711447823323965"/>
    <n v="44.711447823323965"/>
  </r>
  <r>
    <x v="1"/>
    <x v="2"/>
    <x v="2"/>
    <s v="Konventionel"/>
    <x v="2"/>
    <s v="Halm"/>
    <n v="136.93049463581738"/>
    <n v="843.49184695663507"/>
    <n v="447.89417073397317"/>
    <n v="447.89417073397317"/>
  </r>
  <r>
    <x v="1"/>
    <x v="3"/>
    <x v="2"/>
    <s v="Konventionel"/>
    <x v="2"/>
    <s v="Græs"/>
    <n v="1006.2454983646971"/>
    <n v="69901.862280398782"/>
    <n v="0"/>
    <n v="69901.862280398782"/>
  </r>
  <r>
    <x v="1"/>
    <x v="4"/>
    <x v="2"/>
    <s v="Konventionel"/>
    <x v="2"/>
    <s v="Grøntsager"/>
    <n v="4.7359939673971017"/>
    <n v="137.5806247528858"/>
    <n v="0"/>
    <n v="137.5806247528858"/>
  </r>
  <r>
    <x v="1"/>
    <x v="5"/>
    <x v="2"/>
    <s v="Konventionel"/>
    <x v="2"/>
    <s v="Kartofler"/>
    <n v="26.994600646857421"/>
    <n v="1605.078958461663"/>
    <n v="0"/>
    <n v="1605.078958461663"/>
  </r>
  <r>
    <x v="1"/>
    <x v="6"/>
    <x v="2"/>
    <s v="Konventionel"/>
    <x v="2"/>
    <s v="Roer"/>
    <n v="31.086593327133372"/>
    <n v="3536.2623836131297"/>
    <n v="0"/>
    <n v="3536.2623836131297"/>
  </r>
  <r>
    <x v="1"/>
    <x v="7"/>
    <x v="2"/>
    <s v="Konventionel"/>
    <x v="2"/>
    <s v="Majs"/>
    <n v="31.92989523797759"/>
    <n v="1989.6794918593355"/>
    <n v="0"/>
    <n v="1989.6794918593355"/>
  </r>
  <r>
    <x v="1"/>
    <x v="8"/>
    <x v="2"/>
    <s v="Konventionel"/>
    <x v="2"/>
    <s v="Frugt"/>
    <n v="11.586575815743734"/>
    <n v="137.71804014593005"/>
    <n v="0"/>
    <n v="137.71804014593005"/>
  </r>
  <r>
    <x v="1"/>
    <x v="9"/>
    <x v="2"/>
    <s v="Konventionel"/>
    <x v="2"/>
    <s v="Øvrige"/>
    <n v="82.733770949241659"/>
    <n v="3451.1830715919614"/>
    <n v="0"/>
    <n v="3451.1830715919614"/>
  </r>
  <r>
    <x v="1"/>
    <x v="10"/>
    <x v="2"/>
    <s v="Konventionel"/>
    <x v="2"/>
    <s v="Halm"/>
    <n v="774.23731544605391"/>
    <n v="15488.156873297978"/>
    <n v="2558.0800902337614"/>
    <n v="2558.0800902337614"/>
  </r>
  <r>
    <x v="1"/>
    <x v="11"/>
    <x v="2"/>
    <s v="Konventionel"/>
    <x v="2"/>
    <s v="Juletræer"/>
    <n v="18.156098368281306"/>
    <n v="1270.9268857796915"/>
    <n v="0"/>
    <n v="1270.9268857796915"/>
  </r>
  <r>
    <x v="1"/>
    <x v="12"/>
    <x v="2"/>
    <s v="Konventionel"/>
    <x v="2"/>
    <s v="Pil &amp; poppel"/>
    <n v="55.383712037521661"/>
    <n v="1891.1511427446421"/>
    <n v="0"/>
    <n v="1891.1511427446421"/>
  </r>
  <r>
    <x v="1"/>
    <x v="13"/>
    <x v="2"/>
    <s v="Konventionel"/>
    <x v="2"/>
    <s v="Græs"/>
    <n v="1926.0429797490767"/>
    <n v="37184.185767035677"/>
    <n v="0"/>
    <n v="37184.185767035677"/>
  </r>
  <r>
    <x v="1"/>
    <x v="0"/>
    <x v="0"/>
    <s v="Økologisk"/>
    <x v="2"/>
    <s v="Halm"/>
    <n v="226.94315205364711"/>
    <n v="1492.2374631505099"/>
    <n v="487.06257737866866"/>
    <n v="487.06257737866866"/>
  </r>
  <r>
    <x v="1"/>
    <x v="1"/>
    <x v="0"/>
    <s v="Økologisk"/>
    <x v="2"/>
    <s v="Halm"/>
    <n v="4.1220360083703804"/>
    <n v="12.697025075863115"/>
    <n v="3.7694768510062779"/>
    <n v="3.7694768510062779"/>
  </r>
  <r>
    <x v="1"/>
    <x v="2"/>
    <x v="0"/>
    <s v="Økologisk"/>
    <x v="2"/>
    <s v="Halm"/>
    <n v="20.135181380321381"/>
    <n v="68.217994516528833"/>
    <n v="36.435571961250645"/>
    <n v="36.435571961250645"/>
  </r>
  <r>
    <x v="1"/>
    <x v="3"/>
    <x v="0"/>
    <s v="Økologisk"/>
    <x v="2"/>
    <s v="Græs"/>
    <n v="147.96510942716867"/>
    <n v="8017.4953729155113"/>
    <n v="0"/>
    <n v="8017.4953729155113"/>
  </r>
  <r>
    <x v="1"/>
    <x v="4"/>
    <x v="0"/>
    <s v="Økologisk"/>
    <x v="2"/>
    <s v="Grøntsager"/>
    <n v="0.69641242298342532"/>
    <n v="11.531545105971047"/>
    <n v="0"/>
    <n v="11.531545105971047"/>
  </r>
  <r>
    <x v="1"/>
    <x v="5"/>
    <x v="0"/>
    <s v="Økologisk"/>
    <x v="2"/>
    <s v="Kartofler"/>
    <n v="3.9694677344109963"/>
    <n v="134.53231835071648"/>
    <n v="0"/>
    <n v="134.53231835071648"/>
  </r>
  <r>
    <x v="1"/>
    <x v="6"/>
    <x v="0"/>
    <s v="Økologisk"/>
    <x v="2"/>
    <s v="Roer"/>
    <n v="4.5711818744455988"/>
    <n v="296.39761599009711"/>
    <n v="0"/>
    <n v="296.39761599009711"/>
  </r>
  <r>
    <x v="1"/>
    <x v="7"/>
    <x v="0"/>
    <s v="Økologisk"/>
    <x v="2"/>
    <s v="Majs"/>
    <n v="4.6951866622642671"/>
    <n v="242.83796518803848"/>
    <n v="0"/>
    <n v="242.83796518803848"/>
  </r>
  <r>
    <x v="1"/>
    <x v="8"/>
    <x v="0"/>
    <s v="Økologisk"/>
    <x v="2"/>
    <s v="Frugt"/>
    <n v="1.7037680777194875"/>
    <n v="11.543062801911082"/>
    <n v="0"/>
    <n v="11.543062801911082"/>
  </r>
  <r>
    <x v="1"/>
    <x v="9"/>
    <x v="0"/>
    <s v="Økologisk"/>
    <x v="2"/>
    <s v="Øvrige"/>
    <n v="12.1657304223686"/>
    <n v="289.2665542877732"/>
    <n v="0"/>
    <n v="289.2665542877732"/>
  </r>
  <r>
    <x v="1"/>
    <x v="10"/>
    <x v="0"/>
    <s v="Økologisk"/>
    <x v="2"/>
    <s v="Halm"/>
    <n v="113.84906495358277"/>
    <n v="1298.1652025027952"/>
    <n v="215.66341848867819"/>
    <n v="215.66341848867819"/>
  </r>
  <r>
    <x v="1"/>
    <x v="11"/>
    <x v="0"/>
    <s v="Økologisk"/>
    <x v="2"/>
    <s v="Juletræer"/>
    <n v="2.6697948822619382"/>
    <n v="106.52481580225134"/>
    <n v="0"/>
    <n v="106.52481580225134"/>
  </r>
  <r>
    <x v="1"/>
    <x v="12"/>
    <x v="0"/>
    <s v="Økologisk"/>
    <x v="2"/>
    <s v="Pil &amp; poppel"/>
    <n v="8.1439937126999205"/>
    <n v="158.5099264081594"/>
    <n v="0"/>
    <n v="158.5099264081594"/>
  </r>
  <r>
    <x v="1"/>
    <x v="13"/>
    <x v="0"/>
    <s v="Økologisk"/>
    <x v="2"/>
    <s v="Græs"/>
    <n v="311.25083330735572"/>
    <n v="6009.0085878318096"/>
    <n v="0"/>
    <n v="6009.0085878318096"/>
  </r>
  <r>
    <x v="1"/>
    <x v="0"/>
    <x v="1"/>
    <s v="Økologisk"/>
    <x v="2"/>
    <s v="Halm"/>
    <n v="252.54660423967633"/>
    <n v="1660.5898905854829"/>
    <n v="538.86141949498926"/>
    <n v="538.86141949498926"/>
  </r>
  <r>
    <x v="1"/>
    <x v="1"/>
    <x v="1"/>
    <s v="Økologisk"/>
    <x v="2"/>
    <s v="Halm"/>
    <n v="4.5870791299379068"/>
    <n v="14.129488102365134"/>
    <n v="4.1703586787936713"/>
    <n v="4.1703586787936713"/>
  </r>
  <r>
    <x v="1"/>
    <x v="2"/>
    <x v="1"/>
    <s v="Økologisk"/>
    <x v="2"/>
    <s v="Halm"/>
    <n v="22.406808213133761"/>
    <n v="75.914266226097183"/>
    <n v="40.310475366057602"/>
    <n v="40.310475366057602"/>
  </r>
  <r>
    <x v="1"/>
    <x v="3"/>
    <x v="1"/>
    <s v="Økologisk"/>
    <x v="2"/>
    <s v="Græs"/>
    <n v="164.65835427785956"/>
    <n v="8922.0195128799915"/>
    <n v="0"/>
    <n v="8922.0195128799915"/>
  </r>
  <r>
    <x v="1"/>
    <x v="4"/>
    <x v="1"/>
    <s v="Økologisk"/>
    <x v="2"/>
    <s v="Grøntsager"/>
    <n v="0.7749808310286167"/>
    <n v="12.832520090587346"/>
    <n v="0"/>
    <n v="12.832520090587346"/>
  </r>
  <r>
    <x v="1"/>
    <x v="5"/>
    <x v="1"/>
    <s v="Økologisk"/>
    <x v="2"/>
    <s v="Kartofler"/>
    <n v="4.4172982876675793"/>
    <n v="149.71009194378786"/>
    <n v="0"/>
    <n v="149.71009194378786"/>
  </r>
  <r>
    <x v="1"/>
    <x v="6"/>
    <x v="1"/>
    <s v="Økologisk"/>
    <x v="2"/>
    <s v="Roer"/>
    <n v="5.0868970898945518"/>
    <n v="329.8368368715519"/>
    <n v="0"/>
    <n v="329.8368368715519"/>
  </r>
  <r>
    <x v="1"/>
    <x v="7"/>
    <x v="1"/>
    <s v="Økologisk"/>
    <x v="2"/>
    <s v="Majs"/>
    <n v="5.2248919480326963"/>
    <n v="270.23465098525884"/>
    <n v="0"/>
    <n v="270.23465098525884"/>
  </r>
  <r>
    <x v="1"/>
    <x v="8"/>
    <x v="1"/>
    <s v="Økologisk"/>
    <x v="2"/>
    <s v="Frugt"/>
    <n v="1.8959851334853384"/>
    <n v="12.845337199065836"/>
    <n v="0"/>
    <n v="12.845337199065836"/>
  </r>
  <r>
    <x v="1"/>
    <x v="9"/>
    <x v="1"/>
    <s v="Økologisk"/>
    <x v="2"/>
    <s v="Øvrige"/>
    <n v="13.538253428057727"/>
    <n v="321.90125740485024"/>
    <n v="0"/>
    <n v="321.90125740485024"/>
  </r>
  <r>
    <x v="1"/>
    <x v="10"/>
    <x v="1"/>
    <s v="Økologisk"/>
    <x v="2"/>
    <s v="Halm"/>
    <n v="126.69337889117246"/>
    <n v="1444.6226320003389"/>
    <n v="238.59910659816725"/>
    <n v="238.59910659816725"/>
  </r>
  <r>
    <x v="1"/>
    <x v="11"/>
    <x v="1"/>
    <s v="Økologisk"/>
    <x v="2"/>
    <s v="Juletræer"/>
    <n v="2.9709979148096681"/>
    <n v="118.54281680090574"/>
    <n v="0"/>
    <n v="118.54281680090574"/>
  </r>
  <r>
    <x v="1"/>
    <x v="12"/>
    <x v="1"/>
    <s v="Økologisk"/>
    <x v="2"/>
    <s v="Pil &amp; poppel"/>
    <n v="9.0627892425035448"/>
    <n v="176.39282476872751"/>
    <n v="0"/>
    <n v="176.39282476872751"/>
  </r>
  <r>
    <x v="1"/>
    <x v="13"/>
    <x v="1"/>
    <s v="Økologisk"/>
    <x v="2"/>
    <s v="Græs"/>
    <n v="315.17066941348531"/>
    <n v="6084.6849436967468"/>
    <n v="0"/>
    <n v="6084.6849436967468"/>
  </r>
  <r>
    <x v="1"/>
    <x v="0"/>
    <x v="2"/>
    <s v="Økologisk"/>
    <x v="2"/>
    <s v="Halm"/>
    <n v="327.37522771809893"/>
    <n v="2152.6165248330335"/>
    <n v="698.52406230831946"/>
    <n v="698.52406230831946"/>
  </r>
  <r>
    <x v="1"/>
    <x v="1"/>
    <x v="2"/>
    <s v="Økologisk"/>
    <x v="2"/>
    <s v="Halm"/>
    <n v="5.9462136869565443"/>
    <n v="18.316003095658502"/>
    <n v="5.4060205095473508"/>
    <n v="5.4060205095473508"/>
  </r>
  <r>
    <x v="1"/>
    <x v="2"/>
    <x v="2"/>
    <s v="Økologisk"/>
    <x v="2"/>
    <s v="Halm"/>
    <n v="29.045862498506725"/>
    <n v="98.407382144940797"/>
    <n v="52.254319918963553"/>
    <n v="52.254319918963553"/>
  </r>
  <r>
    <x v="1"/>
    <x v="3"/>
    <x v="2"/>
    <s v="Økologisk"/>
    <x v="2"/>
    <s v="Græs"/>
    <n v="213.44601480463271"/>
    <n v="11565.580850029617"/>
    <n v="0"/>
    <n v="11565.580850029617"/>
  </r>
  <r>
    <x v="1"/>
    <x v="4"/>
    <x v="2"/>
    <s v="Økologisk"/>
    <x v="2"/>
    <s v="Grøntsager"/>
    <n v="1.0046047809630216"/>
    <n v="16.634748265576192"/>
    <n v="0"/>
    <n v="16.634748265576192"/>
  </r>
  <r>
    <x v="1"/>
    <x v="5"/>
    <x v="2"/>
    <s v="Økologisk"/>
    <x v="2"/>
    <s v="Kartofler"/>
    <n v="5.7261274099394539"/>
    <n v="194.06863770491017"/>
    <n v="0"/>
    <n v="194.06863770491017"/>
  </r>
  <r>
    <x v="1"/>
    <x v="6"/>
    <x v="2"/>
    <s v="Økologisk"/>
    <x v="2"/>
    <s v="Roer"/>
    <n v="6.594125857270714"/>
    <n v="427.56627001867832"/>
    <n v="0"/>
    <n v="427.56627001867832"/>
  </r>
  <r>
    <x v="1"/>
    <x v="7"/>
    <x v="2"/>
    <s v="Økologisk"/>
    <x v="2"/>
    <s v="Majs"/>
    <n v="6.7730080807831241"/>
    <n v="350.30417720311328"/>
    <n v="0"/>
    <n v="350.30417720311328"/>
  </r>
  <r>
    <x v="1"/>
    <x v="8"/>
    <x v="2"/>
    <s v="Økologisk"/>
    <x v="2"/>
    <s v="Frugt"/>
    <n v="2.4577585063698826"/>
    <n v="16.65136303582608"/>
    <n v="0"/>
    <n v="16.65136303582608"/>
  </r>
  <r>
    <x v="1"/>
    <x v="9"/>
    <x v="2"/>
    <s v="Økologisk"/>
    <x v="2"/>
    <s v="Øvrige"/>
    <n v="17.549587777111867"/>
    <n v="417.27940774702802"/>
    <n v="0"/>
    <n v="417.27940774702802"/>
  </r>
  <r>
    <x v="1"/>
    <x v="10"/>
    <x v="2"/>
    <s v="Økologisk"/>
    <x v="2"/>
    <s v="Halm"/>
    <n v="164.23215782189024"/>
    <n v="1872.6589674078468"/>
    <n v="309.29513818280947"/>
    <n v="309.29513818280947"/>
  </r>
  <r>
    <x v="1"/>
    <x v="11"/>
    <x v="2"/>
    <s v="Økologisk"/>
    <x v="2"/>
    <s v="Juletræer"/>
    <n v="3.8512935932717913"/>
    <n v="153.66661437154448"/>
    <n v="0"/>
    <n v="153.66661437154448"/>
  </r>
  <r>
    <x v="1"/>
    <x v="12"/>
    <x v="2"/>
    <s v="Økologisk"/>
    <x v="2"/>
    <s v="Pil &amp; poppel"/>
    <n v="11.748060129171261"/>
    <n v="228.65736544094307"/>
    <n v="0"/>
    <n v="228.65736544094307"/>
  </r>
  <r>
    <x v="1"/>
    <x v="13"/>
    <x v="2"/>
    <s v="Økologisk"/>
    <x v="2"/>
    <s v="Græs"/>
    <n v="408.55457146192538"/>
    <n v="7887.5545566439314"/>
    <n v="0"/>
    <n v="7887.554556643931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x v="0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x v="0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x v="0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x v="0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x v="0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x v="0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x v="0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x v="0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x v="0"/>
  </r>
  <r>
    <x v="1"/>
    <s v=""/>
    <n v="0"/>
    <x v="1"/>
    <s v="Vestdanmark"/>
    <n v="270118.44306124689"/>
    <n v="64498.475475191975"/>
    <n v="0"/>
    <n v="0"/>
    <n v="0"/>
    <n v="0"/>
    <n v="0"/>
    <n v="0"/>
    <n v="205619.9675860549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x v="1"/>
  </r>
  <r>
    <x v="3"/>
    <s v=""/>
    <n v="1"/>
    <x v="1"/>
    <s v="Vestdanmark"/>
    <n v="501840559.46824086"/>
    <n v="0"/>
    <n v="0"/>
    <n v="0"/>
    <n v="0"/>
    <n v="0"/>
    <n v="501840559.46824086"/>
    <n v="0"/>
    <n v="0"/>
    <n v="0"/>
    <n v="501840559.46824086"/>
    <n v="0"/>
    <n v="0"/>
    <n v="0"/>
    <n v="0"/>
    <n v="0"/>
    <n v="0"/>
    <n v="0"/>
    <n v="0"/>
    <x v="0"/>
  </r>
  <r>
    <x v="4"/>
    <s v=""/>
    <n v="0"/>
    <x v="1"/>
    <s v="Vestdanmark"/>
    <n v="20203745.041476861"/>
    <n v="0"/>
    <n v="0"/>
    <n v="0"/>
    <n v="0"/>
    <n v="17711207.128625918"/>
    <n v="0"/>
    <n v="0"/>
    <n v="2492537.9128509425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x v="0"/>
  </r>
  <r>
    <x v="10"/>
    <s v="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  <x v="0"/>
  </r>
  <r>
    <x v="11"/>
    <s v="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1"/>
    <s v="Vestdanmark"/>
    <n v="16463363.602305863"/>
    <n v="12237689.909258299"/>
    <n v="0"/>
    <n v="0"/>
    <n v="75614.059561949907"/>
    <n v="0"/>
    <n v="0"/>
    <n v="0"/>
    <n v="4150059.6334856153"/>
    <n v="4150059.6334856153"/>
    <n v="75614.059561949907"/>
    <n v="7.635590968159347"/>
    <n v="7.7747113859958894"/>
    <n v="0.13912041783654258"/>
    <n v="7.635590968159347"/>
    <n v="1162016.6973759723"/>
    <n v="1183188.6340533185"/>
    <n v="21171.936677345977"/>
    <n v="1162016.6973759725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  <x v="1"/>
  </r>
  <r>
    <x v="16"/>
    <s v="Halm og strå"/>
    <n v="1"/>
    <x v="1"/>
    <s v="Vestdanmark"/>
    <n v="2639184.2877324577"/>
    <n v="773085.89354292606"/>
    <n v="726974.95402379602"/>
    <n v="0"/>
    <n v="52868.994212030084"/>
    <n v="0"/>
    <n v="1086254.4459537058"/>
    <n v="0"/>
    <n v="0"/>
    <n v="0"/>
    <n v="1139123.4401657358"/>
    <n v="0"/>
    <n v="11.532133889290428"/>
    <n v="0.30481830088922796"/>
    <n v="11.227315588401201"/>
    <n v="0"/>
    <n v="968254.92414087534"/>
    <n v="44938.645080225571"/>
    <n v="923316.2790606498"/>
    <x v="0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x v="0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x v="0"/>
  </r>
  <r>
    <x v="20"/>
    <s v="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  <x v="0"/>
  </r>
  <r>
    <x v="21"/>
    <s v="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171156.7599390233"/>
    <n v="5879215.2019956233"/>
    <n v="0"/>
    <n v="295933.04302308214"/>
    <n v="2833.9333697705197"/>
    <n v="0"/>
    <n v="0"/>
    <n v="0"/>
    <n v="993174.58155054692"/>
    <n v="993174.58155054692"/>
    <n v="2833.9333697705197"/>
    <n v="3.4014838973692068"/>
    <n v="3.4111897224099992"/>
    <n v="9.7058250407922632E-3"/>
    <n v="3.4014838973692068"/>
    <n v="307884.12028066954"/>
    <n v="308762.63962529838"/>
    <n v="878.51934462886106"/>
    <n v="307884.12028066954"/>
    <x v="0"/>
  </r>
  <r>
    <x v="23"/>
    <s v=""/>
    <n v="0"/>
    <x v="1"/>
    <s v="Vestdanmark"/>
    <n v="0"/>
    <n v="0"/>
    <n v="0"/>
    <n v="0"/>
    <n v="0"/>
    <n v="620537.39357630478"/>
    <n v="0"/>
    <n v="0"/>
    <n v="-620537.39357630478"/>
    <n v="0"/>
    <n v="0"/>
    <n v="0"/>
    <n v="0"/>
    <n v="0"/>
    <n v="0"/>
    <n v="0"/>
    <n v="0"/>
    <n v="0"/>
    <n v="0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983307.7524896674"/>
    <n v="5657053.7864699624"/>
    <n v="0"/>
    <n v="0"/>
    <n v="314692.31350359169"/>
    <n v="0"/>
    <n v="0"/>
    <n v="0"/>
    <n v="2011561.6525161136"/>
    <n v="1690869.0750561175"/>
    <n v="314692.31350359169"/>
    <n v="6.070219979451462"/>
    <n v="7.1999653849293566"/>
    <n v="1.1297454054778944"/>
    <n v="6.070219979451462"/>
    <n v="507260.7225168352"/>
    <n v="601668.41656791279"/>
    <n v="94407.694051077502"/>
    <n v="507260.72251683532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x v="0"/>
  </r>
  <r>
    <x v="30"/>
    <s v="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  <x v="0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x v="0"/>
  </r>
  <r>
    <x v="35"/>
    <s v="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  <x v="0"/>
  </r>
  <r>
    <x v="36"/>
    <s v=""/>
    <n v="0"/>
    <x v="1"/>
    <s v="Vestdanmark"/>
    <n v="253895.35257685397"/>
    <n v="214099.10609126225"/>
    <n v="0"/>
    <n v="0"/>
    <n v="0"/>
    <n v="0"/>
    <n v="0"/>
    <n v="0"/>
    <n v="39796.246485591721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  <x v="0"/>
  </r>
  <r>
    <x v="38"/>
    <s v="Græs og urter"/>
    <n v="1"/>
    <x v="1"/>
    <s v="Vestdanmark"/>
    <n v="395099.15710561507"/>
    <n v="841167.61765562883"/>
    <n v="0"/>
    <n v="0"/>
    <n v="4075.7207832735812"/>
    <n v="0"/>
    <n v="0"/>
    <n v="0"/>
    <n v="-450144.18133328733"/>
    <n v="0"/>
    <n v="4075.7207832735812"/>
    <n v="0"/>
    <n v="1.1061669234635831E-2"/>
    <n v="1.1061669234635831E-2"/>
    <n v="0"/>
    <n v="0"/>
    <n v="815.14415665471631"/>
    <n v="815.14415665471631"/>
    <n v="0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x v="0"/>
  </r>
  <r>
    <x v="42"/>
    <s v="Husdyrgødning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  <x v="0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x v="0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x v="0"/>
  </r>
  <r>
    <x v="1"/>
    <s v=""/>
    <n v="0"/>
    <x v="2"/>
    <s v="Vestdanmark"/>
    <n v="260463.0327135307"/>
    <n v="64498.475475191975"/>
    <n v="0"/>
    <n v="0"/>
    <n v="0"/>
    <n v="0"/>
    <n v="0"/>
    <n v="0"/>
    <n v="195964.55723833872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x v="1"/>
  </r>
  <r>
    <x v="3"/>
    <s v=""/>
    <n v="1"/>
    <x v="2"/>
    <s v="Vestdanmark"/>
    <n v="499391420.10060036"/>
    <n v="0"/>
    <n v="0"/>
    <n v="0"/>
    <n v="0"/>
    <n v="0"/>
    <n v="499391420.10060036"/>
    <n v="0"/>
    <n v="0"/>
    <n v="0"/>
    <n v="499391420.10060036"/>
    <n v="0"/>
    <n v="0"/>
    <n v="0"/>
    <n v="0"/>
    <n v="0"/>
    <n v="0"/>
    <n v="0"/>
    <n v="0"/>
    <x v="0"/>
  </r>
  <r>
    <x v="4"/>
    <s v=""/>
    <n v="0"/>
    <x v="2"/>
    <s v="Vestdanmark"/>
    <n v="19825065.796666823"/>
    <n v="0"/>
    <n v="0"/>
    <n v="0"/>
    <n v="0"/>
    <n v="17222483.674164686"/>
    <n v="0"/>
    <n v="0"/>
    <n v="2602582.122502137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x v="0"/>
  </r>
  <r>
    <x v="10"/>
    <s v="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  <x v="0"/>
  </r>
  <r>
    <x v="11"/>
    <s v="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2"/>
    <s v="Vestdanmark"/>
    <n v="16099999.551723864"/>
    <n v="12237689.909258299"/>
    <n v="0"/>
    <n v="0"/>
    <n v="75527.053678542041"/>
    <n v="0"/>
    <n v="0"/>
    <n v="0"/>
    <n v="3786782.588787023"/>
    <n v="3786782.588787023"/>
    <n v="75527.053678542041"/>
    <n v="6.9672066155445247"/>
    <n v="7.1061669534313321"/>
    <n v="0.13896033788680753"/>
    <n v="6.9672066155445247"/>
    <n v="1060299.1248603666"/>
    <n v="1081446.6998903584"/>
    <n v="21147.575029991774"/>
    <n v="1060299.1248603666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  <x v="1"/>
  </r>
  <r>
    <x v="16"/>
    <s v="Halm og strå"/>
    <n v="1"/>
    <x v="2"/>
    <s v="Vestdanmark"/>
    <n v="2554079.4309541653"/>
    <n v="773085.89354292606"/>
    <n v="724013.50560011622"/>
    <n v="0"/>
    <n v="52543.907435919093"/>
    <n v="0"/>
    <n v="1004436.1243752033"/>
    <n v="0"/>
    <n v="0"/>
    <n v="0"/>
    <n v="1056980.0318111223"/>
    <n v="0"/>
    <n v="10.684601261650869"/>
    <n v="0.30294400007808897"/>
    <n v="10.38165726157278"/>
    <n v="0"/>
    <n v="898433.02703945397"/>
    <n v="44662.321320531228"/>
    <n v="853770.70571892278"/>
    <x v="0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x v="0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x v="1"/>
  </r>
  <r>
    <x v="20"/>
    <s v="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  <x v="0"/>
  </r>
  <r>
    <x v="21"/>
    <s v="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6945589.6789912721"/>
    <n v="5879215.2019956233"/>
    <n v="0"/>
    <n v="307470.55071854044"/>
    <n v="2825.7560217041437"/>
    <n v="0"/>
    <n v="0"/>
    <n v="0"/>
    <n v="756078.17025540397"/>
    <n v="756078.17025540397"/>
    <n v="2825.7560217041437"/>
    <n v="2.5894618821809234"/>
    <n v="2.5991397009494173"/>
    <n v="9.6778187684936554E-3"/>
    <n v="2.5894618821809234"/>
    <n v="234384.23277917522"/>
    <n v="235260.21714590353"/>
    <n v="875.9843667282845"/>
    <n v="234384.23277917525"/>
    <x v="0"/>
  </r>
  <r>
    <x v="23"/>
    <s v=""/>
    <n v="0"/>
    <x v="2"/>
    <s v="Vestdanmark"/>
    <n v="0"/>
    <n v="0"/>
    <n v="0"/>
    <n v="0"/>
    <n v="0"/>
    <n v="597110.0145929947"/>
    <n v="0"/>
    <n v="0"/>
    <n v="-597110.0145929947"/>
    <n v="0"/>
    <n v="0"/>
    <n v="0"/>
    <n v="0"/>
    <n v="0"/>
    <n v="0"/>
    <n v="0"/>
    <n v="0"/>
    <n v="0"/>
    <n v="0"/>
    <x v="1"/>
  </r>
  <r>
    <x v="24"/>
    <s v="Husdyrgødning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786550.4071108392"/>
    <n v="5657053.7864699624"/>
    <n v="0"/>
    <n v="0"/>
    <n v="314525.12457946909"/>
    <n v="0"/>
    <n v="0"/>
    <n v="0"/>
    <n v="1814971.496061408"/>
    <n v="1488865.2333387681"/>
    <n v="314525.12457946909"/>
    <n v="5.3450261876861784"/>
    <n v="6.474171384926473"/>
    <n v="1.1291451972402942"/>
    <n v="5.3450261876861784"/>
    <n v="446659.5700016304"/>
    <n v="541017.10737547115"/>
    <n v="94357.537373840722"/>
    <n v="446659.57000163046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x v="1"/>
  </r>
  <r>
    <x v="30"/>
    <s v="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  <x v="0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x v="0"/>
  </r>
  <r>
    <x v="35"/>
    <s v="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  <x v="0"/>
  </r>
  <r>
    <x v="36"/>
    <s v=""/>
    <n v="0"/>
    <x v="2"/>
    <s v="Vestdanmark"/>
    <n v="244519.97857097647"/>
    <n v="214099.10609126225"/>
    <n v="0"/>
    <n v="0"/>
    <n v="0"/>
    <n v="0"/>
    <n v="0"/>
    <n v="0"/>
    <n v="30420.87247971422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  <x v="0"/>
  </r>
  <r>
    <x v="38"/>
    <s v="Græs og urter"/>
    <n v="1"/>
    <x v="2"/>
    <s v="Vestdanmark"/>
    <n v="380710.74225422333"/>
    <n v="841167.61765562883"/>
    <n v="0"/>
    <n v="0"/>
    <n v="4034.07077562927"/>
    <n v="0"/>
    <n v="0"/>
    <n v="0"/>
    <n v="-464490.94617703476"/>
    <n v="0"/>
    <n v="4034.07077562927"/>
    <n v="0"/>
    <n v="1.0948629447888865E-2"/>
    <n v="1.0948629447888865E-2"/>
    <n v="0"/>
    <n v="0"/>
    <n v="806.81415512585409"/>
    <n v="806.81415512585409"/>
    <n v="0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x v="0"/>
  </r>
  <r>
    <x v="42"/>
    <s v="Husdyrgødning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  <x v="0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x v="0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x v="0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x v="0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x v="0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x v="0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x v="0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x v="0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x v="0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x v="0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x v="0"/>
  </r>
  <r>
    <x v="1"/>
    <s v=""/>
    <n v="0"/>
    <x v="1"/>
    <s v="Østdanmark"/>
    <n v="28552.425442007137"/>
    <n v="7916.616753740097"/>
    <n v="0"/>
    <n v="0"/>
    <n v="0"/>
    <n v="0"/>
    <n v="0"/>
    <n v="0"/>
    <n v="20635.80868826704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x v="1"/>
  </r>
  <r>
    <x v="3"/>
    <s v=""/>
    <n v="1"/>
    <x v="1"/>
    <s v="Østdanmark"/>
    <n v="108413981.64654841"/>
    <n v="0"/>
    <n v="0"/>
    <n v="0"/>
    <n v="0"/>
    <n v="0"/>
    <n v="108413981.64654841"/>
    <n v="0"/>
    <n v="0"/>
    <n v="0"/>
    <n v="108413981.64654841"/>
    <n v="0"/>
    <n v="0"/>
    <n v="0"/>
    <n v="0"/>
    <n v="0"/>
    <n v="0"/>
    <n v="0"/>
    <n v="0"/>
    <x v="0"/>
  </r>
  <r>
    <x v="4"/>
    <s v=""/>
    <n v="0"/>
    <x v="1"/>
    <s v="Østdanmark"/>
    <n v="3475869.7995257122"/>
    <n v="0"/>
    <n v="0"/>
    <n v="0"/>
    <n v="0"/>
    <n v="3047051.4177026679"/>
    <n v="0"/>
    <n v="0"/>
    <n v="428818.38182304427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x v="0"/>
  </r>
  <r>
    <x v="10"/>
    <s v="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  <x v="0"/>
  </r>
  <r>
    <x v="11"/>
    <s v="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1"/>
    <s v="Østdanmark"/>
    <n v="2190992.6315255472"/>
    <n v="1502068.0760117145"/>
    <n v="0"/>
    <n v="0"/>
    <n v="10062.940438050116"/>
    <n v="0"/>
    <n v="0"/>
    <n v="0"/>
    <n v="678861.61507578264"/>
    <n v="678861.61507578264"/>
    <n v="10062.940438050116"/>
    <n v="1.2490205140375557"/>
    <n v="1.267535066576013"/>
    <n v="1.8514552538457459E-2"/>
    <n v="1.2490205140375557"/>
    <n v="190081.25222121915"/>
    <n v="192898.87554387318"/>
    <n v="2817.623322654033"/>
    <n v="190081.25222121915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  <x v="1"/>
  </r>
  <r>
    <x v="16"/>
    <s v="Halm og strå"/>
    <n v="1"/>
    <x v="1"/>
    <s v="Østdanmark"/>
    <n v="937754.98883303662"/>
    <n v="94889.448034412562"/>
    <n v="103520.85960187271"/>
    <n v="0"/>
    <n v="23065.005787969905"/>
    <n v="0"/>
    <n v="716279.67540878139"/>
    <n v="0"/>
    <n v="0"/>
    <n v="0"/>
    <n v="739344.68119675131"/>
    <n v="0"/>
    <n v="7.5363102231539605"/>
    <n v="0.13298221347077202"/>
    <n v="7.4033280096831886"/>
    <n v="0"/>
    <n v="628442.9790172386"/>
    <n v="19605.254919774419"/>
    <n v="608837.72409746423"/>
    <x v="0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x v="0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x v="0"/>
  </r>
  <r>
    <x v="20"/>
    <s v="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  <x v="0"/>
  </r>
  <r>
    <x v="21"/>
    <s v="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409167.1046716827"/>
    <n v="721621.60770550347"/>
    <n v="0"/>
    <n v="256234.83946537593"/>
    <n v="952.06663022948101"/>
    <n v="0"/>
    <n v="0"/>
    <n v="0"/>
    <n v="1430358.5908705737"/>
    <n v="1430358.5908705737"/>
    <n v="952.06663022948101"/>
    <n v="4.8987779235289937"/>
    <n v="4.9020386184482012"/>
    <n v="3.2606949192077409E-3"/>
    <n v="4.8987779235289937"/>
    <n v="443411.16316987784"/>
    <n v="443706.30382524902"/>
    <n v="295.14065537113913"/>
    <n v="443411.16316987789"/>
    <x v="0"/>
  </r>
  <r>
    <x v="23"/>
    <s v=""/>
    <n v="0"/>
    <x v="1"/>
    <s v="Østdanmark"/>
    <n v="0"/>
    <n v="0"/>
    <n v="0"/>
    <n v="0"/>
    <n v="0"/>
    <n v="371889.1498666883"/>
    <n v="0"/>
    <n v="0"/>
    <n v="-371889.1498666883"/>
    <n v="0"/>
    <n v="0"/>
    <n v="0"/>
    <n v="0"/>
    <n v="0"/>
    <n v="0"/>
    <n v="0"/>
    <n v="0"/>
    <n v="0"/>
    <n v="0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8994.37014569982"/>
    <n v="694353.26110928762"/>
    <n v="0"/>
    <n v="0"/>
    <n v="15333.686496408332"/>
    <n v="0"/>
    <n v="0"/>
    <n v="0"/>
    <n v="-320692.5774599961"/>
    <n v="0"/>
    <n v="15333.686496408332"/>
    <n v="0"/>
    <n v="5.5047934522105921E-2"/>
    <n v="5.5047934522105921E-2"/>
    <n v="0"/>
    <n v="0"/>
    <n v="4600.1059489224999"/>
    <n v="4600.1059489224999"/>
    <n v="0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x v="0"/>
  </r>
  <r>
    <x v="30"/>
    <s v="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  <x v="0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x v="0"/>
  </r>
  <r>
    <x v="35"/>
    <s v="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  <x v="0"/>
  </r>
  <r>
    <x v="36"/>
    <s v=""/>
    <n v="0"/>
    <x v="1"/>
    <s v="Østdanmark"/>
    <n v="102203.89564318379"/>
    <n v="26278.769501998377"/>
    <n v="0"/>
    <n v="0"/>
    <n v="0"/>
    <n v="0"/>
    <n v="0"/>
    <n v="0"/>
    <n v="75925.126141185407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  <x v="0"/>
  </r>
  <r>
    <x v="38"/>
    <s v="Græs og urter"/>
    <n v="1"/>
    <x v="1"/>
    <s v="Østdanmark"/>
    <n v="2381738.5992335565"/>
    <n v="103245.8768300271"/>
    <n v="0"/>
    <n v="0"/>
    <n v="24569.279216726416"/>
    <n v="0"/>
    <n v="0"/>
    <n v="0"/>
    <n v="2253923.4431868028"/>
    <n v="1803779.2618535154"/>
    <n v="24569.279216726416"/>
    <n v="4.8955290678409149"/>
    <n v="4.9622110744062793"/>
    <n v="6.668200656536416E-2"/>
    <n v="4.8955290678409149"/>
    <n v="360755.85237070313"/>
    <n v="365669.70821404835"/>
    <n v="4913.8558433452836"/>
    <n v="360755.85237070307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x v="0"/>
  </r>
  <r>
    <x v="42"/>
    <s v="Husdyrgødning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  <x v="0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x v="0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x v="0"/>
  </r>
  <r>
    <x v="1"/>
    <s v=""/>
    <n v="0"/>
    <x v="2"/>
    <s v="Østdanmark"/>
    <n v="27846.800257878294"/>
    <n v="7916.616753740097"/>
    <n v="0"/>
    <n v="0"/>
    <n v="0"/>
    <n v="0"/>
    <n v="0"/>
    <n v="0"/>
    <n v="19930.183504138196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x v="1"/>
  </r>
  <r>
    <x v="3"/>
    <s v=""/>
    <n v="1"/>
    <x v="2"/>
    <s v="Østdanmark"/>
    <n v="109438765.39231445"/>
    <n v="0"/>
    <n v="0"/>
    <n v="0"/>
    <n v="0"/>
    <n v="0"/>
    <n v="109438765.39231445"/>
    <n v="0"/>
    <n v="0"/>
    <n v="0"/>
    <n v="109438765.39231445"/>
    <n v="0"/>
    <n v="0"/>
    <n v="0"/>
    <n v="0"/>
    <n v="0"/>
    <n v="0"/>
    <n v="0"/>
    <n v="0"/>
    <x v="0"/>
  </r>
  <r>
    <x v="4"/>
    <s v=""/>
    <n v="0"/>
    <x v="2"/>
    <s v="Østdanmark"/>
    <n v="3485476.5557184103"/>
    <n v="0"/>
    <n v="0"/>
    <n v="0"/>
    <n v="0"/>
    <n v="3027912.4262798992"/>
    <n v="0"/>
    <n v="0"/>
    <n v="457564.1294385111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x v="0"/>
  </r>
  <r>
    <x v="10"/>
    <s v="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  <x v="0"/>
  </r>
  <r>
    <x v="11"/>
    <s v="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2"/>
    <s v="Østdanmark"/>
    <n v="2163650.2851152783"/>
    <n v="1502068.0760117143"/>
    <n v="0"/>
    <n v="0"/>
    <n v="10149.946321457959"/>
    <n v="0"/>
    <n v="0"/>
    <n v="0"/>
    <n v="651432.26278210618"/>
    <n v="651432.26278210618"/>
    <n v="10149.946321457959"/>
    <n v="1.1985539344862277"/>
    <n v="1.2172285669744203"/>
    <n v="1.8674632488192462E-2"/>
    <n v="1.1985539344862277"/>
    <n v="182401.03357898974"/>
    <n v="185243.01854899799"/>
    <n v="2841.9849700082286"/>
    <n v="182401.03357898977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  <x v="1"/>
  </r>
  <r>
    <x v="16"/>
    <s v="Halm og strå"/>
    <n v="1"/>
    <x v="2"/>
    <s v="Østdanmark"/>
    <n v="917722.26759868616"/>
    <n v="94889.448034412548"/>
    <n v="103062.42440743271"/>
    <n v="0"/>
    <n v="23390.092564080911"/>
    <n v="0"/>
    <n v="696380.30259275995"/>
    <n v="0"/>
    <n v="0"/>
    <n v="0"/>
    <n v="719770.39515684091"/>
    <n v="0"/>
    <n v="7.3325084602684676"/>
    <n v="0.13485651428191106"/>
    <n v="7.1976519459865562"/>
    <n v="0"/>
    <n v="611804.83588331472"/>
    <n v="19881.578679468774"/>
    <n v="591923.25720384601"/>
    <x v="0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x v="0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x v="1"/>
  </r>
  <r>
    <x v="20"/>
    <s v="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  <x v="0"/>
  </r>
  <r>
    <x v="21"/>
    <s v="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360239.3885877775"/>
    <n v="721621.60770550335"/>
    <n v="0"/>
    <n v="268249.01834925939"/>
    <n v="960.24397829585632"/>
    <n v="0"/>
    <n v="0"/>
    <n v="0"/>
    <n v="1369408.5185547189"/>
    <n v="1369408.5185547189"/>
    <n v="960.24397829585632"/>
    <n v="4.6900324588573152"/>
    <n v="4.6933211600488214"/>
    <n v="3.288701191506347E-3"/>
    <n v="4.6900324588573152"/>
    <n v="424516.64075196284"/>
    <n v="424814.31638523459"/>
    <n v="297.67563327171547"/>
    <n v="424516.6407519629"/>
    <x v="0"/>
  </r>
  <r>
    <x v="23"/>
    <s v=""/>
    <n v="0"/>
    <x v="2"/>
    <s v="Østdanmark"/>
    <n v="0"/>
    <n v="0"/>
    <n v="0"/>
    <n v="0"/>
    <n v="0"/>
    <n v="362262.716942953"/>
    <n v="0"/>
    <n v="0"/>
    <n v="-362262.716942953"/>
    <n v="0"/>
    <n v="0"/>
    <n v="0"/>
    <n v="0"/>
    <n v="0"/>
    <n v="0"/>
    <n v="0"/>
    <n v="0"/>
    <n v="0"/>
    <n v="0"/>
    <x v="1"/>
  </r>
  <r>
    <x v="24"/>
    <s v="Husdyrgødning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383747.87380717852"/>
    <n v="694353.2611092875"/>
    <n v="0"/>
    <n v="0"/>
    <n v="15500.875420530891"/>
    <n v="0"/>
    <n v="0"/>
    <n v="0"/>
    <n v="-326106.26272263989"/>
    <n v="0"/>
    <n v="15500.875420530891"/>
    <n v="0"/>
    <n v="5.56481427597059E-2"/>
    <n v="5.56481427597059E-2"/>
    <n v="0"/>
    <n v="0"/>
    <n v="4650.2626261592668"/>
    <n v="4650.2626261592668"/>
    <n v="0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x v="1"/>
  </r>
  <r>
    <x v="30"/>
    <s v="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  <x v="0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x v="0"/>
  </r>
  <r>
    <x v="35"/>
    <s v="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  <x v="0"/>
  </r>
  <r>
    <x v="36"/>
    <s v=""/>
    <n v="0"/>
    <x v="2"/>
    <s v="Østdanmark"/>
    <n v="99581.589220524314"/>
    <n v="26278.769501998373"/>
    <n v="0"/>
    <n v="0"/>
    <n v="0"/>
    <n v="0"/>
    <n v="0"/>
    <n v="0"/>
    <n v="73302.819718525949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  <x v="0"/>
  </r>
  <r>
    <x v="38"/>
    <s v="Græs og urter"/>
    <n v="1"/>
    <x v="2"/>
    <s v="Østdanmark"/>
    <n v="2322627.8500566902"/>
    <n v="103245.87683002709"/>
    <n v="0"/>
    <n v="0"/>
    <n v="24610.929224370728"/>
    <n v="0"/>
    <n v="0"/>
    <n v="0"/>
    <n v="2194771.0440022922"/>
    <n v="1730280.0978252576"/>
    <n v="24610.929224370728"/>
    <n v="4.6960493967016621"/>
    <n v="4.7628444430537735"/>
    <n v="6.6795046352111129E-2"/>
    <n v="4.6960493967016621"/>
    <n v="346056.01956505154"/>
    <n v="350978.20540992566"/>
    <n v="4922.1858448741459"/>
    <n v="346056.01956505154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x v="0"/>
  </r>
  <r>
    <x v="42"/>
    <s v="Husdyrgødning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  <x v="0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x v="0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n v="1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n v="0"/>
    <x v="1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n v="1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n v="0"/>
    <x v="1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n v="0"/>
    <x v="1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n v="1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n v="0"/>
    <x v="1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n v="0"/>
    <x v="1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n v="0"/>
    <x v="1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n v="0"/>
    <x v="1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n v="0"/>
    <x v="1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n v="0"/>
    <x v="0"/>
  </r>
  <r>
    <x v="1"/>
    <s v=""/>
    <n v="0"/>
    <x v="1"/>
    <s v="Vestdanmark"/>
    <n v="270118.44306124689"/>
    <n v="64498.475475191975"/>
    <n v="0"/>
    <n v="0"/>
    <n v="0"/>
    <n v="0"/>
    <n v="0"/>
    <n v="0"/>
    <n v="205619.9675860549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n v="1"/>
    <x v="1"/>
  </r>
  <r>
    <x v="3"/>
    <s v=""/>
    <n v="1"/>
    <x v="1"/>
    <s v="Vestdanmark"/>
    <n v="501840559.46824086"/>
    <n v="0"/>
    <n v="0"/>
    <n v="0"/>
    <n v="0"/>
    <n v="0"/>
    <n v="501840559.46824086"/>
    <n v="0"/>
    <n v="0"/>
    <n v="0"/>
    <n v="501840559.46824086"/>
    <n v="0"/>
    <n v="0"/>
    <n v="0"/>
    <n v="0"/>
    <n v="0"/>
    <n v="0"/>
    <n v="0"/>
    <n v="0"/>
    <n v="0"/>
    <x v="1"/>
  </r>
  <r>
    <x v="4"/>
    <s v=""/>
    <n v="0"/>
    <x v="1"/>
    <s v="Vestdanmark"/>
    <n v="20203745.041476861"/>
    <n v="0"/>
    <n v="0"/>
    <n v="0"/>
    <n v="0"/>
    <n v="17711207.128625918"/>
    <n v="0"/>
    <n v="0"/>
    <n v="2492537.9128509425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n v="0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  <n v="0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n v="0"/>
    <x v="0"/>
  </r>
  <r>
    <x v="10"/>
    <s v="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  <n v="0"/>
    <x v="0"/>
  </r>
  <r>
    <x v="11"/>
    <s v="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  <n v="1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1"/>
    <s v="Vestdanmark"/>
    <n v="16463363.602305863"/>
    <n v="12237689.909258299"/>
    <n v="0"/>
    <n v="0"/>
    <n v="75614.059561949907"/>
    <n v="0"/>
    <n v="0"/>
    <n v="0"/>
    <n v="4150059.6334856153"/>
    <n v="4150059.6334856153"/>
    <n v="75614.059561949907"/>
    <n v="7.635590968159347"/>
    <n v="7.7747113859958894"/>
    <n v="0.13912041783654258"/>
    <n v="7.635590968159347"/>
    <n v="1162016.6973759723"/>
    <n v="1183188.6340533185"/>
    <n v="21171.936677345977"/>
    <n v="1162016.6973759725"/>
    <n v="0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Vestdanmark"/>
    <n v="2639184.2877324577"/>
    <n v="773085.89354292606"/>
    <n v="726974.95402379602"/>
    <n v="0"/>
    <n v="52868.994212030084"/>
    <n v="0"/>
    <n v="1086254.4459537058"/>
    <n v="0"/>
    <n v="0"/>
    <n v="0"/>
    <n v="1139123.4401657358"/>
    <n v="0"/>
    <n v="11.532133889290428"/>
    <n v="0.30481830088922796"/>
    <n v="11.227315588401201"/>
    <n v="0"/>
    <n v="968254.92414087534"/>
    <n v="44938.645080225571"/>
    <n v="923316.2790606498"/>
    <n v="0"/>
    <x v="1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n v="0"/>
    <x v="1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n v="0"/>
    <x v="0"/>
  </r>
  <r>
    <x v="20"/>
    <s v="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  <n v="0"/>
    <x v="0"/>
  </r>
  <r>
    <x v="21"/>
    <s v="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171156.7599390233"/>
    <n v="5879215.2019956233"/>
    <n v="0"/>
    <n v="295933.04302308214"/>
    <n v="2833.9333697705197"/>
    <n v="0"/>
    <n v="0"/>
    <n v="0"/>
    <n v="993174.58155054692"/>
    <n v="993174.58155054692"/>
    <n v="2833.9333697705197"/>
    <n v="3.4014838973692068"/>
    <n v="3.4111897224099992"/>
    <n v="9.7058250407922632E-3"/>
    <n v="3.4014838973692068"/>
    <n v="307884.12028066954"/>
    <n v="308762.63962529838"/>
    <n v="878.51934462886106"/>
    <n v="307884.12028066954"/>
    <n v="0"/>
    <x v="0"/>
  </r>
  <r>
    <x v="23"/>
    <s v=""/>
    <n v="0"/>
    <x v="1"/>
    <s v="Vestdanmark"/>
    <n v="0"/>
    <n v="0"/>
    <n v="0"/>
    <n v="0"/>
    <n v="0"/>
    <n v="620537.39357630478"/>
    <n v="0"/>
    <n v="0"/>
    <n v="-620537.39357630478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n v="0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983307.7524896674"/>
    <n v="5657053.7864699624"/>
    <n v="0"/>
    <n v="0"/>
    <n v="314692.31350359169"/>
    <n v="0"/>
    <n v="0"/>
    <n v="0"/>
    <n v="2011561.6525161136"/>
    <n v="1690869.0750561175"/>
    <n v="314692.31350359169"/>
    <n v="6.070219979451462"/>
    <n v="7.1999653849293566"/>
    <n v="1.1297454054778944"/>
    <n v="6.070219979451462"/>
    <n v="507260.7225168352"/>
    <n v="601668.41656791279"/>
    <n v="94407.694051077502"/>
    <n v="507260.72251683532"/>
    <n v="0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n v="0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n v="0"/>
    <x v="0"/>
  </r>
  <r>
    <x v="30"/>
    <s v="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  <n v="0"/>
    <x v="1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n v="0"/>
    <x v="0"/>
  </r>
  <r>
    <x v="35"/>
    <s v="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Vestdanmark"/>
    <n v="253895.35257685397"/>
    <n v="214099.10609126225"/>
    <n v="0"/>
    <n v="0"/>
    <n v="0"/>
    <n v="0"/>
    <n v="0"/>
    <n v="0"/>
    <n v="39796.246485591721"/>
    <n v="0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  <n v="0"/>
    <x v="1"/>
  </r>
  <r>
    <x v="38"/>
    <s v="Græs og urter"/>
    <n v="1"/>
    <x v="1"/>
    <s v="Vestdanmark"/>
    <n v="395099.15710561507"/>
    <n v="841167.61765562883"/>
    <n v="0"/>
    <n v="0"/>
    <n v="4075.7207832735812"/>
    <n v="0"/>
    <n v="0"/>
    <n v="0"/>
    <n v="-450144.18133328733"/>
    <n v="0"/>
    <n v="4075.7207832735812"/>
    <n v="0"/>
    <n v="1.1061669234635831E-2"/>
    <n v="1.1061669234635831E-2"/>
    <n v="0"/>
    <n v="0"/>
    <n v="815.14415665471631"/>
    <n v="815.14415665471631"/>
    <n v="0"/>
    <n v="0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n v="0"/>
    <x v="0"/>
  </r>
  <r>
    <x v="42"/>
    <s v="Husdyrgødning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  <n v="0"/>
    <x v="1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n v="0"/>
    <x v="1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n v="0"/>
    <x v="0"/>
  </r>
  <r>
    <x v="1"/>
    <s v=""/>
    <n v="0"/>
    <x v="2"/>
    <s v="Vestdanmark"/>
    <n v="260463.0327135307"/>
    <n v="64498.475475191975"/>
    <n v="0"/>
    <n v="0"/>
    <n v="0"/>
    <n v="0"/>
    <n v="0"/>
    <n v="0"/>
    <n v="195964.55723833872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n v="1"/>
    <x v="1"/>
  </r>
  <r>
    <x v="3"/>
    <s v=""/>
    <n v="1"/>
    <x v="2"/>
    <s v="Vestdanmark"/>
    <n v="499391420.10060036"/>
    <n v="0"/>
    <n v="0"/>
    <n v="0"/>
    <n v="0"/>
    <n v="0"/>
    <n v="499391420.10060036"/>
    <n v="0"/>
    <n v="0"/>
    <n v="0"/>
    <n v="499391420.10060036"/>
    <n v="0"/>
    <n v="0"/>
    <n v="0"/>
    <n v="0"/>
    <n v="0"/>
    <n v="0"/>
    <n v="0"/>
    <n v="0"/>
    <n v="0"/>
    <x v="1"/>
  </r>
  <r>
    <x v="4"/>
    <s v=""/>
    <n v="0"/>
    <x v="2"/>
    <s v="Vestdanmark"/>
    <n v="19825065.796666823"/>
    <n v="0"/>
    <n v="0"/>
    <n v="0"/>
    <n v="0"/>
    <n v="17222483.674164686"/>
    <n v="0"/>
    <n v="0"/>
    <n v="2602582.122502137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n v="0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  <n v="0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n v="0"/>
    <x v="0"/>
  </r>
  <r>
    <x v="10"/>
    <s v="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  <n v="0"/>
    <x v="0"/>
  </r>
  <r>
    <x v="11"/>
    <s v="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  <n v="1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2"/>
    <s v="Vestdanmark"/>
    <n v="16099999.551723864"/>
    <n v="12237689.909258299"/>
    <n v="0"/>
    <n v="0"/>
    <n v="75527.053678542041"/>
    <n v="0"/>
    <n v="0"/>
    <n v="0"/>
    <n v="3786782.588787023"/>
    <n v="3786782.588787023"/>
    <n v="75527.053678542041"/>
    <n v="6.9672066155445247"/>
    <n v="7.1061669534313321"/>
    <n v="0.13896033788680753"/>
    <n v="6.9672066155445247"/>
    <n v="1060299.1248603666"/>
    <n v="1081446.6998903584"/>
    <n v="21147.575029991774"/>
    <n v="1060299.1248603666"/>
    <n v="0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Vestdanmark"/>
    <n v="2554079.4309541653"/>
    <n v="773085.89354292606"/>
    <n v="724013.50560011622"/>
    <n v="0"/>
    <n v="52543.907435919093"/>
    <n v="0"/>
    <n v="1004436.1243752033"/>
    <n v="0"/>
    <n v="0"/>
    <n v="0"/>
    <n v="1056980.0318111223"/>
    <n v="0"/>
    <n v="10.684601261650869"/>
    <n v="0.30294400007808897"/>
    <n v="10.38165726157278"/>
    <n v="0"/>
    <n v="898433.02703945397"/>
    <n v="44662.321320531228"/>
    <n v="853770.70571892278"/>
    <n v="0"/>
    <x v="1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n v="0"/>
    <x v="1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n v="1"/>
    <x v="1"/>
  </r>
  <r>
    <x v="20"/>
    <s v="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  <n v="0"/>
    <x v="0"/>
  </r>
  <r>
    <x v="21"/>
    <s v="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6945589.6789912721"/>
    <n v="5879215.2019956233"/>
    <n v="0"/>
    <n v="307470.55071854044"/>
    <n v="2825.7560217041437"/>
    <n v="0"/>
    <n v="0"/>
    <n v="0"/>
    <n v="756078.17025540397"/>
    <n v="756078.17025540397"/>
    <n v="2825.7560217041437"/>
    <n v="2.5894618821809234"/>
    <n v="2.5991397009494173"/>
    <n v="9.6778187684936554E-3"/>
    <n v="2.5894618821809234"/>
    <n v="234384.23277917522"/>
    <n v="235260.21714590353"/>
    <n v="875.9843667282845"/>
    <n v="234384.23277917525"/>
    <n v="0"/>
    <x v="0"/>
  </r>
  <r>
    <x v="23"/>
    <s v=""/>
    <n v="0"/>
    <x v="2"/>
    <s v="Vestdanmark"/>
    <n v="0"/>
    <n v="0"/>
    <n v="0"/>
    <n v="0"/>
    <n v="0"/>
    <n v="597110.0145929947"/>
    <n v="0"/>
    <n v="0"/>
    <n v="-597110.0145929947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  <n v="0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786550.4071108392"/>
    <n v="5657053.7864699624"/>
    <n v="0"/>
    <n v="0"/>
    <n v="314525.12457946909"/>
    <n v="0"/>
    <n v="0"/>
    <n v="0"/>
    <n v="1814971.496061408"/>
    <n v="1488865.2333387681"/>
    <n v="314525.12457946909"/>
    <n v="5.3450261876861784"/>
    <n v="6.474171384926473"/>
    <n v="1.1291451972402942"/>
    <n v="5.3450261876861784"/>
    <n v="446659.5700016304"/>
    <n v="541017.10737547115"/>
    <n v="94357.537373840722"/>
    <n v="446659.57000163046"/>
    <n v="0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n v="0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n v="1"/>
    <x v="1"/>
  </r>
  <r>
    <x v="30"/>
    <s v="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  <n v="0"/>
    <x v="1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n v="0"/>
    <x v="0"/>
  </r>
  <r>
    <x v="35"/>
    <s v="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Vestdanmark"/>
    <n v="244519.97857097647"/>
    <n v="214099.10609126225"/>
    <n v="0"/>
    <n v="0"/>
    <n v="0"/>
    <n v="0"/>
    <n v="0"/>
    <n v="0"/>
    <n v="30420.87247971422"/>
    <n v="0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  <n v="0"/>
    <x v="1"/>
  </r>
  <r>
    <x v="38"/>
    <s v="Græs og urter"/>
    <n v="1"/>
    <x v="2"/>
    <s v="Vestdanmark"/>
    <n v="380710.74225422333"/>
    <n v="841167.61765562883"/>
    <n v="0"/>
    <n v="0"/>
    <n v="4034.07077562927"/>
    <n v="0"/>
    <n v="0"/>
    <n v="0"/>
    <n v="-464490.94617703476"/>
    <n v="0"/>
    <n v="4034.07077562927"/>
    <n v="0"/>
    <n v="1.0948629447888865E-2"/>
    <n v="1.0948629447888865E-2"/>
    <n v="0"/>
    <n v="0"/>
    <n v="806.81415512585409"/>
    <n v="806.81415512585409"/>
    <n v="0"/>
    <n v="0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n v="0"/>
    <x v="0"/>
  </r>
  <r>
    <x v="42"/>
    <s v="Husdyrgødning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  <n v="0"/>
    <x v="1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n v="0"/>
    <x v="1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n v="1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n v="0"/>
    <x v="1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n v="1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n v="0"/>
    <x v="1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n v="0"/>
    <x v="1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n v="1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n v="0"/>
    <x v="1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n v="0"/>
    <x v="1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n v="0"/>
    <x v="1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n v="0"/>
    <x v="1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n v="0"/>
    <x v="1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n v="0"/>
    <x v="0"/>
  </r>
  <r>
    <x v="1"/>
    <s v=""/>
    <n v="0"/>
    <x v="1"/>
    <s v="Østdanmark"/>
    <n v="28552.425442007137"/>
    <n v="7916.616753740097"/>
    <n v="0"/>
    <n v="0"/>
    <n v="0"/>
    <n v="0"/>
    <n v="0"/>
    <n v="0"/>
    <n v="20635.80868826704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n v="1"/>
    <x v="1"/>
  </r>
  <r>
    <x v="3"/>
    <s v=""/>
    <n v="1"/>
    <x v="1"/>
    <s v="Østdanmark"/>
    <n v="108413981.64654841"/>
    <n v="0"/>
    <n v="0"/>
    <n v="0"/>
    <n v="0"/>
    <n v="0"/>
    <n v="108413981.64654841"/>
    <n v="0"/>
    <n v="0"/>
    <n v="0"/>
    <n v="108413981.64654841"/>
    <n v="0"/>
    <n v="0"/>
    <n v="0"/>
    <n v="0"/>
    <n v="0"/>
    <n v="0"/>
    <n v="0"/>
    <n v="0"/>
    <n v="0"/>
    <x v="1"/>
  </r>
  <r>
    <x v="4"/>
    <s v=""/>
    <n v="0"/>
    <x v="1"/>
    <s v="Østdanmark"/>
    <n v="3475869.7995257122"/>
    <n v="0"/>
    <n v="0"/>
    <n v="0"/>
    <n v="0"/>
    <n v="3047051.4177026679"/>
    <n v="0"/>
    <n v="0"/>
    <n v="428818.38182304427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n v="0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  <n v="0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n v="0"/>
    <x v="0"/>
  </r>
  <r>
    <x v="10"/>
    <s v="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  <n v="0"/>
    <x v="0"/>
  </r>
  <r>
    <x v="11"/>
    <s v="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  <n v="1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1"/>
    <s v="Østdanmark"/>
    <n v="2190992.6315255472"/>
    <n v="1502068.0760117145"/>
    <n v="0"/>
    <n v="0"/>
    <n v="10062.940438050116"/>
    <n v="0"/>
    <n v="0"/>
    <n v="0"/>
    <n v="678861.61507578264"/>
    <n v="678861.61507578264"/>
    <n v="10062.940438050116"/>
    <n v="1.2490205140375557"/>
    <n v="1.267535066576013"/>
    <n v="1.8514552538457459E-2"/>
    <n v="1.2490205140375557"/>
    <n v="190081.25222121915"/>
    <n v="192898.87554387318"/>
    <n v="2817.623322654033"/>
    <n v="190081.25222121915"/>
    <n v="0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Østdanmark"/>
    <n v="937754.98883303662"/>
    <n v="94889.448034412562"/>
    <n v="103520.85960187271"/>
    <n v="0"/>
    <n v="23065.005787969905"/>
    <n v="0"/>
    <n v="716279.67540878139"/>
    <n v="0"/>
    <n v="0"/>
    <n v="0"/>
    <n v="739344.68119675131"/>
    <n v="0"/>
    <n v="7.5363102231539605"/>
    <n v="0.13298221347077202"/>
    <n v="7.4033280096831886"/>
    <n v="0"/>
    <n v="628442.9790172386"/>
    <n v="19605.254919774419"/>
    <n v="608837.72409746423"/>
    <n v="0"/>
    <x v="1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n v="0"/>
    <x v="1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n v="0"/>
    <x v="0"/>
  </r>
  <r>
    <x v="20"/>
    <s v="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  <n v="0"/>
    <x v="0"/>
  </r>
  <r>
    <x v="21"/>
    <s v="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409167.1046716827"/>
    <n v="721621.60770550347"/>
    <n v="0"/>
    <n v="256234.83946537593"/>
    <n v="952.06663022948101"/>
    <n v="0"/>
    <n v="0"/>
    <n v="0"/>
    <n v="1430358.5908705737"/>
    <n v="1430358.5908705737"/>
    <n v="952.06663022948101"/>
    <n v="4.8987779235289937"/>
    <n v="4.9020386184482012"/>
    <n v="3.2606949192077409E-3"/>
    <n v="4.8987779235289937"/>
    <n v="443411.16316987784"/>
    <n v="443706.30382524902"/>
    <n v="295.14065537113913"/>
    <n v="443411.16316987789"/>
    <n v="0"/>
    <x v="0"/>
  </r>
  <r>
    <x v="23"/>
    <s v=""/>
    <n v="0"/>
    <x v="1"/>
    <s v="Østdanmark"/>
    <n v="0"/>
    <n v="0"/>
    <n v="0"/>
    <n v="0"/>
    <n v="0"/>
    <n v="371889.1498666883"/>
    <n v="0"/>
    <n v="0"/>
    <n v="-371889.1498666883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n v="0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8994.37014569982"/>
    <n v="694353.26110928762"/>
    <n v="0"/>
    <n v="0"/>
    <n v="15333.686496408332"/>
    <n v="0"/>
    <n v="0"/>
    <n v="0"/>
    <n v="-320692.5774599961"/>
    <n v="0"/>
    <n v="15333.686496408332"/>
    <n v="0"/>
    <n v="5.5047934522105921E-2"/>
    <n v="5.5047934522105921E-2"/>
    <n v="0"/>
    <n v="0"/>
    <n v="4600.1059489224999"/>
    <n v="4600.1059489224999"/>
    <n v="0"/>
    <n v="0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n v="0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n v="0"/>
    <x v="0"/>
  </r>
  <r>
    <x v="30"/>
    <s v="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  <n v="0"/>
    <x v="1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n v="0"/>
    <x v="0"/>
  </r>
  <r>
    <x v="35"/>
    <s v="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Østdanmark"/>
    <n v="102203.89564318379"/>
    <n v="26278.769501998377"/>
    <n v="0"/>
    <n v="0"/>
    <n v="0"/>
    <n v="0"/>
    <n v="0"/>
    <n v="0"/>
    <n v="75925.126141185407"/>
    <n v="0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  <n v="0"/>
    <x v="1"/>
  </r>
  <r>
    <x v="38"/>
    <s v="Græs og urter"/>
    <n v="1"/>
    <x v="1"/>
    <s v="Østdanmark"/>
    <n v="2381738.5992335565"/>
    <n v="103245.8768300271"/>
    <n v="0"/>
    <n v="0"/>
    <n v="24569.279216726416"/>
    <n v="0"/>
    <n v="0"/>
    <n v="0"/>
    <n v="2253923.4431868028"/>
    <n v="1803779.2618535154"/>
    <n v="24569.279216726416"/>
    <n v="4.8955290678409149"/>
    <n v="4.9622110744062793"/>
    <n v="6.668200656536416E-2"/>
    <n v="4.8955290678409149"/>
    <n v="360755.85237070313"/>
    <n v="365669.70821404835"/>
    <n v="4913.8558433452836"/>
    <n v="360755.85237070307"/>
    <n v="0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n v="0"/>
    <x v="0"/>
  </r>
  <r>
    <x v="42"/>
    <s v="Husdyrgødning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  <n v="0"/>
    <x v="1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n v="0"/>
    <x v="1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n v="0"/>
    <x v="0"/>
  </r>
  <r>
    <x v="1"/>
    <s v=""/>
    <n v="0"/>
    <x v="2"/>
    <s v="Østdanmark"/>
    <n v="27846.800257878294"/>
    <n v="7916.616753740097"/>
    <n v="0"/>
    <n v="0"/>
    <n v="0"/>
    <n v="0"/>
    <n v="0"/>
    <n v="0"/>
    <n v="19930.183504138196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n v="1"/>
    <x v="1"/>
  </r>
  <r>
    <x v="3"/>
    <s v=""/>
    <n v="1"/>
    <x v="2"/>
    <s v="Østdanmark"/>
    <n v="109438765.39231445"/>
    <n v="0"/>
    <n v="0"/>
    <n v="0"/>
    <n v="0"/>
    <n v="0"/>
    <n v="109438765.39231445"/>
    <n v="0"/>
    <n v="0"/>
    <n v="0"/>
    <n v="109438765.39231445"/>
    <n v="0"/>
    <n v="0"/>
    <n v="0"/>
    <n v="0"/>
    <n v="0"/>
    <n v="0"/>
    <n v="0"/>
    <n v="0"/>
    <n v="0"/>
    <x v="1"/>
  </r>
  <r>
    <x v="4"/>
    <s v=""/>
    <n v="0"/>
    <x v="2"/>
    <s v="Østdanmark"/>
    <n v="3485476.5557184103"/>
    <n v="0"/>
    <n v="0"/>
    <n v="0"/>
    <n v="0"/>
    <n v="3027912.4262798992"/>
    <n v="0"/>
    <n v="0"/>
    <n v="457564.1294385111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n v="0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  <n v="0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n v="0"/>
    <x v="0"/>
  </r>
  <r>
    <x v="10"/>
    <s v="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  <n v="0"/>
    <x v="0"/>
  </r>
  <r>
    <x v="11"/>
    <s v="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  <n v="1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2"/>
    <s v="Østdanmark"/>
    <n v="2163650.2851152783"/>
    <n v="1502068.0760117143"/>
    <n v="0"/>
    <n v="0"/>
    <n v="10149.946321457959"/>
    <n v="0"/>
    <n v="0"/>
    <n v="0"/>
    <n v="651432.26278210618"/>
    <n v="651432.26278210618"/>
    <n v="10149.946321457959"/>
    <n v="1.1985539344862277"/>
    <n v="1.2172285669744203"/>
    <n v="1.8674632488192462E-2"/>
    <n v="1.1985539344862277"/>
    <n v="182401.03357898974"/>
    <n v="185243.01854899799"/>
    <n v="2841.9849700082286"/>
    <n v="182401.03357898977"/>
    <n v="0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Østdanmark"/>
    <n v="917722.26759868616"/>
    <n v="94889.448034412548"/>
    <n v="103062.42440743271"/>
    <n v="0"/>
    <n v="23390.092564080911"/>
    <n v="0"/>
    <n v="696380.30259275995"/>
    <n v="0"/>
    <n v="0"/>
    <n v="0"/>
    <n v="719770.39515684091"/>
    <n v="0"/>
    <n v="7.3325084602684676"/>
    <n v="0.13485651428191106"/>
    <n v="7.1976519459865562"/>
    <n v="0"/>
    <n v="611804.83588331472"/>
    <n v="19881.578679468774"/>
    <n v="591923.25720384601"/>
    <n v="0"/>
    <x v="1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n v="0"/>
    <x v="1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n v="1"/>
    <x v="1"/>
  </r>
  <r>
    <x v="20"/>
    <s v="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  <n v="0"/>
    <x v="0"/>
  </r>
  <r>
    <x v="21"/>
    <s v="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360239.3885877775"/>
    <n v="721621.60770550335"/>
    <n v="0"/>
    <n v="268249.01834925939"/>
    <n v="960.24397829585632"/>
    <n v="0"/>
    <n v="0"/>
    <n v="0"/>
    <n v="1369408.5185547189"/>
    <n v="1369408.5185547189"/>
    <n v="960.24397829585632"/>
    <n v="4.6900324588573152"/>
    <n v="4.6933211600488214"/>
    <n v="3.288701191506347E-3"/>
    <n v="4.6900324588573152"/>
    <n v="424516.64075196284"/>
    <n v="424814.31638523459"/>
    <n v="297.67563327171547"/>
    <n v="424516.6407519629"/>
    <n v="0"/>
    <x v="0"/>
  </r>
  <r>
    <x v="23"/>
    <s v=""/>
    <n v="0"/>
    <x v="2"/>
    <s v="Østdanmark"/>
    <n v="0"/>
    <n v="0"/>
    <n v="0"/>
    <n v="0"/>
    <n v="0"/>
    <n v="362262.716942953"/>
    <n v="0"/>
    <n v="0"/>
    <n v="-362262.716942953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  <n v="0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383747.87380717852"/>
    <n v="694353.2611092875"/>
    <n v="0"/>
    <n v="0"/>
    <n v="15500.875420530891"/>
    <n v="0"/>
    <n v="0"/>
    <n v="0"/>
    <n v="-326106.26272263989"/>
    <n v="0"/>
    <n v="15500.875420530891"/>
    <n v="0"/>
    <n v="5.56481427597059E-2"/>
    <n v="5.56481427597059E-2"/>
    <n v="0"/>
    <n v="0"/>
    <n v="4650.2626261592668"/>
    <n v="4650.2626261592668"/>
    <n v="0"/>
    <n v="0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n v="0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n v="1"/>
    <x v="1"/>
  </r>
  <r>
    <x v="30"/>
    <s v="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  <n v="0"/>
    <x v="1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n v="0"/>
    <x v="0"/>
  </r>
  <r>
    <x v="35"/>
    <s v="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Østdanmark"/>
    <n v="99581.589220524314"/>
    <n v="26278.769501998373"/>
    <n v="0"/>
    <n v="0"/>
    <n v="0"/>
    <n v="0"/>
    <n v="0"/>
    <n v="0"/>
    <n v="73302.819718525949"/>
    <n v="0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  <n v="0"/>
    <x v="1"/>
  </r>
  <r>
    <x v="38"/>
    <s v="Græs og urter"/>
    <n v="1"/>
    <x v="2"/>
    <s v="Østdanmark"/>
    <n v="2322627.8500566902"/>
    <n v="103245.87683002709"/>
    <n v="0"/>
    <n v="0"/>
    <n v="24610.929224370728"/>
    <n v="0"/>
    <n v="0"/>
    <n v="0"/>
    <n v="2194771.0440022922"/>
    <n v="1730280.0978252576"/>
    <n v="24610.929224370728"/>
    <n v="4.6960493967016621"/>
    <n v="4.7628444430537735"/>
    <n v="6.6795046352111129E-2"/>
    <n v="4.6960493967016621"/>
    <n v="346056.01956505154"/>
    <n v="350978.20540992566"/>
    <n v="4922.1858448741459"/>
    <n v="346056.01956505154"/>
    <n v="0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n v="0"/>
    <x v="0"/>
  </r>
  <r>
    <x v="42"/>
    <s v="Husdyrgødning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  <n v="0"/>
    <x v="1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n v="0"/>
    <x v="1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n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s v="Vestdanmark"/>
    <x v="0"/>
    <n v="12546079.333675962"/>
    <s v="CO2 - atmosfære"/>
    <x v="0"/>
  </r>
  <r>
    <s v="Vestdanmark"/>
    <x v="0"/>
    <n v="5070835.3540045777"/>
    <s v="Landbrug"/>
    <x v="1"/>
  </r>
  <r>
    <s v="Vestdanmark"/>
    <x v="0"/>
    <n v="4155736.1194644454"/>
    <s v="Landbrug"/>
    <x v="2"/>
  </r>
  <r>
    <s v="Vestdanmark"/>
    <x v="0"/>
    <n v="1324670.350202495"/>
    <s v="Landbrug"/>
    <x v="2"/>
  </r>
  <r>
    <s v="Vestdanmark"/>
    <x v="0"/>
    <n v="2581596.1188411801"/>
    <s v="Landbrug"/>
    <x v="2"/>
  </r>
  <r>
    <s v="Vestdanmark"/>
    <x v="0"/>
    <n v="-158.2431747788614"/>
    <s v="Hav"/>
    <x v="3"/>
  </r>
  <r>
    <s v="Vestdanmark"/>
    <x v="0"/>
    <n v="-434670"/>
    <s v="Skov"/>
    <x v="4"/>
  </r>
  <r>
    <s v="Vestdanmark"/>
    <x v="0"/>
    <n v="-151930.36566196129"/>
    <s v="Biogasanlæg"/>
    <x v="5"/>
  </r>
  <r>
    <s v="Vestdanmark"/>
    <x v="0"/>
    <n v="0"/>
    <s v="Pyrolyseproces"/>
    <x v="6"/>
  </r>
  <r>
    <s v="Vestdanmark"/>
    <x v="1"/>
    <n v="11787036.673896475"/>
    <s v="CO2 - atmosfære"/>
    <x v="0"/>
  </r>
  <r>
    <s v="Vestdanmark"/>
    <x v="1"/>
    <n v="5058223.5325662289"/>
    <s v="Landbrug"/>
    <x v="1"/>
  </r>
  <r>
    <s v="Vestdanmark"/>
    <x v="1"/>
    <n v="4113293.0454159677"/>
    <s v="Landbrug"/>
    <x v="2"/>
  </r>
  <r>
    <s v="Vestdanmark"/>
    <x v="1"/>
    <n v="1225816.3211630862"/>
    <s v="Landbrug"/>
    <x v="2"/>
  </r>
  <r>
    <s v="Vestdanmark"/>
    <x v="1"/>
    <n v="2334101.8595699249"/>
    <s v="Landbrug"/>
    <x v="2"/>
  </r>
  <r>
    <s v="Vestdanmark"/>
    <x v="1"/>
    <n v="-24027.150496711278"/>
    <s v="Hav"/>
    <x v="3"/>
  </r>
  <r>
    <s v="Vestdanmark"/>
    <x v="1"/>
    <n v="-528318.41235179966"/>
    <s v="Skov"/>
    <x v="4"/>
  </r>
  <r>
    <s v="Vestdanmark"/>
    <x v="1"/>
    <n v="-392052.52197022288"/>
    <s v="Biogasanlæg"/>
    <x v="5"/>
  </r>
  <r>
    <s v="Vestdanmark"/>
    <x v="1"/>
    <n v="0"/>
    <s v="Pyrolyseproces"/>
    <x v="6"/>
  </r>
  <r>
    <s v="Vestdanmark"/>
    <x v="2"/>
    <n v="10956752.794818735"/>
    <s v="CO2 - atmosfære"/>
    <x v="0"/>
  </r>
  <r>
    <s v="Vestdanmark"/>
    <x v="2"/>
    <n v="5037270.6270728866"/>
    <s v="Landbrug"/>
    <x v="1"/>
  </r>
  <r>
    <s v="Vestdanmark"/>
    <x v="2"/>
    <n v="4036132.4350935114"/>
    <s v="Landbrug"/>
    <x v="2"/>
  </r>
  <r>
    <s v="Vestdanmark"/>
    <x v="2"/>
    <n v="1225816.3211630862"/>
    <s v="Landbrug"/>
    <x v="2"/>
  </r>
  <r>
    <s v="Vestdanmark"/>
    <x v="2"/>
    <n v="2334101.8595699244"/>
    <s v="Landbrug"/>
    <x v="2"/>
  </r>
  <r>
    <s v="Vestdanmark"/>
    <x v="2"/>
    <n v="-35616.923706055808"/>
    <s v="Hav"/>
    <x v="3"/>
  </r>
  <r>
    <s v="Vestdanmark"/>
    <x v="2"/>
    <n v="-1258781.6445090303"/>
    <s v="Skov"/>
    <x v="4"/>
  </r>
  <r>
    <s v="Vestdanmark"/>
    <x v="2"/>
    <n v="-382169.87986558012"/>
    <s v="Biogasanlæg"/>
    <x v="5"/>
  </r>
  <r>
    <s v="Vestdanmark"/>
    <x v="2"/>
    <n v="0"/>
    <s v="Pyrolyseproces"/>
    <x v="6"/>
  </r>
  <r>
    <s v="Østdanmark"/>
    <x v="0"/>
    <n v="1971383.1086998824"/>
    <s v="CO2 - atmosfære"/>
    <x v="0"/>
  </r>
  <r>
    <s v="Østdanmark"/>
    <x v="0"/>
    <n v="448426.54673213884"/>
    <s v="Landbrug"/>
    <x v="1"/>
  </r>
  <r>
    <s v="Østdanmark"/>
    <x v="0"/>
    <n v="1244619.4009225217"/>
    <s v="Landbrug"/>
    <x v="2"/>
  </r>
  <r>
    <s v="Østdanmark"/>
    <x v="0"/>
    <n v="142699.41800214813"/>
    <s v="Landbrug"/>
    <x v="2"/>
  </r>
  <r>
    <s v="Østdanmark"/>
    <x v="0"/>
    <n v="276144.78230139322"/>
    <s v="Landbrug"/>
    <x v="2"/>
  </r>
  <r>
    <s v="Østdanmark"/>
    <x v="0"/>
    <n v="-0.19402522113858015"/>
    <s v="Hav"/>
    <x v="3"/>
  </r>
  <r>
    <s v="Østdanmark"/>
    <x v="0"/>
    <n v="-127230"/>
    <s v="Skov"/>
    <x v="4"/>
  </r>
  <r>
    <s v="Østdanmark"/>
    <x v="0"/>
    <n v="-13276.84523309844"/>
    <s v="Biogasanlæg"/>
    <x v="5"/>
  </r>
  <r>
    <s v="Østdanmark"/>
    <x v="0"/>
    <n v="0"/>
    <s v="Pyrolyseproces"/>
    <x v="6"/>
  </r>
  <r>
    <s v="Østdanmark"/>
    <x v="1"/>
    <n v="1891669.0809960961"/>
    <s v="CO2 - atmosfære"/>
    <x v="0"/>
  </r>
  <r>
    <s v="Østdanmark"/>
    <x v="1"/>
    <n v="449093.3493058047"/>
    <s v="Landbrug"/>
    <x v="1"/>
  </r>
  <r>
    <s v="Østdanmark"/>
    <x v="1"/>
    <n v="1240035.0657402945"/>
    <s v="Landbrug"/>
    <x v="2"/>
  </r>
  <r>
    <s v="Østdanmark"/>
    <x v="1"/>
    <n v="132118.63988943215"/>
    <s v="Landbrug"/>
    <x v="2"/>
  </r>
  <r>
    <s v="Østdanmark"/>
    <x v="1"/>
    <n v="251468.565835013"/>
    <s v="Landbrug"/>
    <x v="2"/>
  </r>
  <r>
    <s v="Østdanmark"/>
    <x v="1"/>
    <n v="-707.23434338852348"/>
    <s v="Hav"/>
    <x v="3"/>
  </r>
  <r>
    <s v="Østdanmark"/>
    <x v="1"/>
    <n v="-144967.5468532106"/>
    <s v="Skov"/>
    <x v="4"/>
  </r>
  <r>
    <s v="Østdanmark"/>
    <x v="1"/>
    <n v="-35371.758577849541"/>
    <s v="Biogasanlæg"/>
    <x v="5"/>
  </r>
  <r>
    <s v="Østdanmark"/>
    <x v="1"/>
    <n v="0"/>
    <s v="Pyrolyseproces"/>
    <x v="6"/>
  </r>
  <r>
    <s v="Østdanmark"/>
    <x v="2"/>
    <n v="1725881.8747605432"/>
    <s v="CO2 - atmosfære"/>
    <x v="0"/>
  </r>
  <r>
    <s v="Østdanmark"/>
    <x v="2"/>
    <n v="447960.28277222451"/>
    <s v="Landbrug"/>
    <x v="1"/>
  </r>
  <r>
    <s v="Østdanmark"/>
    <x v="2"/>
    <n v="1231701.6161590884"/>
    <s v="Landbrug"/>
    <x v="2"/>
  </r>
  <r>
    <s v="Østdanmark"/>
    <x v="2"/>
    <n v="132118.63988943212"/>
    <s v="Landbrug"/>
    <x v="2"/>
  </r>
  <r>
    <s v="Østdanmark"/>
    <x v="2"/>
    <n v="251468.56583501303"/>
    <s v="Landbrug"/>
    <x v="2"/>
  </r>
  <r>
    <s v="Østdanmark"/>
    <x v="2"/>
    <n v="-8943.6049807212512"/>
    <s v="Hav"/>
    <x v="3"/>
  </r>
  <r>
    <s v="Østdanmark"/>
    <x v="2"/>
    <n v="-294074.24017031107"/>
    <s v="Skov"/>
    <x v="4"/>
  </r>
  <r>
    <s v="Østdanmark"/>
    <x v="2"/>
    <n v="-34349.384744182549"/>
    <s v="Biogasanlæg"/>
    <x v="5"/>
  </r>
  <r>
    <s v="Østdanmark"/>
    <x v="2"/>
    <n v="0"/>
    <s v="Pyrolyseproces"/>
    <x v="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x v="0"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</r>
  <r>
    <x v="1"/>
    <x v="0"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</r>
  <r>
    <x v="2"/>
    <x v="1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</r>
  <r>
    <x v="3"/>
    <x v="0"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</r>
  <r>
    <x v="4"/>
    <x v="0"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</r>
  <r>
    <x v="5"/>
    <x v="1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</r>
  <r>
    <x v="7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</r>
  <r>
    <x v="9"/>
    <x v="0"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</r>
  <r>
    <x v="10"/>
    <x v="0"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</r>
  <r>
    <x v="11"/>
    <x v="0"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</r>
  <r>
    <x v="12"/>
    <x v="3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</r>
  <r>
    <x v="14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</r>
  <r>
    <x v="16"/>
    <x v="5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</r>
  <r>
    <x v="17"/>
    <x v="1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</r>
  <r>
    <x v="18"/>
    <x v="0"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</r>
  <r>
    <x v="19"/>
    <x v="1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</r>
  <r>
    <x v="20"/>
    <x v="0"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</r>
  <r>
    <x v="21"/>
    <x v="0"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</r>
  <r>
    <x v="22"/>
    <x v="5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</r>
  <r>
    <x v="23"/>
    <x v="0"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</r>
  <r>
    <x v="24"/>
    <x v="2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</r>
  <r>
    <x v="25"/>
    <x v="0"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</r>
  <r>
    <x v="26"/>
    <x v="4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</r>
  <r>
    <x v="27"/>
    <x v="0"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</r>
  <r>
    <x v="28"/>
    <x v="6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</r>
  <r>
    <x v="29"/>
    <x v="0"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</r>
  <r>
    <x v="30"/>
    <x v="0"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</r>
  <r>
    <x v="31"/>
    <x v="7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</r>
  <r>
    <x v="32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</r>
  <r>
    <x v="35"/>
    <x v="0"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</r>
  <r>
    <x v="36"/>
    <x v="0"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</r>
  <r>
    <x v="37"/>
    <x v="9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</r>
  <r>
    <x v="38"/>
    <x v="4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</r>
  <r>
    <x v="39"/>
    <x v="0"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</r>
  <r>
    <x v="40"/>
    <x v="0"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</r>
  <r>
    <x v="41"/>
    <x v="1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</r>
  <r>
    <x v="42"/>
    <x v="2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</r>
  <r>
    <x v="43"/>
    <x v="0"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</r>
  <r>
    <x v="44"/>
    <x v="6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</r>
  <r>
    <x v="45"/>
    <x v="0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</r>
  <r>
    <x v="47"/>
    <x v="0"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</r>
  <r>
    <x v="0"/>
    <x v="10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</r>
  <r>
    <x v="1"/>
    <x v="10"/>
    <n v="0"/>
    <x v="1"/>
    <s v="Vestdanmark"/>
    <n v="270118.44306124689"/>
    <n v="64498.475475191975"/>
    <n v="0"/>
    <n v="0"/>
    <n v="0"/>
    <n v="0"/>
    <n v="0"/>
    <n v="0"/>
    <n v="205619.9675860549"/>
    <n v="0"/>
    <n v="0"/>
    <n v="0"/>
    <n v="0"/>
    <n v="0"/>
    <n v="0"/>
    <n v="0"/>
    <n v="0"/>
    <n v="0"/>
    <n v="0"/>
  </r>
  <r>
    <x v="2"/>
    <x v="1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</r>
  <r>
    <x v="3"/>
    <x v="10"/>
    <n v="1"/>
    <x v="1"/>
    <s v="Vestdanmark"/>
    <n v="501840559.46824086"/>
    <n v="0"/>
    <n v="0"/>
    <n v="0"/>
    <n v="0"/>
    <n v="0"/>
    <n v="501840559.46824086"/>
    <n v="0"/>
    <n v="0"/>
    <n v="0"/>
    <n v="501840559.46824086"/>
    <n v="0"/>
    <n v="0"/>
    <n v="0"/>
    <n v="0"/>
    <n v="0"/>
    <n v="0"/>
    <n v="0"/>
    <n v="0"/>
  </r>
  <r>
    <x v="4"/>
    <x v="10"/>
    <n v="0"/>
    <x v="1"/>
    <s v="Vestdanmark"/>
    <n v="20203745.041476861"/>
    <n v="0"/>
    <n v="0"/>
    <n v="0"/>
    <n v="0"/>
    <n v="17711207.128625918"/>
    <n v="0"/>
    <n v="0"/>
    <n v="2492537.9128509425"/>
    <n v="0"/>
    <n v="0"/>
    <n v="0"/>
    <n v="0"/>
    <n v="0"/>
    <n v="0"/>
    <n v="0"/>
    <n v="0"/>
    <n v="0"/>
    <n v="0"/>
  </r>
  <r>
    <x v="5"/>
    <x v="1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</r>
  <r>
    <x v="7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</r>
  <r>
    <x v="9"/>
    <x v="10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</r>
  <r>
    <x v="10"/>
    <x v="10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</r>
  <r>
    <x v="11"/>
    <x v="10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</r>
  <r>
    <x v="12"/>
    <x v="3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1"/>
    <s v="Vestdanmark"/>
    <n v="16463363.602305863"/>
    <n v="12237689.909258299"/>
    <n v="0"/>
    <n v="0"/>
    <n v="75614.059561949907"/>
    <n v="0"/>
    <n v="0"/>
    <n v="0"/>
    <n v="4150059.6334856153"/>
    <n v="4150059.6334856153"/>
    <n v="75614.059561949907"/>
    <n v="7.635590968159347"/>
    <n v="7.7747113859958894"/>
    <n v="0.13912041783654258"/>
    <n v="7.635590968159347"/>
    <n v="1162016.6973759723"/>
    <n v="1183188.6340533185"/>
    <n v="21171.936677345977"/>
    <n v="1162016.6973759725"/>
  </r>
  <r>
    <x v="14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</r>
  <r>
    <x v="16"/>
    <x v="5"/>
    <n v="1"/>
    <x v="1"/>
    <s v="Vestdanmark"/>
    <n v="2639184.2877324577"/>
    <n v="773085.89354292606"/>
    <n v="726974.95402379602"/>
    <n v="0"/>
    <n v="52868.994212030084"/>
    <n v="0"/>
    <n v="1086254.4459537058"/>
    <n v="0"/>
    <n v="0"/>
    <n v="0"/>
    <n v="1139123.4401657358"/>
    <n v="0"/>
    <n v="11.532133889290428"/>
    <n v="0.30481830088922796"/>
    <n v="11.227315588401201"/>
    <n v="0"/>
    <n v="968254.92414087534"/>
    <n v="44938.645080225571"/>
    <n v="923316.2790606498"/>
  </r>
  <r>
    <x v="17"/>
    <x v="1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</r>
  <r>
    <x v="18"/>
    <x v="10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</r>
  <r>
    <x v="20"/>
    <x v="10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</r>
  <r>
    <x v="21"/>
    <x v="10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</r>
  <r>
    <x v="22"/>
    <x v="5"/>
    <n v="1"/>
    <x v="1"/>
    <s v="Vestdanmark"/>
    <n v="7171156.7599390233"/>
    <n v="5879215.2019956233"/>
    <n v="0"/>
    <n v="295933.04302308214"/>
    <n v="2833.9333697705197"/>
    <n v="0"/>
    <n v="0"/>
    <n v="0"/>
    <n v="993174.58155054692"/>
    <n v="993174.58155054692"/>
    <n v="2833.9333697705197"/>
    <n v="3.4014838973692068"/>
    <n v="3.4111897224099992"/>
    <n v="9.7058250407922632E-3"/>
    <n v="3.4014838973692068"/>
    <n v="307884.12028066954"/>
    <n v="308762.63962529838"/>
    <n v="878.51934462886106"/>
    <n v="307884.12028066954"/>
  </r>
  <r>
    <x v="23"/>
    <x v="10"/>
    <n v="0"/>
    <x v="1"/>
    <s v="Vestdanmark"/>
    <n v="0"/>
    <n v="0"/>
    <n v="0"/>
    <n v="0"/>
    <n v="0"/>
    <n v="620537.39357630478"/>
    <n v="0"/>
    <n v="0"/>
    <n v="-620537.39357630478"/>
    <n v="0"/>
    <n v="0"/>
    <n v="0"/>
    <n v="0"/>
    <n v="0"/>
    <n v="0"/>
    <n v="0"/>
    <n v="0"/>
    <n v="0"/>
    <n v="0"/>
  </r>
  <r>
    <x v="24"/>
    <x v="2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</r>
  <r>
    <x v="25"/>
    <x v="10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</r>
  <r>
    <x v="26"/>
    <x v="4"/>
    <n v="1"/>
    <x v="1"/>
    <s v="Vestdanmark"/>
    <n v="7983307.7524896674"/>
    <n v="5657053.7864699624"/>
    <n v="0"/>
    <n v="0"/>
    <n v="314692.31350359169"/>
    <n v="0"/>
    <n v="0"/>
    <n v="0"/>
    <n v="2011561.6525161136"/>
    <n v="1690869.0750561175"/>
    <n v="314692.31350359169"/>
    <n v="6.070219979451462"/>
    <n v="7.1999653849293566"/>
    <n v="1.1297454054778944"/>
    <n v="6.070219979451462"/>
    <n v="507260.7225168352"/>
    <n v="601668.41656791279"/>
    <n v="94407.694051077502"/>
    <n v="507260.72251683532"/>
  </r>
  <r>
    <x v="27"/>
    <x v="10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</r>
  <r>
    <x v="28"/>
    <x v="6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</r>
  <r>
    <x v="29"/>
    <x v="10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</r>
  <r>
    <x v="30"/>
    <x v="10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</r>
  <r>
    <x v="31"/>
    <x v="7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</r>
  <r>
    <x v="32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</r>
  <r>
    <x v="35"/>
    <x v="10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</r>
  <r>
    <x v="36"/>
    <x v="10"/>
    <n v="0"/>
    <x v="1"/>
    <s v="Vestdanmark"/>
    <n v="253895.35257685397"/>
    <n v="214099.10609126225"/>
    <n v="0"/>
    <n v="0"/>
    <n v="0"/>
    <n v="0"/>
    <n v="0"/>
    <n v="0"/>
    <n v="39796.246485591721"/>
    <n v="0"/>
    <n v="0"/>
    <n v="0"/>
    <n v="0"/>
    <n v="0"/>
    <n v="0"/>
    <n v="0"/>
    <n v="0"/>
    <n v="0"/>
    <n v="0"/>
  </r>
  <r>
    <x v="37"/>
    <x v="9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</r>
  <r>
    <x v="38"/>
    <x v="4"/>
    <n v="1"/>
    <x v="1"/>
    <s v="Vestdanmark"/>
    <n v="395099.15710561507"/>
    <n v="841167.61765562883"/>
    <n v="0"/>
    <n v="0"/>
    <n v="4075.7207832735812"/>
    <n v="0"/>
    <n v="0"/>
    <n v="0"/>
    <n v="-450144.18133328733"/>
    <n v="0"/>
    <n v="4075.7207832735812"/>
    <n v="0"/>
    <n v="1.1061669234635831E-2"/>
    <n v="1.1061669234635831E-2"/>
    <n v="0"/>
    <n v="0"/>
    <n v="815.14415665471631"/>
    <n v="815.14415665471631"/>
    <n v="0"/>
  </r>
  <r>
    <x v="39"/>
    <x v="10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</r>
  <r>
    <x v="40"/>
    <x v="10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</r>
  <r>
    <x v="41"/>
    <x v="1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</r>
  <r>
    <x v="42"/>
    <x v="2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</r>
  <r>
    <x v="43"/>
    <x v="10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</r>
  <r>
    <x v="44"/>
    <x v="6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</r>
  <r>
    <x v="47"/>
    <x v="10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</r>
  <r>
    <x v="0"/>
    <x v="10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</r>
  <r>
    <x v="1"/>
    <x v="10"/>
    <n v="0"/>
    <x v="2"/>
    <s v="Vestdanmark"/>
    <n v="260463.0327135307"/>
    <n v="64498.475475191975"/>
    <n v="0"/>
    <n v="0"/>
    <n v="0"/>
    <n v="0"/>
    <n v="0"/>
    <n v="0"/>
    <n v="195964.55723833872"/>
    <n v="0"/>
    <n v="0"/>
    <n v="0"/>
    <n v="0"/>
    <n v="0"/>
    <n v="0"/>
    <n v="0"/>
    <n v="0"/>
    <n v="0"/>
    <n v="0"/>
  </r>
  <r>
    <x v="2"/>
    <x v="1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</r>
  <r>
    <x v="3"/>
    <x v="10"/>
    <n v="1"/>
    <x v="2"/>
    <s v="Vestdanmark"/>
    <n v="499391420.10060036"/>
    <n v="0"/>
    <n v="0"/>
    <n v="0"/>
    <n v="0"/>
    <n v="0"/>
    <n v="499391420.10060036"/>
    <n v="0"/>
    <n v="0"/>
    <n v="0"/>
    <n v="499391420.10060036"/>
    <n v="0"/>
    <n v="0"/>
    <n v="0"/>
    <n v="0"/>
    <n v="0"/>
    <n v="0"/>
    <n v="0"/>
    <n v="0"/>
  </r>
  <r>
    <x v="4"/>
    <x v="10"/>
    <n v="0"/>
    <x v="2"/>
    <s v="Vestdanmark"/>
    <n v="19825065.796666823"/>
    <n v="0"/>
    <n v="0"/>
    <n v="0"/>
    <n v="0"/>
    <n v="17222483.674164686"/>
    <n v="0"/>
    <n v="0"/>
    <n v="2602582.122502137"/>
    <n v="0"/>
    <n v="0"/>
    <n v="0"/>
    <n v="0"/>
    <n v="0"/>
    <n v="0"/>
    <n v="0"/>
    <n v="0"/>
    <n v="0"/>
    <n v="0"/>
  </r>
  <r>
    <x v="5"/>
    <x v="1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</r>
  <r>
    <x v="7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</r>
  <r>
    <x v="9"/>
    <x v="10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</r>
  <r>
    <x v="10"/>
    <x v="10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</r>
  <r>
    <x v="11"/>
    <x v="10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</r>
  <r>
    <x v="12"/>
    <x v="3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2"/>
    <s v="Vestdanmark"/>
    <n v="16099999.551723864"/>
    <n v="12237689.909258299"/>
    <n v="0"/>
    <n v="0"/>
    <n v="75527.053678542041"/>
    <n v="0"/>
    <n v="0"/>
    <n v="0"/>
    <n v="3786782.588787023"/>
    <n v="3786782.588787023"/>
    <n v="75527.053678542041"/>
    <n v="6.9672066155445247"/>
    <n v="7.1061669534313321"/>
    <n v="0.13896033788680753"/>
    <n v="6.9672066155445247"/>
    <n v="1060299.1248603666"/>
    <n v="1081446.6998903584"/>
    <n v="21147.575029991774"/>
    <n v="1060299.1248603666"/>
  </r>
  <r>
    <x v="14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</r>
  <r>
    <x v="16"/>
    <x v="5"/>
    <n v="1"/>
    <x v="2"/>
    <s v="Vestdanmark"/>
    <n v="2554079.4309541653"/>
    <n v="773085.89354292606"/>
    <n v="724013.50560011622"/>
    <n v="0"/>
    <n v="52543.907435919093"/>
    <n v="0"/>
    <n v="1004436.1243752033"/>
    <n v="0"/>
    <n v="0"/>
    <n v="0"/>
    <n v="1056980.0318111223"/>
    <n v="0"/>
    <n v="10.684601261650869"/>
    <n v="0.30294400007808897"/>
    <n v="10.38165726157278"/>
    <n v="0"/>
    <n v="898433.02703945397"/>
    <n v="44662.321320531228"/>
    <n v="853770.70571892278"/>
  </r>
  <r>
    <x v="17"/>
    <x v="1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</r>
  <r>
    <x v="18"/>
    <x v="10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</r>
  <r>
    <x v="20"/>
    <x v="10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</r>
  <r>
    <x v="21"/>
    <x v="10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</r>
  <r>
    <x v="22"/>
    <x v="5"/>
    <n v="1"/>
    <x v="2"/>
    <s v="Vestdanmark"/>
    <n v="6945589.6789912721"/>
    <n v="5879215.2019956233"/>
    <n v="0"/>
    <n v="307470.55071854044"/>
    <n v="2825.7560217041437"/>
    <n v="0"/>
    <n v="0"/>
    <n v="0"/>
    <n v="756078.17025540397"/>
    <n v="756078.17025540397"/>
    <n v="2825.7560217041437"/>
    <n v="2.5894618821809234"/>
    <n v="2.5991397009494173"/>
    <n v="9.6778187684936554E-3"/>
    <n v="2.5894618821809234"/>
    <n v="234384.23277917522"/>
    <n v="235260.21714590353"/>
    <n v="875.9843667282845"/>
    <n v="234384.23277917525"/>
  </r>
  <r>
    <x v="23"/>
    <x v="10"/>
    <n v="0"/>
    <x v="2"/>
    <s v="Vestdanmark"/>
    <n v="0"/>
    <n v="0"/>
    <n v="0"/>
    <n v="0"/>
    <n v="0"/>
    <n v="597110.0145929947"/>
    <n v="0"/>
    <n v="0"/>
    <n v="-597110.0145929947"/>
    <n v="0"/>
    <n v="0"/>
    <n v="0"/>
    <n v="0"/>
    <n v="0"/>
    <n v="0"/>
    <n v="0"/>
    <n v="0"/>
    <n v="0"/>
    <n v="0"/>
  </r>
  <r>
    <x v="24"/>
    <x v="2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</r>
  <r>
    <x v="25"/>
    <x v="10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</r>
  <r>
    <x v="26"/>
    <x v="4"/>
    <n v="1"/>
    <x v="2"/>
    <s v="Vestdanmark"/>
    <n v="7786550.4071108392"/>
    <n v="5657053.7864699624"/>
    <n v="0"/>
    <n v="0"/>
    <n v="314525.12457946909"/>
    <n v="0"/>
    <n v="0"/>
    <n v="0"/>
    <n v="1814971.496061408"/>
    <n v="1488865.2333387681"/>
    <n v="314525.12457946909"/>
    <n v="5.3450261876861784"/>
    <n v="6.474171384926473"/>
    <n v="1.1291451972402942"/>
    <n v="5.3450261876861784"/>
    <n v="446659.5700016304"/>
    <n v="541017.10737547115"/>
    <n v="94357.537373840722"/>
    <n v="446659.57000163046"/>
  </r>
  <r>
    <x v="27"/>
    <x v="10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</r>
  <r>
    <x v="28"/>
    <x v="6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</r>
  <r>
    <x v="29"/>
    <x v="10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</r>
  <r>
    <x v="30"/>
    <x v="10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</r>
  <r>
    <x v="31"/>
    <x v="7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</r>
  <r>
    <x v="32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</r>
  <r>
    <x v="35"/>
    <x v="10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</r>
  <r>
    <x v="36"/>
    <x v="10"/>
    <n v="0"/>
    <x v="2"/>
    <s v="Vestdanmark"/>
    <n v="244519.97857097647"/>
    <n v="214099.10609126225"/>
    <n v="0"/>
    <n v="0"/>
    <n v="0"/>
    <n v="0"/>
    <n v="0"/>
    <n v="0"/>
    <n v="30420.87247971422"/>
    <n v="0"/>
    <n v="0"/>
    <n v="0"/>
    <n v="0"/>
    <n v="0"/>
    <n v="0"/>
    <n v="0"/>
    <n v="0"/>
    <n v="0"/>
    <n v="0"/>
  </r>
  <r>
    <x v="37"/>
    <x v="9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</r>
  <r>
    <x v="38"/>
    <x v="4"/>
    <n v="1"/>
    <x v="2"/>
    <s v="Vestdanmark"/>
    <n v="380710.74225422333"/>
    <n v="841167.61765562883"/>
    <n v="0"/>
    <n v="0"/>
    <n v="4034.07077562927"/>
    <n v="0"/>
    <n v="0"/>
    <n v="0"/>
    <n v="-464490.94617703476"/>
    <n v="0"/>
    <n v="4034.07077562927"/>
    <n v="0"/>
    <n v="1.0948629447888865E-2"/>
    <n v="1.0948629447888865E-2"/>
    <n v="0"/>
    <n v="0"/>
    <n v="806.81415512585409"/>
    <n v="806.81415512585409"/>
    <n v="0"/>
  </r>
  <r>
    <x v="39"/>
    <x v="10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</r>
  <r>
    <x v="40"/>
    <x v="10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</r>
  <r>
    <x v="41"/>
    <x v="1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</r>
  <r>
    <x v="42"/>
    <x v="2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</r>
  <r>
    <x v="43"/>
    <x v="10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</r>
  <r>
    <x v="44"/>
    <x v="6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</r>
  <r>
    <x v="47"/>
    <x v="10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</r>
  <r>
    <x v="0"/>
    <x v="0"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</r>
  <r>
    <x v="1"/>
    <x v="0"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</r>
  <r>
    <x v="2"/>
    <x v="1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</r>
  <r>
    <x v="3"/>
    <x v="0"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</r>
  <r>
    <x v="4"/>
    <x v="0"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</r>
  <r>
    <x v="5"/>
    <x v="1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</r>
  <r>
    <x v="7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</r>
  <r>
    <x v="9"/>
    <x v="0"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</r>
  <r>
    <x v="10"/>
    <x v="0"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</r>
  <r>
    <x v="11"/>
    <x v="0"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</r>
  <r>
    <x v="12"/>
    <x v="3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</r>
  <r>
    <x v="14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</r>
  <r>
    <x v="16"/>
    <x v="5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</r>
  <r>
    <x v="17"/>
    <x v="1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</r>
  <r>
    <x v="18"/>
    <x v="0"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</r>
  <r>
    <x v="20"/>
    <x v="0"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</r>
  <r>
    <x v="21"/>
    <x v="0"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</r>
  <r>
    <x v="22"/>
    <x v="5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</r>
  <r>
    <x v="23"/>
    <x v="0"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</r>
  <r>
    <x v="24"/>
    <x v="2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</r>
  <r>
    <x v="25"/>
    <x v="0"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</r>
  <r>
    <x v="26"/>
    <x v="4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</r>
  <r>
    <x v="27"/>
    <x v="0"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</r>
  <r>
    <x v="28"/>
    <x v="6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</r>
  <r>
    <x v="29"/>
    <x v="0"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</r>
  <r>
    <x v="30"/>
    <x v="0"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</r>
  <r>
    <x v="31"/>
    <x v="7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</r>
  <r>
    <x v="32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</r>
  <r>
    <x v="35"/>
    <x v="0"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</r>
  <r>
    <x v="36"/>
    <x v="0"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</r>
  <r>
    <x v="37"/>
    <x v="9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</r>
  <r>
    <x v="38"/>
    <x v="4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</r>
  <r>
    <x v="39"/>
    <x v="0"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</r>
  <r>
    <x v="40"/>
    <x v="0"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</r>
  <r>
    <x v="41"/>
    <x v="1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</r>
  <r>
    <x v="42"/>
    <x v="2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</r>
  <r>
    <x v="43"/>
    <x v="0"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</r>
  <r>
    <x v="44"/>
    <x v="6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0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</r>
  <r>
    <x v="47"/>
    <x v="0"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</r>
  <r>
    <x v="0"/>
    <x v="10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</r>
  <r>
    <x v="1"/>
    <x v="10"/>
    <n v="0"/>
    <x v="1"/>
    <s v="Østdanmark"/>
    <n v="28552.425442007137"/>
    <n v="7916.616753740097"/>
    <n v="0"/>
    <n v="0"/>
    <n v="0"/>
    <n v="0"/>
    <n v="0"/>
    <n v="0"/>
    <n v="20635.80868826704"/>
    <n v="0"/>
    <n v="0"/>
    <n v="0"/>
    <n v="0"/>
    <n v="0"/>
    <n v="0"/>
    <n v="0"/>
    <n v="0"/>
    <n v="0"/>
    <n v="0"/>
  </r>
  <r>
    <x v="2"/>
    <x v="1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</r>
  <r>
    <x v="3"/>
    <x v="10"/>
    <n v="1"/>
    <x v="1"/>
    <s v="Østdanmark"/>
    <n v="108413981.64654841"/>
    <n v="0"/>
    <n v="0"/>
    <n v="0"/>
    <n v="0"/>
    <n v="0"/>
    <n v="108413981.64654841"/>
    <n v="0"/>
    <n v="0"/>
    <n v="0"/>
    <n v="108413981.64654841"/>
    <n v="0"/>
    <n v="0"/>
    <n v="0"/>
    <n v="0"/>
    <n v="0"/>
    <n v="0"/>
    <n v="0"/>
    <n v="0"/>
  </r>
  <r>
    <x v="4"/>
    <x v="10"/>
    <n v="0"/>
    <x v="1"/>
    <s v="Østdanmark"/>
    <n v="3475869.7995257122"/>
    <n v="0"/>
    <n v="0"/>
    <n v="0"/>
    <n v="0"/>
    <n v="3047051.4177026679"/>
    <n v="0"/>
    <n v="0"/>
    <n v="428818.38182304427"/>
    <n v="0"/>
    <n v="0"/>
    <n v="0"/>
    <n v="0"/>
    <n v="0"/>
    <n v="0"/>
    <n v="0"/>
    <n v="0"/>
    <n v="0"/>
    <n v="0"/>
  </r>
  <r>
    <x v="5"/>
    <x v="1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</r>
  <r>
    <x v="7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</r>
  <r>
    <x v="9"/>
    <x v="10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</r>
  <r>
    <x v="10"/>
    <x v="10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</r>
  <r>
    <x v="11"/>
    <x v="10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</r>
  <r>
    <x v="12"/>
    <x v="3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1"/>
    <s v="Østdanmark"/>
    <n v="2190992.6315255472"/>
    <n v="1502068.0760117145"/>
    <n v="0"/>
    <n v="0"/>
    <n v="10062.940438050116"/>
    <n v="0"/>
    <n v="0"/>
    <n v="0"/>
    <n v="678861.61507578264"/>
    <n v="678861.61507578264"/>
    <n v="10062.940438050116"/>
    <n v="1.2490205140375557"/>
    <n v="1.267535066576013"/>
    <n v="1.8514552538457459E-2"/>
    <n v="1.2490205140375557"/>
    <n v="190081.25222121915"/>
    <n v="192898.87554387318"/>
    <n v="2817.623322654033"/>
    <n v="190081.25222121915"/>
  </r>
  <r>
    <x v="14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</r>
  <r>
    <x v="16"/>
    <x v="5"/>
    <n v="1"/>
    <x v="1"/>
    <s v="Østdanmark"/>
    <n v="937754.98883303662"/>
    <n v="94889.448034412562"/>
    <n v="103520.85960187271"/>
    <n v="0"/>
    <n v="23065.005787969905"/>
    <n v="0"/>
    <n v="716279.67540878139"/>
    <n v="0"/>
    <n v="0"/>
    <n v="0"/>
    <n v="739344.68119675131"/>
    <n v="0"/>
    <n v="7.5363102231539605"/>
    <n v="0.13298221347077202"/>
    <n v="7.4033280096831886"/>
    <n v="0"/>
    <n v="628442.9790172386"/>
    <n v="19605.254919774419"/>
    <n v="608837.72409746423"/>
  </r>
  <r>
    <x v="17"/>
    <x v="1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</r>
  <r>
    <x v="18"/>
    <x v="10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</r>
  <r>
    <x v="19"/>
    <x v="1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</r>
  <r>
    <x v="20"/>
    <x v="10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</r>
  <r>
    <x v="21"/>
    <x v="10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</r>
  <r>
    <x v="22"/>
    <x v="5"/>
    <n v="1"/>
    <x v="1"/>
    <s v="Østdanmark"/>
    <n v="2409167.1046716827"/>
    <n v="721621.60770550347"/>
    <n v="0"/>
    <n v="256234.83946537593"/>
    <n v="952.06663022948101"/>
    <n v="0"/>
    <n v="0"/>
    <n v="0"/>
    <n v="1430358.5908705737"/>
    <n v="1430358.5908705737"/>
    <n v="952.06663022948101"/>
    <n v="4.8987779235289937"/>
    <n v="4.9020386184482012"/>
    <n v="3.2606949192077409E-3"/>
    <n v="4.8987779235289937"/>
    <n v="443411.16316987784"/>
    <n v="443706.30382524902"/>
    <n v="295.14065537113913"/>
    <n v="443411.16316987789"/>
  </r>
  <r>
    <x v="23"/>
    <x v="10"/>
    <n v="0"/>
    <x v="1"/>
    <s v="Østdanmark"/>
    <n v="0"/>
    <n v="0"/>
    <n v="0"/>
    <n v="0"/>
    <n v="0"/>
    <n v="371889.1498666883"/>
    <n v="0"/>
    <n v="0"/>
    <n v="-371889.1498666883"/>
    <n v="0"/>
    <n v="0"/>
    <n v="0"/>
    <n v="0"/>
    <n v="0"/>
    <n v="0"/>
    <n v="0"/>
    <n v="0"/>
    <n v="0"/>
    <n v="0"/>
  </r>
  <r>
    <x v="24"/>
    <x v="2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</r>
  <r>
    <x v="25"/>
    <x v="10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</r>
  <r>
    <x v="26"/>
    <x v="4"/>
    <n v="1"/>
    <x v="1"/>
    <s v="Østdanmark"/>
    <n v="388994.37014569982"/>
    <n v="694353.26110928762"/>
    <n v="0"/>
    <n v="0"/>
    <n v="15333.686496408332"/>
    <n v="0"/>
    <n v="0"/>
    <n v="0"/>
    <n v="-320692.5774599961"/>
    <n v="0"/>
    <n v="15333.686496408332"/>
    <n v="0"/>
    <n v="5.5047934522105921E-2"/>
    <n v="5.5047934522105921E-2"/>
    <n v="0"/>
    <n v="0"/>
    <n v="4600.1059489224999"/>
    <n v="4600.1059489224999"/>
    <n v="0"/>
  </r>
  <r>
    <x v="27"/>
    <x v="10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</r>
  <r>
    <x v="28"/>
    <x v="6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</r>
  <r>
    <x v="29"/>
    <x v="10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</r>
  <r>
    <x v="30"/>
    <x v="10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</r>
  <r>
    <x v="31"/>
    <x v="7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</r>
  <r>
    <x v="32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</r>
  <r>
    <x v="35"/>
    <x v="10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</r>
  <r>
    <x v="36"/>
    <x v="10"/>
    <n v="0"/>
    <x v="1"/>
    <s v="Østdanmark"/>
    <n v="102203.89564318379"/>
    <n v="26278.769501998377"/>
    <n v="0"/>
    <n v="0"/>
    <n v="0"/>
    <n v="0"/>
    <n v="0"/>
    <n v="0"/>
    <n v="75925.126141185407"/>
    <n v="0"/>
    <n v="0"/>
    <n v="0"/>
    <n v="0"/>
    <n v="0"/>
    <n v="0"/>
    <n v="0"/>
    <n v="0"/>
    <n v="0"/>
    <n v="0"/>
  </r>
  <r>
    <x v="37"/>
    <x v="9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</r>
  <r>
    <x v="38"/>
    <x v="4"/>
    <n v="1"/>
    <x v="1"/>
    <s v="Østdanmark"/>
    <n v="2381738.5992335565"/>
    <n v="103245.8768300271"/>
    <n v="0"/>
    <n v="0"/>
    <n v="24569.279216726416"/>
    <n v="0"/>
    <n v="0"/>
    <n v="0"/>
    <n v="2253923.4431868028"/>
    <n v="1803779.2618535154"/>
    <n v="24569.279216726416"/>
    <n v="4.8955290678409149"/>
    <n v="4.9622110744062793"/>
    <n v="6.668200656536416E-2"/>
    <n v="4.8955290678409149"/>
    <n v="360755.85237070313"/>
    <n v="365669.70821404835"/>
    <n v="4913.8558433452836"/>
    <n v="360755.85237070307"/>
  </r>
  <r>
    <x v="39"/>
    <x v="10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</r>
  <r>
    <x v="40"/>
    <x v="10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</r>
  <r>
    <x v="41"/>
    <x v="1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</r>
  <r>
    <x v="42"/>
    <x v="2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</r>
  <r>
    <x v="43"/>
    <x v="10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</r>
  <r>
    <x v="44"/>
    <x v="6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</r>
  <r>
    <x v="47"/>
    <x v="10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</r>
  <r>
    <x v="0"/>
    <x v="10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</r>
  <r>
    <x v="1"/>
    <x v="10"/>
    <n v="0"/>
    <x v="2"/>
    <s v="Østdanmark"/>
    <n v="27846.800257878294"/>
    <n v="7916.616753740097"/>
    <n v="0"/>
    <n v="0"/>
    <n v="0"/>
    <n v="0"/>
    <n v="0"/>
    <n v="0"/>
    <n v="19930.183504138196"/>
    <n v="0"/>
    <n v="0"/>
    <n v="0"/>
    <n v="0"/>
    <n v="0"/>
    <n v="0"/>
    <n v="0"/>
    <n v="0"/>
    <n v="0"/>
    <n v="0"/>
  </r>
  <r>
    <x v="2"/>
    <x v="1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</r>
  <r>
    <x v="3"/>
    <x v="10"/>
    <n v="1"/>
    <x v="2"/>
    <s v="Østdanmark"/>
    <n v="109438765.39231445"/>
    <n v="0"/>
    <n v="0"/>
    <n v="0"/>
    <n v="0"/>
    <n v="0"/>
    <n v="109438765.39231445"/>
    <n v="0"/>
    <n v="0"/>
    <n v="0"/>
    <n v="109438765.39231445"/>
    <n v="0"/>
    <n v="0"/>
    <n v="0"/>
    <n v="0"/>
    <n v="0"/>
    <n v="0"/>
    <n v="0"/>
    <n v="0"/>
  </r>
  <r>
    <x v="4"/>
    <x v="10"/>
    <n v="0"/>
    <x v="2"/>
    <s v="Østdanmark"/>
    <n v="3485476.5557184103"/>
    <n v="0"/>
    <n v="0"/>
    <n v="0"/>
    <n v="0"/>
    <n v="3027912.4262798992"/>
    <n v="0"/>
    <n v="0"/>
    <n v="457564.1294385111"/>
    <n v="0"/>
    <n v="0"/>
    <n v="0"/>
    <n v="0"/>
    <n v="0"/>
    <n v="0"/>
    <n v="0"/>
    <n v="0"/>
    <n v="0"/>
    <n v="0"/>
  </r>
  <r>
    <x v="5"/>
    <x v="1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</r>
  <r>
    <x v="7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</r>
  <r>
    <x v="9"/>
    <x v="10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</r>
  <r>
    <x v="10"/>
    <x v="10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</r>
  <r>
    <x v="11"/>
    <x v="10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</r>
  <r>
    <x v="12"/>
    <x v="3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2"/>
    <s v="Østdanmark"/>
    <n v="2163650.2851152783"/>
    <n v="1502068.0760117143"/>
    <n v="0"/>
    <n v="0"/>
    <n v="10149.946321457959"/>
    <n v="0"/>
    <n v="0"/>
    <n v="0"/>
    <n v="651432.26278210618"/>
    <n v="651432.26278210618"/>
    <n v="10149.946321457959"/>
    <n v="1.1985539344862277"/>
    <n v="1.2172285669744203"/>
    <n v="1.8674632488192462E-2"/>
    <n v="1.1985539344862277"/>
    <n v="182401.03357898974"/>
    <n v="185243.01854899799"/>
    <n v="2841.9849700082286"/>
    <n v="182401.03357898977"/>
  </r>
  <r>
    <x v="14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</r>
  <r>
    <x v="16"/>
    <x v="5"/>
    <n v="1"/>
    <x v="2"/>
    <s v="Østdanmark"/>
    <n v="917722.26759868616"/>
    <n v="94889.448034412548"/>
    <n v="103062.42440743271"/>
    <n v="0"/>
    <n v="23390.092564080911"/>
    <n v="0"/>
    <n v="696380.30259275995"/>
    <n v="0"/>
    <n v="0"/>
    <n v="0"/>
    <n v="719770.39515684091"/>
    <n v="0"/>
    <n v="7.3325084602684676"/>
    <n v="0.13485651428191106"/>
    <n v="7.1976519459865562"/>
    <n v="0"/>
    <n v="611804.83588331472"/>
    <n v="19881.578679468774"/>
    <n v="591923.25720384601"/>
  </r>
  <r>
    <x v="17"/>
    <x v="1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</r>
  <r>
    <x v="18"/>
    <x v="10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</r>
  <r>
    <x v="20"/>
    <x v="10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</r>
  <r>
    <x v="21"/>
    <x v="10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</r>
  <r>
    <x v="22"/>
    <x v="5"/>
    <n v="1"/>
    <x v="2"/>
    <s v="Østdanmark"/>
    <n v="2360239.3885877775"/>
    <n v="721621.60770550335"/>
    <n v="0"/>
    <n v="268249.01834925939"/>
    <n v="960.24397829585632"/>
    <n v="0"/>
    <n v="0"/>
    <n v="0"/>
    <n v="1369408.5185547189"/>
    <n v="1369408.5185547189"/>
    <n v="960.24397829585632"/>
    <n v="4.6900324588573152"/>
    <n v="4.6933211600488214"/>
    <n v="3.288701191506347E-3"/>
    <n v="4.6900324588573152"/>
    <n v="424516.64075196284"/>
    <n v="424814.31638523459"/>
    <n v="297.67563327171547"/>
    <n v="424516.6407519629"/>
  </r>
  <r>
    <x v="23"/>
    <x v="10"/>
    <n v="0"/>
    <x v="2"/>
    <s v="Østdanmark"/>
    <n v="0"/>
    <n v="0"/>
    <n v="0"/>
    <n v="0"/>
    <n v="0"/>
    <n v="362262.716942953"/>
    <n v="0"/>
    <n v="0"/>
    <n v="-362262.716942953"/>
    <n v="0"/>
    <n v="0"/>
    <n v="0"/>
    <n v="0"/>
    <n v="0"/>
    <n v="0"/>
    <n v="0"/>
    <n v="0"/>
    <n v="0"/>
    <n v="0"/>
  </r>
  <r>
    <x v="24"/>
    <x v="2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</r>
  <r>
    <x v="25"/>
    <x v="10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</r>
  <r>
    <x v="26"/>
    <x v="4"/>
    <n v="1"/>
    <x v="2"/>
    <s v="Østdanmark"/>
    <n v="383747.87380717852"/>
    <n v="694353.2611092875"/>
    <n v="0"/>
    <n v="0"/>
    <n v="15500.875420530891"/>
    <n v="0"/>
    <n v="0"/>
    <n v="0"/>
    <n v="-326106.26272263989"/>
    <n v="0"/>
    <n v="15500.875420530891"/>
    <n v="0"/>
    <n v="5.56481427597059E-2"/>
    <n v="5.56481427597059E-2"/>
    <n v="0"/>
    <n v="0"/>
    <n v="4650.2626261592668"/>
    <n v="4650.2626261592668"/>
    <n v="0"/>
  </r>
  <r>
    <x v="27"/>
    <x v="10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</r>
  <r>
    <x v="28"/>
    <x v="6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</r>
  <r>
    <x v="29"/>
    <x v="10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</r>
  <r>
    <x v="30"/>
    <x v="10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</r>
  <r>
    <x v="31"/>
    <x v="7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</r>
  <r>
    <x v="32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</r>
  <r>
    <x v="35"/>
    <x v="10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</r>
  <r>
    <x v="36"/>
    <x v="10"/>
    <n v="0"/>
    <x v="2"/>
    <s v="Østdanmark"/>
    <n v="99581.589220524314"/>
    <n v="26278.769501998373"/>
    <n v="0"/>
    <n v="0"/>
    <n v="0"/>
    <n v="0"/>
    <n v="0"/>
    <n v="0"/>
    <n v="73302.819718525949"/>
    <n v="0"/>
    <n v="0"/>
    <n v="0"/>
    <n v="0"/>
    <n v="0"/>
    <n v="0"/>
    <n v="0"/>
    <n v="0"/>
    <n v="0"/>
    <n v="0"/>
  </r>
  <r>
    <x v="37"/>
    <x v="9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</r>
  <r>
    <x v="38"/>
    <x v="4"/>
    <n v="1"/>
    <x v="2"/>
    <s v="Østdanmark"/>
    <n v="2322627.8500566902"/>
    <n v="103245.87683002709"/>
    <n v="0"/>
    <n v="0"/>
    <n v="24610.929224370728"/>
    <n v="0"/>
    <n v="0"/>
    <n v="0"/>
    <n v="2194771.0440022922"/>
    <n v="1730280.0978252576"/>
    <n v="24610.929224370728"/>
    <n v="4.6960493967016621"/>
    <n v="4.7628444430537735"/>
    <n v="6.6795046352111129E-2"/>
    <n v="4.6960493967016621"/>
    <n v="346056.01956505154"/>
    <n v="350978.20540992566"/>
    <n v="4922.1858448741459"/>
    <n v="346056.01956505154"/>
  </r>
  <r>
    <x v="39"/>
    <x v="10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</r>
  <r>
    <x v="40"/>
    <x v="10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</r>
  <r>
    <x v="41"/>
    <x v="1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</r>
  <r>
    <x v="42"/>
    <x v="2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</r>
  <r>
    <x v="43"/>
    <x v="10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</r>
  <r>
    <x v="44"/>
    <x v="6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</r>
  <r>
    <x v="47"/>
    <x v="10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78CB1-5390-44C1-AEFE-1081C56887A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3:AJ33" firstHeaderRow="1" firstDataRow="2" firstDataCol="1"/>
  <pivotFields count="5">
    <pivotField axis="axisRow" showAll="0" measureFilter="1">
      <items count="11">
        <item x="1"/>
        <item x="2"/>
        <item x="0"/>
        <item x="3"/>
        <item x="4"/>
        <item x="5"/>
        <item x="6"/>
        <item x="7"/>
        <item x="8"/>
        <item x="9"/>
        <item t="default"/>
      </items>
    </pivotField>
    <pivotField showAll="0"/>
    <pivotField axis="axisCol" showAll="0" measureFilter="1">
      <items count="44">
        <item x="11"/>
        <item x="5"/>
        <item x="18"/>
        <item x="20"/>
        <item x="13"/>
        <item x="16"/>
        <item x="10"/>
        <item x="12"/>
        <item x="27"/>
        <item x="23"/>
        <item x="1"/>
        <item x="22"/>
        <item x="26"/>
        <item x="33"/>
        <item x="19"/>
        <item x="2"/>
        <item x="0"/>
        <item x="15"/>
        <item x="29"/>
        <item x="24"/>
        <item x="9"/>
        <item x="6"/>
        <item x="4"/>
        <item x="39"/>
        <item x="25"/>
        <item x="32"/>
        <item x="17"/>
        <item x="14"/>
        <item x="3"/>
        <item x="7"/>
        <item x="35"/>
        <item x="36"/>
        <item x="8"/>
        <item x="30"/>
        <item x="31"/>
        <item x="21"/>
        <item x="28"/>
        <item x="34"/>
        <item x="37"/>
        <item x="38"/>
        <item x="40"/>
        <item x="41"/>
        <item x="4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2">
    <field x="0"/>
    <field x="3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 t="grand">
      <x/>
    </i>
  </rowItems>
  <colFields count="1">
    <field x="2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6"/>
    </i>
    <i>
      <x v="37"/>
    </i>
    <i>
      <x v="38"/>
    </i>
    <i>
      <x v="39"/>
    </i>
    <i t="grand">
      <x/>
    </i>
  </colItems>
  <dataFields count="1">
    <dataField name="Sum of Mængde [ton]" fld="4" baseField="3" baseItem="0" numFmtId="172"/>
  </dataFields>
  <formats count="2">
    <format dxfId="18">
      <pivotArea outline="0" collapsedLevelsAreSubtotals="1" fieldPosition="0"/>
    </format>
    <format dxfId="17">
      <pivotArea outline="0" fieldPosition="0">
        <references count="1">
          <reference field="4294967294" count="1">
            <x v="0"/>
          </reference>
        </references>
      </pivotArea>
    </format>
  </formats>
  <chartFormats count="9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5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6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0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0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0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0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0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0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0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0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0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0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0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0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0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0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0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0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0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0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0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  <filter fld="0" type="valueGreaterThan" evalOrder="-1" id="2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E5503-28FD-4953-94B0-FA5690B177D8}" name="Import" cacheId="4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4:J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dataField="1"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9">
    <i>
      <x v="2"/>
    </i>
    <i>
      <x v="8"/>
    </i>
    <i>
      <x v="10"/>
    </i>
    <i>
      <x v="13"/>
    </i>
    <i>
      <x v="18"/>
    </i>
    <i>
      <x v="32"/>
    </i>
    <i>
      <x v="37"/>
    </i>
    <i>
      <x v="39"/>
    </i>
    <i t="grand">
      <x/>
    </i>
  </colItems>
  <pageFields count="1">
    <pageField fld="24" item="1" hier="-1"/>
  </pageFields>
  <dataFields count="1">
    <dataField name="Sum of Import" fld="25" baseField="0" baseItem="0" numFmtId="3"/>
  </dataFields>
  <formats count="1">
    <format dxfId="16">
      <pivotArea outline="0" collapsedLevelsAreSubtotals="1" fieldPosition="0"/>
    </format>
  </formats>
  <chartFormats count="6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6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BE995-2AA8-4F16-8150-8B647AE9624D}" name="PivotTable3" cacheId="5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4">
  <location ref="A4:AD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 measureFilter="1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29">
    <i>
      <x/>
    </i>
    <i>
      <x v="1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26"/>
    </i>
    <i>
      <x v="28"/>
    </i>
    <i>
      <x v="30"/>
    </i>
    <i>
      <x v="31"/>
    </i>
    <i>
      <x v="34"/>
    </i>
    <i>
      <x v="40"/>
    </i>
    <i>
      <x v="41"/>
    </i>
    <i>
      <x v="44"/>
    </i>
    <i t="grand">
      <x/>
    </i>
  </colItems>
  <pageFields count="1">
    <pageField fld="25" item="1" hier="-1"/>
  </pageFields>
  <dataFields count="1">
    <dataField name="Sum of Produktion minus forbrug [ton]" fld="13" baseField="3" baseItem="0" numFmtId="3"/>
  </dataFields>
  <formats count="2">
    <format dxfId="15">
      <pivotArea outline="0" collapsedLevelsAreSubtotals="1" fieldPosition="0"/>
    </format>
    <format dxfId="14">
      <pivotArea outline="0" fieldPosition="0">
        <references count="1">
          <reference field="4294967294" count="1">
            <x v="0"/>
          </reference>
        </references>
      </pivotArea>
    </format>
  </formats>
  <chartFormats count="22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3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3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3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3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3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3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3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3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3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3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" format="3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3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" format="3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3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" format="3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3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" format="3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3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3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3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3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3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3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3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3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3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3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3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3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3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" format="4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" format="4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" format="4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" format="4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" format="4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" format="4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4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4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4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4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4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4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8" format="4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8" format="4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8" format="4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8" format="4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6" format="4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4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4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4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1" format="4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1" format="4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4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1" format="4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1" format="4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1" format="4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1" format="4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1" format="4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1" format="4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1" format="4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1" format="4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4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4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4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" format="4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1" format="4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1" format="4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1" format="4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1" format="4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4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1" format="4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1" format="4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" format="4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1" format="4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1" format="4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1" format="4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1" format="4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1" format="4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4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1" format="4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4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4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4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4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4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3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3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3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3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3" format="5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3" format="5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3" format="5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3" format="5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3" format="5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3" format="5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3" format="5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3" format="5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3" format="5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3" format="5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3" format="5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3" format="5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3" format="5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3" format="5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3" format="5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3" format="5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3" format="5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3" format="5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3" format="5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3" format="5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3" format="5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3" format="5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3" format="5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3" format="5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3" format="5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3" format="5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3" format="5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3" format="5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5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3" format="5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3" format="5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3" format="5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3" format="5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" evalOrder="-1" id="5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86B83-E98F-4BCC-8B79-1529FA6B94AA}" name="PivotTable3" cacheId="7" dataOnRows="1" dataPosition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3:K14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h="1" m="1" x="11"/>
        <item x="9"/>
        <item x="7"/>
        <item h="1" x="0"/>
        <item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2">
    <field x="-2"/>
    <field x="3"/>
  </rowFields>
  <rowItems count="10">
    <i>
      <x/>
    </i>
    <i r="1">
      <x/>
    </i>
    <i r="1">
      <x v="1"/>
    </i>
    <i r="1">
      <x v="2"/>
    </i>
    <i i="1">
      <x v="1"/>
    </i>
    <i r="1" i="1">
      <x/>
    </i>
    <i r="1" i="1">
      <x v="1"/>
    </i>
    <i r="1" i="1">
      <x v="2"/>
    </i>
    <i t="grand">
      <x/>
    </i>
    <i t="grand" i="1">
      <x/>
    </i>
  </rowItems>
  <colFields count="1">
    <field x="1"/>
  </colFields>
  <col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 t="grand">
      <x/>
    </i>
  </colItems>
  <dataFields count="2">
    <dataField name="Sum of Biomasser til energi eksl. biogas [PJ]" fld="19" baseField="0" baseItem="0"/>
    <dataField name="Sum of Biogasproduktion [PJ]" fld="18" baseField="0" baseItem="0"/>
  </dataFields>
  <formats count="1">
    <format dxfId="13">
      <pivotArea outline="0" collapsedLevelsAreSubtotals="1" fieldPosition="0"/>
    </format>
  </formats>
  <chartFormats count="43">
    <chartFormat chart="3" format="10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0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0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0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0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0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0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0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0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0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10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0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0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0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0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0" format="102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0" format="102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0" format="102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0" format="102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0" format="102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0" format="102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0" format="102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0" format="102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  <chartFormat chart="3" format="104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3" format="104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3" format="104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3" format="104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3" format="104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3" format="104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3" format="105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3" format="105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3" format="105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E83E1-9227-41E9-AAEA-EDAC8C853BBE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1:J6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m="1" x="11"/>
        <item x="9"/>
        <item x="7"/>
        <item h="1" x="0"/>
        <item h="1"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9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 t="grand">
      <x/>
    </i>
  </colItems>
  <dataFields count="1">
    <dataField name="Sum of Forbrug/potentiale [Ton TS]" fld="21" baseField="0" baseItem="0" numFmtId="171"/>
  </dataFields>
  <formats count="1">
    <format dxfId="12">
      <pivotArea outline="0" collapsedLevelsAreSubtotals="1" fieldPosition="0"/>
    </format>
  </formats>
  <chartFormats count="23">
    <chartFormat chart="2" format="1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D5D38-5214-418A-9048-C89C701B2F1F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1:I6" firstHeaderRow="1" firstDataRow="2" firstDataCol="1"/>
  <pivotFields count="5"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axis="axisCol" showAll="0">
      <items count="8">
        <item x="0"/>
        <item x="3"/>
        <item x="1"/>
        <item x="2"/>
        <item x="4"/>
        <item x="5"/>
        <item x="6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" fld="2" baseField="1" baseItem="0" numFmtId="3"/>
  </dataFields>
  <formats count="2">
    <format dxfId="11">
      <pivotArea outline="0" collapsedLevelsAreSubtotals="1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chartFormats count="33"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A9F1E-CAE6-4762-A7A8-B6EA6650520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1:O12" firstHeaderRow="1" firstDataRow="2" firstDataCol="1"/>
  <pivotFields count="4">
    <pivotField axis="axisCol" showAll="0">
      <items count="14">
        <item x="1"/>
        <item x="10"/>
        <item x="8"/>
        <item x="3"/>
        <item x="4"/>
        <item x="11"/>
        <item x="5"/>
        <item x="0"/>
        <item x="7"/>
        <item x="9"/>
        <item x="12"/>
        <item x="2"/>
        <item x="6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/>
  </pivotFields>
  <rowFields count="2">
    <field x="2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Produktion" fld="3" baseField="2" baseItem="0" numFmtId="3"/>
  </dataFields>
  <chartFormats count="13"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8B2BB-4D25-4142-BAD6-ED0E0F6C177E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0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h="1" x="28"/>
        <item h="1" x="29"/>
        <item h="1" x="31"/>
        <item h="1" x="34"/>
        <item h="1" x="35"/>
        <item h="1" x="38"/>
        <item h="1" x="39"/>
        <item h="1" x="40"/>
        <item h="1" x="43"/>
        <item h="1" x="44"/>
        <item x="46"/>
        <item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7"/>
    </i>
    <i>
      <x v="28"/>
    </i>
    <i t="grand">
      <x/>
    </i>
  </colItems>
  <dataFields count="1">
    <dataField name="Sum of Produktion [ton]" fld="5" baseField="0" baseItem="0" numFmtId="171"/>
  </dataFields>
  <formats count="1">
    <format dxfId="9">
      <pivotArea outline="0" collapsedLevelsAreSubtotals="1" fieldPosition="0"/>
    </format>
  </formats>
  <chartFormats count="19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2" format="293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2" format="294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4" format="2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2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99474-3B71-4995-82E9-AB39F73D37F8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x="28"/>
        <item h="1" x="29"/>
        <item h="1" x="31"/>
        <item h="1" x="34"/>
        <item h="1" x="35"/>
        <item h="1" x="38"/>
        <item h="1" x="39"/>
        <item h="1" x="40"/>
        <item h="1" x="43"/>
        <item x="44"/>
        <item h="1" x="46"/>
        <item h="1"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17"/>
    </i>
    <i>
      <x v="26"/>
    </i>
    <i t="grand">
      <x/>
    </i>
  </colItems>
  <dataFields count="1">
    <dataField name="Sum of Produktion [ton]" fld="5" baseField="0" baseItem="0" numFmtId="171"/>
  </dataFields>
  <formats count="1">
    <format dxfId="8">
      <pivotArea outline="0" collapsedLevelsAreSubtotals="1" fieldPosition="0"/>
    </format>
  </formats>
  <chartFormats count="13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8C528-7919-4D56-A089-B4E1FBDA15A5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3:G8" firstHeaderRow="1" firstDataRow="2" firstDataCol="1" rowPageCount="1" colPageCount="1"/>
  <pivotFields count="5">
    <pivotField axis="axisPage" showAll="0">
      <items count="3">
        <item x="1"/>
        <item x="0"/>
        <item t="default"/>
      </items>
    </pivotField>
    <pivotField axis="axisCol" showAll="0">
      <items count="6">
        <item x="4"/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hier="-1"/>
  </pageFields>
  <dataFields count="1">
    <dataField name="Sum of Værdi" fld="4" baseField="2" baseItem="0" numFmtId="171"/>
  </dataFields>
  <formats count="1">
    <format dxfId="7">
      <pivotArea outline="0" collapsedLevelsAreSubtotals="1" fieldPosition="0"/>
    </format>
  </formats>
  <chartFormats count="10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F07B8-2888-4097-889E-142257321063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7">
  <location ref="A4:P9" firstHeaderRow="1" firstDataRow="2" firstDataCol="1" rowPageCount="2" colPageCount="1"/>
  <pivotFields count="10">
    <pivotField axis="axisPage" showAll="0">
      <items count="3">
        <item x="0"/>
        <item x="1"/>
        <item t="default"/>
      </items>
    </pivotField>
    <pivotField axis="axisCol" showAll="0">
      <items count="16">
        <item x="1"/>
        <item x="8"/>
        <item x="3"/>
        <item x="4"/>
        <item x="11"/>
        <item x="5"/>
        <item x="0"/>
        <item x="7"/>
        <item x="9"/>
        <item x="2"/>
        <item x="6"/>
        <item m="1" x="14"/>
        <item x="13"/>
        <item x="12"/>
        <item x="1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6">
        <item m="1" x="3"/>
        <item x="2"/>
        <item x="1"/>
        <item m="1" x="4"/>
        <item x="0"/>
        <item t="default"/>
      </items>
    </pivotField>
    <pivotField showAll="0"/>
    <pivotField dataField="1" numFmtId="1" showAll="0"/>
    <pivotField showAll="0"/>
    <pivotField showAll="0"/>
    <pivotField numFmtI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colItems>
  <pageFields count="2">
    <pageField fld="4" hier="-1"/>
    <pageField fld="0" hier="-1"/>
  </pageFields>
  <dataFields count="1">
    <dataField name="Sum of Arealanvendelse" fld="6" baseField="0" baseItem="0" numFmtId="171"/>
  </dataFields>
  <formats count="1">
    <format dxfId="6">
      <pivotArea outline="0" collapsedLevelsAreSubtotals="1" fieldPosition="0"/>
    </format>
  </formats>
  <chartFormats count="42">
    <chartFormat chart="4" format="24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4" format="24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4" format="243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4" format="244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4" format="245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4" format="246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4" format="247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4" format="248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4" format="249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4" format="250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4" format="251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4" format="25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4" format="253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4" format="2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2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2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2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2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2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2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2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2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2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2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2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2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2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2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2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2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2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3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8CD1-6F9C-4D63-84AD-C04B121726E2}">
  <sheetPr codeName="Sheet1">
    <tabColor rgb="FF002060"/>
  </sheetPr>
  <dimension ref="A1:F25"/>
  <sheetViews>
    <sheetView zoomScale="80" zoomScaleNormal="80" workbookViewId="0">
      <selection activeCell="B17" sqref="B17"/>
    </sheetView>
  </sheetViews>
  <sheetFormatPr defaultColWidth="9.15625" defaultRowHeight="14.4" x14ac:dyDescent="0.55000000000000004"/>
  <cols>
    <col min="1" max="1" width="30.578125" style="1" bestFit="1" customWidth="1"/>
    <col min="2" max="2" width="42.26171875" style="1" bestFit="1" customWidth="1"/>
    <col min="3" max="3" width="9.15625" style="1"/>
    <col min="4" max="4" width="10.26171875" style="1" customWidth="1"/>
    <col min="5" max="5" width="24.578125" style="1" customWidth="1"/>
    <col min="6" max="6" width="10.26171875" style="1" customWidth="1"/>
    <col min="7" max="16384" width="9.15625" style="1"/>
  </cols>
  <sheetData>
    <row r="1" spans="1:6" ht="20.399999999999999" x14ac:dyDescent="0.75">
      <c r="A1" s="322" t="s">
        <v>282</v>
      </c>
      <c r="B1" s="322"/>
      <c r="D1" s="75" t="s">
        <v>296</v>
      </c>
    </row>
    <row r="2" spans="1:6" x14ac:dyDescent="0.55000000000000004">
      <c r="A2" s="6" t="s">
        <v>0</v>
      </c>
      <c r="B2" s="229" t="s">
        <v>317</v>
      </c>
    </row>
    <row r="4" spans="1:6" ht="30" customHeight="1" thickBot="1" x14ac:dyDescent="0.6">
      <c r="A4" s="321" t="s">
        <v>281</v>
      </c>
      <c r="B4" s="321"/>
      <c r="D4" s="75"/>
    </row>
    <row r="5" spans="1:6" ht="14.7" thickTop="1" x14ac:dyDescent="0.55000000000000004">
      <c r="A5" s="265" t="s">
        <v>86</v>
      </c>
      <c r="B5" s="264" t="s">
        <v>319</v>
      </c>
      <c r="D5" s="217" t="s">
        <v>43</v>
      </c>
      <c r="E5" s="218"/>
      <c r="F5" s="12"/>
    </row>
    <row r="6" spans="1:6" x14ac:dyDescent="0.55000000000000004">
      <c r="A6" s="210" t="s">
        <v>84</v>
      </c>
      <c r="B6" s="211" t="s">
        <v>264</v>
      </c>
      <c r="D6" s="219" t="str" cm="1">
        <f t="array" ref="D6">[1]!Jordbund1</f>
        <v>JB1-10</v>
      </c>
      <c r="E6" s="220" t="s">
        <v>44</v>
      </c>
      <c r="F6" s="12"/>
    </row>
    <row r="7" spans="1:6" x14ac:dyDescent="0.55000000000000004">
      <c r="A7" s="210"/>
      <c r="B7" s="211" t="s">
        <v>2</v>
      </c>
      <c r="D7" s="219" t="str" cm="1">
        <f t="array" ref="D7">[1]!Organ6</f>
        <v>OC6</v>
      </c>
      <c r="E7" s="220" t="s">
        <v>45</v>
      </c>
      <c r="F7" s="12"/>
    </row>
    <row r="8" spans="1:6" x14ac:dyDescent="0.55000000000000004">
      <c r="A8" s="227" t="s">
        <v>92</v>
      </c>
      <c r="B8" s="211" t="s">
        <v>265</v>
      </c>
      <c r="D8" s="219" t="str" cm="1">
        <f t="array" ref="D8">[1]!Organ12</f>
        <v>OC12</v>
      </c>
      <c r="E8" s="220" t="s">
        <v>46</v>
      </c>
      <c r="F8" s="12"/>
    </row>
    <row r="9" spans="1:6" x14ac:dyDescent="0.55000000000000004">
      <c r="A9" s="212" t="s">
        <v>93</v>
      </c>
      <c r="B9" s="211" t="s">
        <v>266</v>
      </c>
      <c r="D9" s="219"/>
      <c r="E9" s="220"/>
      <c r="F9" s="12"/>
    </row>
    <row r="10" spans="1:6" x14ac:dyDescent="0.55000000000000004">
      <c r="A10" s="210"/>
      <c r="B10" s="211"/>
      <c r="D10" s="221" t="s">
        <v>47</v>
      </c>
      <c r="E10" s="220"/>
      <c r="F10" s="12"/>
    </row>
    <row r="11" spans="1:6" x14ac:dyDescent="0.55000000000000004">
      <c r="A11" s="227" t="s">
        <v>69</v>
      </c>
      <c r="B11" s="228" t="s">
        <v>267</v>
      </c>
      <c r="D11" s="219" t="str" cm="1">
        <f t="array" ref="D11">[1]!Bebyg</f>
        <v>Bebyggelse &amp; infrastruktur</v>
      </c>
      <c r="E11" s="220"/>
      <c r="F11" s="12"/>
    </row>
    <row r="12" spans="1:6" x14ac:dyDescent="0.55000000000000004">
      <c r="A12" s="210" t="s">
        <v>261</v>
      </c>
      <c r="B12" s="211" t="s">
        <v>268</v>
      </c>
      <c r="D12" s="219" t="str" cm="1">
        <f t="array" ref="D12">[1]!Afgrøder</f>
        <v>Landbrugsafgrøder</v>
      </c>
      <c r="E12" s="220"/>
      <c r="F12" s="12"/>
    </row>
    <row r="13" spans="1:6" x14ac:dyDescent="0.55000000000000004">
      <c r="A13" s="210"/>
      <c r="B13" s="211"/>
      <c r="D13" s="219" t="str" cm="1">
        <f t="array" ref="D13">[1]!SkovAreal</f>
        <v>Skov</v>
      </c>
      <c r="E13" s="220"/>
      <c r="F13" s="12"/>
    </row>
    <row r="14" spans="1:6" x14ac:dyDescent="0.55000000000000004">
      <c r="A14" s="227" t="s">
        <v>70</v>
      </c>
      <c r="B14" s="228" t="s">
        <v>269</v>
      </c>
      <c r="D14" s="219" t="str" cm="1">
        <f t="array" ref="D14">[1]!NaturAreal</f>
        <v>Natur</v>
      </c>
      <c r="E14" s="220"/>
      <c r="F14" s="12"/>
    </row>
    <row r="15" spans="1:6" x14ac:dyDescent="0.55000000000000004">
      <c r="A15" s="210" t="s">
        <v>71</v>
      </c>
      <c r="B15" s="211" t="s">
        <v>270</v>
      </c>
      <c r="D15" s="219" t="str" cm="1">
        <f t="array" ref="D15">[1]!IKareal</f>
        <v>Ikke klassificeret</v>
      </c>
      <c r="E15" s="220"/>
      <c r="F15" s="12"/>
    </row>
    <row r="16" spans="1:6" x14ac:dyDescent="0.55000000000000004">
      <c r="A16" s="210" t="s">
        <v>72</v>
      </c>
      <c r="B16" s="211"/>
      <c r="D16" s="222"/>
      <c r="E16" s="220"/>
    </row>
    <row r="17" spans="1:5" x14ac:dyDescent="0.55000000000000004">
      <c r="A17" s="210" t="s">
        <v>73</v>
      </c>
      <c r="B17" s="228" t="s">
        <v>278</v>
      </c>
      <c r="D17" s="223" t="s">
        <v>94</v>
      </c>
      <c r="E17" s="220"/>
    </row>
    <row r="18" spans="1:5" x14ac:dyDescent="0.55000000000000004">
      <c r="A18" s="210" t="s">
        <v>74</v>
      </c>
      <c r="B18" s="323" t="s">
        <v>283</v>
      </c>
      <c r="D18" s="219" cm="1">
        <f t="array" ref="D18">[1]!År1</f>
        <v>2019</v>
      </c>
      <c r="E18" s="220"/>
    </row>
    <row r="19" spans="1:5" x14ac:dyDescent="0.55000000000000004">
      <c r="A19" s="210" t="s">
        <v>262</v>
      </c>
      <c r="B19" s="323"/>
      <c r="D19" s="219" cm="1">
        <f t="array" ref="D19">[1]!År2</f>
        <v>2030</v>
      </c>
      <c r="E19" s="220"/>
    </row>
    <row r="20" spans="1:5" ht="14.7" thickBot="1" x14ac:dyDescent="0.6">
      <c r="A20" s="210" t="s">
        <v>263</v>
      </c>
      <c r="B20" s="211"/>
      <c r="D20" s="224" cm="1">
        <f t="array" ref="D20">[1]!År3</f>
        <v>2050</v>
      </c>
      <c r="E20" s="225"/>
    </row>
    <row r="21" spans="1:5" ht="14.7" thickTop="1" x14ac:dyDescent="0.55000000000000004">
      <c r="A21" s="210" t="s">
        <v>75</v>
      </c>
      <c r="B21" s="211"/>
    </row>
    <row r="22" spans="1:5" x14ac:dyDescent="0.55000000000000004">
      <c r="A22" s="210"/>
      <c r="B22" s="211"/>
    </row>
    <row r="23" spans="1:5" x14ac:dyDescent="0.55000000000000004">
      <c r="A23" s="266" t="s">
        <v>320</v>
      </c>
      <c r="B23" s="211"/>
    </row>
    <row r="24" spans="1:5" ht="14.7" thickBot="1" x14ac:dyDescent="0.6">
      <c r="A24" s="213" t="s">
        <v>1</v>
      </c>
      <c r="B24" s="214"/>
    </row>
    <row r="25" spans="1:5" ht="14.7" thickTop="1" x14ac:dyDescent="0.55000000000000004"/>
  </sheetData>
  <mergeCells count="3">
    <mergeCell ref="A4:B4"/>
    <mergeCell ref="A1:B1"/>
    <mergeCell ref="B18:B19"/>
  </mergeCells>
  <hyperlinks>
    <hyperlink ref="A5" location="Arealanvendelse!A1" display="Arealanvendelse" xr:uid="{C76857D6-E00E-40EA-84C0-1576137AC955}"/>
    <hyperlink ref="A8" location="Havbrug!A1" display="Havbrug" xr:uid="{70C031D6-6DC3-4B5D-97BB-794B442D362C}"/>
    <hyperlink ref="A11" location="Skovbrug!A1" display="Skovbrug" xr:uid="{249D03E3-A1BA-4415-93AE-45C6DE99F727}"/>
    <hyperlink ref="A14" location="Landbrug!A1" display="Landbrug" xr:uid="{3F515E10-E6F2-4E50-A328-E49FDC3DAAAE}"/>
    <hyperlink ref="A23" location="Fodersammensætning!A1" display="Fodersammensætning" xr:uid="{E65BC8FF-8D95-40E8-9A75-F73A97B4805C}"/>
    <hyperlink ref="B5" location="Adfærd!A1" display="Befolkning" xr:uid="{325D567D-8B5E-4515-997E-06D80C1607C6}"/>
    <hyperlink ref="B11" location="'Forbrug af materialer'!A1" display="Forbrug af materialer" xr:uid="{97B2AE06-7A0E-48F3-95D3-DC79461A7CCF}"/>
    <hyperlink ref="B14" location="Biogasanlæg!A1" display="Biogasanlæg" xr:uid="{7CD6FC71-B2AC-48C5-BCB3-2B7D90BBB916}"/>
    <hyperlink ref="B17" location="Resume!A1" display="Resume af resultater" xr:uid="{C4F36CB2-5F29-494C-AD4D-2D9D977BA85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768F-06E6-4E10-A80D-1B699C74A7AD}">
  <sheetPr codeName="Sheet3">
    <tabColor rgb="FF002060"/>
  </sheetPr>
  <dimension ref="A1:Q123"/>
  <sheetViews>
    <sheetView zoomScale="60" zoomScaleNormal="60" workbookViewId="0">
      <selection activeCell="AD215" sqref="AD215"/>
    </sheetView>
  </sheetViews>
  <sheetFormatPr defaultColWidth="9.15625" defaultRowHeight="14.4" x14ac:dyDescent="0.55000000000000004"/>
  <cols>
    <col min="1" max="2" width="9.15625" style="1"/>
    <col min="3" max="3" width="11" style="1" bestFit="1" customWidth="1"/>
    <col min="4" max="16384" width="9.15625" style="1"/>
  </cols>
  <sheetData>
    <row r="1" spans="1:17" ht="15" customHeight="1" x14ac:dyDescent="0.6">
      <c r="A1" s="263" t="s">
        <v>312</v>
      </c>
      <c r="B1" s="262"/>
      <c r="C1" s="324" t="s">
        <v>311</v>
      </c>
      <c r="D1" s="324"/>
      <c r="E1" s="324"/>
      <c r="F1" s="324"/>
      <c r="G1" s="324"/>
      <c r="H1" s="324"/>
      <c r="I1" s="324"/>
      <c r="J1" s="324"/>
      <c r="K1" s="324"/>
      <c r="L1" s="324"/>
      <c r="M1" s="324"/>
      <c r="N1" s="324"/>
      <c r="O1" s="324"/>
      <c r="P1" s="324"/>
      <c r="Q1" s="324"/>
    </row>
    <row r="2" spans="1:17" ht="15" customHeight="1" x14ac:dyDescent="0.55000000000000004">
      <c r="A2" s="262"/>
      <c r="B2" s="262"/>
      <c r="C2" s="324"/>
      <c r="D2" s="324"/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</row>
    <row r="3" spans="1:17" x14ac:dyDescent="0.55000000000000004">
      <c r="A3" s="75" t="s">
        <v>313</v>
      </c>
    </row>
    <row r="123" spans="3:3" x14ac:dyDescent="0.55000000000000004">
      <c r="C123" s="183"/>
    </row>
  </sheetData>
  <mergeCells count="1">
    <mergeCell ref="C1:Q2"/>
  </mergeCells>
  <hyperlinks>
    <hyperlink ref="A1" location="Overblik!A1" display="Overblik" xr:uid="{B064A4B6-D2C7-4CD7-886C-D4197032723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956A-60F6-4B05-977F-D88B1022DAFC}">
  <sheetPr codeName="Sheet2">
    <tabColor theme="9" tint="0.39997558519241921"/>
  </sheetPr>
  <dimension ref="A1:R41"/>
  <sheetViews>
    <sheetView zoomScale="85" zoomScaleNormal="85" workbookViewId="0">
      <selection activeCell="A2" sqref="A2:B5"/>
    </sheetView>
  </sheetViews>
  <sheetFormatPr defaultColWidth="9.15625" defaultRowHeight="14.4" x14ac:dyDescent="0.55000000000000004"/>
  <cols>
    <col min="1" max="1" width="36" style="1" customWidth="1"/>
    <col min="2" max="2" width="52.26171875" style="1" customWidth="1"/>
    <col min="3" max="3" width="9.26171875" style="1" customWidth="1"/>
    <col min="4" max="4" width="10.26171875" style="1" customWidth="1"/>
    <col min="5" max="5" width="13.68359375" style="1" customWidth="1"/>
    <col min="6" max="6" width="15.578125" style="1" bestFit="1" customWidth="1"/>
    <col min="7" max="7" width="25.68359375" style="1" customWidth="1"/>
    <col min="8" max="8" width="9.15625" style="1"/>
    <col min="9" max="9" width="25.15625" style="1" bestFit="1" customWidth="1"/>
    <col min="10" max="10" width="13" style="1" customWidth="1"/>
    <col min="11" max="12" width="9" style="1" bestFit="1" customWidth="1"/>
    <col min="13" max="13" width="12.83984375" style="1" customWidth="1"/>
    <col min="14" max="15" width="9" style="1" bestFit="1" customWidth="1"/>
    <col min="16" max="16" width="13.15625" style="1" customWidth="1"/>
    <col min="17" max="18" width="9" style="1" bestFit="1" customWidth="1"/>
    <col min="19" max="16384" width="9.15625" style="1"/>
  </cols>
  <sheetData>
    <row r="1" spans="1:18" x14ac:dyDescent="0.55000000000000004">
      <c r="A1" s="235" t="s">
        <v>284</v>
      </c>
      <c r="B1" s="75" t="s">
        <v>313</v>
      </c>
    </row>
    <row r="2" spans="1:18" ht="43" customHeight="1" x14ac:dyDescent="0.55000000000000004">
      <c r="A2" s="230" t="s">
        <v>295</v>
      </c>
      <c r="B2" s="25" t="s">
        <v>65</v>
      </c>
      <c r="C2" s="25">
        <f>År2</f>
        <v>2030</v>
      </c>
      <c r="D2" s="25">
        <f>År3</f>
        <v>2050</v>
      </c>
      <c r="E2" s="25" t="s">
        <v>39</v>
      </c>
      <c r="F2" s="25" t="s">
        <v>34</v>
      </c>
      <c r="G2" s="25" t="s">
        <v>35</v>
      </c>
      <c r="J2" s="6" t="s">
        <v>321</v>
      </c>
      <c r="K2" s="6"/>
      <c r="L2" s="6"/>
      <c r="M2" s="6"/>
      <c r="N2" s="6"/>
      <c r="O2" s="6"/>
      <c r="P2" s="6"/>
    </row>
    <row r="3" spans="1:18" x14ac:dyDescent="0.55000000000000004">
      <c r="A3" s="2" t="s">
        <v>273</v>
      </c>
      <c r="B3" s="2" t="s">
        <v>275</v>
      </c>
      <c r="C3" s="9">
        <v>7500</v>
      </c>
      <c r="D3" s="22">
        <v>7500</v>
      </c>
      <c r="E3" s="9" t="s">
        <v>40</v>
      </c>
      <c r="F3" s="111" t="s">
        <v>9</v>
      </c>
      <c r="G3" s="111" t="s">
        <v>33</v>
      </c>
      <c r="I3" s="2" t="s">
        <v>176</v>
      </c>
      <c r="J3" s="25">
        <f>År1</f>
        <v>2019</v>
      </c>
      <c r="K3" s="25">
        <f>År1</f>
        <v>2019</v>
      </c>
      <c r="L3" s="25">
        <f>År1</f>
        <v>2019</v>
      </c>
      <c r="M3" s="25">
        <f>År2</f>
        <v>2030</v>
      </c>
      <c r="N3" s="25">
        <f>År2</f>
        <v>2030</v>
      </c>
      <c r="O3" s="25">
        <f>År2</f>
        <v>2030</v>
      </c>
      <c r="P3" s="25">
        <f>År3</f>
        <v>2050</v>
      </c>
      <c r="Q3" s="25">
        <f>År3</f>
        <v>2050</v>
      </c>
      <c r="R3" s="25">
        <f>År3</f>
        <v>2050</v>
      </c>
    </row>
    <row r="4" spans="1:18" x14ac:dyDescent="0.55000000000000004">
      <c r="A4" s="2" t="s">
        <v>274</v>
      </c>
      <c r="B4" s="2" t="s">
        <v>276</v>
      </c>
      <c r="C4" s="9">
        <v>7500</v>
      </c>
      <c r="D4" s="22">
        <v>7500</v>
      </c>
      <c r="E4" s="9" t="s">
        <v>41</v>
      </c>
      <c r="F4" s="111" t="s">
        <v>9</v>
      </c>
      <c r="G4" s="111" t="s">
        <v>33</v>
      </c>
      <c r="I4" s="2"/>
      <c r="J4" s="25" t="str">
        <f>Jordbund1</f>
        <v>JB1-10</v>
      </c>
      <c r="K4" s="25" t="str">
        <f>Organ6</f>
        <v>OC6</v>
      </c>
      <c r="L4" s="25" t="str">
        <f>Organ12</f>
        <v>OC12</v>
      </c>
      <c r="M4" s="25" t="str">
        <f>Jordbund1</f>
        <v>JB1-10</v>
      </c>
      <c r="N4" s="25" t="str">
        <f>Organ6</f>
        <v>OC6</v>
      </c>
      <c r="O4" s="25" t="str">
        <f>Organ12</f>
        <v>OC12</v>
      </c>
      <c r="P4" s="25" t="str">
        <f>Jordbund1</f>
        <v>JB1-10</v>
      </c>
      <c r="Q4" s="25" t="str">
        <f>Organ6</f>
        <v>OC6</v>
      </c>
      <c r="R4" s="25" t="str">
        <f>Organ12</f>
        <v>OC12</v>
      </c>
    </row>
    <row r="5" spans="1:18" x14ac:dyDescent="0.55000000000000004">
      <c r="A5" s="2" t="s">
        <v>36</v>
      </c>
      <c r="B5" s="226" t="s">
        <v>279</v>
      </c>
      <c r="C5" s="9">
        <f>1900*11</f>
        <v>20900</v>
      </c>
      <c r="D5" s="9">
        <f>C5+1900*(D2-C2)</f>
        <v>58900</v>
      </c>
      <c r="E5" s="9" t="s">
        <v>280</v>
      </c>
      <c r="F5" s="111" t="s">
        <v>9</v>
      </c>
      <c r="G5" s="111" t="s">
        <v>10</v>
      </c>
      <c r="I5" s="26" t="str">
        <f>Bebyg</f>
        <v>Bebyggelse &amp; infrastruktur</v>
      </c>
      <c r="J5" s="17">
        <f t="shared" ref="J5:R5" si="0">SUM(J25,J35)</f>
        <v>591230</v>
      </c>
      <c r="K5" s="17">
        <f t="shared" si="0"/>
        <v>0</v>
      </c>
      <c r="L5" s="17">
        <f t="shared" si="0"/>
        <v>0</v>
      </c>
      <c r="M5" s="18">
        <f t="shared" si="0"/>
        <v>591230</v>
      </c>
      <c r="N5" s="18">
        <f t="shared" si="0"/>
        <v>0</v>
      </c>
      <c r="O5" s="18">
        <f t="shared" si="0"/>
        <v>0</v>
      </c>
      <c r="P5" s="18">
        <f t="shared" si="0"/>
        <v>591230</v>
      </c>
      <c r="Q5" s="18">
        <f t="shared" si="0"/>
        <v>0</v>
      </c>
      <c r="R5" s="18">
        <f t="shared" si="0"/>
        <v>0</v>
      </c>
    </row>
    <row r="6" spans="1:18" x14ac:dyDescent="0.55000000000000004">
      <c r="A6" s="2"/>
      <c r="B6" s="2"/>
      <c r="C6" s="9"/>
      <c r="D6" s="9"/>
      <c r="E6" s="9"/>
      <c r="F6" s="111"/>
      <c r="G6" s="111"/>
      <c r="I6" s="26" t="str">
        <f>Afgrøder</f>
        <v>Landbrugsafgrøder</v>
      </c>
      <c r="J6" s="17">
        <f t="shared" ref="J6:R6" si="1">SUM(J26,J36)</f>
        <v>2399636</v>
      </c>
      <c r="K6" s="17">
        <f t="shared" si="1"/>
        <v>100501.99999999999</v>
      </c>
      <c r="L6" s="17">
        <f t="shared" si="1"/>
        <v>78231.999999999985</v>
      </c>
      <c r="M6" s="18">
        <f t="shared" si="1"/>
        <v>2378736</v>
      </c>
      <c r="N6" s="18">
        <f t="shared" si="1"/>
        <v>93001.999999999985</v>
      </c>
      <c r="O6" s="18">
        <f t="shared" si="1"/>
        <v>70731.999999999985</v>
      </c>
      <c r="P6" s="18">
        <f t="shared" si="1"/>
        <v>2340736</v>
      </c>
      <c r="Q6" s="18">
        <f t="shared" si="1"/>
        <v>93001.999999999985</v>
      </c>
      <c r="R6" s="18">
        <f t="shared" si="1"/>
        <v>70731.999999999985</v>
      </c>
    </row>
    <row r="7" spans="1:18" x14ac:dyDescent="0.55000000000000004">
      <c r="A7" s="2"/>
      <c r="B7" s="2"/>
      <c r="C7" s="9"/>
      <c r="D7" s="9"/>
      <c r="E7" s="9"/>
      <c r="F7" s="111"/>
      <c r="G7" s="111"/>
      <c r="I7" s="26" t="str">
        <f>SkovAreal</f>
        <v>Skov</v>
      </c>
      <c r="J7" s="17">
        <f t="shared" ref="J7:R7" si="2">SUM(J27,J37)</f>
        <v>561900</v>
      </c>
      <c r="K7" s="17">
        <f t="shared" si="2"/>
        <v>0</v>
      </c>
      <c r="L7" s="17">
        <f t="shared" si="2"/>
        <v>0</v>
      </c>
      <c r="M7" s="18">
        <f t="shared" si="2"/>
        <v>582800</v>
      </c>
      <c r="N7" s="18">
        <f t="shared" si="2"/>
        <v>0</v>
      </c>
      <c r="O7" s="18">
        <f t="shared" si="2"/>
        <v>0</v>
      </c>
      <c r="P7" s="18">
        <f t="shared" si="2"/>
        <v>620800</v>
      </c>
      <c r="Q7" s="18">
        <f t="shared" si="2"/>
        <v>0</v>
      </c>
      <c r="R7" s="18">
        <f t="shared" si="2"/>
        <v>0</v>
      </c>
    </row>
    <row r="8" spans="1:18" x14ac:dyDescent="0.55000000000000004">
      <c r="A8" s="2"/>
      <c r="B8" s="2"/>
      <c r="C8" s="9"/>
      <c r="D8" s="9"/>
      <c r="E8" s="9"/>
      <c r="F8" s="111"/>
      <c r="G8" s="111"/>
      <c r="I8" s="26" t="str">
        <f>NaturAreal</f>
        <v>Natur</v>
      </c>
      <c r="J8" s="17">
        <f t="shared" ref="J8:R8" si="3">SUM(J28,J38)</f>
        <v>360654</v>
      </c>
      <c r="K8" s="17">
        <f t="shared" si="3"/>
        <v>61497.999999999993</v>
      </c>
      <c r="L8" s="17">
        <f t="shared" si="3"/>
        <v>50767.999999999993</v>
      </c>
      <c r="M8" s="18">
        <f t="shared" si="3"/>
        <v>360654</v>
      </c>
      <c r="N8" s="18">
        <f t="shared" si="3"/>
        <v>68998</v>
      </c>
      <c r="O8" s="18">
        <f t="shared" si="3"/>
        <v>58267.999999999993</v>
      </c>
      <c r="P8" s="18">
        <f t="shared" si="3"/>
        <v>360654</v>
      </c>
      <c r="Q8" s="18">
        <f t="shared" si="3"/>
        <v>68998</v>
      </c>
      <c r="R8" s="18">
        <f t="shared" si="3"/>
        <v>58267.999999999993</v>
      </c>
    </row>
    <row r="9" spans="1:18" ht="14.7" thickBot="1" x14ac:dyDescent="0.6">
      <c r="A9" s="2"/>
      <c r="B9" s="2"/>
      <c r="C9" s="9"/>
      <c r="D9" s="9"/>
      <c r="E9" s="9"/>
      <c r="F9" s="111"/>
      <c r="G9" s="111"/>
      <c r="I9" s="27" t="str">
        <f>IKareal</f>
        <v>Ikke klassificeret</v>
      </c>
      <c r="J9" s="19">
        <f t="shared" ref="J9:R9" si="4">SUM(J29,J39)</f>
        <v>65860</v>
      </c>
      <c r="K9" s="19">
        <f t="shared" si="4"/>
        <v>0</v>
      </c>
      <c r="L9" s="19">
        <f t="shared" si="4"/>
        <v>0</v>
      </c>
      <c r="M9" s="92">
        <f t="shared" si="4"/>
        <v>65860</v>
      </c>
      <c r="N9" s="92">
        <f t="shared" si="4"/>
        <v>0</v>
      </c>
      <c r="O9" s="92">
        <f t="shared" si="4"/>
        <v>0</v>
      </c>
      <c r="P9" s="92">
        <f t="shared" si="4"/>
        <v>65860</v>
      </c>
      <c r="Q9" s="92">
        <f t="shared" si="4"/>
        <v>0</v>
      </c>
      <c r="R9" s="92">
        <f t="shared" si="4"/>
        <v>0</v>
      </c>
    </row>
    <row r="10" spans="1:18" x14ac:dyDescent="0.55000000000000004">
      <c r="A10" s="2"/>
      <c r="B10" s="2"/>
      <c r="C10" s="9"/>
      <c r="D10" s="9"/>
      <c r="E10" s="9"/>
      <c r="F10" s="111"/>
      <c r="G10" s="111"/>
      <c r="I10" s="28" t="s">
        <v>30</v>
      </c>
      <c r="J10" s="20">
        <f t="shared" ref="J10:R10" si="5">SUM(J5:J9)</f>
        <v>3979280</v>
      </c>
      <c r="K10" s="20">
        <f t="shared" si="5"/>
        <v>161999.99999999997</v>
      </c>
      <c r="L10" s="20">
        <f t="shared" si="5"/>
        <v>128999.99999999997</v>
      </c>
      <c r="M10" s="21">
        <f t="shared" si="5"/>
        <v>3979280</v>
      </c>
      <c r="N10" s="21">
        <f t="shared" si="5"/>
        <v>162000</v>
      </c>
      <c r="O10" s="21">
        <f t="shared" si="5"/>
        <v>128999.99999999997</v>
      </c>
      <c r="P10" s="21">
        <f t="shared" si="5"/>
        <v>3979280</v>
      </c>
      <c r="Q10" s="21">
        <f t="shared" si="5"/>
        <v>162000</v>
      </c>
      <c r="R10" s="21">
        <f t="shared" si="5"/>
        <v>128999.99999999997</v>
      </c>
    </row>
    <row r="11" spans="1:18" x14ac:dyDescent="0.55000000000000004">
      <c r="A11" s="2"/>
      <c r="B11" s="2"/>
      <c r="C11" s="9"/>
      <c r="D11" s="9"/>
      <c r="E11" s="9"/>
      <c r="F11" s="111"/>
      <c r="G11" s="111"/>
    </row>
    <row r="12" spans="1:18" x14ac:dyDescent="0.55000000000000004">
      <c r="A12" s="2"/>
      <c r="B12" s="2"/>
      <c r="C12" s="9"/>
      <c r="D12" s="9"/>
      <c r="E12" s="9"/>
      <c r="F12" s="111"/>
      <c r="G12" s="111"/>
    </row>
    <row r="13" spans="1:18" x14ac:dyDescent="0.55000000000000004">
      <c r="A13" s="2"/>
      <c r="B13" s="2"/>
      <c r="C13" s="9"/>
      <c r="D13" s="9"/>
      <c r="E13" s="9"/>
      <c r="F13" s="111"/>
      <c r="G13" s="111"/>
    </row>
    <row r="14" spans="1:18" x14ac:dyDescent="0.55000000000000004">
      <c r="A14" s="2"/>
      <c r="B14" s="2"/>
      <c r="C14" s="9"/>
      <c r="D14" s="9"/>
      <c r="E14" s="9"/>
      <c r="F14" s="111"/>
      <c r="G14" s="111"/>
    </row>
    <row r="15" spans="1:18" x14ac:dyDescent="0.55000000000000004">
      <c r="A15" s="2"/>
      <c r="B15" s="2"/>
      <c r="C15" s="9"/>
      <c r="D15" s="9"/>
      <c r="E15" s="9"/>
      <c r="F15" s="111"/>
      <c r="G15" s="111"/>
    </row>
    <row r="16" spans="1:18" x14ac:dyDescent="0.55000000000000004">
      <c r="A16" s="2"/>
      <c r="B16" s="2"/>
      <c r="C16" s="9"/>
      <c r="D16" s="9"/>
      <c r="E16" s="9"/>
      <c r="F16" s="111"/>
      <c r="G16" s="111"/>
    </row>
    <row r="17" spans="1:18" x14ac:dyDescent="0.55000000000000004">
      <c r="A17" s="2"/>
      <c r="B17" s="2"/>
      <c r="C17" s="9"/>
      <c r="D17" s="9"/>
      <c r="E17" s="9"/>
      <c r="F17" s="111"/>
      <c r="G17" s="111"/>
    </row>
    <row r="18" spans="1:18" x14ac:dyDescent="0.55000000000000004">
      <c r="D18" s="15"/>
      <c r="E18" s="15"/>
      <c r="F18" s="15"/>
      <c r="G18" s="15"/>
    </row>
    <row r="19" spans="1:18" x14ac:dyDescent="0.55000000000000004">
      <c r="D19" s="15"/>
      <c r="E19" s="15"/>
      <c r="F19" s="15"/>
      <c r="G19" s="15"/>
    </row>
    <row r="20" spans="1:18" x14ac:dyDescent="0.55000000000000004">
      <c r="D20" s="15"/>
      <c r="E20" s="15"/>
      <c r="F20" s="15"/>
      <c r="G20" s="15"/>
    </row>
    <row r="21" spans="1:18" x14ac:dyDescent="0.55000000000000004">
      <c r="D21" s="15"/>
      <c r="E21" s="15"/>
      <c r="F21" s="15"/>
      <c r="G21" s="15"/>
    </row>
    <row r="22" spans="1:18" hidden="1" x14ac:dyDescent="0.55000000000000004">
      <c r="D22" s="15"/>
      <c r="E22" s="15"/>
      <c r="F22" s="15"/>
      <c r="G22" s="15"/>
      <c r="I22" s="267"/>
      <c r="J22" s="268" t="s">
        <v>314</v>
      </c>
      <c r="K22" s="268"/>
      <c r="L22" s="268"/>
      <c r="M22" s="268"/>
      <c r="N22" s="268"/>
      <c r="O22" s="268"/>
      <c r="P22" s="268"/>
      <c r="Q22" s="267"/>
      <c r="R22" s="267"/>
    </row>
    <row r="23" spans="1:18" hidden="1" x14ac:dyDescent="0.55000000000000004">
      <c r="D23" s="15"/>
      <c r="E23" s="15"/>
      <c r="F23" s="15"/>
      <c r="G23" s="15"/>
      <c r="I23" s="269" t="s">
        <v>176</v>
      </c>
      <c r="J23" s="270">
        <f>År1</f>
        <v>2019</v>
      </c>
      <c r="K23" s="270">
        <f>År1</f>
        <v>2019</v>
      </c>
      <c r="L23" s="270">
        <f>År1</f>
        <v>2019</v>
      </c>
      <c r="M23" s="270">
        <f>År2</f>
        <v>2030</v>
      </c>
      <c r="N23" s="270">
        <f>År2</f>
        <v>2030</v>
      </c>
      <c r="O23" s="270">
        <f>År2</f>
        <v>2030</v>
      </c>
      <c r="P23" s="270">
        <f>År3</f>
        <v>2050</v>
      </c>
      <c r="Q23" s="270">
        <f>År3</f>
        <v>2050</v>
      </c>
      <c r="R23" s="270">
        <f>År3</f>
        <v>2050</v>
      </c>
    </row>
    <row r="24" spans="1:18" hidden="1" x14ac:dyDescent="0.55000000000000004">
      <c r="D24" s="15"/>
      <c r="E24" s="15"/>
      <c r="F24" s="15"/>
      <c r="G24" s="15"/>
      <c r="I24" s="269"/>
      <c r="J24" s="270" t="str">
        <f>Jordbund1</f>
        <v>JB1-10</v>
      </c>
      <c r="K24" s="270" t="str">
        <f>Organ6</f>
        <v>OC6</v>
      </c>
      <c r="L24" s="270" t="str">
        <f>Organ12</f>
        <v>OC12</v>
      </c>
      <c r="M24" s="270" t="str">
        <f>Jordbund1</f>
        <v>JB1-10</v>
      </c>
      <c r="N24" s="270" t="str">
        <f>Organ6</f>
        <v>OC6</v>
      </c>
      <c r="O24" s="270" t="str">
        <f>Organ12</f>
        <v>OC12</v>
      </c>
      <c r="P24" s="270" t="str">
        <f>Jordbund1</f>
        <v>JB1-10</v>
      </c>
      <c r="Q24" s="270" t="str">
        <f>Organ6</f>
        <v>OC6</v>
      </c>
      <c r="R24" s="270" t="str">
        <f>Organ12</f>
        <v>OC12</v>
      </c>
    </row>
    <row r="25" spans="1:18" hidden="1" x14ac:dyDescent="0.55000000000000004">
      <c r="D25" s="15"/>
      <c r="E25" s="15"/>
      <c r="F25" s="15"/>
      <c r="G25" s="15"/>
      <c r="I25" s="271" t="str">
        <f>Bebyg</f>
        <v>Bebyggelse &amp; infrastruktur</v>
      </c>
      <c r="J25" s="277">
        <f>SUMIF([1]Arealanvendelse!$B$15:$B$22,I25,[1]Arealanvendelse!$D$15:$D$22)-SUM(K25:L25)</f>
        <v>412730</v>
      </c>
      <c r="K25" s="277"/>
      <c r="L25" s="277"/>
      <c r="M25" s="280" cm="1">
        <f t="array" ref="M25">J25+(-SUMIFS(Arealanvendelse!$C:$C,Arealanvendelse!$F:$F,$I25,Arealanvendelse!$E:$E,M$24)*IF(M$24&lt;&gt;"JB1",[1]Jordbundstypefordeling!$F$4,[1]Arealanvendelse!$B7)+IF(M$24="JB1",SUM(IFERROR(VLOOKUP(Arealanvendelse!$F:$F,[1]Arealanvendelse!$A$7:$B$11,2,FALSE)*Arealanvendelse!$C:$C*(Arealanvendelse!$G:$G=$I25)*(Arealanvendelse!$E:$E=M$24),0)),SUMIFS(Arealanvendelse!$C:$C,Arealanvendelse!$G:$G,$I25,Arealanvendelse!$E:$E,M$24)*[1]Jordbundstypefordeling!$F$4))</f>
        <v>412730</v>
      </c>
      <c r="N25" s="280" cm="1">
        <f t="array" ref="N25">K25+(-SUMIFS(Arealanvendelse!$C:$C,Arealanvendelse!$F:$F,$I25,Arealanvendelse!$E:$E,N$24)*IF(N$24&lt;&gt;"JB1",[1]Jordbundstypefordeling!$F$4,[1]Arealanvendelse!$B7)+IF(N$24="JB1",SUM(IFERROR(VLOOKUP(Arealanvendelse!$F:$F,[1]Arealanvendelse!$A$7:$B$11,2,FALSE)*Arealanvendelse!$C:$C*(Arealanvendelse!$G:$G=$I25)*(Arealanvendelse!$E:$E=N$24),0)),SUMIFS(Arealanvendelse!$C:$C,Arealanvendelse!$G:$G,$I25,Arealanvendelse!$E:$E,N$24)*[1]Jordbundstypefordeling!$F$4))</f>
        <v>0</v>
      </c>
      <c r="O25" s="280" cm="1">
        <f t="array" ref="O25">L25+(-SUMIFS(Arealanvendelse!$C:$C,Arealanvendelse!$F:$F,$I25,Arealanvendelse!$E:$E,O$24)*IF(O$24&lt;&gt;"JB1",[1]Jordbundstypefordeling!$F$4,[1]Arealanvendelse!$B7)+IF(O$24="JB1",SUM(IFERROR(VLOOKUP(Arealanvendelse!$F:$F,[1]Arealanvendelse!$A$7:$B$11,2,FALSE)*Arealanvendelse!$C:$C*(Arealanvendelse!$G:$G=$I25)*(Arealanvendelse!$E:$E=O$24),0)),SUMIFS(Arealanvendelse!$C:$C,Arealanvendelse!$G:$G,$I25,Arealanvendelse!$E:$E,O$24)*[1]Jordbundstypefordeling!$F$4))</f>
        <v>0</v>
      </c>
      <c r="P25" s="280" cm="1">
        <f t="array" ref="P25">J25+(-SUMIFS(Arealanvendelse!$D:$D,Arealanvendelse!$F:$F,$I25,Arealanvendelse!$E:$E,P$24)*IF(P$24&lt;&gt;"JB1",[1]Jordbundstypefordeling!$F$4,[1]Arealanvendelse!$B7)+IF(P$24="JB1",SUM(IFERROR(VLOOKUP(Arealanvendelse!$F:$F,[1]Arealanvendelse!$A$7:$B$11,2,FALSE)*Arealanvendelse!$D:$D*(Arealanvendelse!$G:$G=$I25)*(Arealanvendelse!$E:$E=P$24),0)),SUMIFS(Arealanvendelse!$D:$D,Arealanvendelse!$G:$G,$I25,Arealanvendelse!$E:$E,P$24)*[1]Jordbundstypefordeling!$F$4))</f>
        <v>412730</v>
      </c>
      <c r="Q25" s="280" cm="1">
        <f t="array" ref="Q25">K25+(-SUMIFS(Arealanvendelse!$D:$D,Arealanvendelse!$F:$F,$I25,Arealanvendelse!$E:$E,Q$24)*IF(Q$24&lt;&gt;"JB1",[1]Jordbundstypefordeling!$F$4,[1]Arealanvendelse!$B7)+IF(Q$24="JB1",SUM(IFERROR(VLOOKUP(Arealanvendelse!$F:$F,[1]Arealanvendelse!$A$7:$B$11,2,FALSE)*Arealanvendelse!$D:$D*(Arealanvendelse!$G:$G=$I25)*(Arealanvendelse!$E:$E=Q$24),0)),SUMIFS(Arealanvendelse!$D:$D,Arealanvendelse!$G:$G,$I25,Arealanvendelse!$E:$E,Q$24)*[1]Jordbundstypefordeling!$F$4))</f>
        <v>0</v>
      </c>
      <c r="R25" s="280" cm="1">
        <f t="array" ref="R25">L25+(-SUMIFS(Arealanvendelse!$D:$D,Arealanvendelse!$F:$F,$I25,Arealanvendelse!$E:$E,R$24)*IF(R$24&lt;&gt;"JB1",[1]Jordbundstypefordeling!$F$4,[1]Arealanvendelse!$B7)+IF(R$24="JB1",SUM(IFERROR(VLOOKUP(Arealanvendelse!$F:$F,[1]Arealanvendelse!$A$7:$B$11,2,FALSE)*Arealanvendelse!$D:$D*(Arealanvendelse!$G:$G=$I25)*(Arealanvendelse!$E:$E=R$24),0)),SUMIFS(Arealanvendelse!$D:$D,Arealanvendelse!$G:$G,$I25,Arealanvendelse!$E:$E,R$24)*[1]Jordbundstypefordeling!$F$4))</f>
        <v>0</v>
      </c>
    </row>
    <row r="26" spans="1:18" hidden="1" x14ac:dyDescent="0.55000000000000004">
      <c r="D26" s="15"/>
      <c r="E26" s="15"/>
      <c r="F26" s="15"/>
      <c r="G26" s="15"/>
      <c r="I26" s="271" t="str">
        <f>Afgrøder</f>
        <v>Landbrugsafgrøder</v>
      </c>
      <c r="J26" s="277">
        <f>SUMIF([1]Arealanvendelse!$B$15:$B$22,I26,[1]Arealanvendelse!$D$15:$D$22)-SUM(K26:L26)</f>
        <v>1847465.5978301479</v>
      </c>
      <c r="K26" s="277">
        <f>[1]Jordbundstypefordeling!$D$16*[1]Jordbundstypefordeling!$F$4</f>
        <v>90723.841613092387</v>
      </c>
      <c r="L26" s="277">
        <f>[1]Jordbundstypefordeling!$D$15*[1]Jordbundstypefordeling!$F$4</f>
        <v>70620.560556759505</v>
      </c>
      <c r="M26" s="280" cm="1">
        <f t="array" ref="M26">J26+(-SUMIFS(Arealanvendelse!$C:$C,Arealanvendelse!$F:$F,$I26,Arealanvendelse!$E:$E,M$24)*IF(M$24&lt;&gt;"JB1",[1]Jordbundstypefordeling!$F$4,[1]Arealanvendelse!$B8)+IF(M$24="JB1",SUM(IFERROR(VLOOKUP(Arealanvendelse!$F:$F,[1]Arealanvendelse!$A$7:$B$11,2,FALSE)*Arealanvendelse!$C:$C*(Arealanvendelse!$G:$G=$I26)*(Arealanvendelse!$E:$E=M$24),0)),SUMIFS(Arealanvendelse!$C:$C,Arealanvendelse!$G:$G,$I26,Arealanvendelse!$E:$E,M$24)*[1]Jordbundstypefordeling!$F$4))</f>
        <v>1828599.0251279764</v>
      </c>
      <c r="N26" s="280" cm="1">
        <f t="array" ref="N26">K26+(-SUMIFS(Arealanvendelse!$C:$C,Arealanvendelse!$F:$F,$I26,Arealanvendelse!$E:$E,N$24)*IF(N$24&lt;&gt;"JB1",[1]Jordbundstypefordeling!$F$4,[1]Arealanvendelse!$B8)+IF(N$24="JB1",SUM(IFERROR(VLOOKUP(Arealanvendelse!$F:$F,[1]Arealanvendelse!$A$7:$B$11,2,FALSE)*Arealanvendelse!$C:$C*(Arealanvendelse!$G:$G=$I26)*(Arealanvendelse!$E:$E=N$24),0)),SUMIFS(Arealanvendelse!$C:$C,Arealanvendelse!$G:$G,$I26,Arealanvendelse!$E:$E,N$24)*[1]Jordbundstypefordeling!$F$4))</f>
        <v>83953.540404179206</v>
      </c>
      <c r="O26" s="280" cm="1">
        <f t="array" ref="O26">L26+(-SUMIFS(Arealanvendelse!$C:$C,Arealanvendelse!$F:$F,$I26,Arealanvendelse!$E:$E,O$24)*IF(O$24&lt;&gt;"JB1",[1]Jordbundstypefordeling!$F$4,[1]Arealanvendelse!$B8)+IF(O$24="JB1",SUM(IFERROR(VLOOKUP(Arealanvendelse!$F:$F,[1]Arealanvendelse!$A$7:$B$11,2,FALSE)*Arealanvendelse!$C:$C*(Arealanvendelse!$G:$G=$I26)*(Arealanvendelse!$E:$E=O$24),0)),SUMIFS(Arealanvendelse!$C:$C,Arealanvendelse!$G:$G,$I26,Arealanvendelse!$E:$E,O$24)*[1]Jordbundstypefordeling!$F$4))</f>
        <v>63850.259347846317</v>
      </c>
      <c r="P26" s="280" cm="1">
        <f t="array" ref="P26">J26+(-SUMIFS(Arealanvendelse!$D:$D,Arealanvendelse!$F:$F,$I26,Arealanvendelse!$E:$E,P$24)*IF(P$24&lt;&gt;"JB1",[1]Jordbundstypefordeling!$F$4,[1]Arealanvendelse!$B8)+IF(P$24="JB1",SUM(IFERROR(VLOOKUP(Arealanvendelse!$F:$F,[1]Arealanvendelse!$A$7:$B$11,2,FALSE)*Arealanvendelse!$D:$D*(Arealanvendelse!$G:$G=$I26)*(Arealanvendelse!$E:$E=P$24),0)),SUMIFS(Arealanvendelse!$D:$D,Arealanvendelse!$G:$G,$I26,Arealanvendelse!$E:$E,P$24)*[1]Jordbundstypefordeling!$F$4))</f>
        <v>1794296.1656694831</v>
      </c>
      <c r="Q26" s="280" cm="1">
        <f t="array" ref="Q26">K26+(-SUMIFS(Arealanvendelse!$D:$D,Arealanvendelse!$F:$F,$I26,Arealanvendelse!$E:$E,Q$24)*IF(Q$24&lt;&gt;"JB1",[1]Jordbundstypefordeling!$F$4,[1]Arealanvendelse!$B8)+IF(Q$24="JB1",SUM(IFERROR(VLOOKUP(Arealanvendelse!$F:$F,[1]Arealanvendelse!$A$7:$B$11,2,FALSE)*Arealanvendelse!$D:$D*(Arealanvendelse!$G:$G=$I26)*(Arealanvendelse!$E:$E=Q$24),0)),SUMIFS(Arealanvendelse!$D:$D,Arealanvendelse!$G:$G,$I26,Arealanvendelse!$E:$E,Q$24)*[1]Jordbundstypefordeling!$F$4))</f>
        <v>83953.540404179206</v>
      </c>
      <c r="R26" s="280" cm="1">
        <f t="array" ref="R26">L26+(-SUMIFS(Arealanvendelse!$D:$D,Arealanvendelse!$F:$F,$I26,Arealanvendelse!$E:$E,R$24)*IF(R$24&lt;&gt;"JB1",[1]Jordbundstypefordeling!$F$4,[1]Arealanvendelse!$B8)+IF(R$24="JB1",SUM(IFERROR(VLOOKUP(Arealanvendelse!$F:$F,[1]Arealanvendelse!$A$7:$B$11,2,FALSE)*Arealanvendelse!$D:$D*(Arealanvendelse!$G:$G=$I26)*(Arealanvendelse!$E:$E=R$24),0)),SUMIFS(Arealanvendelse!$D:$D,Arealanvendelse!$G:$G,$I26,Arealanvendelse!$E:$E,R$24)*[1]Jordbundstypefordeling!$F$4))</f>
        <v>63850.259347846317</v>
      </c>
    </row>
    <row r="27" spans="1:18" hidden="1" x14ac:dyDescent="0.55000000000000004">
      <c r="D27" s="15"/>
      <c r="E27" s="15"/>
      <c r="F27" s="15"/>
      <c r="G27" s="15"/>
      <c r="I27" s="271" t="str">
        <f>SkovAreal</f>
        <v>Skov</v>
      </c>
      <c r="J27" s="277">
        <f>SUMIF([1]Arealanvendelse!$B$15:$B$22,I27,[1]Arealanvendelse!$D$15:$D$22)-SUM(K27:L27)</f>
        <v>434670</v>
      </c>
      <c r="K27" s="277"/>
      <c r="L27" s="277"/>
      <c r="M27" s="280" cm="1">
        <f t="array" ref="M27">J27+(-SUMIFS(Arealanvendelse!$C:$C,Arealanvendelse!$F:$F,$I27,Arealanvendelse!$E:$E,M$24)*IF(M$24&lt;&gt;"JB1",[1]Jordbundstypefordeling!$F$4,[1]Arealanvendelse!$B9)+IF(M$24="JB1",SUM(IFERROR(VLOOKUP(Arealanvendelse!$F:$F,[1]Arealanvendelse!$A$7:$B$11,2,FALSE)*Arealanvendelse!$C:$C*(Arealanvendelse!$G:$G=$I27)*(Arealanvendelse!$E:$E=M$24),0)),SUMIFS(Arealanvendelse!$C:$C,Arealanvendelse!$G:$G,$I27,Arealanvendelse!$E:$E,M$24)*[1]Jordbundstypefordeling!$F$4))</f>
        <v>453536.5727021714</v>
      </c>
      <c r="N27" s="280" cm="1">
        <f t="array" ref="N27">K27+(-SUMIFS(Arealanvendelse!$C:$C,Arealanvendelse!$F:$F,$I27,Arealanvendelse!$E:$E,N$24)*IF(N$24&lt;&gt;"JB1",[1]Jordbundstypefordeling!$F$4,[1]Arealanvendelse!$B9)+IF(N$24="JB1",SUM(IFERROR(VLOOKUP(Arealanvendelse!$F:$F,[1]Arealanvendelse!$A$7:$B$11,2,FALSE)*Arealanvendelse!$C:$C*(Arealanvendelse!$G:$G=$I27)*(Arealanvendelse!$E:$E=N$24),0)),SUMIFS(Arealanvendelse!$C:$C,Arealanvendelse!$G:$G,$I27,Arealanvendelse!$E:$E,N$24)*[1]Jordbundstypefordeling!$F$4))</f>
        <v>0</v>
      </c>
      <c r="O27" s="280" cm="1">
        <f t="array" ref="O27">L27+(-SUMIFS(Arealanvendelse!$C:$C,Arealanvendelse!$F:$F,$I27,Arealanvendelse!$E:$E,O$24)*IF(O$24&lt;&gt;"JB1",[1]Jordbundstypefordeling!$F$4,[1]Arealanvendelse!$B9)+IF(O$24="JB1",SUM(IFERROR(VLOOKUP(Arealanvendelse!$F:$F,[1]Arealanvendelse!$A$7:$B$11,2,FALSE)*Arealanvendelse!$C:$C*(Arealanvendelse!$G:$G=$I27)*(Arealanvendelse!$E:$E=O$24),0)),SUMIFS(Arealanvendelse!$C:$C,Arealanvendelse!$G:$G,$I27,Arealanvendelse!$E:$E,O$24)*[1]Jordbundstypefordeling!$F$4))</f>
        <v>0</v>
      </c>
      <c r="P27" s="280" cm="1">
        <f t="array" ref="P27">J27+(-SUMIFS(Arealanvendelse!$D:$D,Arealanvendelse!$F:$F,$I27,Arealanvendelse!$E:$E,P$24)*IF(P$24&lt;&gt;"JB1",[1]Jordbundstypefordeling!$F$4,[1]Arealanvendelse!$B9)+IF(P$24="JB1",SUM(IFERROR(VLOOKUP(Arealanvendelse!$F:$F,[1]Arealanvendelse!$A$7:$B$11,2,FALSE)*Arealanvendelse!$D:$D*(Arealanvendelse!$G:$G=$I27)*(Arealanvendelse!$E:$E=P$24),0)),SUMIFS(Arealanvendelse!$D:$D,Arealanvendelse!$G:$G,$I27,Arealanvendelse!$E:$E,P$24)*[1]Jordbundstypefordeling!$F$4))</f>
        <v>487839.43216066487</v>
      </c>
      <c r="Q27" s="280" cm="1">
        <f t="array" ref="Q27">K27+(-SUMIFS(Arealanvendelse!$D:$D,Arealanvendelse!$F:$F,$I27,Arealanvendelse!$E:$E,Q$24)*IF(Q$24&lt;&gt;"JB1",[1]Jordbundstypefordeling!$F$4,[1]Arealanvendelse!$B9)+IF(Q$24="JB1",SUM(IFERROR(VLOOKUP(Arealanvendelse!$F:$F,[1]Arealanvendelse!$A$7:$B$11,2,FALSE)*Arealanvendelse!$D:$D*(Arealanvendelse!$G:$G=$I27)*(Arealanvendelse!$E:$E=Q$24),0)),SUMIFS(Arealanvendelse!$D:$D,Arealanvendelse!$G:$G,$I27,Arealanvendelse!$E:$E,Q$24)*[1]Jordbundstypefordeling!$F$4))</f>
        <v>0</v>
      </c>
      <c r="R27" s="280" cm="1">
        <f t="array" ref="R27">L27+(-SUMIFS(Arealanvendelse!$D:$D,Arealanvendelse!$F:$F,$I27,Arealanvendelse!$E:$E,R$24)*IF(R$24&lt;&gt;"JB1",[1]Jordbundstypefordeling!$F$4,[1]Arealanvendelse!$B9)+IF(R$24="JB1",SUM(IFERROR(VLOOKUP(Arealanvendelse!$F:$F,[1]Arealanvendelse!$A$7:$B$11,2,FALSE)*Arealanvendelse!$D:$D*(Arealanvendelse!$G:$G=$I27)*(Arealanvendelse!$E:$E=R$24),0)),SUMIFS(Arealanvendelse!$D:$D,Arealanvendelse!$G:$G,$I27,Arealanvendelse!$E:$E,R$24)*[1]Jordbundstypefordeling!$F$4))</f>
        <v>0</v>
      </c>
    </row>
    <row r="28" spans="1:18" hidden="1" x14ac:dyDescent="0.55000000000000004">
      <c r="D28" s="15"/>
      <c r="E28" s="15"/>
      <c r="F28" s="15"/>
      <c r="G28" s="15"/>
      <c r="I28" s="271" t="str">
        <f>NaturAreal</f>
        <v>Natur</v>
      </c>
      <c r="J28" s="277">
        <f>SUMIF([1]Arealanvendelse!$B$15:$B$22,I28,[1]Arealanvendelse!$D$15:$D$22)-SUM(K28:L28)</f>
        <v>288846.71526402031</v>
      </c>
      <c r="K28" s="277">
        <f>([1]Jordbundstypefordeling!$E$16-[1]Jordbundstypefordeling!$D$16)*SUM([1]Jordbundstypefordeling!$D$3:$D$5)</f>
        <v>55514.664499432409</v>
      </c>
      <c r="L28" s="277">
        <f>([1]Jordbundstypefordeling!$E$15-[1]Jordbundstypefordeling!$D$15)*SUM([1]Jordbundstypefordeling!D3:D5)</f>
        <v>45828.620236547278</v>
      </c>
      <c r="M28" s="280" cm="1">
        <f t="array" ref="M28">J28+(-SUMIFS(Arealanvendelse!$C:$C,Arealanvendelse!$F:$F,$I28,Arealanvendelse!$E:$E,M$24)*IF(M$24&lt;&gt;"JB1",[1]Jordbundstypefordeling!$F$4,[1]Arealanvendelse!$B10)+IF(M$24="JB1",SUM(IFERROR(VLOOKUP(Arealanvendelse!$F:$F,[1]Arealanvendelse!$A$7:$B$11,2,FALSE)*Arealanvendelse!$C:$C*(Arealanvendelse!$G:$G=$I28)*(Arealanvendelse!$E:$E=M$24),0)),SUMIFS(Arealanvendelse!$C:$C,Arealanvendelse!$G:$G,$I28,Arealanvendelse!$E:$E,M$24)*[1]Jordbundstypefordeling!$F$4))</f>
        <v>288846.71526402031</v>
      </c>
      <c r="N28" s="280" cm="1">
        <f t="array" ref="N28">K28+(-SUMIFS(Arealanvendelse!$C:$C,Arealanvendelse!$F:$F,$I28,Arealanvendelse!$E:$E,N$24)*IF(N$24&lt;&gt;"JB1",[1]Jordbundstypefordeling!$F$4,[1]Arealanvendelse!$B10)+IF(N$24="JB1",SUM(IFERROR(VLOOKUP(Arealanvendelse!$F:$F,[1]Arealanvendelse!$A$7:$B$11,2,FALSE)*Arealanvendelse!$C:$C*(Arealanvendelse!$G:$G=$I28)*(Arealanvendelse!$E:$E=N$24),0)),SUMIFS(Arealanvendelse!$C:$C,Arealanvendelse!$G:$G,$I28,Arealanvendelse!$E:$E,N$24)*[1]Jordbundstypefordeling!$F$4))</f>
        <v>62284.965708345597</v>
      </c>
      <c r="O28" s="280" cm="1">
        <f t="array" ref="O28">L28+(-SUMIFS(Arealanvendelse!$C:$C,Arealanvendelse!$F:$F,$I28,Arealanvendelse!$E:$E,O$24)*IF(O$24&lt;&gt;"JB1",[1]Jordbundstypefordeling!$F$4,[1]Arealanvendelse!$B10)+IF(O$24="JB1",SUM(IFERROR(VLOOKUP(Arealanvendelse!$F:$F,[1]Arealanvendelse!$A$7:$B$11,2,FALSE)*Arealanvendelse!$C:$C*(Arealanvendelse!$G:$G=$I28)*(Arealanvendelse!$E:$E=O$24),0)),SUMIFS(Arealanvendelse!$C:$C,Arealanvendelse!$G:$G,$I28,Arealanvendelse!$E:$E,O$24)*[1]Jordbundstypefordeling!$F$4))</f>
        <v>52598.921445460466</v>
      </c>
      <c r="P28" s="280" cm="1">
        <f t="array" ref="P28">J28+(-SUMIFS(Arealanvendelse!$D:$D,Arealanvendelse!$F:$F,$I28,Arealanvendelse!$E:$E,P$24)*IF(P$24&lt;&gt;"JB1",[1]Jordbundstypefordeling!$F$4,[1]Arealanvendelse!$B10)+IF(P$24="JB1",SUM(IFERROR(VLOOKUP(Arealanvendelse!$F:$F,[1]Arealanvendelse!$A$7:$B$11,2,FALSE)*Arealanvendelse!$D:$D*(Arealanvendelse!$G:$G=$I28)*(Arealanvendelse!$E:$E=P$24),0)),SUMIFS(Arealanvendelse!$D:$D,Arealanvendelse!$G:$G,$I28,Arealanvendelse!$E:$E,P$24)*[1]Jordbundstypefordeling!$F$4))</f>
        <v>288846.71526402031</v>
      </c>
      <c r="Q28" s="280" cm="1">
        <f t="array" ref="Q28">K28+(-SUMIFS(Arealanvendelse!$D:$D,Arealanvendelse!$F:$F,$I28,Arealanvendelse!$E:$E,Q$24)*IF(Q$24&lt;&gt;"JB1",[1]Jordbundstypefordeling!$F$4,[1]Arealanvendelse!$B10)+IF(Q$24="JB1",SUM(IFERROR(VLOOKUP(Arealanvendelse!$F:$F,[1]Arealanvendelse!$A$7:$B$11,2,FALSE)*Arealanvendelse!$D:$D*(Arealanvendelse!$G:$G=$I28)*(Arealanvendelse!$E:$E=Q$24),0)),SUMIFS(Arealanvendelse!$D:$D,Arealanvendelse!$G:$G,$I28,Arealanvendelse!$E:$E,Q$24)*[1]Jordbundstypefordeling!$F$4))</f>
        <v>62284.965708345597</v>
      </c>
      <c r="R28" s="280" cm="1">
        <f t="array" ref="R28">L28+(-SUMIFS(Arealanvendelse!$D:$D,Arealanvendelse!$F:$F,$I28,Arealanvendelse!$E:$E,R$24)*IF(R$24&lt;&gt;"JB1",[1]Jordbundstypefordeling!$F$4,[1]Arealanvendelse!$B10)+IF(R$24="JB1",SUM(IFERROR(VLOOKUP(Arealanvendelse!$F:$F,[1]Arealanvendelse!$A$7:$B$11,2,FALSE)*Arealanvendelse!$D:$D*(Arealanvendelse!$G:$G=$I28)*(Arealanvendelse!$E:$E=R$24),0)),SUMIFS(Arealanvendelse!$D:$D,Arealanvendelse!$G:$G,$I28,Arealanvendelse!$E:$E,R$24)*[1]Jordbundstypefordeling!$F$4))</f>
        <v>52598.921445460466</v>
      </c>
    </row>
    <row r="29" spans="1:18" ht="14.7" hidden="1" thickBot="1" x14ac:dyDescent="0.6">
      <c r="D29" s="15"/>
      <c r="E29" s="15"/>
      <c r="F29" s="15"/>
      <c r="G29" s="15"/>
      <c r="I29" s="272" t="str">
        <f>IKareal</f>
        <v>Ikke klassificeret</v>
      </c>
      <c r="J29" s="278">
        <f>SUMIF([1]Arealanvendelse!$B$15:$B$22,I29,[1]Arealanvendelse!$D$15:$D$22)-SUM(K29:L29)</f>
        <v>46640</v>
      </c>
      <c r="K29" s="278"/>
      <c r="L29" s="278"/>
      <c r="M29" s="281" cm="1">
        <f t="array" ref="M29">J29+(-SUMIFS(Arealanvendelse!$C:$C,Arealanvendelse!$F:$F,$I29,Arealanvendelse!$E:$E,M$24)*IF(M$24&lt;&gt;"JB1",[1]Jordbundstypefordeling!$F$4,[1]Arealanvendelse!$B11)+IF(M$24="JB1",SUM(IFERROR(VLOOKUP(Arealanvendelse!$F:$F,[1]Arealanvendelse!$A$7:$B$11,2,FALSE)*Arealanvendelse!$C:$C*(Arealanvendelse!$G:$G=$I29)*(Arealanvendelse!$E:$E=M$24),0)),SUMIFS(Arealanvendelse!$C:$C,Arealanvendelse!$G:$G,$I29,Arealanvendelse!$E:$E,M$24)*[1]Jordbundstypefordeling!$F$4))</f>
        <v>46640</v>
      </c>
      <c r="N29" s="281" cm="1">
        <f t="array" ref="N29">K29+(-SUMIFS(Arealanvendelse!$C:$C,Arealanvendelse!$F:$F,$I29,Arealanvendelse!$E:$E,N$24)*IF(N$24&lt;&gt;"JB1",[1]Jordbundstypefordeling!$F$4,[1]Arealanvendelse!$B11)+IF(N$24="JB1",SUM(IFERROR(VLOOKUP(Arealanvendelse!$F:$F,[1]Arealanvendelse!$A$7:$B$11,2,FALSE)*Arealanvendelse!$C:$C*(Arealanvendelse!$G:$G=$I29)*(Arealanvendelse!$E:$E=N$24),0)),SUMIFS(Arealanvendelse!$C:$C,Arealanvendelse!$G:$G,$I29,Arealanvendelse!$E:$E,N$24)*[1]Jordbundstypefordeling!$F$4))</f>
        <v>0</v>
      </c>
      <c r="O29" s="281" cm="1">
        <f t="array" ref="O29">L29+(-SUMIFS(Arealanvendelse!$C:$C,Arealanvendelse!$F:$F,$I29,Arealanvendelse!$E:$E,O$24)*IF(O$24&lt;&gt;"JB1",[1]Jordbundstypefordeling!$F$4,[1]Arealanvendelse!$B11)+IF(O$24="JB1",SUM(IFERROR(VLOOKUP(Arealanvendelse!$F:$F,[1]Arealanvendelse!$A$7:$B$11,2,FALSE)*Arealanvendelse!$C:$C*(Arealanvendelse!$G:$G=$I29)*(Arealanvendelse!$E:$E=O$24),0)),SUMIFS(Arealanvendelse!$C:$C,Arealanvendelse!$G:$G,$I29,Arealanvendelse!$E:$E,O$24)*[1]Jordbundstypefordeling!$F$4))</f>
        <v>0</v>
      </c>
      <c r="P29" s="281" cm="1">
        <f t="array" ref="P29">J29+(-SUMIFS(Arealanvendelse!$D:$D,Arealanvendelse!$F:$F,$I29,Arealanvendelse!$E:$E,P$24)*IF(P$24&lt;&gt;"JB1",[1]Jordbundstypefordeling!$F$4,[1]Arealanvendelse!$B11)+IF(P$24="JB1",SUM(IFERROR(VLOOKUP(Arealanvendelse!$F:$F,[1]Arealanvendelse!$A$7:$B$11,2,FALSE)*Arealanvendelse!$D:$D*(Arealanvendelse!$G:$G=$I29)*(Arealanvendelse!$E:$E=P$24),0)),SUMIFS(Arealanvendelse!$D:$D,Arealanvendelse!$G:$G,$I29,Arealanvendelse!$E:$E,P$24)*[1]Jordbundstypefordeling!$F$4))</f>
        <v>46640</v>
      </c>
      <c r="Q29" s="281" cm="1">
        <f t="array" ref="Q29">K29+(-SUMIFS(Arealanvendelse!$D:$D,Arealanvendelse!$F:$F,$I29,Arealanvendelse!$E:$E,Q$24)*IF(Q$24&lt;&gt;"JB1",[1]Jordbundstypefordeling!$F$4,[1]Arealanvendelse!$B11)+IF(Q$24="JB1",SUM(IFERROR(VLOOKUP(Arealanvendelse!$F:$F,[1]Arealanvendelse!$A$7:$B$11,2,FALSE)*Arealanvendelse!$D:$D*(Arealanvendelse!$G:$G=$I29)*(Arealanvendelse!$E:$E=Q$24),0)),SUMIFS(Arealanvendelse!$D:$D,Arealanvendelse!$G:$G,$I29,Arealanvendelse!$E:$E,Q$24)*[1]Jordbundstypefordeling!$F$4))</f>
        <v>0</v>
      </c>
      <c r="R29" s="281" cm="1">
        <f t="array" ref="R29">L29+(-SUMIFS(Arealanvendelse!$D:$D,Arealanvendelse!$F:$F,$I29,Arealanvendelse!$E:$E,R$24)*IF(R$24&lt;&gt;"JB1",[1]Jordbundstypefordeling!$F$4,[1]Arealanvendelse!$B11)+IF(R$24="JB1",SUM(IFERROR(VLOOKUP(Arealanvendelse!$F:$F,[1]Arealanvendelse!$A$7:$B$11,2,FALSE)*Arealanvendelse!$D:$D*(Arealanvendelse!$G:$G=$I29)*(Arealanvendelse!$E:$E=R$24),0)),SUMIFS(Arealanvendelse!$D:$D,Arealanvendelse!$G:$G,$I29,Arealanvendelse!$E:$E,R$24)*[1]Jordbundstypefordeling!$F$4))</f>
        <v>0</v>
      </c>
    </row>
    <row r="30" spans="1:18" hidden="1" x14ac:dyDescent="0.55000000000000004">
      <c r="I30" s="273" t="s">
        <v>30</v>
      </c>
      <c r="J30" s="279">
        <f t="shared" ref="J30:R30" si="6">SUM(J25:J29)</f>
        <v>3030352.3130941684</v>
      </c>
      <c r="K30" s="279">
        <f t="shared" si="6"/>
        <v>146238.5061125248</v>
      </c>
      <c r="L30" s="279">
        <f t="shared" si="6"/>
        <v>116449.18079330679</v>
      </c>
      <c r="M30" s="282">
        <f t="shared" si="6"/>
        <v>3030352.313094168</v>
      </c>
      <c r="N30" s="282">
        <f t="shared" si="6"/>
        <v>146238.5061125248</v>
      </c>
      <c r="O30" s="282">
        <f t="shared" si="6"/>
        <v>116449.18079330679</v>
      </c>
      <c r="P30" s="282">
        <f t="shared" si="6"/>
        <v>3030352.3130941684</v>
      </c>
      <c r="Q30" s="282">
        <f t="shared" si="6"/>
        <v>146238.5061125248</v>
      </c>
      <c r="R30" s="282">
        <f t="shared" si="6"/>
        <v>116449.18079330679</v>
      </c>
    </row>
    <row r="31" spans="1:18" hidden="1" x14ac:dyDescent="0.55000000000000004">
      <c r="I31" s="274"/>
      <c r="J31" s="275"/>
      <c r="K31" s="275"/>
      <c r="L31" s="275"/>
      <c r="M31" s="276"/>
      <c r="N31" s="275"/>
      <c r="O31" s="275"/>
      <c r="P31" s="275"/>
      <c r="Q31" s="275"/>
      <c r="R31" s="275"/>
    </row>
    <row r="32" spans="1:18" hidden="1" x14ac:dyDescent="0.55000000000000004">
      <c r="I32" s="274"/>
      <c r="J32" s="268" t="s">
        <v>315</v>
      </c>
      <c r="K32" s="268"/>
      <c r="L32" s="268"/>
      <c r="M32" s="268"/>
      <c r="N32" s="268"/>
      <c r="O32" s="268"/>
      <c r="P32" s="268"/>
      <c r="Q32" s="268"/>
      <c r="R32" s="268"/>
    </row>
    <row r="33" spans="9:18" hidden="1" x14ac:dyDescent="0.55000000000000004">
      <c r="I33" s="269" t="s">
        <v>176</v>
      </c>
      <c r="J33" s="270">
        <f>År1</f>
        <v>2019</v>
      </c>
      <c r="K33" s="270">
        <f>År1</f>
        <v>2019</v>
      </c>
      <c r="L33" s="270">
        <f>År1</f>
        <v>2019</v>
      </c>
      <c r="M33" s="270">
        <v>2030</v>
      </c>
      <c r="N33" s="270">
        <v>2030</v>
      </c>
      <c r="O33" s="270">
        <v>2030</v>
      </c>
      <c r="P33" s="270">
        <f>År3</f>
        <v>2050</v>
      </c>
      <c r="Q33" s="270">
        <f>År3</f>
        <v>2050</v>
      </c>
      <c r="R33" s="270">
        <f>År3</f>
        <v>2050</v>
      </c>
    </row>
    <row r="34" spans="9:18" hidden="1" x14ac:dyDescent="0.55000000000000004">
      <c r="I34" s="269"/>
      <c r="J34" s="270" t="str">
        <f>Jordbund1</f>
        <v>JB1-10</v>
      </c>
      <c r="K34" s="270" t="str">
        <f>Organ6</f>
        <v>OC6</v>
      </c>
      <c r="L34" s="270" t="str">
        <f>Organ12</f>
        <v>OC12</v>
      </c>
      <c r="M34" s="270" t="str">
        <f>Jordbund1</f>
        <v>JB1-10</v>
      </c>
      <c r="N34" s="270" t="str">
        <f>Organ6</f>
        <v>OC6</v>
      </c>
      <c r="O34" s="270" t="str">
        <f>Organ12</f>
        <v>OC12</v>
      </c>
      <c r="P34" s="270" t="str">
        <f>Jordbund1</f>
        <v>JB1-10</v>
      </c>
      <c r="Q34" s="270" t="str">
        <f>Organ6</f>
        <v>OC6</v>
      </c>
      <c r="R34" s="270" t="str">
        <f>Organ12</f>
        <v>OC12</v>
      </c>
    </row>
    <row r="35" spans="9:18" hidden="1" x14ac:dyDescent="0.55000000000000004">
      <c r="I35" s="271" t="str">
        <f>Bebyg</f>
        <v>Bebyggelse &amp; infrastruktur</v>
      </c>
      <c r="J35" s="277">
        <f>SUMIF([1]Arealanvendelse!$B$15:$B$22,I35,[1]Arealanvendelse!$E$15:$E$22)-SUM(K35:L35)</f>
        <v>178500</v>
      </c>
      <c r="K35" s="277"/>
      <c r="L35" s="277"/>
      <c r="M35" s="280" cm="1">
        <f t="array" ref="M35">J35+(-SUMIFS(Arealanvendelse!$C:$C,Arealanvendelse!$F:$F,$I35,Arealanvendelse!$E:$E,M$34)*IF(M$34&lt;&gt;"JB1",[1]Jordbundstypefordeling!$G$4,[1]Arealanvendelse!$C7)+IF(M$34="JB1",SUM(IFERROR(VLOOKUP(Arealanvendelse!$F:$F,[1]Arealanvendelse!$A$7:$C$11,3,FALSE)*Arealanvendelse!$C:$C*(Arealanvendelse!$G:$G=$I35)*(Arealanvendelse!$E:$E=M$34),0)),SUMIFS(Arealanvendelse!$C:$C,Arealanvendelse!$G:$G,$I35,Arealanvendelse!$E:$E,M$34)*[1]Jordbundstypefordeling!$G$4))</f>
        <v>178500</v>
      </c>
      <c r="N35" s="280" cm="1">
        <f t="array" ref="N35">K35+(-SUMIFS(Arealanvendelse!$C:$C,Arealanvendelse!$F:$F,$I35,Arealanvendelse!$E:$E,N$34)*IF(N$34&lt;&gt;"JB1",[1]Jordbundstypefordeling!$G$4,[1]Arealanvendelse!$C7)+IF(N$34="JB1",SUM(IFERROR(VLOOKUP(Arealanvendelse!$F:$F,[1]Arealanvendelse!$A$7:$C$11,3,FALSE)*Arealanvendelse!$C:$C*(Arealanvendelse!$G:$G=$I35)*(Arealanvendelse!$E:$E=N$34),0)),SUMIFS(Arealanvendelse!$C:$C,Arealanvendelse!$G:$G,$I35,Arealanvendelse!$E:$E,N$34)*[1]Jordbundstypefordeling!$G$4))</f>
        <v>0</v>
      </c>
      <c r="O35" s="280" cm="1">
        <f t="array" ref="O35">L35+(-SUMIFS(Arealanvendelse!$C:$C,Arealanvendelse!$F:$F,$I35,Arealanvendelse!$E:$E,O$34)*IF(O$34&lt;&gt;"JB1",[1]Jordbundstypefordeling!$G$4,[1]Arealanvendelse!$C7)+IF(O$34="JB1",SUM(IFERROR(VLOOKUP(Arealanvendelse!$F:$F,[1]Arealanvendelse!$A$7:$C$11,3,FALSE)*Arealanvendelse!$C:$C*(Arealanvendelse!$G:$G=$I35)*(Arealanvendelse!$E:$E=O$34),0)),SUMIFS(Arealanvendelse!$C:$C,Arealanvendelse!$G:$G,$I35,Arealanvendelse!$E:$E,O$34)*[1]Jordbundstypefordeling!$G$4))</f>
        <v>0</v>
      </c>
      <c r="P35" s="280" cm="1">
        <f t="array" ref="P35">J35+(-SUMIFS(Arealanvendelse!$D:$D,Arealanvendelse!$F:$F,$I35,Arealanvendelse!$E:$E,P$34)*IF(P$34&lt;&gt;"JB1",[1]Jordbundstypefordeling!$G$4,[1]Arealanvendelse!$C7)+IF(P$34="JB1",SUM(IFERROR(VLOOKUP(Arealanvendelse!$F:$F,[1]Arealanvendelse!$A$7:$C$11,3,FALSE)*Arealanvendelse!$D:$D*(Arealanvendelse!$G:$G=$I35)*(Arealanvendelse!$E:$E=P$34),0)),SUMIFS(Arealanvendelse!$D:$D,Arealanvendelse!$G:$G,$I35,Arealanvendelse!$E:$E,P$34)*[1]Jordbundstypefordeling!$G$4))</f>
        <v>178500</v>
      </c>
      <c r="Q35" s="280" cm="1">
        <f t="array" ref="Q35">K35+(-SUMIFS(Arealanvendelse!$D:$D,Arealanvendelse!$F:$F,$I35,Arealanvendelse!$E:$E,Q$34)*IF(Q$34&lt;&gt;"JB1",[1]Jordbundstypefordeling!$G$4,[1]Arealanvendelse!$C7)+IF(Q$34="JB1",SUM(IFERROR(VLOOKUP(Arealanvendelse!$F:$F,[1]Arealanvendelse!$A$7:$C$11,3,FALSE)*Arealanvendelse!$D:$D*(Arealanvendelse!$G:$G=$I35)*(Arealanvendelse!$E:$E=Q$34),0)),SUMIFS(Arealanvendelse!$D:$D,Arealanvendelse!$G:$G,$I35,Arealanvendelse!$E:$E,Q$34)*[1]Jordbundstypefordeling!$G$4))</f>
        <v>0</v>
      </c>
      <c r="R35" s="280" cm="1">
        <f t="array" ref="R35">L35+(-SUMIFS(Arealanvendelse!$D:$D,Arealanvendelse!$F:$F,$I35,Arealanvendelse!$E:$E,R$34)*IF(R$34&lt;&gt;"JB1",[1]Jordbundstypefordeling!$G$4,[1]Arealanvendelse!$C7)+IF(R$34="JB1",SUM(IFERROR(VLOOKUP(Arealanvendelse!$F:$F,[1]Arealanvendelse!$A$7:$C$11,3,FALSE)*Arealanvendelse!$D:$D*(Arealanvendelse!$G:$G=$I35)*(Arealanvendelse!$E:$E=R$34),0)),SUMIFS(Arealanvendelse!$D:$D,Arealanvendelse!$G:$G,$I35,Arealanvendelse!$E:$E,R$34)*[1]Jordbundstypefordeling!$G$4))</f>
        <v>0</v>
      </c>
    </row>
    <row r="36" spans="9:18" hidden="1" x14ac:dyDescent="0.55000000000000004">
      <c r="I36" s="271" t="str">
        <f>Afgrøder</f>
        <v>Landbrugsafgrøder</v>
      </c>
      <c r="J36" s="277">
        <f>SUMIF([1]Arealanvendelse!$B$15:$B$22,I36,[1]Arealanvendelse!$E$15:$E$22)-SUM(K36:L36)</f>
        <v>552170.40216985194</v>
      </c>
      <c r="K36" s="277">
        <f>[1]Jordbundstypefordeling!$D$16*[1]Jordbundstypefordeling!$G$4</f>
        <v>9778.158386907593</v>
      </c>
      <c r="L36" s="277">
        <f>[1]Jordbundstypefordeling!$D$15*[1]Jordbundstypefordeling!$G$4</f>
        <v>7611.4394432404806</v>
      </c>
      <c r="M36" s="280" cm="1">
        <f t="array" ref="M36">J36+(-SUMIFS(Arealanvendelse!$C:$C,Arealanvendelse!$F:$F,$I36,Arealanvendelse!$E:$E,M$34)*IF(M$34&lt;&gt;"JB1",[1]Jordbundstypefordeling!$G$4,[1]Arealanvendelse!$C8)+IF(M$34="JB1",SUM(IFERROR(VLOOKUP(Arealanvendelse!$F:$F,[1]Arealanvendelse!$A$7:$C$11,3,FALSE)*Arealanvendelse!$C:$C*(Arealanvendelse!$G:$G=$I36)*(Arealanvendelse!$E:$E=M$34),0)),SUMIFS(Arealanvendelse!$C:$C,Arealanvendelse!$G:$G,$I36,Arealanvendelse!$E:$E,M$34)*[1]Jordbundstypefordeling!$G$4))</f>
        <v>550136.97487202333</v>
      </c>
      <c r="N36" s="280" cm="1">
        <f t="array" ref="N36">K36+(-SUMIFS(Arealanvendelse!$C:$C,Arealanvendelse!$F:$F,$I36,Arealanvendelse!$E:$E,N$34)*IF(N$34&lt;&gt;"JB1",[1]Jordbundstypefordeling!$G$4,[1]Arealanvendelse!$C8)+IF(N$34="JB1",SUM(IFERROR(VLOOKUP(Arealanvendelse!$F:$F,[1]Arealanvendelse!$A$7:$C$11,3,FALSE)*Arealanvendelse!$C:$C*(Arealanvendelse!$G:$G=$I36)*(Arealanvendelse!$E:$E=N$34),0)),SUMIFS(Arealanvendelse!$C:$C,Arealanvendelse!$G:$G,$I36,Arealanvendelse!$E:$E,N$34)*[1]Jordbundstypefordeling!$G$4))</f>
        <v>9048.4595958207792</v>
      </c>
      <c r="O36" s="280" cm="1">
        <f t="array" ref="O36">L36+(-SUMIFS(Arealanvendelse!$C:$C,Arealanvendelse!$F:$F,$I36,Arealanvendelse!$E:$E,O$34)*IF(O$34&lt;&gt;"JB1",[1]Jordbundstypefordeling!$G$4,[1]Arealanvendelse!$C8)+IF(O$34="JB1",SUM(IFERROR(VLOOKUP(Arealanvendelse!$F:$F,[1]Arealanvendelse!$A$7:$C$11,3,FALSE)*Arealanvendelse!$C:$C*(Arealanvendelse!$G:$G=$I36)*(Arealanvendelse!$E:$E=O$34),0)),SUMIFS(Arealanvendelse!$C:$C,Arealanvendelse!$G:$G,$I36,Arealanvendelse!$E:$E,O$34)*[1]Jordbundstypefordeling!$G$4))</f>
        <v>6881.7406521536668</v>
      </c>
      <c r="P36" s="280" cm="1">
        <f t="array" ref="P36">J36+(-SUMIFS(Arealanvendelse!$D:$D,Arealanvendelse!$F:$F,$I36,Arealanvendelse!$E:$E,P$34)*IF(P$34&lt;&gt;"JB1",[1]Jordbundstypefordeling!$G$4,[1]Arealanvendelse!$C8)+IF(P$34="JB1",SUM(IFERROR(VLOOKUP(Arealanvendelse!$F:$F,[1]Arealanvendelse!$A$7:$C$11,3,FALSE)*Arealanvendelse!$D:$D*(Arealanvendelse!$G:$G=$I36)*(Arealanvendelse!$E:$E=P$34),0)),SUMIFS(Arealanvendelse!$D:$D,Arealanvendelse!$G:$G,$I36,Arealanvendelse!$E:$E,P$34)*[1]Jordbundstypefordeling!$G$4))</f>
        <v>546439.83433051687</v>
      </c>
      <c r="Q36" s="280" cm="1">
        <f t="array" ref="Q36">K36+(-SUMIFS(Arealanvendelse!$D:$D,Arealanvendelse!$F:$F,$I36,Arealanvendelse!$E:$E,Q$34)*IF(Q$34&lt;&gt;"JB1",[1]Jordbundstypefordeling!$G$4,[1]Arealanvendelse!$C8)+IF(Q$34="JB1",SUM(IFERROR(VLOOKUP(Arealanvendelse!$F:$F,[1]Arealanvendelse!$A$7:$C$11,3,FALSE)*Arealanvendelse!$D:$D*(Arealanvendelse!$G:$G=$I36)*(Arealanvendelse!$E:$E=Q$34),0)),SUMIFS(Arealanvendelse!$D:$D,Arealanvendelse!$G:$G,$I36,Arealanvendelse!$E:$E,Q$34)*[1]Jordbundstypefordeling!$G$4))</f>
        <v>9048.4595958207792</v>
      </c>
      <c r="R36" s="280" cm="1">
        <f t="array" ref="R36">L36+(-SUMIFS(Arealanvendelse!$D:$D,Arealanvendelse!$F:$F,$I36,Arealanvendelse!$E:$E,R$34)*IF(R$34&lt;&gt;"JB1",[1]Jordbundstypefordeling!$G$4,[1]Arealanvendelse!$C8)+IF(R$34="JB1",SUM(IFERROR(VLOOKUP(Arealanvendelse!$F:$F,[1]Arealanvendelse!$A$7:$C$11,3,FALSE)*Arealanvendelse!$D:$D*(Arealanvendelse!$G:$G=$I36)*(Arealanvendelse!$E:$E=R$34),0)),SUMIFS(Arealanvendelse!$D:$D,Arealanvendelse!$G:$G,$I36,Arealanvendelse!$E:$E,R$34)*[1]Jordbundstypefordeling!$G$4))</f>
        <v>6881.7406521536668</v>
      </c>
    </row>
    <row r="37" spans="9:18" hidden="1" x14ac:dyDescent="0.55000000000000004">
      <c r="I37" s="271" t="str">
        <f>SkovAreal</f>
        <v>Skov</v>
      </c>
      <c r="J37" s="277">
        <f>SUMIF([1]Arealanvendelse!$B$15:$B$22,I37,[1]Arealanvendelse!$E$15:$E$22)-SUM(K37:L37)</f>
        <v>127230</v>
      </c>
      <c r="K37" s="277"/>
      <c r="L37" s="277"/>
      <c r="M37" s="280" cm="1">
        <f t="array" ref="M37">J37+(-SUMIFS(Arealanvendelse!$C:$C,Arealanvendelse!$F:$F,$I37,Arealanvendelse!$E:$E,M$34)*IF(M$34&lt;&gt;"JB1",[1]Jordbundstypefordeling!$G$4,[1]Arealanvendelse!$C9)+IF(M$34="JB1",SUM(IFERROR(VLOOKUP(Arealanvendelse!$F:$F,[1]Arealanvendelse!$A$7:$C$11,3,FALSE)*Arealanvendelse!$C:$C*(Arealanvendelse!$G:$G=$I37)*(Arealanvendelse!$E:$E=M$34),0)),SUMIFS(Arealanvendelse!$C:$C,Arealanvendelse!$G:$G,$I37,Arealanvendelse!$E:$E,M$34)*[1]Jordbundstypefordeling!$G$4))</f>
        <v>129263.42729782859</v>
      </c>
      <c r="N37" s="280" cm="1">
        <f t="array" ref="N37">K37+(-SUMIFS(Arealanvendelse!$C:$C,Arealanvendelse!$F:$F,$I37,Arealanvendelse!$E:$E,N$34)*IF(N$34&lt;&gt;"JB1",[1]Jordbundstypefordeling!$G$4,[1]Arealanvendelse!$C9)+IF(N$34="JB1",SUM(IFERROR(VLOOKUP(Arealanvendelse!$F:$F,[1]Arealanvendelse!$A$7:$C$11,3,FALSE)*Arealanvendelse!$C:$C*(Arealanvendelse!$G:$G=$I37)*(Arealanvendelse!$E:$E=N$34),0)),SUMIFS(Arealanvendelse!$C:$C,Arealanvendelse!$G:$G,$I37,Arealanvendelse!$E:$E,N$34)*[1]Jordbundstypefordeling!$G$4))</f>
        <v>0</v>
      </c>
      <c r="O37" s="280" cm="1">
        <f t="array" ref="O37">L37+(-SUMIFS(Arealanvendelse!$C:$C,Arealanvendelse!$F:$F,$I37,Arealanvendelse!$E:$E,O$34)*IF(O$34&lt;&gt;"JB1",[1]Jordbundstypefordeling!$G$4,[1]Arealanvendelse!$C9)+IF(O$34="JB1",SUM(IFERROR(VLOOKUP(Arealanvendelse!$F:$F,[1]Arealanvendelse!$A$7:$C$11,3,FALSE)*Arealanvendelse!$C:$C*(Arealanvendelse!$G:$G=$I37)*(Arealanvendelse!$E:$E=O$34),0)),SUMIFS(Arealanvendelse!$C:$C,Arealanvendelse!$G:$G,$I37,Arealanvendelse!$E:$E,O$34)*[1]Jordbundstypefordeling!$G$4))</f>
        <v>0</v>
      </c>
      <c r="P37" s="280" cm="1">
        <f t="array" ref="P37">J37+(-SUMIFS(Arealanvendelse!$D:$D,Arealanvendelse!$F:$F,$I37,Arealanvendelse!$E:$E,P$34)*IF(P$34&lt;&gt;"JB1",[1]Jordbundstypefordeling!$G$4,[1]Arealanvendelse!$C9)+IF(P$34="JB1",SUM(IFERROR(VLOOKUP(Arealanvendelse!$F:$F,[1]Arealanvendelse!$A$7:$C$11,3,FALSE)*Arealanvendelse!$D:$D*(Arealanvendelse!$G:$G=$I37)*(Arealanvendelse!$E:$E=P$34),0)),SUMIFS(Arealanvendelse!$D:$D,Arealanvendelse!$G:$G,$I37,Arealanvendelse!$E:$E,P$34)*[1]Jordbundstypefordeling!$G$4))</f>
        <v>132960.5678393351</v>
      </c>
      <c r="Q37" s="280" cm="1">
        <f t="array" ref="Q37">K37+(-SUMIFS(Arealanvendelse!$D:$D,Arealanvendelse!$F:$F,$I37,Arealanvendelse!$E:$E,Q$34)*IF(Q$34&lt;&gt;"JB1",[1]Jordbundstypefordeling!$G$4,[1]Arealanvendelse!$C9)+IF(Q$34="JB1",SUM(IFERROR(VLOOKUP(Arealanvendelse!$F:$F,[1]Arealanvendelse!$A$7:$C$11,3,FALSE)*Arealanvendelse!$D:$D*(Arealanvendelse!$G:$G=$I37)*(Arealanvendelse!$E:$E=Q$34),0)),SUMIFS(Arealanvendelse!$D:$D,Arealanvendelse!$G:$G,$I37,Arealanvendelse!$E:$E,Q$34)*[1]Jordbundstypefordeling!$G$4))</f>
        <v>0</v>
      </c>
      <c r="R37" s="280" cm="1">
        <f t="array" ref="R37">L37+(-SUMIFS(Arealanvendelse!$D:$D,Arealanvendelse!$F:$F,$I37,Arealanvendelse!$E:$E,R$34)*IF(R$34&lt;&gt;"JB1",[1]Jordbundstypefordeling!$G$4,[1]Arealanvendelse!$C9)+IF(R$34="JB1",SUM(IFERROR(VLOOKUP(Arealanvendelse!$F:$F,[1]Arealanvendelse!$A$7:$C$11,3,FALSE)*Arealanvendelse!$D:$D*(Arealanvendelse!$G:$G=$I37)*(Arealanvendelse!$E:$E=R$34),0)),SUMIFS(Arealanvendelse!$D:$D,Arealanvendelse!$G:$G,$I37,Arealanvendelse!$E:$E,R$34)*[1]Jordbundstypefordeling!$G$4))</f>
        <v>0</v>
      </c>
    </row>
    <row r="38" spans="9:18" hidden="1" x14ac:dyDescent="0.55000000000000004">
      <c r="I38" s="271" t="str">
        <f>NaturAreal</f>
        <v>Natur</v>
      </c>
      <c r="J38" s="277">
        <f>SUMIF([1]Arealanvendelse!$B$15:$B$22,I38,[1]Arealanvendelse!$E$15:$E$22)-SUM(K38:L38)</f>
        <v>71807.284735979716</v>
      </c>
      <c r="K38" s="277">
        <f>([1]Jordbundstypefordeling!$E$16-[1]Jordbundstypefordeling!$D$16)*[1]Jordbundstypefordeling!$G$4</f>
        <v>5983.3355005675821</v>
      </c>
      <c r="L38" s="277">
        <f>([1]Jordbundstypefordeling!$E$15-[1]Jordbundstypefordeling!$D$15)*[1]Jordbundstypefordeling!$G$4</f>
        <v>4939.3797634527136</v>
      </c>
      <c r="M38" s="280" cm="1">
        <f t="array" ref="M38">J38+(-SUMIFS(Arealanvendelse!$C:$C,Arealanvendelse!$F:$F,$I38,Arealanvendelse!$E:$E,M$34)*IF(M$34&lt;&gt;"JB1",[1]Jordbundstypefordeling!$G$4,[1]Arealanvendelse!$C10)+IF(M$34="JB1",SUM(IFERROR(VLOOKUP(Arealanvendelse!$F:$F,[1]Arealanvendelse!$A$7:$C$11,3,FALSE)*Arealanvendelse!$C:$C*(Arealanvendelse!$G:$G=$I38)*(Arealanvendelse!$E:$E=M$34),0)),SUMIFS(Arealanvendelse!$C:$C,Arealanvendelse!$G:$G,$I38,Arealanvendelse!$E:$E,M$34)*[1]Jordbundstypefordeling!$G$4))</f>
        <v>71807.284735979716</v>
      </c>
      <c r="N38" s="280" cm="1">
        <f t="array" ref="N38">K38+(-SUMIFS(Arealanvendelse!$C:$C,Arealanvendelse!$F:$F,$I38,Arealanvendelse!$E:$E,N$34)*IF(N$34&lt;&gt;"JB1",[1]Jordbundstypefordeling!$G$4,[1]Arealanvendelse!$C10)+IF(N$34="JB1",SUM(IFERROR(VLOOKUP(Arealanvendelse!$F:$F,[1]Arealanvendelse!$A$7:$C$11,3,FALSE)*Arealanvendelse!$C:$C*(Arealanvendelse!$G:$G=$I38)*(Arealanvendelse!$E:$E=N$34),0)),SUMIFS(Arealanvendelse!$C:$C,Arealanvendelse!$G:$G,$I38,Arealanvendelse!$E:$E,N$34)*[1]Jordbundstypefordeling!$G$4))</f>
        <v>6713.0342916543959</v>
      </c>
      <c r="O38" s="280" cm="1">
        <f t="array" ref="O38">L38+(-SUMIFS(Arealanvendelse!$C:$C,Arealanvendelse!$F:$F,$I38,Arealanvendelse!$E:$E,O$34)*IF(O$34&lt;&gt;"JB1",[1]Jordbundstypefordeling!$G$4,[1]Arealanvendelse!$C10)+IF(O$34="JB1",SUM(IFERROR(VLOOKUP(Arealanvendelse!$F:$F,[1]Arealanvendelse!$A$7:$C$11,3,FALSE)*Arealanvendelse!$C:$C*(Arealanvendelse!$G:$G=$I38)*(Arealanvendelse!$E:$E=O$34),0)),SUMIFS(Arealanvendelse!$C:$C,Arealanvendelse!$G:$G,$I38,Arealanvendelse!$E:$E,O$34)*[1]Jordbundstypefordeling!$G$4))</f>
        <v>5669.0785545395274</v>
      </c>
      <c r="P38" s="280" cm="1">
        <f t="array" ref="P38">J38+(-SUMIFS(Arealanvendelse!$D:$D,Arealanvendelse!$F:$F,$I38,Arealanvendelse!$E:$E,P$34)*IF(P$34&lt;&gt;"JB1",[1]Jordbundstypefordeling!$G$4,[1]Arealanvendelse!$C10)+IF(P$34="JB1",SUM(IFERROR(VLOOKUP(Arealanvendelse!$F:$F,[1]Arealanvendelse!$A$7:$C$11,3,FALSE)*Arealanvendelse!$D:$D*(Arealanvendelse!$G:$G=$I38)*(Arealanvendelse!$E:$E=P$34),0)),SUMIFS(Arealanvendelse!$D:$D,Arealanvendelse!$G:$G,$I38,Arealanvendelse!$E:$E,P$34)*[1]Jordbundstypefordeling!$G$4))</f>
        <v>71807.284735979716</v>
      </c>
      <c r="Q38" s="280" cm="1">
        <f t="array" ref="Q38">K38+(-SUMIFS(Arealanvendelse!$D:$D,Arealanvendelse!$F:$F,$I38,Arealanvendelse!$E:$E,Q$34)*IF(Q$34&lt;&gt;"JB1",[1]Jordbundstypefordeling!$G$4,[1]Arealanvendelse!$C10)+IF(Q$34="JB1",SUM(IFERROR(VLOOKUP(Arealanvendelse!$F:$F,[1]Arealanvendelse!$A$7:$C$11,3,FALSE)*Arealanvendelse!$D:$D*(Arealanvendelse!$G:$G=$I38)*(Arealanvendelse!$E:$E=Q$34),0)),SUMIFS(Arealanvendelse!$D:$D,Arealanvendelse!$G:$G,$I38,Arealanvendelse!$E:$E,Q$34)*[1]Jordbundstypefordeling!$G$4))</f>
        <v>6713.0342916543959</v>
      </c>
      <c r="R38" s="280" cm="1">
        <f t="array" ref="R38">L38+(-SUMIFS(Arealanvendelse!$D:$D,Arealanvendelse!$F:$F,$I38,Arealanvendelse!$E:$E,R$34)*IF(R$34&lt;&gt;"JB1",[1]Jordbundstypefordeling!$G$4,[1]Arealanvendelse!$C10)+IF(R$34="JB1",SUM(IFERROR(VLOOKUP(Arealanvendelse!$F:$F,[1]Arealanvendelse!$A$7:$C$11,3,FALSE)*Arealanvendelse!$D:$D*(Arealanvendelse!$G:$G=$I38)*(Arealanvendelse!$E:$E=R$34),0)),SUMIFS(Arealanvendelse!$D:$D,Arealanvendelse!$G:$G,$I38,Arealanvendelse!$E:$E,R$34)*[1]Jordbundstypefordeling!$G$4))</f>
        <v>5669.0785545395274</v>
      </c>
    </row>
    <row r="39" spans="9:18" ht="14.7" hidden="1" thickBot="1" x14ac:dyDescent="0.6">
      <c r="I39" s="272" t="str">
        <f>IKareal</f>
        <v>Ikke klassificeret</v>
      </c>
      <c r="J39" s="278">
        <f>SUMIF([1]Arealanvendelse!$B$15:$B$22,I39,[1]Arealanvendelse!$E$15:$E$22)-SUM(K39:L39)</f>
        <v>19220</v>
      </c>
      <c r="K39" s="278"/>
      <c r="L39" s="278"/>
      <c r="M39" s="281" cm="1">
        <f t="array" ref="M39">J39+(-SUMIFS(Arealanvendelse!$C:$C,Arealanvendelse!$F:$F,$I39,Arealanvendelse!$E:$E,M$34)*IF(M$34&lt;&gt;"JB1",[1]Jordbundstypefordeling!$G$4,[1]Arealanvendelse!$C11)+IF(M$34="JB1",SUM(IFERROR(VLOOKUP(Arealanvendelse!$F:$F,[1]Arealanvendelse!$A$7:$C$11,3,FALSE)*Arealanvendelse!$C:$C*(Arealanvendelse!$G:$G=$I39)*(Arealanvendelse!$E:$E=M$34),0)),SUMIFS(Arealanvendelse!$C:$C,Arealanvendelse!$G:$G,$I39,Arealanvendelse!$E:$E,M$34)*[1]Jordbundstypefordeling!$G$4))</f>
        <v>19220</v>
      </c>
      <c r="N39" s="281" cm="1">
        <f t="array" ref="N39">K39+(-SUMIFS(Arealanvendelse!$C:$C,Arealanvendelse!$F:$F,$I39,Arealanvendelse!$E:$E,N$34)*IF(N$34&lt;&gt;"JB1",[1]Jordbundstypefordeling!$G$4,[1]Arealanvendelse!$C11)+IF(N$34="JB1",SUM(IFERROR(VLOOKUP(Arealanvendelse!$F:$F,[1]Arealanvendelse!$A$7:$C$11,3,FALSE)*Arealanvendelse!$C:$C*(Arealanvendelse!$G:$G=$I39)*(Arealanvendelse!$E:$E=N$34),0)),SUMIFS(Arealanvendelse!$C:$C,Arealanvendelse!$G:$G,$I39,Arealanvendelse!$E:$E,N$34)*[1]Jordbundstypefordeling!$G$4))</f>
        <v>0</v>
      </c>
      <c r="O39" s="281" cm="1">
        <f t="array" ref="O39">L39+(-SUMIFS(Arealanvendelse!$C:$C,Arealanvendelse!$F:$F,$I39,Arealanvendelse!$E:$E,O$34)*IF(O$34&lt;&gt;"JB1",[1]Jordbundstypefordeling!$G$4,[1]Arealanvendelse!$C11)+IF(O$34="JB1",SUM(IFERROR(VLOOKUP(Arealanvendelse!$F:$F,[1]Arealanvendelse!$A$7:$C$11,3,FALSE)*Arealanvendelse!$C:$C*(Arealanvendelse!$G:$G=$I39)*(Arealanvendelse!$E:$E=O$34),0)),SUMIFS(Arealanvendelse!$C:$C,Arealanvendelse!$G:$G,$I39,Arealanvendelse!$E:$E,O$34)*[1]Jordbundstypefordeling!$G$4))</f>
        <v>0</v>
      </c>
      <c r="P39" s="281" cm="1">
        <f t="array" ref="P39">J39+(-SUMIFS(Arealanvendelse!$D:$D,Arealanvendelse!$F:$F,$I39,Arealanvendelse!$E:$E,P$34)*IF(P$34&lt;&gt;"JB1",[1]Jordbundstypefordeling!$G$4,[1]Arealanvendelse!$C11)+IF(P$34="JB1",SUM(IFERROR(VLOOKUP(Arealanvendelse!$F:$F,[1]Arealanvendelse!$A$7:$C$11,3,FALSE)*Arealanvendelse!$D:$D*(Arealanvendelse!$G:$G=$I39)*(Arealanvendelse!$E:$E=P$34),0)),SUMIFS(Arealanvendelse!$D:$D,Arealanvendelse!$G:$G,$I39,Arealanvendelse!$E:$E,P$34)*[1]Jordbundstypefordeling!$G$4))</f>
        <v>19220</v>
      </c>
      <c r="Q39" s="281" cm="1">
        <f t="array" ref="Q39">K39+(-SUMIFS(Arealanvendelse!$D:$D,Arealanvendelse!$F:$F,$I39,Arealanvendelse!$E:$E,Q$34)*IF(Q$34&lt;&gt;"JB1",[1]Jordbundstypefordeling!$G$4,[1]Arealanvendelse!$C11)+IF(Q$34="JB1",SUM(IFERROR(VLOOKUP(Arealanvendelse!$F:$F,[1]Arealanvendelse!$A$7:$C$11,3,FALSE)*Arealanvendelse!$D:$D*(Arealanvendelse!$G:$G=$I39)*(Arealanvendelse!$E:$E=Q$34),0)),SUMIFS(Arealanvendelse!$D:$D,Arealanvendelse!$G:$G,$I39,Arealanvendelse!$E:$E,Q$34)*[1]Jordbundstypefordeling!$G$4))</f>
        <v>0</v>
      </c>
      <c r="R39" s="281" cm="1">
        <f t="array" ref="R39">L39+(-SUMIFS(Arealanvendelse!$D:$D,Arealanvendelse!$F:$F,$I39,Arealanvendelse!$E:$E,R$34)*IF(R$34&lt;&gt;"JB1",[1]Jordbundstypefordeling!$G$4,[1]Arealanvendelse!$C11)+IF(R$34="JB1",SUM(IFERROR(VLOOKUP(Arealanvendelse!$F:$F,[1]Arealanvendelse!$A$7:$C$11,3,FALSE)*Arealanvendelse!$D:$D*(Arealanvendelse!$G:$G=$I39)*(Arealanvendelse!$E:$E=R$34),0)),SUMIFS(Arealanvendelse!$D:$D,Arealanvendelse!$G:$G,$I39,Arealanvendelse!$E:$E,R$34)*[1]Jordbundstypefordeling!$G$4))</f>
        <v>0</v>
      </c>
    </row>
    <row r="40" spans="9:18" hidden="1" x14ac:dyDescent="0.55000000000000004">
      <c r="I40" s="273" t="s">
        <v>30</v>
      </c>
      <c r="J40" s="279">
        <f t="shared" ref="J40:R40" si="7">SUM(J35:J39)</f>
        <v>948927.68690583168</v>
      </c>
      <c r="K40" s="279">
        <f t="shared" si="7"/>
        <v>15761.493887475175</v>
      </c>
      <c r="L40" s="279">
        <f t="shared" si="7"/>
        <v>12550.819206693195</v>
      </c>
      <c r="M40" s="282">
        <f t="shared" si="7"/>
        <v>948927.68690583168</v>
      </c>
      <c r="N40" s="282">
        <f t="shared" si="7"/>
        <v>15761.493887475175</v>
      </c>
      <c r="O40" s="282">
        <f t="shared" si="7"/>
        <v>12550.819206693195</v>
      </c>
      <c r="P40" s="282">
        <f t="shared" si="7"/>
        <v>948927.68690583168</v>
      </c>
      <c r="Q40" s="282">
        <f t="shared" si="7"/>
        <v>15761.493887475175</v>
      </c>
      <c r="R40" s="282">
        <f t="shared" si="7"/>
        <v>12550.819206693195</v>
      </c>
    </row>
    <row r="41" spans="9:18" hidden="1" x14ac:dyDescent="0.55000000000000004"/>
  </sheetData>
  <conditionalFormatting sqref="J5:R9">
    <cfRule type="cellIs" dxfId="5" priority="1" operator="lessThan">
      <formula>0</formula>
    </cfRule>
  </conditionalFormatting>
  <hyperlinks>
    <hyperlink ref="A1" location="Resume!A1" display="Omfordeling af jord sammenlignet med basisår [ha]" xr:uid="{28909C87-42F5-4886-9206-7E583CF1661B}"/>
  </hyperlinks>
  <pageMargins left="0.7" right="0.7" top="0.75" bottom="0.75" header="0.3" footer="0.3"/>
  <pageSetup orientation="portrait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81C4BE-BAA6-474E-9AD7-E16975C20685}">
          <x14:formula1>
            <xm:f>Overblik!$D$6:$D$8</xm:f>
          </x14:formula1>
          <xm:sqref>E3:E17</xm:sqref>
        </x14:dataValidation>
        <x14:dataValidation type="list" allowBlank="1" showInputMessage="1" showErrorMessage="1" xr:uid="{799F2477-BBEB-4F90-8D95-0A281F329813}">
          <x14:formula1>
            <xm:f>Overblik!$D$11:$D$15</xm:f>
          </x14:formula1>
          <xm:sqref>F3:G17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00FAC-1152-4DAD-9E78-3D80FD715826}">
  <sheetPr codeName="Sheet10">
    <tabColor theme="9" tint="0.39997558519241921"/>
  </sheetPr>
  <dimension ref="A1:K51"/>
  <sheetViews>
    <sheetView zoomScale="85" zoomScaleNormal="85" workbookViewId="0"/>
  </sheetViews>
  <sheetFormatPr defaultColWidth="8.83984375" defaultRowHeight="14.4" x14ac:dyDescent="0.55000000000000004"/>
  <cols>
    <col min="1" max="1" width="8.83984375" style="1"/>
    <col min="2" max="2" width="45.578125" style="1" customWidth="1"/>
    <col min="3" max="8" width="13.83984375" style="1" customWidth="1"/>
    <col min="9" max="9" width="17.41796875" style="12" customWidth="1"/>
    <col min="10" max="10" width="16.41796875" style="1" customWidth="1"/>
    <col min="11" max="11" width="10.578125" style="1" bestFit="1" customWidth="1"/>
    <col min="12" max="13" width="10.68359375" style="1" customWidth="1"/>
    <col min="14" max="17" width="10.41796875" style="1" bestFit="1" customWidth="1"/>
    <col min="18" max="16384" width="8.83984375" style="1"/>
  </cols>
  <sheetData>
    <row r="1" spans="1:9" x14ac:dyDescent="0.55000000000000004">
      <c r="A1" s="234" t="s">
        <v>284</v>
      </c>
    </row>
    <row r="2" spans="1:9" ht="15.6" x14ac:dyDescent="0.6">
      <c r="A2" s="231" t="s">
        <v>67</v>
      </c>
      <c r="F2" s="12"/>
      <c r="G2" s="12"/>
    </row>
    <row r="3" spans="1:9" x14ac:dyDescent="0.55000000000000004">
      <c r="B3" s="82"/>
      <c r="C3" s="83"/>
      <c r="D3" s="83"/>
      <c r="E3" s="83"/>
      <c r="F3" s="12"/>
      <c r="G3" s="74"/>
      <c r="I3" s="1"/>
    </row>
    <row r="4" spans="1:9" x14ac:dyDescent="0.55000000000000004">
      <c r="B4" s="88" t="s">
        <v>37</v>
      </c>
      <c r="C4" s="84">
        <f>År1</f>
        <v>2019</v>
      </c>
      <c r="D4" s="84">
        <f>År2</f>
        <v>2030</v>
      </c>
      <c r="E4" s="84">
        <f>År3</f>
        <v>2050</v>
      </c>
      <c r="F4" s="12"/>
      <c r="G4" s="12"/>
      <c r="I4" s="1"/>
    </row>
    <row r="5" spans="1:9" x14ac:dyDescent="0.55000000000000004">
      <c r="B5" s="2" t="s">
        <v>5</v>
      </c>
      <c r="C5" s="7">
        <f>297696/2625965</f>
        <v>0.11336632437979943</v>
      </c>
      <c r="D5" s="8">
        <v>0.13500000000000001</v>
      </c>
      <c r="E5" s="8">
        <v>0.17499999999999999</v>
      </c>
      <c r="F5" s="12"/>
      <c r="G5" s="12"/>
      <c r="I5" s="1"/>
    </row>
    <row r="6" spans="1:9" x14ac:dyDescent="0.55000000000000004">
      <c r="B6" s="2" t="s">
        <v>22</v>
      </c>
      <c r="C6" s="7">
        <f>SUM('Landbrugsareal - resultat'!F23,'Landbrugsareal - resultat'!F50)/SUM('Landbrugsareal - resultat'!C23,'Landbrugsareal - resultat'!F23,'Landbrugsareal - resultat'!C50,'Landbrugsareal - resultat'!F50)</f>
        <v>3.9915791472992256E-2</v>
      </c>
      <c r="D6" s="8">
        <f>C6+D$5-C$5</f>
        <v>6.1549467093192839E-2</v>
      </c>
      <c r="E6" s="8">
        <f>D6+E$5-D$5</f>
        <v>0.10154946709319282</v>
      </c>
      <c r="F6" s="12" t="s">
        <v>66</v>
      </c>
      <c r="G6" s="12"/>
      <c r="I6" s="1"/>
    </row>
    <row r="7" spans="1:9" x14ac:dyDescent="0.55000000000000004">
      <c r="B7" s="2" t="s">
        <v>3</v>
      </c>
      <c r="C7" s="7">
        <f>SUM('Landbrugsareal - resultat'!F24,'Landbrugsareal - resultat'!F51)/SUM('Landbrugsareal - resultat'!C24,'Landbrugsareal - resultat'!F24,'Landbrugsareal - resultat'!C51,'Landbrugsareal - resultat'!F51)</f>
        <v>0.15042455841097682</v>
      </c>
      <c r="D7" s="8">
        <f>C7+D$5-C$5</f>
        <v>0.17205823403117737</v>
      </c>
      <c r="E7" s="8">
        <f t="shared" ref="E7" si="0">D7+E$5-D$5</f>
        <v>0.21205823403117735</v>
      </c>
      <c r="F7" s="12" t="s">
        <v>66</v>
      </c>
      <c r="G7" s="12"/>
      <c r="I7" s="115">
        <f>C7+D$5-C$5</f>
        <v>0.17205823403117737</v>
      </c>
    </row>
    <row r="8" spans="1:9" x14ac:dyDescent="0.55000000000000004">
      <c r="B8" s="2" t="s">
        <v>4</v>
      </c>
      <c r="C8" s="7">
        <f>SUM('Landbrugsareal - resultat'!F25,'Landbrugsareal - resultat'!F52)/SUM('Landbrugsareal - resultat'!C25,'Landbrugsareal - resultat'!F25,'Landbrugsareal - resultat'!C52,'Landbrugsareal - resultat'!F52)</f>
        <v>0.14212072473400883</v>
      </c>
      <c r="D8" s="8">
        <f t="shared" ref="D8:E8" si="1">C8+D$5-C$5</f>
        <v>0.16375440035420941</v>
      </c>
      <c r="E8" s="8">
        <f t="shared" si="1"/>
        <v>0.20375440035420939</v>
      </c>
      <c r="F8" s="12" t="s">
        <v>66</v>
      </c>
      <c r="G8" s="12"/>
      <c r="I8" s="1"/>
    </row>
    <row r="9" spans="1:9" x14ac:dyDescent="0.55000000000000004">
      <c r="B9" s="81"/>
      <c r="C9" s="13"/>
      <c r="D9" s="13"/>
      <c r="E9" s="80"/>
      <c r="F9" s="12"/>
      <c r="G9" s="12"/>
      <c r="I9" s="1"/>
    </row>
    <row r="10" spans="1:9" x14ac:dyDescent="0.55000000000000004">
      <c r="B10" s="88" t="s">
        <v>31</v>
      </c>
      <c r="C10" s="84">
        <f>År1</f>
        <v>2019</v>
      </c>
      <c r="D10" s="84">
        <f>År2</f>
        <v>2030</v>
      </c>
      <c r="E10" s="84">
        <f>År3</f>
        <v>2050</v>
      </c>
      <c r="F10" s="12"/>
      <c r="G10" s="12"/>
      <c r="I10" s="1"/>
    </row>
    <row r="11" spans="1:9" x14ac:dyDescent="0.55000000000000004">
      <c r="B11" s="2" t="s">
        <v>22</v>
      </c>
      <c r="C11" s="7">
        <v>1</v>
      </c>
      <c r="D11" s="3">
        <v>1</v>
      </c>
      <c r="E11" s="3">
        <v>1</v>
      </c>
      <c r="G11" s="12"/>
      <c r="I11" s="1"/>
    </row>
    <row r="12" spans="1:9" x14ac:dyDescent="0.55000000000000004">
      <c r="B12" s="2" t="s">
        <v>3</v>
      </c>
      <c r="C12" s="7">
        <v>1</v>
      </c>
      <c r="D12" s="3">
        <v>1</v>
      </c>
      <c r="E12" s="3">
        <v>1</v>
      </c>
      <c r="G12" s="12"/>
      <c r="I12" s="1"/>
    </row>
    <row r="13" spans="1:9" x14ac:dyDescent="0.55000000000000004">
      <c r="B13" s="2" t="s">
        <v>4</v>
      </c>
      <c r="C13" s="7">
        <v>1</v>
      </c>
      <c r="D13" s="3">
        <v>1</v>
      </c>
      <c r="E13" s="3">
        <v>1</v>
      </c>
      <c r="G13" s="12"/>
      <c r="H13" s="14"/>
      <c r="I13" s="1"/>
    </row>
    <row r="14" spans="1:9" x14ac:dyDescent="0.55000000000000004">
      <c r="B14" s="12"/>
      <c r="C14" s="357"/>
      <c r="D14" s="13"/>
      <c r="E14" s="13"/>
      <c r="F14" s="12"/>
      <c r="G14" s="12"/>
      <c r="H14" s="14"/>
      <c r="I14" s="14"/>
    </row>
    <row r="15" spans="1:9" x14ac:dyDescent="0.55000000000000004">
      <c r="B15" s="88" t="s">
        <v>135</v>
      </c>
      <c r="C15" s="84">
        <f>År1</f>
        <v>2019</v>
      </c>
      <c r="D15" s="84">
        <f>År2</f>
        <v>2030</v>
      </c>
      <c r="E15" s="84">
        <f>År3</f>
        <v>2050</v>
      </c>
      <c r="F15" s="6"/>
      <c r="G15" s="12"/>
    </row>
    <row r="16" spans="1:9" x14ac:dyDescent="0.55000000000000004">
      <c r="B16" s="2" t="s">
        <v>91</v>
      </c>
      <c r="C16" s="87">
        <v>1</v>
      </c>
      <c r="D16" s="3">
        <v>1</v>
      </c>
      <c r="E16" s="3">
        <v>1</v>
      </c>
      <c r="F16" s="12"/>
    </row>
    <row r="17" spans="2:11" x14ac:dyDescent="0.55000000000000004">
      <c r="B17" s="2" t="s">
        <v>85</v>
      </c>
      <c r="C17" s="87">
        <v>0.59345000000000003</v>
      </c>
      <c r="D17" s="3">
        <v>0.59</v>
      </c>
      <c r="E17" s="3">
        <v>0.59</v>
      </c>
      <c r="F17" s="12" t="s">
        <v>277</v>
      </c>
    </row>
    <row r="18" spans="2:11" x14ac:dyDescent="0.55000000000000004">
      <c r="B18" s="2" t="s">
        <v>142</v>
      </c>
      <c r="C18" s="87">
        <v>1</v>
      </c>
      <c r="D18" s="3">
        <v>1.0720000000000001</v>
      </c>
      <c r="E18" s="3">
        <v>1.0720000000000001</v>
      </c>
      <c r="F18" s="12"/>
      <c r="G18" s="183"/>
    </row>
    <row r="20" spans="2:11" x14ac:dyDescent="0.55000000000000004">
      <c r="B20" s="327" t="s">
        <v>301</v>
      </c>
      <c r="C20" s="25" t="s">
        <v>27</v>
      </c>
      <c r="D20" s="25"/>
      <c r="E20" s="25"/>
      <c r="F20" s="25" t="s">
        <v>28</v>
      </c>
      <c r="G20" s="25"/>
      <c r="H20" s="2"/>
    </row>
    <row r="21" spans="2:11" ht="29.5" customHeight="1" x14ac:dyDescent="0.55000000000000004">
      <c r="B21" s="327"/>
      <c r="C21" s="84">
        <f>År1</f>
        <v>2019</v>
      </c>
      <c r="D21" s="84">
        <f>År2</f>
        <v>2030</v>
      </c>
      <c r="E21" s="84">
        <f>År3</f>
        <v>2050</v>
      </c>
      <c r="F21" s="84">
        <f>År1</f>
        <v>2019</v>
      </c>
      <c r="G21" s="84">
        <f>År2</f>
        <v>2030</v>
      </c>
      <c r="H21" s="84">
        <f>År3</f>
        <v>2050</v>
      </c>
    </row>
    <row r="22" spans="2:11" x14ac:dyDescent="0.55000000000000004">
      <c r="B22" s="2" t="str">
        <f>Organ6</f>
        <v>OC6</v>
      </c>
      <c r="C22" s="7">
        <f>'[1]Afgrødefordeling - jordtype'!$H$17</f>
        <v>0.24584476889448309</v>
      </c>
      <c r="D22" s="8">
        <f>C22</f>
        <v>0.24584476889448309</v>
      </c>
      <c r="E22" s="8">
        <f>D22</f>
        <v>0.24584476889448309</v>
      </c>
      <c r="F22" s="7">
        <f>'[1]Afgrødefordeling - jordtype'!$Q$17</f>
        <v>0.24728806176705159</v>
      </c>
      <c r="G22" s="8">
        <f>F22</f>
        <v>0.24728806176705159</v>
      </c>
      <c r="H22" s="8">
        <f>G22</f>
        <v>0.24728806176705159</v>
      </c>
    </row>
    <row r="23" spans="2:11" x14ac:dyDescent="0.55000000000000004">
      <c r="B23" s="2" t="str">
        <f>Organ12</f>
        <v>OC12</v>
      </c>
      <c r="C23" s="7">
        <f>'[1]Afgrødefordeling - jordtype'!$I$17</f>
        <v>0.33924520978284484</v>
      </c>
      <c r="D23" s="8">
        <f>C23</f>
        <v>0.33924520978284484</v>
      </c>
      <c r="E23" s="8">
        <f>D23</f>
        <v>0.33924520978284484</v>
      </c>
      <c r="F23" s="7">
        <f>'[1]Afgrødefordeling - jordtype'!$R$17</f>
        <v>0.36071122752527124</v>
      </c>
      <c r="G23" s="8">
        <f>F23</f>
        <v>0.36071122752527124</v>
      </c>
      <c r="H23" s="8">
        <f>G23</f>
        <v>0.36071122752527124</v>
      </c>
    </row>
    <row r="24" spans="2:11" x14ac:dyDescent="0.55000000000000004">
      <c r="B24" s="2" t="str">
        <f>CONCATENATE("Omlægning til permanent græs, ", Organ6,", hektar")</f>
        <v>Omlægning til permanent græs, OC6, hektar</v>
      </c>
      <c r="C24" s="10"/>
      <c r="D24" s="10">
        <f>D22*Arealanvendelse!N26-C22*Arealanvendelse!N26</f>
        <v>0</v>
      </c>
      <c r="E24" s="10">
        <f>E22*Arealanvendelse!Q26-C22*Arealanvendelse!Q26</f>
        <v>0</v>
      </c>
      <c r="F24" s="10"/>
      <c r="G24" s="10">
        <f>G22*Arealanvendelse!N36-F22*Arealanvendelse!N36</f>
        <v>0</v>
      </c>
      <c r="H24" s="10">
        <f>H22*Arealanvendelse!Q36-F22*Arealanvendelse!Q36</f>
        <v>0</v>
      </c>
    </row>
    <row r="25" spans="2:11" x14ac:dyDescent="0.55000000000000004">
      <c r="B25" s="2" t="str">
        <f>CONCATENATE("Omlægning til permanent græs, ", Organ12, ", hektar")</f>
        <v>Omlægning til permanent græs, OC12, hektar</v>
      </c>
      <c r="C25" s="10"/>
      <c r="D25" s="10">
        <f>D23*Arealanvendelse!O26-C23*Arealanvendelse!O26</f>
        <v>0</v>
      </c>
      <c r="E25" s="10">
        <f>E23*Arealanvendelse!R26-C23*Arealanvendelse!R26</f>
        <v>0</v>
      </c>
      <c r="F25" s="10"/>
      <c r="G25" s="10">
        <f>G23*Arealanvendelse!O36-F23*Arealanvendelse!O36</f>
        <v>0</v>
      </c>
      <c r="H25" s="10">
        <f>H23*Arealanvendelse!R36-F23*Arealanvendelse!R36</f>
        <v>0</v>
      </c>
      <c r="J25" s="119"/>
    </row>
    <row r="26" spans="2:11" x14ac:dyDescent="0.55000000000000004">
      <c r="B26" s="2" t="str">
        <f>CONCATENATE("Antal hektar som 1% svarer til, ", Organ6)</f>
        <v>Antal hektar som 1% svarer til, OC6</v>
      </c>
      <c r="C26" s="10">
        <f>1%*Arealanvendelse!K26</f>
        <v>907.23841613092384</v>
      </c>
      <c r="D26" s="10">
        <f>1%*Arealanvendelse!N26</f>
        <v>839.53540404179205</v>
      </c>
      <c r="E26" s="10">
        <f>1%*Arealanvendelse!Q26</f>
        <v>839.53540404179205</v>
      </c>
      <c r="F26" s="10">
        <f>1%*Arealanvendelse!K36</f>
        <v>97.781583869075931</v>
      </c>
      <c r="G26" s="10">
        <f>1%*Arealanvendelse!N36</f>
        <v>90.484595958207791</v>
      </c>
      <c r="H26" s="10">
        <f>1%*Arealanvendelse!Q36</f>
        <v>90.484595958207791</v>
      </c>
    </row>
    <row r="27" spans="2:11" ht="14.7" thickBot="1" x14ac:dyDescent="0.6">
      <c r="B27" s="185" t="str">
        <f>CONCATENATE("Antal hektar som 1% svarer til, ", Organ12)</f>
        <v>Antal hektar som 1% svarer til, OC12</v>
      </c>
      <c r="C27" s="117">
        <f>1%*Arealanvendelse!L26</f>
        <v>706.20560556759506</v>
      </c>
      <c r="D27" s="117">
        <f>1%*Arealanvendelse!O26</f>
        <v>638.50259347846315</v>
      </c>
      <c r="E27" s="117">
        <f>1%*Arealanvendelse!R26</f>
        <v>638.50259347846315</v>
      </c>
      <c r="F27" s="238">
        <f>1%*Arealanvendelse!L36</f>
        <v>76.114394432404808</v>
      </c>
      <c r="G27" s="238">
        <f>1%*Arealanvendelse!O36</f>
        <v>68.817406521536668</v>
      </c>
      <c r="H27" s="238">
        <f>1%*Arealanvendelse!R36</f>
        <v>68.817406521536668</v>
      </c>
    </row>
    <row r="28" spans="2:11" ht="15" thickTop="1" thickBot="1" x14ac:dyDescent="0.6">
      <c r="B28" s="243" t="s">
        <v>272</v>
      </c>
      <c r="C28" s="244"/>
      <c r="D28" s="239">
        <f>SUM(D24:D25,G24:G25)</f>
        <v>0</v>
      </c>
      <c r="E28" s="240">
        <f>SUM(E24:E25,H24:H25)</f>
        <v>0</v>
      </c>
      <c r="F28" s="241"/>
      <c r="G28" s="242"/>
      <c r="H28" s="242"/>
    </row>
    <row r="29" spans="2:11" x14ac:dyDescent="0.55000000000000004">
      <c r="B29" s="12"/>
      <c r="C29" s="119"/>
      <c r="D29" s="119"/>
      <c r="E29" s="119"/>
      <c r="F29" s="119"/>
      <c r="G29" s="119"/>
      <c r="H29" s="119"/>
    </row>
    <row r="30" spans="2:11" x14ac:dyDescent="0.55000000000000004">
      <c r="B30" s="325" t="s">
        <v>285</v>
      </c>
      <c r="C30" s="25" t="s">
        <v>27</v>
      </c>
      <c r="D30" s="25"/>
      <c r="E30" s="25"/>
      <c r="F30" s="25" t="s">
        <v>28</v>
      </c>
      <c r="G30" s="25"/>
      <c r="H30" s="2"/>
      <c r="I30" s="25" t="s">
        <v>271</v>
      </c>
      <c r="J30" s="25"/>
      <c r="K30" s="12"/>
    </row>
    <row r="31" spans="2:11" x14ac:dyDescent="0.55000000000000004">
      <c r="B31" s="326"/>
      <c r="C31" s="84">
        <f>År1</f>
        <v>2019</v>
      </c>
      <c r="D31" s="84">
        <f>År2</f>
        <v>2030</v>
      </c>
      <c r="E31" s="84">
        <f>År3</f>
        <v>2050</v>
      </c>
      <c r="F31" s="84">
        <f>År1</f>
        <v>2019</v>
      </c>
      <c r="G31" s="84">
        <f>År2</f>
        <v>2030</v>
      </c>
      <c r="H31" s="84">
        <f>År3</f>
        <v>2050</v>
      </c>
      <c r="I31" s="25">
        <f>År2</f>
        <v>2030</v>
      </c>
      <c r="J31" s="25">
        <f>År3</f>
        <v>2050</v>
      </c>
      <c r="K31" s="12"/>
    </row>
    <row r="32" spans="2:11" x14ac:dyDescent="0.55000000000000004">
      <c r="B32" s="2" t="str">
        <f>[1]Afgrødefordeling!$C2</f>
        <v>Korn</v>
      </c>
      <c r="C32" s="86">
        <f>'[1]Afgrødefordeling - jordtype'!$G4</f>
        <v>0.52078807763652124</v>
      </c>
      <c r="D32" s="91">
        <v>0.04</v>
      </c>
      <c r="E32" s="89"/>
      <c r="F32" s="87">
        <f>'[1]Afgrødefordeling - jordtype'!$P4</f>
        <v>0.59758624874726696</v>
      </c>
      <c r="G32" s="89"/>
      <c r="H32" s="89"/>
      <c r="I32" s="116">
        <f>D32*Arealanvendelse!$M$26+G32*Arealanvendelse!$M$36</f>
        <v>73143.961005119054</v>
      </c>
      <c r="J32" s="116">
        <f>E32*Arealanvendelse!$P$26+H32*Arealanvendelse!$P$36</f>
        <v>0</v>
      </c>
      <c r="K32" s="12"/>
    </row>
    <row r="33" spans="2:11" x14ac:dyDescent="0.55000000000000004">
      <c r="B33" s="2" t="str">
        <f>[1]Afgrødefordeling!$C3</f>
        <v>Bælgsæd</v>
      </c>
      <c r="C33" s="86">
        <f>'[1]Afgrødefordeling - jordtype'!$G5</f>
        <v>3.5982037432552356E-2</v>
      </c>
      <c r="D33" s="91"/>
      <c r="E33" s="89"/>
      <c r="F33" s="87">
        <f>'[1]Afgrødefordeling - jordtype'!$P5</f>
        <v>1.3024294772492263E-2</v>
      </c>
      <c r="G33" s="89"/>
      <c r="H33" s="89"/>
      <c r="I33" s="116">
        <f>D33*Arealanvendelse!$M$26+G33*Arealanvendelse!$M$36</f>
        <v>0</v>
      </c>
      <c r="J33" s="116">
        <f>E33*Arealanvendelse!$P$26+H33*Arealanvendelse!$P$36</f>
        <v>0</v>
      </c>
      <c r="K33" s="12"/>
    </row>
    <row r="34" spans="2:11" x14ac:dyDescent="0.55000000000000004">
      <c r="B34" s="2" t="str">
        <f>[1]Afgrødefordeling!$C4</f>
        <v>Raps</v>
      </c>
      <c r="C34" s="86">
        <f>'[1]Afgrødefordeling - jordtype'!$G6</f>
        <v>6.0508874709232517E-2</v>
      </c>
      <c r="D34" s="91"/>
      <c r="E34" s="89"/>
      <c r="F34" s="87">
        <f>'[1]Afgrødefordeling - jordtype'!$P6</f>
        <v>8.2618389494347674E-2</v>
      </c>
      <c r="G34" s="89"/>
      <c r="H34" s="89"/>
      <c r="I34" s="116">
        <f>D34*Arealanvendelse!$M$26+G34*Arealanvendelse!$M$36</f>
        <v>0</v>
      </c>
      <c r="J34" s="116">
        <f>E34*Arealanvendelse!$P$26+H34*Arealanvendelse!$P$36</f>
        <v>0</v>
      </c>
      <c r="K34" s="12"/>
    </row>
    <row r="35" spans="2:11" x14ac:dyDescent="0.55000000000000004">
      <c r="B35" s="2" t="str">
        <f>[1]Afgrødefordeling!$C5</f>
        <v>Græs</v>
      </c>
      <c r="C35" s="86">
        <f>'[1]Afgrødefordeling - jordtype'!$G7</f>
        <v>0.1153713931066581</v>
      </c>
      <c r="D35" s="91"/>
      <c r="E35" s="89"/>
      <c r="F35" s="87">
        <f>'[1]Afgrødefordeling - jordtype'!$P7</f>
        <v>5.0192728928725582E-2</v>
      </c>
      <c r="G35" s="89"/>
      <c r="H35" s="89"/>
      <c r="I35" s="116">
        <f>D35*Arealanvendelse!$M$26+G35*Arealanvendelse!$M$36</f>
        <v>0</v>
      </c>
      <c r="J35" s="116">
        <f>E35*Arealanvendelse!$P$26+H35*Arealanvendelse!$P$36</f>
        <v>0</v>
      </c>
      <c r="K35" s="12"/>
    </row>
    <row r="36" spans="2:11" x14ac:dyDescent="0.55000000000000004">
      <c r="B36" s="2" t="str">
        <f>[1]Afgrødefordeling!$C6</f>
        <v>Grøntsager</v>
      </c>
      <c r="C36" s="86">
        <f>'[1]Afgrødefordeling - jordtype'!$G8</f>
        <v>4.464610531367031E-3</v>
      </c>
      <c r="D36" s="91"/>
      <c r="E36" s="89"/>
      <c r="F36" s="87">
        <f>'[1]Afgrødefordeling - jordtype'!$P8</f>
        <v>7.865213752064254E-3</v>
      </c>
      <c r="G36" s="89"/>
      <c r="H36" s="89"/>
      <c r="I36" s="116">
        <f>D36*Arealanvendelse!$M$26+G36*Arealanvendelse!$M$36</f>
        <v>0</v>
      </c>
      <c r="J36" s="116">
        <f>E36*Arealanvendelse!$P$26+H36*Arealanvendelse!$P$36</f>
        <v>0</v>
      </c>
      <c r="K36" s="12"/>
    </row>
    <row r="37" spans="2:11" x14ac:dyDescent="0.55000000000000004">
      <c r="B37" s="2" t="str">
        <f>[1]Afgrødefordeling!$C7</f>
        <v>Kartofler</v>
      </c>
      <c r="C37" s="86">
        <f>'[1]Afgrødefordeling - jordtype'!$G9</f>
        <v>2.6596251788237935E-2</v>
      </c>
      <c r="D37" s="91"/>
      <c r="E37" s="89"/>
      <c r="F37" s="87">
        <f>'[1]Afgrødefordeling - jordtype'!$P9</f>
        <v>5.0455539319474536E-3</v>
      </c>
      <c r="G37" s="89"/>
      <c r="H37" s="89"/>
      <c r="I37" s="116">
        <f>D37*Arealanvendelse!$M$26+G37*Arealanvendelse!$M$36</f>
        <v>0</v>
      </c>
      <c r="J37" s="116">
        <f>E37*Arealanvendelse!$P$26+H37*Arealanvendelse!$P$36</f>
        <v>0</v>
      </c>
      <c r="K37" s="12"/>
    </row>
    <row r="38" spans="2:11" x14ac:dyDescent="0.55000000000000004">
      <c r="B38" s="2" t="str">
        <f>[1]Afgrødefordeling!$C8</f>
        <v>Roer</v>
      </c>
      <c r="C38" s="86">
        <f>'[1]Afgrødefordeling - jordtype'!$G10</f>
        <v>2.5963485234511219E-3</v>
      </c>
      <c r="D38" s="91"/>
      <c r="E38" s="89"/>
      <c r="F38" s="87">
        <f>'[1]Afgrødefordeling - jordtype'!$P10</f>
        <v>5.2451600979001756E-2</v>
      </c>
      <c r="G38" s="89"/>
      <c r="H38" s="89"/>
      <c r="I38" s="116">
        <f>D38*Arealanvendelse!$M$26+G38*Arealanvendelse!$M$36</f>
        <v>0</v>
      </c>
      <c r="J38" s="116">
        <f>E38*Arealanvendelse!$P$26+H38*Arealanvendelse!$P$36</f>
        <v>0</v>
      </c>
      <c r="K38" s="12"/>
    </row>
    <row r="39" spans="2:11" x14ac:dyDescent="0.55000000000000004">
      <c r="B39" s="2" t="str">
        <f>[1]Afgrødefordeling!$C9</f>
        <v>Majs</v>
      </c>
      <c r="C39" s="86">
        <f>'[1]Afgrødefordeling - jordtype'!$G11</f>
        <v>8.8910930707760349E-2</v>
      </c>
      <c r="D39" s="91"/>
      <c r="E39" s="89"/>
      <c r="F39" s="87">
        <f>'[1]Afgrødefordeling - jordtype'!$P11</f>
        <v>1.4835264654900416E-2</v>
      </c>
      <c r="G39" s="89"/>
      <c r="H39" s="89"/>
      <c r="I39" s="116">
        <f>D39*Arealanvendelse!$M$26+G39*Arealanvendelse!$M$36</f>
        <v>0</v>
      </c>
      <c r="J39" s="116">
        <f>E39*Arealanvendelse!$P$26+H39*Arealanvendelse!$P$36</f>
        <v>0</v>
      </c>
      <c r="K39" s="12"/>
    </row>
    <row r="40" spans="2:11" x14ac:dyDescent="0.55000000000000004">
      <c r="B40" s="2" t="str">
        <f>[1]Afgrødefordeling!$C10</f>
        <v>Frugt</v>
      </c>
      <c r="C40" s="86">
        <f>'[1]Afgrødefordeling - jordtype'!$G12</f>
        <v>1.6337629108489173E-3</v>
      </c>
      <c r="D40" s="91"/>
      <c r="E40" s="89"/>
      <c r="F40" s="87">
        <f>'[1]Afgrødefordeling - jordtype'!$P12</f>
        <v>3.4518876571883301E-3</v>
      </c>
      <c r="G40" s="89"/>
      <c r="H40" s="89"/>
      <c r="I40" s="116">
        <f>D40*Arealanvendelse!$M$26+G40*Arealanvendelse!$M$36</f>
        <v>0</v>
      </c>
      <c r="J40" s="116">
        <f>E40*Arealanvendelse!$P$26+H40*Arealanvendelse!$P$36</f>
        <v>0</v>
      </c>
      <c r="K40" s="12"/>
    </row>
    <row r="41" spans="2:11" x14ac:dyDescent="0.55000000000000004">
      <c r="B41" s="2" t="str">
        <f>[1]Afgrødefordeling!$C11</f>
        <v>Øvrige</v>
      </c>
      <c r="C41" s="86">
        <f>'[1]Afgrødefordeling - jordtype'!$G13</f>
        <v>2.8894569741786228E-2</v>
      </c>
      <c r="D41" s="91"/>
      <c r="E41" s="89"/>
      <c r="F41" s="87">
        <f>'[1]Afgrødefordeling - jordtype'!$P13</f>
        <v>2.4648152078224853E-2</v>
      </c>
      <c r="G41" s="89"/>
      <c r="H41" s="89"/>
      <c r="I41" s="116">
        <f>D41*Arealanvendelse!$M$26+G41*Arealanvendelse!$M$36</f>
        <v>0</v>
      </c>
      <c r="J41" s="116">
        <f>E41*Arealanvendelse!$P$26+H41*Arealanvendelse!$P$36</f>
        <v>0</v>
      </c>
      <c r="K41" s="12"/>
    </row>
    <row r="42" spans="2:11" x14ac:dyDescent="0.55000000000000004">
      <c r="B42" s="2" t="str">
        <f>[1]Afgrødefordeling!$C12</f>
        <v>Frø</v>
      </c>
      <c r="C42" s="86">
        <f>'[1]Afgrødefordeling - jordtype'!$G14</f>
        <v>3.0394546158686284E-2</v>
      </c>
      <c r="D42" s="91"/>
      <c r="E42" s="89"/>
      <c r="F42" s="87">
        <f>'[1]Afgrødefordeling - jordtype'!$P14</f>
        <v>7.6260655541220079E-2</v>
      </c>
      <c r="G42" s="89"/>
      <c r="H42" s="89"/>
      <c r="I42" s="116">
        <f>D42*Arealanvendelse!$M$26+G42*Arealanvendelse!$M$36</f>
        <v>0</v>
      </c>
      <c r="J42" s="116">
        <f>E42*Arealanvendelse!$P$26+H42*Arealanvendelse!$P$36</f>
        <v>0</v>
      </c>
      <c r="K42" s="12"/>
    </row>
    <row r="43" spans="2:11" x14ac:dyDescent="0.55000000000000004">
      <c r="B43" s="2" t="str">
        <f>[1]Afgrødefordeling!$C13</f>
        <v>Juletræer</v>
      </c>
      <c r="C43" s="86">
        <f>'[1]Afgrødefordeling - jordtype'!$G15</f>
        <v>8.1942098326515649E-3</v>
      </c>
      <c r="D43" s="91"/>
      <c r="E43" s="89"/>
      <c r="F43" s="87">
        <f>'[1]Afgrødefordeling - jordtype'!$P15</f>
        <v>5.4090883153768499E-3</v>
      </c>
      <c r="G43" s="89"/>
      <c r="H43" s="89"/>
      <c r="I43" s="116">
        <f>D43*Arealanvendelse!$M$26+G43*Arealanvendelse!$M$36</f>
        <v>0</v>
      </c>
      <c r="J43" s="116">
        <f>E43*Arealanvendelse!$P$26+H43*Arealanvendelse!$P$36</f>
        <v>0</v>
      </c>
      <c r="K43" s="12"/>
    </row>
    <row r="44" spans="2:11" x14ac:dyDescent="0.55000000000000004">
      <c r="B44" s="2" t="str">
        <f>[1]Afgrødefordeling!$C14</f>
        <v>Pil &amp; poppel</v>
      </c>
      <c r="C44" s="86">
        <f>'[1]Afgrødefordeling - jordtype'!$G16</f>
        <v>3.0140932866304453E-3</v>
      </c>
      <c r="D44" s="91"/>
      <c r="E44" s="89"/>
      <c r="F44" s="87">
        <f>'[1]Afgrødefordeling - jordtype'!$P16</f>
        <v>2.5711346585440159E-3</v>
      </c>
      <c r="G44" s="89"/>
      <c r="H44" s="89"/>
      <c r="I44" s="116">
        <f>D44*Arealanvendelse!$M$26+G44*Arealanvendelse!$M$36</f>
        <v>0</v>
      </c>
      <c r="J44" s="116">
        <f>E44*Arealanvendelse!$P$26+H44*Arealanvendelse!$P$36</f>
        <v>0</v>
      </c>
      <c r="K44" s="12"/>
    </row>
    <row r="45" spans="2:11" x14ac:dyDescent="0.55000000000000004">
      <c r="B45" s="2" t="str">
        <f>[1]Afgrødefordeling!$C15</f>
        <v>Permanent græs</v>
      </c>
      <c r="C45" s="86">
        <f>'[1]Afgrødefordeling - jordtype'!$G17</f>
        <v>7.2650293633615873E-2</v>
      </c>
      <c r="D45" s="91"/>
      <c r="E45" s="89"/>
      <c r="F45" s="87">
        <f>'[1]Afgrødefordeling - jordtype'!$P17</f>
        <v>6.4039786488699332E-2</v>
      </c>
      <c r="G45" s="89"/>
      <c r="H45" s="89"/>
      <c r="I45" s="116">
        <f>D45*Arealanvendelse!$M$26+G45*Arealanvendelse!$M$36</f>
        <v>0</v>
      </c>
      <c r="J45" s="116">
        <f>E45*Arealanvendelse!$P$26+H45*Arealanvendelse!$P$36</f>
        <v>0</v>
      </c>
      <c r="K45" s="12"/>
    </row>
    <row r="46" spans="2:11" x14ac:dyDescent="0.55000000000000004">
      <c r="B46" s="25" t="s">
        <v>303</v>
      </c>
      <c r="C46" s="87"/>
      <c r="D46" s="90">
        <f t="shared" ref="D46:H46" si="2">SUM(D32:D45)</f>
        <v>0.04</v>
      </c>
      <c r="E46" s="90">
        <f t="shared" si="2"/>
        <v>0</v>
      </c>
      <c r="F46" s="87"/>
      <c r="G46" s="90">
        <f t="shared" si="2"/>
        <v>0</v>
      </c>
      <c r="H46" s="90">
        <f t="shared" si="2"/>
        <v>0</v>
      </c>
      <c r="I46" s="110"/>
      <c r="J46" s="110"/>
      <c r="K46" s="12"/>
    </row>
    <row r="47" spans="2:11" x14ac:dyDescent="0.55000000000000004">
      <c r="B47" s="25" t="s">
        <v>247</v>
      </c>
      <c r="C47" s="87"/>
      <c r="D47" s="116">
        <f>SUMIF(D32:D45,"&gt;0")*Arealanvendelse!M26</f>
        <v>73143.961005119054</v>
      </c>
      <c r="E47" s="116">
        <f>SUMIF(E32:E45,"&gt;0")*Arealanvendelse!P26</f>
        <v>0</v>
      </c>
      <c r="F47" s="87"/>
      <c r="G47" s="116">
        <f>SUMIF(G32:G45,"&gt;0")*Arealanvendelse!M36</f>
        <v>0</v>
      </c>
      <c r="H47" s="116">
        <f>SUMIF(H32:H45,"&gt;0")*Arealanvendelse!P36</f>
        <v>0</v>
      </c>
      <c r="I47" s="216">
        <f>SUMIF(I32:I45,"&gt;0")</f>
        <v>73143.961005119054</v>
      </c>
      <c r="J47" s="216">
        <f>SUMIF(J32:J45,"&gt;0")</f>
        <v>0</v>
      </c>
      <c r="K47" s="12"/>
    </row>
    <row r="48" spans="2:11" x14ac:dyDescent="0.55000000000000004">
      <c r="B48" s="25" t="s">
        <v>246</v>
      </c>
      <c r="C48" s="110"/>
      <c r="D48" s="116">
        <f>1%*Arealanvendelse!M26</f>
        <v>18285.990251279763</v>
      </c>
      <c r="E48" s="116">
        <f>1%*Arealanvendelse!P26</f>
        <v>17942.961656694832</v>
      </c>
      <c r="F48" s="110"/>
      <c r="G48" s="116">
        <f>1%*Arealanvendelse!M36</f>
        <v>5501.3697487202335</v>
      </c>
      <c r="H48" s="116">
        <f>1%*Arealanvendelse!P36</f>
        <v>5464.398343305169</v>
      </c>
      <c r="I48" s="110"/>
      <c r="J48" s="110"/>
    </row>
    <row r="49" spans="2:8" x14ac:dyDescent="0.55000000000000004">
      <c r="B49" s="12"/>
      <c r="D49" s="119"/>
      <c r="E49" s="119"/>
      <c r="H49" s="119"/>
    </row>
    <row r="50" spans="2:8" ht="15" customHeight="1" x14ac:dyDescent="0.55000000000000004">
      <c r="B50" s="2"/>
      <c r="C50" s="84">
        <f>År1</f>
        <v>2019</v>
      </c>
      <c r="D50" s="84">
        <f>År2</f>
        <v>2030</v>
      </c>
      <c r="E50" s="84">
        <f>År3</f>
        <v>2050</v>
      </c>
    </row>
    <row r="51" spans="2:8" ht="27.75" customHeight="1" x14ac:dyDescent="0.55000000000000004">
      <c r="B51" s="113" t="s">
        <v>152</v>
      </c>
      <c r="C51" s="114">
        <f>786/121381</f>
        <v>6.475478040220463E-3</v>
      </c>
      <c r="D51" s="215">
        <f>C51</f>
        <v>6.475478040220463E-3</v>
      </c>
      <c r="E51" s="215">
        <f>D51</f>
        <v>6.475478040220463E-3</v>
      </c>
    </row>
  </sheetData>
  <mergeCells count="2">
    <mergeCell ref="B30:B31"/>
    <mergeCell ref="B20:B21"/>
  </mergeCells>
  <hyperlinks>
    <hyperlink ref="A1" location="Resume!A1" display="Produktion og forbrug i landbruget" xr:uid="{EC5EB0C3-FDDD-4242-A5AF-3EC3C33DCF05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141-BBCF-4FEE-AA50-BD590A389FE7}">
  <sheetPr codeName="Sheet18">
    <tabColor theme="9" tint="0.39997558519241921"/>
  </sheetPr>
  <dimension ref="A1:I18"/>
  <sheetViews>
    <sheetView workbookViewId="0">
      <selection activeCell="E15" sqref="E15"/>
    </sheetView>
  </sheetViews>
  <sheetFormatPr defaultColWidth="9.15625" defaultRowHeight="14.4" x14ac:dyDescent="0.55000000000000004"/>
  <cols>
    <col min="1" max="1" width="25" style="1" customWidth="1"/>
    <col min="2" max="2" width="18.26171875" style="1" customWidth="1"/>
    <col min="3" max="3" width="12.15625" style="1" customWidth="1"/>
    <col min="4" max="5" width="9.15625" style="1"/>
    <col min="6" max="6" width="20.9453125" style="1" bestFit="1" customWidth="1"/>
    <col min="7" max="16384" width="9.15625" style="1"/>
  </cols>
  <sheetData>
    <row r="1" spans="1:9" x14ac:dyDescent="0.55000000000000004">
      <c r="A1" s="234" t="s">
        <v>284</v>
      </c>
    </row>
    <row r="2" spans="1:9" ht="14.7" thickBot="1" x14ac:dyDescent="0.6">
      <c r="A2" s="359"/>
      <c r="B2" s="359"/>
      <c r="C2" s="359">
        <f>År1</f>
        <v>2019</v>
      </c>
      <c r="D2" s="359">
        <f>År2</f>
        <v>2030</v>
      </c>
      <c r="E2" s="359">
        <f>År3</f>
        <v>2050</v>
      </c>
      <c r="F2" s="359" t="s">
        <v>331</v>
      </c>
    </row>
    <row r="3" spans="1:9" x14ac:dyDescent="0.55000000000000004">
      <c r="A3" s="360" t="str">
        <f>'[1]Processer - data'!$D418</f>
        <v>Korn</v>
      </c>
      <c r="B3" s="12" t="s">
        <v>134</v>
      </c>
      <c r="C3" s="120">
        <f>VLOOKUP(A3,[1]Foder!$A$2:$E$16,5,FALSE)</f>
        <v>0.39994582515067378</v>
      </c>
      <c r="D3" s="358">
        <f>C3</f>
        <v>0.39994582515067378</v>
      </c>
      <c r="E3" s="358">
        <f>D3</f>
        <v>0.39994582515067378</v>
      </c>
      <c r="I3" s="252"/>
    </row>
    <row r="4" spans="1:9" x14ac:dyDescent="0.55000000000000004">
      <c r="A4" s="2" t="str">
        <f>'[1]Processer - data'!$D419</f>
        <v>Halm</v>
      </c>
      <c r="B4" s="12" t="s">
        <v>134</v>
      </c>
      <c r="C4" s="120">
        <f>VLOOKUP(A4,[1]Foder!$A$2:$E$16,5,FALSE)</f>
        <v>1.1105844111871065E-2</v>
      </c>
      <c r="D4" s="358">
        <f t="shared" ref="D4:E17" si="0">C4</f>
        <v>1.1105844111871065E-2</v>
      </c>
      <c r="E4" s="358">
        <f t="shared" si="0"/>
        <v>1.1105844111871065E-2</v>
      </c>
      <c r="I4" s="252"/>
    </row>
    <row r="5" spans="1:9" x14ac:dyDescent="0.55000000000000004">
      <c r="A5" s="2" t="str">
        <f>'[1]Processer - data'!$D420</f>
        <v>Kartofler</v>
      </c>
      <c r="B5" s="12" t="s">
        <v>134</v>
      </c>
      <c r="C5" s="120">
        <f>VLOOKUP(A5,[1]Foder!$A$2:$E$16,5,FALSE)</f>
        <v>0</v>
      </c>
      <c r="D5" s="358">
        <f t="shared" si="0"/>
        <v>0</v>
      </c>
      <c r="E5" s="358">
        <f t="shared" si="0"/>
        <v>0</v>
      </c>
      <c r="I5" s="252"/>
    </row>
    <row r="6" spans="1:9" x14ac:dyDescent="0.55000000000000004">
      <c r="A6" s="2" t="str">
        <f>'[1]Processer - data'!$D421</f>
        <v>Bælgsæd</v>
      </c>
      <c r="B6" s="12" t="s">
        <v>134</v>
      </c>
      <c r="C6" s="120">
        <f>VLOOKUP(A6,[1]Foder!$A$2:$E$16,5,FALSE)</f>
        <v>5.2820478093045303E-3</v>
      </c>
      <c r="D6" s="358">
        <f t="shared" si="0"/>
        <v>5.2820478093045303E-3</v>
      </c>
      <c r="E6" s="358">
        <f t="shared" si="0"/>
        <v>5.2820478093045303E-3</v>
      </c>
      <c r="I6" s="252"/>
    </row>
    <row r="7" spans="1:9" x14ac:dyDescent="0.55000000000000004">
      <c r="A7" s="2" t="str">
        <f>'[1]Processer - data'!$D422</f>
        <v>Roer</v>
      </c>
      <c r="B7" s="12" t="s">
        <v>134</v>
      </c>
      <c r="C7" s="120">
        <f>VLOOKUP(A7,[1]Foder!$A$2:$E$16,5,FALSE)</f>
        <v>9.683754317058306E-3</v>
      </c>
      <c r="D7" s="358">
        <f t="shared" si="0"/>
        <v>9.683754317058306E-3</v>
      </c>
      <c r="E7" s="358">
        <f t="shared" si="0"/>
        <v>9.683754317058306E-3</v>
      </c>
      <c r="I7" s="252"/>
    </row>
    <row r="8" spans="1:9" x14ac:dyDescent="0.55000000000000004">
      <c r="A8" s="2" t="str">
        <f>'[1]Processer - data'!$D423</f>
        <v>Majs</v>
      </c>
      <c r="B8" s="12" t="s">
        <v>134</v>
      </c>
      <c r="C8" s="120">
        <f>VLOOKUP(A8,[1]Foder!$A$2:$E$16,5,FALSE)</f>
        <v>0.1132931536534164</v>
      </c>
      <c r="D8" s="358">
        <f t="shared" si="0"/>
        <v>0.1132931536534164</v>
      </c>
      <c r="E8" s="358">
        <f t="shared" si="0"/>
        <v>0.1132931536534164</v>
      </c>
      <c r="I8" s="252"/>
    </row>
    <row r="9" spans="1:9" x14ac:dyDescent="0.55000000000000004">
      <c r="A9" s="2" t="str">
        <f>'[1]Processer - data'!$D424</f>
        <v>Rapskage</v>
      </c>
      <c r="B9" s="12" t="s">
        <v>134</v>
      </c>
      <c r="C9" s="120">
        <f>VLOOKUP(A9,[1]Foder!$A$2:$E$16,5,FALSE)</f>
        <v>1.6320173359517843E-2</v>
      </c>
      <c r="D9" s="358">
        <f t="shared" si="0"/>
        <v>1.6320173359517843E-2</v>
      </c>
      <c r="E9" s="358">
        <f t="shared" si="0"/>
        <v>1.6320173359517843E-2</v>
      </c>
      <c r="I9" s="252"/>
    </row>
    <row r="10" spans="1:9" x14ac:dyDescent="0.55000000000000004">
      <c r="A10" s="2" t="str">
        <f>'[1]Processer - data'!$D425</f>
        <v>Tang</v>
      </c>
      <c r="B10" s="12" t="s">
        <v>134</v>
      </c>
      <c r="C10" s="120">
        <f>VLOOKUP(A10,[1]Foder!$A$2:$E$16,5,FALSE)</f>
        <v>0</v>
      </c>
      <c r="D10" s="358">
        <f t="shared" si="0"/>
        <v>0</v>
      </c>
      <c r="E10" s="358">
        <f t="shared" si="0"/>
        <v>0</v>
      </c>
      <c r="I10" s="252"/>
    </row>
    <row r="11" spans="1:9" x14ac:dyDescent="0.55000000000000004">
      <c r="A11" s="2" t="str">
        <f>'[1]Processer - data'!$D426</f>
        <v>Muslinger</v>
      </c>
      <c r="B11" s="12" t="s">
        <v>134</v>
      </c>
      <c r="C11" s="120">
        <f>VLOOKUP(A11,[1]Foder!$A$2:$E$16,5,FALSE)</f>
        <v>0</v>
      </c>
      <c r="D11" s="358">
        <f t="shared" si="0"/>
        <v>0</v>
      </c>
      <c r="E11" s="358">
        <f t="shared" si="0"/>
        <v>0</v>
      </c>
      <c r="I11" s="252"/>
    </row>
    <row r="12" spans="1:9" x14ac:dyDescent="0.55000000000000004">
      <c r="A12" s="2" t="str">
        <f>'[1]Processer - data'!$D427</f>
        <v>Græs</v>
      </c>
      <c r="B12" s="12" t="s">
        <v>134</v>
      </c>
      <c r="C12" s="120">
        <f>VLOOKUP(A12,[1]Foder!$A$2:$E$16,5,FALSE)</f>
        <v>0.15385657208640888</v>
      </c>
      <c r="D12" s="358">
        <f t="shared" si="0"/>
        <v>0.15385657208640888</v>
      </c>
      <c r="E12" s="358">
        <f t="shared" si="0"/>
        <v>0.15385657208640888</v>
      </c>
    </row>
    <row r="13" spans="1:9" x14ac:dyDescent="0.55000000000000004">
      <c r="A13" s="2" t="str">
        <f>'[1]Processer - data'!$D428</f>
        <v>Mælk til foder</v>
      </c>
      <c r="B13" s="12" t="s">
        <v>134</v>
      </c>
      <c r="C13" s="120">
        <f>VLOOKUP(A13,[1]Foder!$A$2:$E$16,5,FALSE)</f>
        <v>1.1038125550213313E-2</v>
      </c>
      <c r="D13" s="358">
        <f t="shared" si="0"/>
        <v>1.1038125550213313E-2</v>
      </c>
      <c r="E13" s="358">
        <f t="shared" si="0"/>
        <v>1.1038125550213313E-2</v>
      </c>
    </row>
    <row r="14" spans="1:9" x14ac:dyDescent="0.55000000000000004">
      <c r="A14" s="2" t="str">
        <f>'[1]Processer - data'!$D429</f>
        <v>Fiberfraktion</v>
      </c>
      <c r="B14" s="12" t="s">
        <v>134</v>
      </c>
      <c r="C14" s="120">
        <f>VLOOKUP(A14,[1]Foder!$A$2:$E$16,5,FALSE)</f>
        <v>0</v>
      </c>
      <c r="D14" s="120">
        <f>ROUND('[1]Processer - data'!I$469/'[1]Processer - data'!I$468*D15*'[1]Processer - data'!$H$429/'[1]Processer - data'!$H$430,4)</f>
        <v>0</v>
      </c>
      <c r="E14" s="120">
        <f>ROUND('[1]Processer - data'!J$469/'[1]Processer - data'!J$468*E15*'[1]Processer - data'!$H$429/'[1]Processer - data'!$H$430,4)</f>
        <v>0</v>
      </c>
      <c r="F14" s="1" t="s">
        <v>332</v>
      </c>
    </row>
    <row r="15" spans="1:9" x14ac:dyDescent="0.55000000000000004">
      <c r="A15" s="2" t="str">
        <f>'[1]Processer - data'!$D430</f>
        <v>Græsprotein</v>
      </c>
      <c r="B15" s="12" t="s">
        <v>134</v>
      </c>
      <c r="C15" s="120">
        <f>VLOOKUP(A15,[1]Foder!$A$2:$E$16,5,FALSE)</f>
        <v>0</v>
      </c>
      <c r="D15" s="358">
        <f>C15</f>
        <v>0</v>
      </c>
      <c r="E15" s="358">
        <f t="shared" si="0"/>
        <v>0</v>
      </c>
    </row>
    <row r="16" spans="1:9" x14ac:dyDescent="0.55000000000000004">
      <c r="A16" s="2" t="str">
        <f>'[1]Processer - data'!$D431</f>
        <v>Slagteriaffald til foder</v>
      </c>
      <c r="B16" s="12" t="s">
        <v>134</v>
      </c>
      <c r="C16" s="120">
        <f>VLOOKUP(A16,[1]Foder!$A$2:$E$16,5,FALSE)</f>
        <v>8.1939459605877979E-3</v>
      </c>
      <c r="D16" s="358">
        <f t="shared" si="0"/>
        <v>8.1939459605877979E-3</v>
      </c>
      <c r="E16" s="358">
        <f t="shared" si="0"/>
        <v>8.1939459605877979E-3</v>
      </c>
    </row>
    <row r="17" spans="1:6" ht="14.7" thickBot="1" x14ac:dyDescent="0.6">
      <c r="A17" s="2" t="str">
        <f>'[1]Processer - data'!$D432</f>
        <v>Import af foder</v>
      </c>
      <c r="B17" s="12" t="s">
        <v>134</v>
      </c>
      <c r="C17" s="120">
        <f>VLOOKUP(A17,[1]Foder!$A$2:$E$16,5,FALSE)</f>
        <v>0.27128055800094808</v>
      </c>
      <c r="D17" s="358">
        <f t="shared" si="0"/>
        <v>0.27128055800094808</v>
      </c>
      <c r="E17" s="358">
        <f t="shared" si="0"/>
        <v>0.27128055800094808</v>
      </c>
      <c r="F17" s="359"/>
    </row>
    <row r="18" spans="1:6" ht="14.7" thickBot="1" x14ac:dyDescent="0.6">
      <c r="A18" s="253" t="s">
        <v>30</v>
      </c>
      <c r="B18" s="253" t="s">
        <v>134</v>
      </c>
      <c r="C18" s="121">
        <f>SUM(C3:C17)</f>
        <v>1</v>
      </c>
      <c r="D18" s="121">
        <f t="shared" ref="D18:E18" si="1">SUM(D3:D17)</f>
        <v>1</v>
      </c>
      <c r="E18" s="122">
        <f t="shared" si="1"/>
        <v>1</v>
      </c>
      <c r="F18" s="362" t="s">
        <v>333</v>
      </c>
    </row>
  </sheetData>
  <conditionalFormatting sqref="C18:E18">
    <cfRule type="cellIs" dxfId="4" priority="1" operator="notBetween">
      <formula>1</formula>
      <formula>1</formula>
    </cfRule>
  </conditionalFormatting>
  <hyperlinks>
    <hyperlink ref="A1" location="Resume!A1" display="Produktion og forbrug i landbruget" xr:uid="{4CA7F789-FBE6-4309-993D-854D6258C618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D8C9-93D6-4879-AD7B-7934F4321325}">
  <sheetPr codeName="Sheet9">
    <tabColor theme="9" tint="0.39997558519241921"/>
  </sheetPr>
  <dimension ref="A1:M53"/>
  <sheetViews>
    <sheetView zoomScale="85" zoomScaleNormal="85" workbookViewId="0">
      <selection activeCell="E14" sqref="E14"/>
    </sheetView>
  </sheetViews>
  <sheetFormatPr defaultColWidth="9.15625" defaultRowHeight="14.4" x14ac:dyDescent="0.55000000000000004"/>
  <cols>
    <col min="1" max="1" width="18.26171875" style="1" bestFit="1" customWidth="1"/>
    <col min="2" max="2" width="10.578125" style="1" customWidth="1"/>
    <col min="3" max="4" width="8.578125" style="1" bestFit="1" customWidth="1"/>
    <col min="5" max="5" width="8.68359375" style="1" customWidth="1"/>
    <col min="6" max="11" width="9.15625" style="1"/>
    <col min="12" max="12" width="9.83984375" style="1" customWidth="1"/>
    <col min="13" max="13" width="40.578125" style="1" bestFit="1" customWidth="1"/>
    <col min="14" max="16384" width="9.15625" style="1"/>
  </cols>
  <sheetData>
    <row r="1" spans="1:4" x14ac:dyDescent="0.55000000000000004">
      <c r="A1" s="233" t="s">
        <v>284</v>
      </c>
    </row>
    <row r="2" spans="1:4" x14ac:dyDescent="0.55000000000000004">
      <c r="A2" s="104" t="s">
        <v>253</v>
      </c>
    </row>
    <row r="3" spans="1:4" x14ac:dyDescent="0.55000000000000004">
      <c r="A3" s="6" t="s">
        <v>184</v>
      </c>
      <c r="B3" s="1" t="s">
        <v>171</v>
      </c>
    </row>
    <row r="4" spans="1:4" x14ac:dyDescent="0.55000000000000004">
      <c r="A4" s="6" t="s">
        <v>178</v>
      </c>
      <c r="B4" s="1" t="s">
        <v>172</v>
      </c>
    </row>
    <row r="5" spans="1:4" x14ac:dyDescent="0.55000000000000004">
      <c r="A5" s="6" t="s">
        <v>179</v>
      </c>
      <c r="B5" s="1" t="s">
        <v>173</v>
      </c>
    </row>
    <row r="6" spans="1:4" x14ac:dyDescent="0.55000000000000004">
      <c r="A6" s="6" t="s">
        <v>180</v>
      </c>
      <c r="B6" s="1" t="s">
        <v>188</v>
      </c>
    </row>
    <row r="7" spans="1:4" x14ac:dyDescent="0.55000000000000004">
      <c r="A7" s="6" t="s">
        <v>181</v>
      </c>
      <c r="B7" s="1" t="s">
        <v>189</v>
      </c>
    </row>
    <row r="8" spans="1:4" x14ac:dyDescent="0.55000000000000004">
      <c r="A8" s="6" t="s">
        <v>182</v>
      </c>
      <c r="B8" s="1" t="s">
        <v>190</v>
      </c>
    </row>
    <row r="9" spans="1:4" x14ac:dyDescent="0.55000000000000004">
      <c r="A9" s="2" t="s">
        <v>294</v>
      </c>
      <c r="B9" s="2"/>
      <c r="C9" s="215">
        <v>5.0000000000000001E-3</v>
      </c>
      <c r="D9" s="4"/>
    </row>
    <row r="10" spans="1:4" x14ac:dyDescent="0.55000000000000004">
      <c r="A10" s="81"/>
      <c r="B10" s="81"/>
      <c r="C10" s="81"/>
      <c r="D10" s="83"/>
    </row>
    <row r="11" spans="1:4" x14ac:dyDescent="0.55000000000000004">
      <c r="A11" s="2" t="s">
        <v>293</v>
      </c>
      <c r="B11" s="2"/>
      <c r="C11" s="2"/>
      <c r="D11" s="2"/>
    </row>
    <row r="12" spans="1:4" x14ac:dyDescent="0.55000000000000004">
      <c r="A12" s="2" t="s">
        <v>185</v>
      </c>
      <c r="B12" s="2">
        <f>År1</f>
        <v>2019</v>
      </c>
      <c r="C12" s="2">
        <f>År2</f>
        <v>2030</v>
      </c>
      <c r="D12" s="2">
        <f>År3</f>
        <v>2050</v>
      </c>
    </row>
    <row r="13" spans="1:4" x14ac:dyDescent="0.55000000000000004">
      <c r="A13" s="2" t="s">
        <v>178</v>
      </c>
      <c r="B13" s="7">
        <v>0</v>
      </c>
      <c r="C13" s="8">
        <v>1</v>
      </c>
      <c r="D13" s="8">
        <v>1</v>
      </c>
    </row>
    <row r="14" spans="1:4" x14ac:dyDescent="0.55000000000000004">
      <c r="A14" s="2" t="s">
        <v>179</v>
      </c>
      <c r="B14" s="7">
        <v>0</v>
      </c>
      <c r="C14" s="8">
        <v>0</v>
      </c>
      <c r="D14" s="8">
        <v>0</v>
      </c>
    </row>
    <row r="15" spans="1:4" x14ac:dyDescent="0.55000000000000004">
      <c r="A15" s="2" t="s">
        <v>180</v>
      </c>
      <c r="B15" s="7">
        <v>0</v>
      </c>
      <c r="C15" s="8">
        <v>0</v>
      </c>
      <c r="D15" s="8">
        <v>0</v>
      </c>
    </row>
    <row r="16" spans="1:4" x14ac:dyDescent="0.55000000000000004">
      <c r="A16" s="2" t="s">
        <v>181</v>
      </c>
      <c r="B16" s="7">
        <v>0</v>
      </c>
      <c r="C16" s="8">
        <v>0</v>
      </c>
      <c r="D16" s="8">
        <v>0</v>
      </c>
    </row>
    <row r="17" spans="1:13" x14ac:dyDescent="0.55000000000000004">
      <c r="A17" s="2" t="s">
        <v>182</v>
      </c>
      <c r="B17" s="7">
        <v>0</v>
      </c>
      <c r="C17" s="8">
        <v>0</v>
      </c>
      <c r="D17" s="8">
        <v>0</v>
      </c>
    </row>
    <row r="18" spans="1:13" x14ac:dyDescent="0.55000000000000004">
      <c r="A18" s="185" t="s">
        <v>30</v>
      </c>
      <c r="B18" s="186"/>
      <c r="C18" s="186">
        <f>SUM(C13:C17)</f>
        <v>1</v>
      </c>
      <c r="D18" s="186">
        <f>SUM(D13:D17)</f>
        <v>1</v>
      </c>
    </row>
    <row r="19" spans="1:13" x14ac:dyDescent="0.55000000000000004">
      <c r="A19" s="2"/>
      <c r="B19" s="2"/>
      <c r="C19" s="2" t="s">
        <v>23</v>
      </c>
      <c r="D19" s="2" t="s">
        <v>23</v>
      </c>
      <c r="E19" s="2" t="s">
        <v>23</v>
      </c>
      <c r="F19" s="2" t="s">
        <v>24</v>
      </c>
      <c r="G19" s="2" t="s">
        <v>24</v>
      </c>
      <c r="H19" s="2" t="s">
        <v>24</v>
      </c>
    </row>
    <row r="20" spans="1:13" x14ac:dyDescent="0.55000000000000004">
      <c r="A20" s="25" t="s">
        <v>186</v>
      </c>
      <c r="B20" s="187" t="s">
        <v>187</v>
      </c>
      <c r="C20" s="187">
        <f>År1</f>
        <v>2019</v>
      </c>
      <c r="D20" s="187">
        <f>År2</f>
        <v>2030</v>
      </c>
      <c r="E20" s="187">
        <f>År3</f>
        <v>2050</v>
      </c>
      <c r="F20" s="187">
        <f>År1</f>
        <v>2019</v>
      </c>
      <c r="G20" s="187">
        <f>År2</f>
        <v>2030</v>
      </c>
      <c r="H20" s="187">
        <f>År3</f>
        <v>2050</v>
      </c>
    </row>
    <row r="21" spans="1:13" x14ac:dyDescent="0.55000000000000004">
      <c r="A21" s="2" t="s">
        <v>184</v>
      </c>
      <c r="B21" s="188" t="s">
        <v>183</v>
      </c>
      <c r="C21" s="110">
        <f>Arealanvendelse!J27</f>
        <v>434670</v>
      </c>
      <c r="D21" s="110">
        <f>C21*(1-$C$9)^(D20-C20)</f>
        <v>411351.94520750927</v>
      </c>
      <c r="E21" s="110">
        <f>D21*(1-$C$9)^(E20-D20)</f>
        <v>372113.28071606322</v>
      </c>
      <c r="F21" s="110">
        <f>Arealanvendelse!J37</f>
        <v>127230</v>
      </c>
      <c r="G21" s="110">
        <f>F21*(1-$C$9)^(G20-F20)</f>
        <v>120404.69318966437</v>
      </c>
      <c r="H21" s="110">
        <f>G21*(1-$C$9)^(H20-G20)</f>
        <v>108919.34733362029</v>
      </c>
    </row>
    <row r="22" spans="1:13" x14ac:dyDescent="0.55000000000000004">
      <c r="A22" s="2" t="s">
        <v>178</v>
      </c>
      <c r="B22" s="189">
        <v>10</v>
      </c>
      <c r="C22" s="110">
        <v>0</v>
      </c>
      <c r="D22" s="110">
        <f>IF(D$20-C$20+10&gt;$B22,IF(D$20-C$20&lt;=10,VLOOKUP($A22,$A$13:$D$17,MATCH(D$20,$A$12:$D$12)),VLOOKUP($A22,$A$13:$D$17,MATCH(D$20,$A$12:$D$12))/(D$20-C$20)*IF($B22=10,10,D$20-C$20-$B21)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38349.661358783756</v>
      </c>
      <c r="E22" s="110">
        <f>IF(E$20-D$20+10&gt;$B22,IF(E$20-D$20&lt;=10,VLOOKUP($A22,$A$13:$D$17,MATCH(E$20,$A$12:$D$12)),VLOOKUP($A22,$A$13:$D$17,MATCH(E$20,$A$12:$D$12))/(E$20-D$20)*IF($B22=10,10,E$20-D$20-$B21)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20)</f>
        <v>36770.761974969762</v>
      </c>
      <c r="F22" s="110">
        <v>0</v>
      </c>
      <c r="G22" s="110">
        <f>IF(G$20-F$20+10&gt;$B22,IF(G$20-F$20&lt;=10,VLOOKUP($A22,$A$13:$D$17,MATCH(G$20,$A$12:$D$12)),VLOOKUP($A22,$A$13:$D$17,MATCH(G$20,$A$12:$D$12))/(G$20-F$20)*IF($B22=10,10,G$20-F$20-$B21)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8053.3946437856575</v>
      </c>
      <c r="H22" s="110">
        <f>IF(H$20-G$20+10&gt;$B22,IF(H$20-G$20&lt;=10,VLOOKUP($A22,$A$13:$D$17,MATCH(H$20,$A$12:$D$12)),VLOOKUP($A22,$A$13:$D$17,MATCH(H$20,$A$12:$D$12))/(H$20-G$20)*IF($B22=10,10,H$20-G$20-$B21)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20)</f>
        <v>7591.2431987752934</v>
      </c>
    </row>
    <row r="23" spans="1:13" x14ac:dyDescent="0.55000000000000004">
      <c r="A23" s="2" t="s">
        <v>178</v>
      </c>
      <c r="B23" s="189">
        <v>20</v>
      </c>
      <c r="C23" s="110">
        <v>0</v>
      </c>
      <c r="D23" s="110">
        <f>IF(D$20-C$20+10&gt;$B23,IF(D$20-C$20&lt;=10,VLOOKUP($A23,$A$13:$D$17,MATCH(D$20,$A$12:$D$12)),VLOOKUP($A23,$A$13:$D$17,MATCH(D$20,$A$12:$D$12))/(D$20-C$20)*IF($B23=10,10,D$20-C$20-$B22)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3834.9661358783751</v>
      </c>
      <c r="E23" s="110">
        <f>IF(E$20-D$20+10&gt;$B23,IF(E$20-D$20&lt;=10,VLOOKUP($A23,$A$13:$D$17,MATCH(E$20,$A$12:$D$12)),VLOOKUP($A23,$A$13:$D$17,MATCH(E$20,$A$12:$D$12))/(E$20-D$20)*IF($B23=10,10,E$20-D$20-$B22)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21)</f>
        <v>36770.761974969762</v>
      </c>
      <c r="F23" s="110">
        <v>0</v>
      </c>
      <c r="G23" s="110">
        <f>IF(G$20-F$20+10&gt;$B23,IF(G$20-F$20&lt;=10,VLOOKUP($A23,$A$13:$D$17,MATCH(G$20,$A$12:$D$12)),VLOOKUP($A23,$A$13:$D$17,MATCH(G$20,$A$12:$D$12))/(G$20-F$20)*IF($B23=10,10,G$20-F$20-$B22)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805.33946437856571</v>
      </c>
      <c r="H23" s="110">
        <f>IF(H$20-G$20+10&gt;$B23,IF(H$20-G$20&lt;=10,VLOOKUP($A23,$A$13:$D$17,MATCH(H$20,$A$12:$D$12)),VLOOKUP($A23,$A$13:$D$17,MATCH(H$20,$A$12:$D$12))/(H$20-G$20)*IF($B23=10,10,H$20-G$20-$B22)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21)</f>
        <v>7591.2431987752934</v>
      </c>
    </row>
    <row r="24" spans="1:13" x14ac:dyDescent="0.55000000000000004">
      <c r="A24" s="2" t="s">
        <v>178</v>
      </c>
      <c r="B24" s="189">
        <v>30</v>
      </c>
      <c r="C24" s="110">
        <v>0</v>
      </c>
      <c r="D24" s="110">
        <f>IF(D$20-C$20+10&gt;$B24,IF(D$20-C$20&lt;=10,VLOOKUP($A24,$A$13:$D$17,MATCH(D$20,$A$12:$D$12)),VLOOKUP($A24,$A$13:$D$17,MATCH(D$20,$A$12:$D$12))/(D$20-C$20)*IF($B24=10,10,D$20-C$20-$B23)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4" s="110">
        <f>IF(E$20-D$20+10&gt;$B24,IF(E$20-D$20&lt;=10,VLOOKUP($A24,$A$13:$D$17,MATCH(E$20,$A$12:$D$12)),VLOOKUP($A24,$A$13:$D$17,MATCH(E$20,$A$12:$D$12))/(E$20-D$20)*IF($B24=10,10,E$20-D$20-$B23)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22)</f>
        <v>38349.661358783756</v>
      </c>
      <c r="F24" s="110">
        <v>0</v>
      </c>
      <c r="G24" s="110">
        <f>IF(G$20-F$20+10&gt;$B24,IF(G$20-F$20&lt;=10,VLOOKUP($A24,$A$13:$D$17,MATCH(G$20,$A$12:$D$12)),VLOOKUP($A24,$A$13:$D$17,MATCH(G$20,$A$12:$D$12))/(G$20-F$20)*IF($B24=10,10,G$20-F$20-$B23)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4" s="110">
        <f>IF(H$20-G$20+10&gt;$B24,IF(H$20-G$20&lt;=10,VLOOKUP($A24,$A$13:$D$17,MATCH(H$20,$A$12:$D$12)),VLOOKUP($A24,$A$13:$D$17,MATCH(H$20,$A$12:$D$12))/(H$20-G$20)*IF($B24=10,10,H$20-G$20-$B23)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22)</f>
        <v>8053.3946437856575</v>
      </c>
    </row>
    <row r="25" spans="1:13" x14ac:dyDescent="0.55000000000000004">
      <c r="A25" s="2" t="s">
        <v>178</v>
      </c>
      <c r="B25" s="190">
        <v>40</v>
      </c>
      <c r="C25" s="110">
        <v>0</v>
      </c>
      <c r="D25" s="110">
        <f>IF(D$20-C$20+10&gt;$B25,IF(D$20-C$20&lt;=10,VLOOKUP($A25,$A$13:$D$17,MATCH(D$20,$A$12:$D$12)),VLOOKUP($A25,$A$13:$D$17,MATCH(D$20,$A$12:$D$12))/(D$20-C$20)*IF($B25=10,10,D$20-C$20-$B24)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5" s="110">
        <f>IF(E$20-D$20+10&gt;$B25,IF(E$20-D$20&lt;=10,VLOOKUP($A25,$A$13:$D$17,MATCH(E$20,$A$12:$D$12)),VLOOKUP($A25,$A$13:$D$17,MATCH(E$20,$A$12:$D$12))/(E$20-D$20)*IF($B25=10,10,E$20-D$20-$B24)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23)</f>
        <v>3834.9661358783751</v>
      </c>
      <c r="F25" s="110">
        <v>0</v>
      </c>
      <c r="G25" s="110">
        <f>IF(G$20-F$20+10&gt;$B25,IF(G$20-F$20&lt;=10,VLOOKUP($A25,$A$13:$D$17,MATCH(G$20,$A$12:$D$12)),VLOOKUP($A25,$A$13:$D$17,MATCH(G$20,$A$12:$D$12))/(G$20-F$20)*IF($B25=10,10,G$20-F$20-$B24)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5" s="110">
        <f>IF(H$20-G$20+10&gt;$B25,IF(H$20-G$20&lt;=10,VLOOKUP($A25,$A$13:$D$17,MATCH(H$20,$A$12:$D$12)),VLOOKUP($A25,$A$13:$D$17,MATCH(H$20,$A$12:$D$12))/(H$20-G$20)*IF($B25=10,10,H$20-G$20-$B24)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23)</f>
        <v>805.33946437856571</v>
      </c>
    </row>
    <row r="26" spans="1:13" x14ac:dyDescent="0.55000000000000004">
      <c r="A26" s="2" t="s">
        <v>179</v>
      </c>
      <c r="B26" s="189">
        <v>10</v>
      </c>
      <c r="C26" s="110">
        <v>0</v>
      </c>
      <c r="D26" s="110">
        <f>IF(D$20-C$20+10&gt;$B26,IF(D$20-C$20&lt;=10,VLOOKUP($A26,$A$13:$D$17,MATCH(D$20,$A$12:$D$12)),VLOOKUP($A26,$A$13:$D$17,MATCH(D$20,$A$12:$D$12))/(D$20-C$20)*IF($B26=10,10,D$20-C$20-$B25)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6" s="110">
        <f>IF(E$20-D$20+10&gt;$B26,IF(E$20-D$20&lt;=10,VLOOKUP($A26,$A$13:$D$17,MATCH(E$20,$A$12:$D$12)),VLOOKUP($A26,$A$13:$D$17,MATCH(E$20,$A$12:$D$12))/(E$20-D$20)*IF($B26=10,10,E$20-D$20-$B25)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24)</f>
        <v>0</v>
      </c>
      <c r="F26" s="110">
        <v>0</v>
      </c>
      <c r="G26" s="110">
        <f>IF(G$20-F$20+10&gt;$B26,IF(G$20-F$20&lt;=10,VLOOKUP($A26,$A$13:$D$17,MATCH(G$20,$A$12:$D$12)),VLOOKUP($A26,$A$13:$D$17,MATCH(G$20,$A$12:$D$12))/(G$20-F$20)*IF($B26=10,10,G$20-F$20-$B25)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6" s="110">
        <f>IF(H$20-G$20+10&gt;$B26,IF(H$20-G$20&lt;=10,VLOOKUP($A26,$A$13:$D$17,MATCH(H$20,$A$12:$D$12)),VLOOKUP($A26,$A$13:$D$17,MATCH(H$20,$A$12:$D$12))/(H$20-G$20)*IF($B26=10,10,H$20-G$20-$B25)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24)</f>
        <v>0</v>
      </c>
      <c r="M26" s="1" t="s">
        <v>177</v>
      </c>
    </row>
    <row r="27" spans="1:13" x14ac:dyDescent="0.55000000000000004">
      <c r="A27" s="2" t="s">
        <v>179</v>
      </c>
      <c r="B27" s="189">
        <v>20</v>
      </c>
      <c r="C27" s="110">
        <v>0</v>
      </c>
      <c r="D27" s="110">
        <f>IF(D$20-C$20+10&gt;$B27,IF(D$20-C$20&lt;=10,VLOOKUP($A27,$A$13:$D$17,MATCH(D$20,$A$12:$D$12)),VLOOKUP($A27,$A$13:$D$17,MATCH(D$20,$A$12:$D$12))/(D$20-C$20)*IF($B27=10,10,D$20-C$20-$B26)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7" s="110">
        <f>IF(E$20-D$20+10&gt;$B27,IF(E$20-D$20&lt;=10,VLOOKUP($A27,$A$13:$D$17,MATCH(E$20,$A$12:$D$12)),VLOOKUP($A27,$A$13:$D$17,MATCH(E$20,$A$12:$D$12))/(E$20-D$20)*IF($B27=10,10,E$20-D$20-$B26)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25)</f>
        <v>0</v>
      </c>
      <c r="F27" s="110">
        <v>0</v>
      </c>
      <c r="G27" s="110">
        <f>IF(G$20-F$20+10&gt;$B27,IF(G$20-F$20&lt;=10,VLOOKUP($A27,$A$13:$D$17,MATCH(G$20,$A$12:$D$12)),VLOOKUP($A27,$A$13:$D$17,MATCH(G$20,$A$12:$D$12))/(G$20-F$20)*IF($B27=10,10,G$20-F$20-$B26)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7" s="110">
        <f>IF(H$20-G$20+10&gt;$B27,IF(H$20-G$20&lt;=10,VLOOKUP($A27,$A$13:$D$17,MATCH(H$20,$A$12:$D$12)),VLOOKUP($A27,$A$13:$D$17,MATCH(H$20,$A$12:$D$12))/(H$20-G$20)*IF($B27=10,10,H$20-G$20-$B26)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25)</f>
        <v>0</v>
      </c>
    </row>
    <row r="28" spans="1:13" x14ac:dyDescent="0.55000000000000004">
      <c r="A28" s="2" t="s">
        <v>179</v>
      </c>
      <c r="B28" s="189">
        <v>30</v>
      </c>
      <c r="C28" s="110">
        <v>0</v>
      </c>
      <c r="D28" s="110">
        <f>IF(D$20-C$20+10&gt;$B28,IF(D$20-C$20&lt;=10,VLOOKUP($A28,$A$13:$D$17,MATCH(D$20,$A$12:$D$12)),VLOOKUP($A28,$A$13:$D$17,MATCH(D$20,$A$12:$D$12))/(D$20-C$20)*IF($B28=10,10,D$20-C$20-$B27)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8" s="110">
        <f>IF(E$20-D$20+10&gt;$B28,IF(E$20-D$20&lt;=10,VLOOKUP($A28,$A$13:$D$17,MATCH(E$20,$A$12:$D$12)),VLOOKUP($A28,$A$13:$D$17,MATCH(E$20,$A$12:$D$12))/(E$20-D$20)*IF($B28=10,10,E$20-D$20-$B27)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26)</f>
        <v>0</v>
      </c>
      <c r="F28" s="110">
        <v>0</v>
      </c>
      <c r="G28" s="110">
        <f>IF(G$20-F$20+10&gt;$B28,IF(G$20-F$20&lt;=10,VLOOKUP($A28,$A$13:$D$17,MATCH(G$20,$A$12:$D$12)),VLOOKUP($A28,$A$13:$D$17,MATCH(G$20,$A$12:$D$12))/(G$20-F$20)*IF($B28=10,10,G$20-F$20-$B27)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8" s="110">
        <f>IF(H$20-G$20+10&gt;$B28,IF(H$20-G$20&lt;=10,VLOOKUP($A28,$A$13:$D$17,MATCH(H$20,$A$12:$D$12)),VLOOKUP($A28,$A$13:$D$17,MATCH(H$20,$A$12:$D$12))/(H$20-G$20)*IF($B28=10,10,H$20-G$20-$B27)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26)</f>
        <v>0</v>
      </c>
    </row>
    <row r="29" spans="1:13" x14ac:dyDescent="0.55000000000000004">
      <c r="A29" s="2" t="s">
        <v>179</v>
      </c>
      <c r="B29" s="190">
        <v>40</v>
      </c>
      <c r="C29" s="110">
        <v>0</v>
      </c>
      <c r="D29" s="110">
        <f>IF(D$20-C$20+10&gt;$B29,IF(D$20-C$20&lt;=10,VLOOKUP($A29,$A$13:$D$17,MATCH(D$20,$A$12:$D$12)),VLOOKUP($A29,$A$13:$D$17,MATCH(D$20,$A$12:$D$12))/(D$20-C$20)*IF($B29=10,10,D$20-C$20-$B28)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9" s="110">
        <f>IF(E$20-D$20+10&gt;$B29,IF(E$20-D$20&lt;=10,VLOOKUP($A29,$A$13:$D$17,MATCH(E$20,$A$12:$D$12)),VLOOKUP($A29,$A$13:$D$17,MATCH(E$20,$A$12:$D$12))/(E$20-D$20)*IF($B29=10,10,E$20-D$20-$B28)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27)</f>
        <v>0</v>
      </c>
      <c r="F29" s="110">
        <v>0</v>
      </c>
      <c r="G29" s="110">
        <f>IF(G$20-F$20+10&gt;$B29,IF(G$20-F$20&lt;=10,VLOOKUP($A29,$A$13:$D$17,MATCH(G$20,$A$12:$D$12)),VLOOKUP($A29,$A$13:$D$17,MATCH(G$20,$A$12:$D$12))/(G$20-F$20)*IF($B29=10,10,G$20-F$20-$B28)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9" s="110">
        <f>IF(H$20-G$20+10&gt;$B29,IF(H$20-G$20&lt;=10,VLOOKUP($A29,$A$13:$D$17,MATCH(H$20,$A$12:$D$12)),VLOOKUP($A29,$A$13:$D$17,MATCH(H$20,$A$12:$D$12))/(H$20-G$20)*IF($B29=10,10,H$20-G$20-$B28)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27)</f>
        <v>0</v>
      </c>
    </row>
    <row r="30" spans="1:13" x14ac:dyDescent="0.55000000000000004">
      <c r="A30" s="2" t="s">
        <v>180</v>
      </c>
      <c r="B30" s="189">
        <v>10</v>
      </c>
      <c r="C30" s="110">
        <v>0</v>
      </c>
      <c r="D30" s="110">
        <f>IF(D$20-C$20+10&gt;$B30,IF(D$20-C$20&lt;=10,VLOOKUP($A30,$A$13:$D$17,MATCH(D$20,$A$12:$D$12)),VLOOKUP($A30,$A$13:$D$17,MATCH(D$20,$A$12:$D$12))/(D$20-C$20)*IF($B30=10,10,D$20-C$20-$B29)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0" s="110">
        <f>IF(E$20-D$20+10&gt;$B30,IF(E$20-D$20&lt;=10,VLOOKUP($A30,$A$13:$D$17,MATCH(E$20,$A$12:$D$12)),VLOOKUP($A30,$A$13:$D$17,MATCH(E$20,$A$12:$D$12))/(E$20-D$20)*IF($B30=10,10,E$20-D$20-$B29)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28)</f>
        <v>0</v>
      </c>
      <c r="F30" s="110">
        <v>0</v>
      </c>
      <c r="G30" s="110">
        <f>IF(G$20-F$20+10&gt;$B30,IF(G$20-F$20&lt;=10,VLOOKUP($A30,$A$13:$D$17,MATCH(G$20,$A$12:$D$12)),VLOOKUP($A30,$A$13:$D$17,MATCH(G$20,$A$12:$D$12))/(G$20-F$20)*IF($B30=10,10,G$20-F$20-$B29)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0" s="110">
        <f>IF(H$20-G$20+10&gt;$B30,IF(H$20-G$20&lt;=10,VLOOKUP($A30,$A$13:$D$17,MATCH(H$20,$A$12:$D$12)),VLOOKUP($A30,$A$13:$D$17,MATCH(H$20,$A$12:$D$12))/(H$20-G$20)*IF($B30=10,10,H$20-G$20-$B29)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28)</f>
        <v>0</v>
      </c>
    </row>
    <row r="31" spans="1:13" x14ac:dyDescent="0.55000000000000004">
      <c r="A31" s="2" t="s">
        <v>180</v>
      </c>
      <c r="B31" s="189">
        <v>20</v>
      </c>
      <c r="C31" s="110">
        <v>0</v>
      </c>
      <c r="D31" s="110">
        <f>IF(D$20-C$20+10&gt;$B31,IF(D$20-C$20&lt;=10,VLOOKUP($A31,$A$13:$D$17,MATCH(D$20,$A$12:$D$12)),VLOOKUP($A31,$A$13:$D$17,MATCH(D$20,$A$12:$D$12))/(D$20-C$20)*IF($B31=10,10,D$20-C$20-$B30)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1" s="110">
        <f>IF(E$20-D$20+10&gt;$B31,IF(E$20-D$20&lt;=10,VLOOKUP($A31,$A$13:$D$17,MATCH(E$20,$A$12:$D$12)),VLOOKUP($A31,$A$13:$D$17,MATCH(E$20,$A$12:$D$12))/(E$20-D$20)*IF($B31=10,10,E$20-D$20-$B30)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29)</f>
        <v>0</v>
      </c>
      <c r="F31" s="110">
        <v>0</v>
      </c>
      <c r="G31" s="110">
        <f>IF(G$20-F$20+10&gt;$B31,IF(G$20-F$20&lt;=10,VLOOKUP($A31,$A$13:$D$17,MATCH(G$20,$A$12:$D$12)),VLOOKUP($A31,$A$13:$D$17,MATCH(G$20,$A$12:$D$12))/(G$20-F$20)*IF($B31=10,10,G$20-F$20-$B30)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1" s="110">
        <f>IF(H$20-G$20+10&gt;$B31,IF(H$20-G$20&lt;=10,VLOOKUP($A31,$A$13:$D$17,MATCH(H$20,$A$12:$D$12)),VLOOKUP($A31,$A$13:$D$17,MATCH(H$20,$A$12:$D$12))/(H$20-G$20)*IF($B31=10,10,H$20-G$20-$B30)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29)</f>
        <v>0</v>
      </c>
    </row>
    <row r="32" spans="1:13" x14ac:dyDescent="0.55000000000000004">
      <c r="A32" s="2" t="s">
        <v>180</v>
      </c>
      <c r="B32" s="189">
        <v>30</v>
      </c>
      <c r="C32" s="110">
        <v>0</v>
      </c>
      <c r="D32" s="110">
        <f>IF(D$20-C$20+10&gt;$B32,IF(D$20-C$20&lt;=10,VLOOKUP($A32,$A$13:$D$17,MATCH(D$20,$A$12:$D$12)),VLOOKUP($A32,$A$13:$D$17,MATCH(D$20,$A$12:$D$12))/(D$20-C$20)*IF($B32=10,10,D$20-C$20-$B31)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2" s="110">
        <f>IF(E$20-D$20+10&gt;$B32,IF(E$20-D$20&lt;=10,VLOOKUP($A32,$A$13:$D$17,MATCH(E$20,$A$12:$D$12)),VLOOKUP($A32,$A$13:$D$17,MATCH(E$20,$A$12:$D$12))/(E$20-D$20)*IF($B32=10,10,E$20-D$20-$B31)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30)</f>
        <v>0</v>
      </c>
      <c r="F32" s="110">
        <v>0</v>
      </c>
      <c r="G32" s="110">
        <f>IF(G$20-F$20+10&gt;$B32,IF(G$20-F$20&lt;=10,VLOOKUP($A32,$A$13:$D$17,MATCH(G$20,$A$12:$D$12)),VLOOKUP($A32,$A$13:$D$17,MATCH(G$20,$A$12:$D$12))/(G$20-F$20)*IF($B32=10,10,G$20-F$20-$B31)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2" s="110">
        <f>IF(H$20-G$20+10&gt;$B32,IF(H$20-G$20&lt;=10,VLOOKUP($A32,$A$13:$D$17,MATCH(H$20,$A$12:$D$12)),VLOOKUP($A32,$A$13:$D$17,MATCH(H$20,$A$12:$D$12))/(H$20-G$20)*IF($B32=10,10,H$20-G$20-$B31)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30)</f>
        <v>0</v>
      </c>
    </row>
    <row r="33" spans="1:8" x14ac:dyDescent="0.55000000000000004">
      <c r="A33" s="2" t="s">
        <v>180</v>
      </c>
      <c r="B33" s="190">
        <v>40</v>
      </c>
      <c r="C33" s="110">
        <v>0</v>
      </c>
      <c r="D33" s="110">
        <f>IF(D$20-C$20+10&gt;$B33,IF(D$20-C$20&lt;=10,VLOOKUP($A33,$A$13:$D$17,MATCH(D$20,$A$12:$D$12)),VLOOKUP($A33,$A$13:$D$17,MATCH(D$20,$A$12:$D$12))/(D$20-C$20)*IF($B33=10,10,D$20-C$20-$B32)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3" s="110">
        <f>IF(E$20-D$20+10&gt;$B33,IF(E$20-D$20&lt;=10,VLOOKUP($A33,$A$13:$D$17,MATCH(E$20,$A$12:$D$12)),VLOOKUP($A33,$A$13:$D$17,MATCH(E$20,$A$12:$D$12))/(E$20-D$20)*IF($B33=10,10,E$20-D$20-$B32)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31)</f>
        <v>0</v>
      </c>
      <c r="F33" s="110">
        <v>0</v>
      </c>
      <c r="G33" s="110">
        <f>IF(G$20-F$20+10&gt;$B33,IF(G$20-F$20&lt;=10,VLOOKUP($A33,$A$13:$D$17,MATCH(G$20,$A$12:$D$12)),VLOOKUP($A33,$A$13:$D$17,MATCH(G$20,$A$12:$D$12))/(G$20-F$20)*IF($B33=10,10,G$20-F$20-$B32)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3" s="110">
        <f>IF(H$20-G$20+10&gt;$B33,IF(H$20-G$20&lt;=10,VLOOKUP($A33,$A$13:$D$17,MATCH(H$20,$A$12:$D$12)),VLOOKUP($A33,$A$13:$D$17,MATCH(H$20,$A$12:$D$12))/(H$20-G$20)*IF($B33=10,10,H$20-G$20-$B32)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31)</f>
        <v>0</v>
      </c>
    </row>
    <row r="34" spans="1:8" x14ac:dyDescent="0.55000000000000004">
      <c r="A34" s="2" t="s">
        <v>181</v>
      </c>
      <c r="B34" s="189">
        <v>10</v>
      </c>
      <c r="C34" s="110">
        <v>0</v>
      </c>
      <c r="D34" s="110">
        <f>IF(D$20-C$20+10&gt;$B34,IF(D$20-C$20&lt;=10,VLOOKUP($A34,$A$13:$D$17,MATCH(D$20,$A$12:$D$12)),VLOOKUP($A34,$A$13:$D$17,MATCH(D$20,$A$12:$D$12))/(D$20-C$20)*IF($B34=10,10,D$20-C$20-$B33)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4" s="110">
        <f>IF(E$20-D$20+10&gt;$B34,IF(E$20-D$20&lt;=10,VLOOKUP($A34,$A$13:$D$17,MATCH(E$20,$A$12:$D$12)),VLOOKUP($A34,$A$13:$D$17,MATCH(E$20,$A$12:$D$12))/(E$20-D$20)*IF($B34=10,10,E$20-D$20-$B33)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32)</f>
        <v>0</v>
      </c>
      <c r="F34" s="110">
        <v>0</v>
      </c>
      <c r="G34" s="110">
        <f>IF(G$20-F$20+10&gt;$B34,IF(G$20-F$20&lt;=10,VLOOKUP($A34,$A$13:$D$17,MATCH(G$20,$A$12:$D$12)),VLOOKUP($A34,$A$13:$D$17,MATCH(G$20,$A$12:$D$12))/(G$20-F$20)*IF($B34=10,10,G$20-F$20-$B33)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4" s="110">
        <f>IF(H$20-G$20+10&gt;$B34,IF(H$20-G$20&lt;=10,VLOOKUP($A34,$A$13:$D$17,MATCH(H$20,$A$12:$D$12)),VLOOKUP($A34,$A$13:$D$17,MATCH(H$20,$A$12:$D$12))/(H$20-G$20)*IF($B34=10,10,H$20-G$20-$B33)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32)</f>
        <v>0</v>
      </c>
    </row>
    <row r="35" spans="1:8" x14ac:dyDescent="0.55000000000000004">
      <c r="A35" s="2" t="s">
        <v>181</v>
      </c>
      <c r="B35" s="189">
        <v>20</v>
      </c>
      <c r="C35" s="110">
        <v>0</v>
      </c>
      <c r="D35" s="110">
        <f>IF(D$20-C$20+10&gt;$B35,IF(D$20-C$20&lt;=10,VLOOKUP($A35,$A$13:$D$17,MATCH(D$20,$A$12:$D$12)),VLOOKUP($A35,$A$13:$D$17,MATCH(D$20,$A$12:$D$12))/(D$20-C$20)*IF($B35=10,10,D$20-C$20-$B34)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5" s="110">
        <f>IF(E$20-D$20+10&gt;$B35,IF(E$20-D$20&lt;=10,VLOOKUP($A35,$A$13:$D$17,MATCH(E$20,$A$12:$D$12)),VLOOKUP($A35,$A$13:$D$17,MATCH(E$20,$A$12:$D$12))/(E$20-D$20)*IF($B35=10,10,E$20-D$20-$B34)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33)</f>
        <v>0</v>
      </c>
      <c r="F35" s="110">
        <v>0</v>
      </c>
      <c r="G35" s="110">
        <f>IF(G$20-F$20+10&gt;$B35,IF(G$20-F$20&lt;=10,VLOOKUP($A35,$A$13:$D$17,MATCH(G$20,$A$12:$D$12)),VLOOKUP($A35,$A$13:$D$17,MATCH(G$20,$A$12:$D$12))/(G$20-F$20)*IF($B35=10,10,G$20-F$20-$B34)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5" s="110">
        <f>IF(H$20-G$20+10&gt;$B35,IF(H$20-G$20&lt;=10,VLOOKUP($A35,$A$13:$D$17,MATCH(H$20,$A$12:$D$12)),VLOOKUP($A35,$A$13:$D$17,MATCH(H$20,$A$12:$D$12))/(H$20-G$20)*IF($B35=10,10,H$20-G$20-$B34)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33)</f>
        <v>0</v>
      </c>
    </row>
    <row r="36" spans="1:8" x14ac:dyDescent="0.55000000000000004">
      <c r="A36" s="2" t="s">
        <v>181</v>
      </c>
      <c r="B36" s="189">
        <v>30</v>
      </c>
      <c r="C36" s="110">
        <v>0</v>
      </c>
      <c r="D36" s="110">
        <f>IF(D$20-C$20+10&gt;$B36,IF(D$20-C$20&lt;=10,VLOOKUP($A36,$A$13:$D$17,MATCH(D$20,$A$12:$D$12)),VLOOKUP($A36,$A$13:$D$17,MATCH(D$20,$A$12:$D$12))/(D$20-C$20)*IF($B36=10,10,D$20-C$20-$B35)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6" s="110">
        <f>IF(E$20-D$20+10&gt;$B36,IF(E$20-D$20&lt;=10,VLOOKUP($A36,$A$13:$D$17,MATCH(E$20,$A$12:$D$12)),VLOOKUP($A36,$A$13:$D$17,MATCH(E$20,$A$12:$D$12))/(E$20-D$20)*IF($B36=10,10,E$20-D$20-$B35)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34)</f>
        <v>0</v>
      </c>
      <c r="F36" s="110">
        <v>0</v>
      </c>
      <c r="G36" s="110">
        <f>IF(G$20-F$20+10&gt;$B36,IF(G$20-F$20&lt;=10,VLOOKUP($A36,$A$13:$D$17,MATCH(G$20,$A$12:$D$12)),VLOOKUP($A36,$A$13:$D$17,MATCH(G$20,$A$12:$D$12))/(G$20-F$20)*IF($B36=10,10,G$20-F$20-$B35)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6" s="110">
        <f>IF(H$20-G$20+10&gt;$B36,IF(H$20-G$20&lt;=10,VLOOKUP($A36,$A$13:$D$17,MATCH(H$20,$A$12:$D$12)),VLOOKUP($A36,$A$13:$D$17,MATCH(H$20,$A$12:$D$12))/(H$20-G$20)*IF($B36=10,10,H$20-G$20-$B35)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34)</f>
        <v>0</v>
      </c>
    </row>
    <row r="37" spans="1:8" x14ac:dyDescent="0.55000000000000004">
      <c r="A37" s="2" t="s">
        <v>181</v>
      </c>
      <c r="B37" s="190">
        <v>40</v>
      </c>
      <c r="C37" s="110">
        <v>0</v>
      </c>
      <c r="D37" s="110">
        <f>IF(D$20-C$20+10&gt;$B37,IF(D$20-C$20&lt;=10,VLOOKUP($A37,$A$13:$D$17,MATCH(D$20,$A$12:$D$12)),VLOOKUP($A37,$A$13:$D$17,MATCH(D$20,$A$12:$D$12))/(D$20-C$20)*IF($B37=10,10,D$20-C$20-$B36)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7" s="110">
        <f>IF(E$20-D$20+10&gt;$B37,IF(E$20-D$20&lt;=10,VLOOKUP($A37,$A$13:$D$17,MATCH(E$20,$A$12:$D$12)),VLOOKUP($A37,$A$13:$D$17,MATCH(E$20,$A$12:$D$12))/(E$20-D$20)*IF($B37=10,10,E$20-D$20-$B36)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35)</f>
        <v>0</v>
      </c>
      <c r="F37" s="110">
        <v>0</v>
      </c>
      <c r="G37" s="110">
        <f>IF(G$20-F$20+10&gt;$B37,IF(G$20-F$20&lt;=10,VLOOKUP($A37,$A$13:$D$17,MATCH(G$20,$A$12:$D$12)),VLOOKUP($A37,$A$13:$D$17,MATCH(G$20,$A$12:$D$12))/(G$20-F$20)*IF($B37=10,10,G$20-F$20-$B36)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7" s="110">
        <f>IF(H$20-G$20+10&gt;$B37,IF(H$20-G$20&lt;=10,VLOOKUP($A37,$A$13:$D$17,MATCH(H$20,$A$12:$D$12)),VLOOKUP($A37,$A$13:$D$17,MATCH(H$20,$A$12:$D$12))/(H$20-G$20)*IF($B37=10,10,H$20-G$20-$B36)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35)</f>
        <v>0</v>
      </c>
    </row>
    <row r="38" spans="1:8" x14ac:dyDescent="0.55000000000000004">
      <c r="A38" s="2" t="s">
        <v>182</v>
      </c>
      <c r="B38" s="189">
        <v>10</v>
      </c>
      <c r="C38" s="110">
        <v>0</v>
      </c>
      <c r="D38" s="110">
        <f>IF(D$20-C$20+10&gt;$B38,IF(D$20-C$20&lt;=10,VLOOKUP($A38,$A$13:$D$17,MATCH(D$20,$A$12:$D$12)),VLOOKUP($A38,$A$13:$D$17,MATCH(D$20,$A$12:$D$12))/(D$20-C$20)*IF($B38=10,10,D$20-C$20-$B37)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8" s="110">
        <f>IF(E$20-D$20+10&gt;$B38,IF(E$20-D$20&lt;=10,VLOOKUP($A38,$A$13:$D$17,MATCH(E$20,$A$12:$D$12)),VLOOKUP($A38,$A$13:$D$17,MATCH(E$20,$A$12:$D$12))/(E$20-D$20)*IF($B38=10,10,E$20-D$20-$B37)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36)</f>
        <v>0</v>
      </c>
      <c r="F38" s="110">
        <v>0</v>
      </c>
      <c r="G38" s="110">
        <f>IF(G$20-F$20+10&gt;$B38,IF(G$20-F$20&lt;=10,VLOOKUP($A38,$A$13:$D$17,MATCH(G$20,$A$12:$D$12)),VLOOKUP($A38,$A$13:$D$17,MATCH(G$20,$A$12:$D$12))/(G$20-F$20)*IF($B38=10,10,G$20-F$20-$B37)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8" s="110">
        <f>IF(H$20-G$20+10&gt;$B38,IF(H$20-G$20&lt;=10,VLOOKUP($A38,$A$13:$D$17,MATCH(H$20,$A$12:$D$12)),VLOOKUP($A38,$A$13:$D$17,MATCH(H$20,$A$12:$D$12))/(H$20-G$20)*IF($B38=10,10,H$20-G$20-$B37)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36)</f>
        <v>0</v>
      </c>
    </row>
    <row r="39" spans="1:8" x14ac:dyDescent="0.55000000000000004">
      <c r="A39" s="2" t="s">
        <v>182</v>
      </c>
      <c r="B39" s="189">
        <v>20</v>
      </c>
      <c r="C39" s="110">
        <v>0</v>
      </c>
      <c r="D39" s="110">
        <f>IF(D$20-C$20+10&gt;$B39,IF(D$20-C$20&lt;=10,VLOOKUP($A39,$A$13:$D$17,MATCH(D$20,$A$12:$D$12)),VLOOKUP($A39,$A$13:$D$17,MATCH(D$20,$A$12:$D$12))/(D$20-C$20)*IF($B39=10,10,D$20-C$20-$B38)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9" s="110">
        <f>IF(E$20-D$20+10&gt;$B39,IF(E$20-D$20&lt;=10,VLOOKUP($A39,$A$13:$D$17,MATCH(E$20,$A$12:$D$12)),VLOOKUP($A39,$A$13:$D$17,MATCH(E$20,$A$12:$D$12))/(E$20-D$20)*IF($B39=10,10,E$20-D$20-$B38)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37)</f>
        <v>0</v>
      </c>
      <c r="F39" s="110">
        <v>0</v>
      </c>
      <c r="G39" s="110">
        <f>IF(G$20-F$20+10&gt;$B39,IF(G$20-F$20&lt;=10,VLOOKUP($A39,$A$13:$D$17,MATCH(G$20,$A$12:$D$12)),VLOOKUP($A39,$A$13:$D$17,MATCH(G$20,$A$12:$D$12))/(G$20-F$20)*IF($B39=10,10,G$20-F$20-$B38)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9" s="110">
        <f>IF(H$20-G$20+10&gt;$B39,IF(H$20-G$20&lt;=10,VLOOKUP($A39,$A$13:$D$17,MATCH(H$20,$A$12:$D$12)),VLOOKUP($A39,$A$13:$D$17,MATCH(H$20,$A$12:$D$12))/(H$20-G$20)*IF($B39=10,10,H$20-G$20-$B38)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37)</f>
        <v>0</v>
      </c>
    </row>
    <row r="40" spans="1:8" x14ac:dyDescent="0.55000000000000004">
      <c r="A40" s="2" t="s">
        <v>182</v>
      </c>
      <c r="B40" s="189">
        <v>30</v>
      </c>
      <c r="C40" s="110">
        <v>0</v>
      </c>
      <c r="D40" s="110">
        <f>IF(D$20-C$20+10&gt;$B40,IF(D$20-C$20&lt;=10,VLOOKUP($A40,$A$13:$D$17,MATCH(D$20,$A$12:$D$12)),VLOOKUP($A40,$A$13:$D$17,MATCH(D$20,$A$12:$D$12))/(D$20-C$20)*IF($B40=10,10,D$20-C$20-$B39)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0" s="110">
        <f>IF(E$20-D$20+10&gt;$B40,IF(E$20-D$20&lt;=10,VLOOKUP($A40,$A$13:$D$17,MATCH(E$20,$A$12:$D$12)),VLOOKUP($A40,$A$13:$D$17,MATCH(E$20,$A$12:$D$12))/(E$20-D$20)*IF($B40=10,10,E$20-D$20-$B39)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38)</f>
        <v>0</v>
      </c>
      <c r="F40" s="110">
        <v>0</v>
      </c>
      <c r="G40" s="110">
        <f>IF(G$20-F$20+10&gt;$B40,IF(G$20-F$20&lt;=10,VLOOKUP($A40,$A$13:$D$17,MATCH(G$20,$A$12:$D$12)),VLOOKUP($A40,$A$13:$D$17,MATCH(G$20,$A$12:$D$12))/(G$20-F$20)*IF($B40=10,10,G$20-F$20-$B39)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0" s="110">
        <f>IF(H$20-G$20+10&gt;$B40,IF(H$20-G$20&lt;=10,VLOOKUP($A40,$A$13:$D$17,MATCH(H$20,$A$12:$D$12)),VLOOKUP($A40,$A$13:$D$17,MATCH(H$20,$A$12:$D$12))/(H$20-G$20)*IF($B40=10,10,H$20-G$20-$B39)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38)</f>
        <v>0</v>
      </c>
    </row>
    <row r="41" spans="1:8" x14ac:dyDescent="0.55000000000000004">
      <c r="A41" s="2" t="s">
        <v>182</v>
      </c>
      <c r="B41" s="110">
        <v>40</v>
      </c>
      <c r="C41" s="110">
        <v>0</v>
      </c>
      <c r="D41" s="110">
        <f>IF(D$20-C$20+10&gt;$B41,IF(D$20-C$20&lt;=10,VLOOKUP($A41,$A$13:$D$17,MATCH(D$20,$A$12:$D$12)),VLOOKUP($A41,$A$13:$D$17,MATCH(D$20,$A$12:$D$12))/(D$20-C$20)*IF($B41=10,10,D$20-C$20-$B40)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1" s="110">
        <f>IF(E$20-D$20+10&gt;$B41,IF(E$20-D$20&lt;=10,VLOOKUP($A41,$A$13:$D$17,MATCH(E$20,$A$12:$D$12)),VLOOKUP($A41,$A$13:$D$17,MATCH(E$20,$A$12:$D$12))/(E$20-D$20)*IF($B41=10,10,E$20-D$20-$B40)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39)</f>
        <v>0</v>
      </c>
      <c r="F41" s="110">
        <v>0</v>
      </c>
      <c r="G41" s="110">
        <f>IF(G$20-F$20+10&gt;$B41,IF(G$20-F$20&lt;=10,VLOOKUP($A41,$A$13:$D$17,MATCH(G$20,$A$12:$D$12)),VLOOKUP($A41,$A$13:$D$17,MATCH(G$20,$A$12:$D$12))/(G$20-F$20)*IF($B41=10,10,G$20-F$20-$B40)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1" s="110">
        <f>IF(H$20-G$20+10&gt;$B41,IF(H$20-G$20&lt;=10,VLOOKUP($A41,$A$13:$D$17,MATCH(H$20,$A$12:$D$12)),VLOOKUP($A41,$A$13:$D$17,MATCH(H$20,$A$12:$D$12))/(H$20-G$20)*IF($B41=10,10,H$20-G$20-$B40)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39)</f>
        <v>0</v>
      </c>
    </row>
    <row r="42" spans="1:8" x14ac:dyDescent="0.55000000000000004">
      <c r="B42" s="154"/>
    </row>
    <row r="43" spans="1:8" x14ac:dyDescent="0.55000000000000004">
      <c r="B43" s="154"/>
    </row>
    <row r="44" spans="1:8" x14ac:dyDescent="0.55000000000000004">
      <c r="B44" s="154"/>
    </row>
    <row r="46" spans="1:8" x14ac:dyDescent="0.55000000000000004">
      <c r="A46" s="328" t="s">
        <v>302</v>
      </c>
      <c r="B46" s="2" t="s">
        <v>23</v>
      </c>
      <c r="C46" s="2"/>
      <c r="D46" s="2"/>
      <c r="E46" s="2" t="s">
        <v>24</v>
      </c>
      <c r="F46" s="2"/>
      <c r="G46" s="2"/>
    </row>
    <row r="47" spans="1:8" x14ac:dyDescent="0.55000000000000004">
      <c r="A47" s="329"/>
      <c r="B47" s="187">
        <f>År1</f>
        <v>2019</v>
      </c>
      <c r="C47" s="187">
        <f>År2</f>
        <v>2030</v>
      </c>
      <c r="D47" s="187">
        <f>År3</f>
        <v>2050</v>
      </c>
      <c r="E47" s="187">
        <f>År1</f>
        <v>2019</v>
      </c>
      <c r="F47" s="187">
        <f>År2</f>
        <v>2030</v>
      </c>
      <c r="G47" s="187">
        <f>År3</f>
        <v>2050</v>
      </c>
    </row>
    <row r="48" spans="1:8" x14ac:dyDescent="0.55000000000000004">
      <c r="A48" s="2" t="s">
        <v>184</v>
      </c>
      <c r="B48" s="110">
        <f t="shared" ref="B48:G53" si="0">SUMIF($A$21:$A$41,$A48,C$21:C$41)</f>
        <v>434670</v>
      </c>
      <c r="C48" s="110">
        <f t="shared" si="0"/>
        <v>411351.94520750927</v>
      </c>
      <c r="D48" s="110">
        <f t="shared" si="0"/>
        <v>372113.28071606322</v>
      </c>
      <c r="E48" s="110">
        <f t="shared" si="0"/>
        <v>127230</v>
      </c>
      <c r="F48" s="110">
        <f t="shared" si="0"/>
        <v>120404.69318966437</v>
      </c>
      <c r="G48" s="110">
        <f t="shared" si="0"/>
        <v>108919.34733362029</v>
      </c>
    </row>
    <row r="49" spans="1:7" x14ac:dyDescent="0.55000000000000004">
      <c r="A49" s="2" t="s">
        <v>178</v>
      </c>
      <c r="B49" s="110">
        <f t="shared" si="0"/>
        <v>0</v>
      </c>
      <c r="C49" s="110">
        <f t="shared" si="0"/>
        <v>42184.627494662134</v>
      </c>
      <c r="D49" s="110">
        <f t="shared" si="0"/>
        <v>115726.15144460165</v>
      </c>
      <c r="E49" s="110">
        <f t="shared" si="0"/>
        <v>0</v>
      </c>
      <c r="F49" s="110">
        <f t="shared" si="0"/>
        <v>8858.7341081642226</v>
      </c>
      <c r="G49" s="110">
        <f t="shared" si="0"/>
        <v>24041.220505714809</v>
      </c>
    </row>
    <row r="50" spans="1:7" x14ac:dyDescent="0.55000000000000004">
      <c r="A50" s="2" t="s">
        <v>179</v>
      </c>
      <c r="B50" s="110">
        <f t="shared" si="0"/>
        <v>0</v>
      </c>
      <c r="C50" s="110">
        <f t="shared" si="0"/>
        <v>0</v>
      </c>
      <c r="D50" s="110">
        <f t="shared" si="0"/>
        <v>0</v>
      </c>
      <c r="E50" s="110">
        <f t="shared" si="0"/>
        <v>0</v>
      </c>
      <c r="F50" s="110">
        <f t="shared" si="0"/>
        <v>0</v>
      </c>
      <c r="G50" s="110">
        <f t="shared" si="0"/>
        <v>0</v>
      </c>
    </row>
    <row r="51" spans="1:7" x14ac:dyDescent="0.55000000000000004">
      <c r="A51" s="2" t="s">
        <v>180</v>
      </c>
      <c r="B51" s="110">
        <f t="shared" si="0"/>
        <v>0</v>
      </c>
      <c r="C51" s="110">
        <f t="shared" si="0"/>
        <v>0</v>
      </c>
      <c r="D51" s="110">
        <f t="shared" si="0"/>
        <v>0</v>
      </c>
      <c r="E51" s="110">
        <f t="shared" si="0"/>
        <v>0</v>
      </c>
      <c r="F51" s="110">
        <f t="shared" si="0"/>
        <v>0</v>
      </c>
      <c r="G51" s="110">
        <f t="shared" si="0"/>
        <v>0</v>
      </c>
    </row>
    <row r="52" spans="1:7" x14ac:dyDescent="0.55000000000000004">
      <c r="A52" s="2" t="s">
        <v>181</v>
      </c>
      <c r="B52" s="110">
        <f t="shared" si="0"/>
        <v>0</v>
      </c>
      <c r="C52" s="110">
        <f t="shared" si="0"/>
        <v>0</v>
      </c>
      <c r="D52" s="110">
        <f t="shared" si="0"/>
        <v>0</v>
      </c>
      <c r="E52" s="110">
        <f t="shared" si="0"/>
        <v>0</v>
      </c>
      <c r="F52" s="110">
        <f t="shared" si="0"/>
        <v>0</v>
      </c>
      <c r="G52" s="110">
        <f t="shared" si="0"/>
        <v>0</v>
      </c>
    </row>
    <row r="53" spans="1:7" x14ac:dyDescent="0.55000000000000004">
      <c r="A53" s="2" t="s">
        <v>182</v>
      </c>
      <c r="B53" s="110">
        <f t="shared" si="0"/>
        <v>0</v>
      </c>
      <c r="C53" s="110">
        <f t="shared" si="0"/>
        <v>0</v>
      </c>
      <c r="D53" s="110">
        <f t="shared" si="0"/>
        <v>0</v>
      </c>
      <c r="E53" s="110">
        <f t="shared" si="0"/>
        <v>0</v>
      </c>
      <c r="F53" s="110">
        <f t="shared" si="0"/>
        <v>0</v>
      </c>
      <c r="G53" s="110">
        <f t="shared" si="0"/>
        <v>0</v>
      </c>
    </row>
  </sheetData>
  <mergeCells count="1">
    <mergeCell ref="A46:A47"/>
  </mergeCells>
  <phoneticPr fontId="10" type="noConversion"/>
  <hyperlinks>
    <hyperlink ref="A1" location="Resume!A1" display="Typer af skov:" xr:uid="{02E4F86A-40FA-4073-89AD-B17A22B4AE27}"/>
  </hyperlink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7C89D-4652-4B62-8AE2-986E6C0F35A4}">
  <sheetPr codeName="Sheet16">
    <tabColor theme="9" tint="0.39997558519241921"/>
  </sheetPr>
  <dimension ref="A1:G13"/>
  <sheetViews>
    <sheetView workbookViewId="0">
      <selection activeCell="I6" sqref="I6"/>
    </sheetView>
  </sheetViews>
  <sheetFormatPr defaultColWidth="9.15625" defaultRowHeight="14.4" x14ac:dyDescent="0.55000000000000004"/>
  <cols>
    <col min="1" max="1" width="22.15625" style="1" bestFit="1" customWidth="1"/>
    <col min="2" max="2" width="15" style="1" customWidth="1"/>
    <col min="3" max="5" width="9.15625" style="1"/>
    <col min="6" max="6" width="13.578125" style="1" customWidth="1"/>
    <col min="7" max="7" width="46.1015625" style="1" customWidth="1"/>
    <col min="8" max="8" width="11.5234375" style="1" bestFit="1" customWidth="1"/>
    <col min="9" max="16384" width="9.15625" style="1"/>
  </cols>
  <sheetData>
    <row r="1" spans="1:7" x14ac:dyDescent="0.55000000000000004">
      <c r="A1" s="363" t="s">
        <v>284</v>
      </c>
      <c r="F1" s="75" t="s">
        <v>245</v>
      </c>
    </row>
    <row r="2" spans="1:7" s="367" customFormat="1" x14ac:dyDescent="0.55000000000000004">
      <c r="A2" s="366"/>
      <c r="C2" s="372" t="s">
        <v>334</v>
      </c>
      <c r="D2" s="372"/>
      <c r="E2" s="372"/>
    </row>
    <row r="3" spans="1:7" s="12" customFormat="1" x14ac:dyDescent="0.55000000000000004">
      <c r="B3" s="370"/>
      <c r="C3" s="2">
        <f>År1</f>
        <v>2019</v>
      </c>
      <c r="D3" s="2">
        <f>År2</f>
        <v>2030</v>
      </c>
      <c r="E3" s="2">
        <f>År3</f>
        <v>2050</v>
      </c>
      <c r="F3" s="371" t="s">
        <v>335</v>
      </c>
      <c r="G3" s="12" t="s">
        <v>331</v>
      </c>
    </row>
    <row r="4" spans="1:7" s="12" customFormat="1" x14ac:dyDescent="0.55000000000000004">
      <c r="A4" s="109" t="s">
        <v>99</v>
      </c>
      <c r="B4" s="2" t="s">
        <v>23</v>
      </c>
      <c r="C4" s="114">
        <f>(502+3901)/10/F4</f>
        <v>4.0614334470989747E-3</v>
      </c>
      <c r="D4" s="3">
        <v>0.67</v>
      </c>
      <c r="E4" s="8">
        <v>0.9</v>
      </c>
      <c r="F4" s="368">
        <f>(9.6+43.4+265+84.7+55.6+112.4+6.1+10.5+121.4+27.4+89.4+13.5+12.6+0.4+218.5+0.9+3.9+3.4+5+0.4)*100</f>
        <v>108410.00000000003</v>
      </c>
      <c r="G4" s="373" t="s">
        <v>336</v>
      </c>
    </row>
    <row r="5" spans="1:7" s="12" customFormat="1" x14ac:dyDescent="0.55000000000000004">
      <c r="A5" s="109" t="s">
        <v>99</v>
      </c>
      <c r="B5" s="2" t="s">
        <v>24</v>
      </c>
      <c r="C5" s="369">
        <f>(0.6)/F5</f>
        <v>2.2156573116691284E-5</v>
      </c>
      <c r="D5" s="3">
        <v>0.06</v>
      </c>
      <c r="E5" s="8">
        <v>0.9</v>
      </c>
      <c r="F5" s="111">
        <f>(207.3+16.1+47.4)*100</f>
        <v>27080</v>
      </c>
      <c r="G5" s="373"/>
    </row>
    <row r="6" spans="1:7" s="12" customFormat="1" x14ac:dyDescent="0.55000000000000004">
      <c r="A6" s="109" t="s">
        <v>100</v>
      </c>
      <c r="B6" s="2" t="s">
        <v>23</v>
      </c>
      <c r="C6" s="114">
        <f>17/F6</f>
        <v>2.8333333333333332E-2</v>
      </c>
      <c r="D6" s="8">
        <v>0.8</v>
      </c>
      <c r="E6" s="3">
        <v>1</v>
      </c>
      <c r="F6" s="368">
        <v>600</v>
      </c>
      <c r="G6" s="374" t="s">
        <v>243</v>
      </c>
    </row>
    <row r="7" spans="1:7" s="12" customFormat="1" x14ac:dyDescent="0.55000000000000004">
      <c r="A7" s="109" t="s">
        <v>100</v>
      </c>
      <c r="B7" s="2" t="s">
        <v>24</v>
      </c>
      <c r="C7" s="86">
        <f>0/F7</f>
        <v>0</v>
      </c>
      <c r="D7" s="8">
        <v>0.8</v>
      </c>
      <c r="E7" s="3">
        <v>1</v>
      </c>
      <c r="F7" s="368">
        <v>200</v>
      </c>
      <c r="G7" s="374"/>
    </row>
    <row r="8" spans="1:7" s="12" customFormat="1" x14ac:dyDescent="0.55000000000000004">
      <c r="A8" s="364"/>
      <c r="C8" s="12" t="s">
        <v>244</v>
      </c>
      <c r="F8" s="365"/>
    </row>
    <row r="9" spans="1:7" x14ac:dyDescent="0.55000000000000004">
      <c r="A9" s="364"/>
      <c r="B9" s="12"/>
      <c r="C9" s="12"/>
      <c r="D9" s="12"/>
      <c r="E9" s="12"/>
    </row>
    <row r="10" spans="1:7" x14ac:dyDescent="0.55000000000000004">
      <c r="B10" s="1" t="s">
        <v>23</v>
      </c>
      <c r="E10" s="1" t="s">
        <v>24</v>
      </c>
    </row>
    <row r="11" spans="1:7" x14ac:dyDescent="0.55000000000000004">
      <c r="B11" s="155">
        <f>År1</f>
        <v>2019</v>
      </c>
      <c r="C11" s="155">
        <f>År2</f>
        <v>2030</v>
      </c>
      <c r="D11" s="155">
        <f>År3</f>
        <v>2050</v>
      </c>
      <c r="E11" s="155">
        <f>År1</f>
        <v>2019</v>
      </c>
      <c r="F11" s="155">
        <f>År2</f>
        <v>2030</v>
      </c>
      <c r="G11" s="155">
        <f>År3</f>
        <v>2050</v>
      </c>
    </row>
    <row r="12" spans="1:7" x14ac:dyDescent="0.55000000000000004">
      <c r="A12" s="109" t="s">
        <v>99</v>
      </c>
      <c r="B12" s="1">
        <f>C4*$F4</f>
        <v>440.29999999999995</v>
      </c>
      <c r="C12" s="1">
        <f t="shared" ref="C12:D12" si="0">D4*$F4</f>
        <v>72634.700000000026</v>
      </c>
      <c r="D12" s="1">
        <f t="shared" si="0"/>
        <v>97569.000000000029</v>
      </c>
      <c r="E12" s="1">
        <f>C5*$F$5</f>
        <v>0.6</v>
      </c>
      <c r="F12" s="1">
        <f t="shared" ref="F12:G12" si="1">D5*$F$5</f>
        <v>1624.8</v>
      </c>
      <c r="G12" s="1">
        <f t="shared" si="1"/>
        <v>24372</v>
      </c>
    </row>
    <row r="13" spans="1:7" x14ac:dyDescent="0.55000000000000004">
      <c r="A13" s="109" t="s">
        <v>100</v>
      </c>
      <c r="B13" s="1">
        <f>C6*$F6</f>
        <v>17</v>
      </c>
      <c r="C13" s="1">
        <f t="shared" ref="C13:D13" si="2">D6*$F6</f>
        <v>480</v>
      </c>
      <c r="D13" s="1">
        <f t="shared" si="2"/>
        <v>600</v>
      </c>
      <c r="E13" s="1">
        <f>C7*$F$7</f>
        <v>0</v>
      </c>
      <c r="F13" s="1">
        <f t="shared" ref="F13:G13" si="3">D7*$F$7</f>
        <v>160</v>
      </c>
      <c r="G13" s="1">
        <f t="shared" si="3"/>
        <v>200</v>
      </c>
    </row>
  </sheetData>
  <mergeCells count="3">
    <mergeCell ref="C2:E2"/>
    <mergeCell ref="G4:G5"/>
    <mergeCell ref="G6:G7"/>
  </mergeCells>
  <phoneticPr fontId="10" type="noConversion"/>
  <hyperlinks>
    <hyperlink ref="A1" location="Resume!A1" display="Arealer, ha" xr:uid="{0E9E64D1-EA87-4720-ABBC-D40686FB3072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9F99-1BEE-4D0B-860F-E68BB426AE81}">
  <sheetPr codeName="Sheet6">
    <tabColor theme="9" tint="0.39997558519241921"/>
  </sheetPr>
  <dimension ref="A1:J36"/>
  <sheetViews>
    <sheetView tabSelected="1" topLeftCell="A2" zoomScale="103" workbookViewId="0">
      <selection activeCell="E41" sqref="E41"/>
    </sheetView>
  </sheetViews>
  <sheetFormatPr defaultColWidth="9.15625" defaultRowHeight="14.4" x14ac:dyDescent="0.55000000000000004"/>
  <cols>
    <col min="1" max="1" width="58" style="1" bestFit="1" customWidth="1"/>
    <col min="2" max="5" width="9.15625" style="1"/>
    <col min="6" max="10" width="10.62890625" style="1" customWidth="1"/>
    <col min="11" max="16384" width="9.15625" style="1"/>
  </cols>
  <sheetData>
    <row r="1" spans="1:10" x14ac:dyDescent="0.55000000000000004">
      <c r="A1" s="233" t="s">
        <v>284</v>
      </c>
    </row>
    <row r="2" spans="1:10" ht="15.6" x14ac:dyDescent="0.6">
      <c r="A2" s="231" t="s">
        <v>25</v>
      </c>
    </row>
    <row r="3" spans="1:10" x14ac:dyDescent="0.55000000000000004">
      <c r="A3" s="6" t="s">
        <v>318</v>
      </c>
    </row>
    <row r="4" spans="1:10" x14ac:dyDescent="0.55000000000000004">
      <c r="A4" s="25" t="s">
        <v>155</v>
      </c>
      <c r="B4" s="84">
        <f>År1</f>
        <v>2019</v>
      </c>
      <c r="C4" s="84">
        <f>År2</f>
        <v>2030</v>
      </c>
      <c r="D4" s="84">
        <f>År3</f>
        <v>2050</v>
      </c>
      <c r="F4" s="25" t="s">
        <v>339</v>
      </c>
      <c r="G4" s="25"/>
      <c r="H4" s="84">
        <f>År1</f>
        <v>2019</v>
      </c>
      <c r="I4" s="84">
        <f>År2</f>
        <v>2030</v>
      </c>
      <c r="J4" s="84">
        <f>År3</f>
        <v>2050</v>
      </c>
    </row>
    <row r="5" spans="1:10" x14ac:dyDescent="0.55000000000000004">
      <c r="A5" s="2" t="s">
        <v>223</v>
      </c>
      <c r="B5" s="87">
        <v>0</v>
      </c>
      <c r="C5" s="3"/>
      <c r="D5" s="3"/>
      <c r="F5" s="25" t="str">
        <f>A5</f>
        <v>Planteprotein*</v>
      </c>
      <c r="G5" s="25" t="s">
        <v>49</v>
      </c>
      <c r="H5" s="10">
        <f>SUMIFS('Resultat-Produktion &amp; forbrug'!$N$3:$N$1000,'Resultat-Produktion &amp; forbrug'!$A$3:$A$1000,Adfærd!$G5,'Resultat-Produktion &amp; forbrug'!$D$3:$D$1000,Adfærd!H$4)</f>
        <v>212711.00975574681</v>
      </c>
      <c r="I5" s="10">
        <f>SUMIFS('Resultat-Produktion &amp; forbrug'!$N$3:$N$1000,'Resultat-Produktion &amp; forbrug'!$A$3:$A$1000,Adfærd!$G5,'Resultat-Produktion &amp; forbrug'!$D$3:$D$1000,Adfærd!I$4)</f>
        <v>226255.77627432195</v>
      </c>
      <c r="J5" s="10">
        <f>SUMIFS('Resultat-Produktion &amp; forbrug'!$N$3:$N$1000,'Resultat-Produktion &amp; forbrug'!$A$3:$A$1000,Adfærd!$G5,'Resultat-Produktion &amp; forbrug'!$D$3:$D$1000,Adfærd!J$4)</f>
        <v>215894.74074247692</v>
      </c>
    </row>
    <row r="6" spans="1:10" x14ac:dyDescent="0.55000000000000004">
      <c r="A6" s="2" t="s">
        <v>107</v>
      </c>
      <c r="B6" s="87">
        <v>0</v>
      </c>
      <c r="C6" s="3"/>
      <c r="D6" s="3"/>
      <c r="F6" s="25" t="str">
        <f t="shared" ref="F6:F7" si="0">A6</f>
        <v>Muslinger</v>
      </c>
      <c r="G6" s="25" t="s">
        <v>107</v>
      </c>
      <c r="H6" s="10">
        <f>SUMIFS('Resultat-Produktion &amp; forbrug'!$N$3:$N$1000,'Resultat-Produktion &amp; forbrug'!$A$3:$A$1000,Adfærd!$G6,'Resultat-Produktion &amp; forbrug'!$D$3:$D$1000,Adfærd!H$4)</f>
        <v>880.09999999999991</v>
      </c>
      <c r="I6" s="10">
        <f>SUMIFS('Resultat-Produktion &amp; forbrug'!$N$3:$N$1000,'Resultat-Produktion &amp; forbrug'!$A$3:$A$1000,Adfærd!$G6,'Resultat-Produktion &amp; forbrug'!$D$3:$D$1000,Adfærd!I$4)</f>
        <v>148232.6739623498</v>
      </c>
      <c r="J6" s="10">
        <f>SUMIFS('Resultat-Produktion &amp; forbrug'!$N$3:$N$1000,'Resultat-Produktion &amp; forbrug'!$A$3:$A$1000,Adfærd!$G6,'Resultat-Produktion &amp; forbrug'!$D$3:$D$1000,Adfærd!J$4)</f>
        <v>243411.82603765032</v>
      </c>
    </row>
    <row r="7" spans="1:10" x14ac:dyDescent="0.55000000000000004">
      <c r="A7" s="2" t="s">
        <v>100</v>
      </c>
      <c r="B7" s="87">
        <v>0</v>
      </c>
      <c r="C7" s="3"/>
      <c r="D7" s="3"/>
      <c r="F7" s="25" t="str">
        <f t="shared" si="0"/>
        <v>Tang</v>
      </c>
      <c r="G7" s="25" t="s">
        <v>100</v>
      </c>
      <c r="H7" s="10">
        <f>SUMIFS('Resultat-Produktion &amp; forbrug'!$N$3:$N$1000,'Resultat-Produktion &amp; forbrug'!$A$3:$A$1000,Adfærd!$G7,'Resultat-Produktion &amp; forbrug'!$D$3:$D$1000,Adfærd!H$4)</f>
        <v>76.5</v>
      </c>
      <c r="I7" s="10">
        <f>SUMIFS('Resultat-Produktion &amp; forbrug'!$N$3:$N$1000,'Resultat-Produktion &amp; forbrug'!$A$3:$A$1000,Adfærd!$G7,'Resultat-Produktion &amp; forbrug'!$D$3:$D$1000,Adfærd!I$4)</f>
        <v>14400</v>
      </c>
      <c r="J7" s="10">
        <f>SUMIFS('Resultat-Produktion &amp; forbrug'!$N$3:$N$1000,'Resultat-Produktion &amp; forbrug'!$A$3:$A$1000,Adfærd!$G7,'Resultat-Produktion &amp; forbrug'!$D$3:$D$1000,Adfærd!J$4)</f>
        <v>18000</v>
      </c>
    </row>
    <row r="8" spans="1:10" x14ac:dyDescent="0.55000000000000004">
      <c r="A8" s="2" t="s">
        <v>208</v>
      </c>
      <c r="B8" s="87">
        <v>0</v>
      </c>
      <c r="C8" s="3"/>
      <c r="D8" s="3"/>
    </row>
    <row r="9" spans="1:10" x14ac:dyDescent="0.55000000000000004">
      <c r="A9" s="1" t="s">
        <v>224</v>
      </c>
      <c r="B9" s="115"/>
      <c r="C9" s="115"/>
      <c r="D9" s="115"/>
    </row>
    <row r="10" spans="1:10" x14ac:dyDescent="0.55000000000000004">
      <c r="B10" s="6"/>
      <c r="C10" s="6"/>
      <c r="D10" s="6"/>
    </row>
    <row r="11" spans="1:10" x14ac:dyDescent="0.55000000000000004">
      <c r="A11" s="2" t="s">
        <v>17</v>
      </c>
      <c r="B11" s="84">
        <f>År1</f>
        <v>2019</v>
      </c>
      <c r="C11" s="84">
        <f>År2</f>
        <v>2030</v>
      </c>
      <c r="D11" s="84">
        <f>År3</f>
        <v>2050</v>
      </c>
    </row>
    <row r="12" spans="1:10" x14ac:dyDescent="0.55000000000000004">
      <c r="A12" s="93" t="s">
        <v>337</v>
      </c>
      <c r="B12" s="87">
        <f>1.14*1000/7/SUM(Adfærd!$B$17:$B$29,Adfærd!$B$30)</f>
        <v>0.12853760288645846</v>
      </c>
      <c r="C12" s="3">
        <f>1.14*1000/7/SUM(Adfærd!$B$17:$B$29,Adfærd!$B$30)</f>
        <v>0.12853760288645846</v>
      </c>
      <c r="D12" s="3">
        <f>1.14*1000/7/SUM(Adfærd!$B$17:$B$29,Adfærd!$B$30)</f>
        <v>0.12853760288645846</v>
      </c>
    </row>
    <row r="13" spans="1:10" x14ac:dyDescent="0.55000000000000004">
      <c r="A13" s="184" t="s">
        <v>338</v>
      </c>
      <c r="B13" s="87">
        <v>0.32862000000000002</v>
      </c>
      <c r="C13" s="3">
        <f>B13</f>
        <v>0.32862000000000002</v>
      </c>
      <c r="D13" s="3">
        <f>C13</f>
        <v>0.32862000000000002</v>
      </c>
    </row>
    <row r="14" spans="1:10" x14ac:dyDescent="0.55000000000000004">
      <c r="A14" s="12"/>
      <c r="B14" s="14"/>
      <c r="C14" s="14"/>
      <c r="D14" s="14"/>
    </row>
    <row r="15" spans="1:10" hidden="1" x14ac:dyDescent="0.55000000000000004">
      <c r="A15" s="6" t="s">
        <v>154</v>
      </c>
      <c r="B15" s="6"/>
      <c r="C15" s="6"/>
      <c r="D15" s="6"/>
      <c r="F15" s="1" t="s">
        <v>95</v>
      </c>
    </row>
    <row r="16" spans="1:10" hidden="1" x14ac:dyDescent="0.55000000000000004">
      <c r="A16" s="2" t="s">
        <v>16</v>
      </c>
      <c r="B16" s="84">
        <f>År1</f>
        <v>2019</v>
      </c>
      <c r="C16" s="84">
        <f>År2</f>
        <v>2030</v>
      </c>
      <c r="D16" s="84">
        <f>År3</f>
        <v>2050</v>
      </c>
    </row>
    <row r="17" spans="1:9" hidden="1" x14ac:dyDescent="0.55000000000000004">
      <c r="A17" s="2" t="s">
        <v>48</v>
      </c>
      <c r="B17" s="110">
        <v>218</v>
      </c>
      <c r="C17" s="116">
        <f>B17</f>
        <v>218</v>
      </c>
      <c r="D17" s="116">
        <f>B17</f>
        <v>218</v>
      </c>
      <c r="I17" s="112"/>
    </row>
    <row r="18" spans="1:9" hidden="1" x14ac:dyDescent="0.55000000000000004">
      <c r="A18" s="2" t="s">
        <v>6</v>
      </c>
      <c r="B18" s="110">
        <v>199</v>
      </c>
      <c r="C18" s="116">
        <f>B18</f>
        <v>199</v>
      </c>
      <c r="D18" s="116">
        <f>B18</f>
        <v>199</v>
      </c>
    </row>
    <row r="19" spans="1:9" hidden="1" x14ac:dyDescent="0.55000000000000004">
      <c r="A19" s="2" t="s">
        <v>12</v>
      </c>
      <c r="B19" s="110">
        <v>91</v>
      </c>
      <c r="C19" s="116">
        <f>B19</f>
        <v>91</v>
      </c>
      <c r="D19" s="116">
        <f>B19</f>
        <v>91</v>
      </c>
    </row>
    <row r="20" spans="1:9" hidden="1" x14ac:dyDescent="0.55000000000000004">
      <c r="A20" s="2" t="s">
        <v>13</v>
      </c>
      <c r="B20" s="116">
        <f>B32*B34</f>
        <v>89.78</v>
      </c>
      <c r="C20" s="116">
        <f>$B20*(1-SUM(C$5:C$8))</f>
        <v>89.78</v>
      </c>
      <c r="D20" s="116">
        <f>$B20*(1-SUM(D$5:D$8))</f>
        <v>89.78</v>
      </c>
    </row>
    <row r="21" spans="1:9" hidden="1" x14ac:dyDescent="0.55000000000000004">
      <c r="A21" s="2" t="s">
        <v>14</v>
      </c>
      <c r="B21" s="116">
        <f>B32*B33</f>
        <v>44.22</v>
      </c>
      <c r="C21" s="116">
        <f>$B21*(1-SUM(C$5:C$8))</f>
        <v>44.22</v>
      </c>
      <c r="D21" s="116">
        <f>$B21*(1-SUM(D$5:D$8))</f>
        <v>44.22</v>
      </c>
    </row>
    <row r="22" spans="1:9" hidden="1" x14ac:dyDescent="0.55000000000000004">
      <c r="A22" s="2" t="s">
        <v>49</v>
      </c>
      <c r="B22" s="116">
        <f>SUM($B$20:$B$21,$B$27)*B5</f>
        <v>0</v>
      </c>
      <c r="C22" s="116">
        <f t="shared" ref="C22:D22" si="1">SUM($B$20:$B$21,$B$27)*C5</f>
        <v>0</v>
      </c>
      <c r="D22" s="116">
        <f t="shared" si="1"/>
        <v>0</v>
      </c>
      <c r="F22" s="1" t="s">
        <v>207</v>
      </c>
    </row>
    <row r="23" spans="1:9" hidden="1" x14ac:dyDescent="0.55000000000000004">
      <c r="A23" s="2" t="s">
        <v>107</v>
      </c>
      <c r="B23" s="116">
        <f>SUM($B$20:$B$21,$B$27)*B6</f>
        <v>0</v>
      </c>
      <c r="C23" s="116">
        <f t="shared" ref="C23:D25" si="2">SUM($B$20:$B$21,$B$27)*C6</f>
        <v>0</v>
      </c>
      <c r="D23" s="116">
        <f t="shared" si="2"/>
        <v>0</v>
      </c>
      <c r="F23" s="1" t="s">
        <v>209</v>
      </c>
    </row>
    <row r="24" spans="1:9" hidden="1" x14ac:dyDescent="0.55000000000000004">
      <c r="A24" s="2" t="s">
        <v>100</v>
      </c>
      <c r="B24" s="116">
        <f>SUM($B$20:$B$21,$B$27)*B7</f>
        <v>0</v>
      </c>
      <c r="C24" s="116">
        <f t="shared" si="2"/>
        <v>0</v>
      </c>
      <c r="D24" s="116">
        <f t="shared" si="2"/>
        <v>0</v>
      </c>
    </row>
    <row r="25" spans="1:9" hidden="1" x14ac:dyDescent="0.55000000000000004">
      <c r="A25" s="2" t="s">
        <v>208</v>
      </c>
      <c r="B25" s="116">
        <f>SUM($B$20:$B$21,$B$27)*B8</f>
        <v>0</v>
      </c>
      <c r="C25" s="116">
        <f t="shared" si="2"/>
        <v>0</v>
      </c>
      <c r="D25" s="116">
        <f t="shared" si="2"/>
        <v>0</v>
      </c>
    </row>
    <row r="26" spans="1:9" hidden="1" x14ac:dyDescent="0.55000000000000004">
      <c r="A26" s="2" t="s">
        <v>117</v>
      </c>
      <c r="B26" s="110">
        <f>304+44</f>
        <v>348</v>
      </c>
      <c r="C26" s="116">
        <f>B26</f>
        <v>348</v>
      </c>
      <c r="D26" s="116">
        <f>B26</f>
        <v>348</v>
      </c>
      <c r="F26" s="1" t="s">
        <v>330</v>
      </c>
    </row>
    <row r="27" spans="1:9" hidden="1" x14ac:dyDescent="0.55000000000000004">
      <c r="A27" s="2" t="s">
        <v>97</v>
      </c>
      <c r="B27" s="110">
        <v>26</v>
      </c>
      <c r="C27" s="116">
        <f>$B27*(1-SUM(C$5:C$8))</f>
        <v>26</v>
      </c>
      <c r="D27" s="116">
        <f>$B27*(1-SUM(D$5:D$8))</f>
        <v>26</v>
      </c>
    </row>
    <row r="28" spans="1:9" hidden="1" x14ac:dyDescent="0.55000000000000004">
      <c r="A28" s="2" t="s">
        <v>15</v>
      </c>
      <c r="B28" s="110">
        <v>24</v>
      </c>
      <c r="C28" s="116">
        <f>B28</f>
        <v>24</v>
      </c>
      <c r="D28" s="116">
        <f>B28</f>
        <v>24</v>
      </c>
    </row>
    <row r="29" spans="1:9" hidden="1" x14ac:dyDescent="0.55000000000000004">
      <c r="A29" s="2" t="s">
        <v>54</v>
      </c>
      <c r="B29" s="110">
        <v>190</v>
      </c>
      <c r="C29" s="116">
        <f>B29</f>
        <v>190</v>
      </c>
      <c r="D29" s="116">
        <f>B29</f>
        <v>190</v>
      </c>
    </row>
    <row r="30" spans="1:9" hidden="1" x14ac:dyDescent="0.55000000000000004">
      <c r="A30" s="2" t="s">
        <v>19</v>
      </c>
      <c r="B30" s="110">
        <v>37</v>
      </c>
      <c r="C30" s="117">
        <f>B30</f>
        <v>37</v>
      </c>
      <c r="D30" s="117">
        <f>B30</f>
        <v>37</v>
      </c>
    </row>
    <row r="31" spans="1:9" hidden="1" x14ac:dyDescent="0.55000000000000004">
      <c r="A31" s="320" t="s">
        <v>30</v>
      </c>
      <c r="B31" s="319">
        <f>SUM(B17:B30)</f>
        <v>1267</v>
      </c>
      <c r="C31" s="319">
        <f>SUM(C17:C30)</f>
        <v>1267</v>
      </c>
      <c r="D31" s="319">
        <f>SUM(D17:D30)</f>
        <v>1267</v>
      </c>
    </row>
    <row r="32" spans="1:9" hidden="1" x14ac:dyDescent="0.55000000000000004">
      <c r="A32" s="4" t="s">
        <v>18</v>
      </c>
      <c r="B32" s="103">
        <v>134</v>
      </c>
      <c r="C32" s="115"/>
    </row>
    <row r="33" spans="1:4" hidden="1" x14ac:dyDescent="0.55000000000000004">
      <c r="A33" s="4" t="s">
        <v>20</v>
      </c>
      <c r="B33" s="106">
        <v>0.33</v>
      </c>
      <c r="C33" s="115" t="s">
        <v>153</v>
      </c>
    </row>
    <row r="34" spans="1:4" hidden="1" x14ac:dyDescent="0.55000000000000004">
      <c r="A34" s="5" t="s">
        <v>21</v>
      </c>
      <c r="B34" s="118">
        <v>0.67</v>
      </c>
      <c r="C34" s="115"/>
    </row>
    <row r="35" spans="1:4" x14ac:dyDescent="0.55000000000000004">
      <c r="A35" s="12"/>
      <c r="B35" s="12"/>
      <c r="C35" s="12"/>
      <c r="D35" s="12"/>
    </row>
    <row r="36" spans="1:4" x14ac:dyDescent="0.55000000000000004">
      <c r="A36" s="12"/>
      <c r="B36" s="12"/>
      <c r="C36" s="105"/>
      <c r="D36" s="105"/>
    </row>
  </sheetData>
  <hyperlinks>
    <hyperlink ref="A1" location="Resume!A1" display="Arket indeholder data på forbrugerniveau af madvarer" xr:uid="{DB18E37A-FE51-4A46-9861-1109AE63CC08}"/>
  </hyperlinks>
  <pageMargins left="0.7" right="0.7" top="0.75" bottom="0.75" header="0.3" footer="0.3"/>
  <pageSetup orientation="portrait" horizontalDpi="300" verticalDpi="300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8690C-F835-4AD2-ADCF-BB8964038570}">
  <sheetPr codeName="Sheet22">
    <tabColor theme="9" tint="0.39997558519241921"/>
    <pageSetUpPr autoPageBreaks="0"/>
  </sheetPr>
  <dimension ref="A1:AC60"/>
  <sheetViews>
    <sheetView zoomScale="85" zoomScaleNormal="85" workbookViewId="0">
      <selection activeCell="A17" sqref="A17:G17"/>
    </sheetView>
  </sheetViews>
  <sheetFormatPr defaultColWidth="9.15625" defaultRowHeight="11.7" x14ac:dyDescent="0.45"/>
  <cols>
    <col min="1" max="1" width="15.83984375" style="126" customWidth="1"/>
    <col min="2" max="2" width="10.15625" style="126" bestFit="1" customWidth="1"/>
    <col min="3" max="3" width="10.15625" style="126" customWidth="1"/>
    <col min="4" max="4" width="11.83984375" style="126" bestFit="1" customWidth="1"/>
    <col min="5" max="5" width="11" style="126" customWidth="1"/>
    <col min="6" max="6" width="13.41796875" style="126" customWidth="1"/>
    <col min="7" max="7" width="22.15625" style="126" customWidth="1"/>
    <col min="8" max="8" width="10" style="126" hidden="1" customWidth="1"/>
    <col min="9" max="12" width="9.26171875" style="126" hidden="1" customWidth="1"/>
    <col min="13" max="13" width="24.26171875" style="126" hidden="1" customWidth="1"/>
    <col min="14" max="14" width="12.68359375" style="126" hidden="1" customWidth="1"/>
    <col min="15" max="15" width="9.26171875" style="126" hidden="1" customWidth="1"/>
    <col min="16" max="16" width="9.83984375" style="126" hidden="1" customWidth="1"/>
    <col min="17" max="23" width="0" style="126" hidden="1" customWidth="1"/>
    <col min="24" max="16384" width="9.15625" style="126"/>
  </cols>
  <sheetData>
    <row r="1" spans="1:29" ht="12" thickBot="1" x14ac:dyDescent="0.5">
      <c r="A1" s="232" t="s">
        <v>284</v>
      </c>
    </row>
    <row r="2" spans="1:29" ht="46.5" customHeight="1" x14ac:dyDescent="0.45">
      <c r="A2" s="236" t="s">
        <v>139</v>
      </c>
      <c r="B2" s="236">
        <f>År1</f>
        <v>2019</v>
      </c>
      <c r="C2" s="236">
        <f>År2</f>
        <v>2030</v>
      </c>
      <c r="D2" s="236">
        <f>År3</f>
        <v>2050</v>
      </c>
      <c r="E2" s="124"/>
      <c r="F2" s="333" t="s">
        <v>310</v>
      </c>
      <c r="G2" s="334"/>
      <c r="M2" s="125"/>
      <c r="Z2" s="123" t="s">
        <v>151</v>
      </c>
      <c r="AA2" s="124">
        <f>År1</f>
        <v>2019</v>
      </c>
      <c r="AB2" s="124">
        <f>År2</f>
        <v>2030</v>
      </c>
      <c r="AC2" s="124">
        <f>År3</f>
        <v>2050</v>
      </c>
    </row>
    <row r="3" spans="1:29" x14ac:dyDescent="0.45">
      <c r="A3" s="181" t="s">
        <v>136</v>
      </c>
      <c r="B3" s="237">
        <f>N12/SUMIFS('Resultater - Danmark'!H$3:H$482,'Resultater - Danmark'!$F$3:$F$482,$A3)</f>
        <v>0.16508293217043288</v>
      </c>
      <c r="C3" s="182">
        <v>0.53</v>
      </c>
      <c r="D3" s="182">
        <v>0.53</v>
      </c>
      <c r="E3" s="159"/>
      <c r="F3" s="175" t="s">
        <v>104</v>
      </c>
      <c r="G3" s="176">
        <v>0.9</v>
      </c>
      <c r="H3" s="151"/>
      <c r="N3" s="256"/>
      <c r="Z3" s="126" t="s">
        <v>111</v>
      </c>
      <c r="AA3" s="127">
        <f>SUM(C12:C14)/SUM(C12:C15)</f>
        <v>0.73155031690147754</v>
      </c>
      <c r="AB3" s="127">
        <f>SUM(D12:D14)/SUM(D12:D15)</f>
        <v>0.87662990659731932</v>
      </c>
      <c r="AC3" s="127">
        <f>SUM(E12:E14)/SUM(E12:E15)</f>
        <v>0.86872264893366935</v>
      </c>
    </row>
    <row r="4" spans="1:29" x14ac:dyDescent="0.45">
      <c r="A4" s="181" t="s">
        <v>137</v>
      </c>
      <c r="B4" s="237">
        <f>N13/SUMIFS('Resultater - Danmark'!H$3:H$482,'Resultater - Danmark'!$F$3:$F$482,$A4)</f>
        <v>0.30985833926453143</v>
      </c>
      <c r="C4" s="182">
        <v>0.76</v>
      </c>
      <c r="D4" s="182">
        <v>0.76</v>
      </c>
      <c r="E4" s="159"/>
      <c r="F4" s="175" t="s">
        <v>103</v>
      </c>
      <c r="G4" s="176">
        <v>0.9</v>
      </c>
      <c r="N4" s="256"/>
      <c r="Z4" s="125" t="s">
        <v>204</v>
      </c>
    </row>
    <row r="5" spans="1:29" x14ac:dyDescent="0.45">
      <c r="A5" s="181" t="s">
        <v>138</v>
      </c>
      <c r="B5" s="237">
        <v>0.5</v>
      </c>
      <c r="C5" s="182">
        <v>0.5</v>
      </c>
      <c r="D5" s="182">
        <v>0.5</v>
      </c>
      <c r="E5" s="159"/>
      <c r="F5" s="175"/>
      <c r="G5" s="176"/>
      <c r="H5" s="128"/>
      <c r="N5" s="256"/>
      <c r="Z5" s="126" t="s">
        <v>136</v>
      </c>
      <c r="AA5" s="148">
        <f t="shared" ref="AA5:AC6" si="0">C12/C$29</f>
        <v>0.22267199142680771</v>
      </c>
      <c r="AB5" s="148">
        <f t="shared" si="0"/>
        <v>0.35512191290714007</v>
      </c>
      <c r="AC5" s="148">
        <f t="shared" si="0"/>
        <v>0.34536833172797138</v>
      </c>
    </row>
    <row r="6" spans="1:29" x14ac:dyDescent="0.45">
      <c r="A6" s="181" t="s">
        <v>141</v>
      </c>
      <c r="B6" s="237">
        <f>N15/SUMIFS('Resultater - Danmark'!H$3:H$482,'Resultater - Danmark'!$F$3:$F$482,$A6)</f>
        <v>0.37924884410556858</v>
      </c>
      <c r="C6" s="182">
        <v>0.37924884410556858</v>
      </c>
      <c r="D6" s="182">
        <v>0.37924884410556858</v>
      </c>
      <c r="E6" s="159"/>
      <c r="F6" s="175"/>
      <c r="G6" s="176"/>
      <c r="H6" s="129"/>
      <c r="Z6" s="130" t="s">
        <v>137</v>
      </c>
      <c r="AA6" s="148">
        <f t="shared" si="0"/>
        <v>0.33257225498473725</v>
      </c>
      <c r="AB6" s="148">
        <f t="shared" si="0"/>
        <v>0.41030553120232033</v>
      </c>
      <c r="AC6" s="148">
        <f t="shared" si="0"/>
        <v>0.40883754065581773</v>
      </c>
    </row>
    <row r="7" spans="1:29" x14ac:dyDescent="0.45">
      <c r="A7" s="181" t="s">
        <v>102</v>
      </c>
      <c r="B7" s="237">
        <f>N16/SUMIFS('Resultater - Danmark'!H$3:H$482,'Resultater - Danmark'!$F$3:$F$482,$A7)</f>
        <v>0.25812101313640656</v>
      </c>
      <c r="C7" s="182">
        <v>0.5</v>
      </c>
      <c r="D7" s="182">
        <v>0.5</v>
      </c>
      <c r="F7" s="175"/>
      <c r="G7" s="177"/>
      <c r="N7" s="160"/>
    </row>
    <row r="8" spans="1:29" ht="12" thickBot="1" x14ac:dyDescent="0.5">
      <c r="A8" s="181" t="s">
        <v>210</v>
      </c>
      <c r="B8" s="237">
        <v>0</v>
      </c>
      <c r="C8" s="182">
        <v>0.1</v>
      </c>
      <c r="D8" s="182">
        <v>0.2</v>
      </c>
      <c r="F8" s="178"/>
      <c r="G8" s="179"/>
      <c r="I8" s="160"/>
    </row>
    <row r="10" spans="1:29" ht="23.5" customHeight="1" x14ac:dyDescent="0.45">
      <c r="A10" s="130"/>
      <c r="B10" s="131"/>
      <c r="C10" s="331" t="s">
        <v>213</v>
      </c>
      <c r="D10" s="331"/>
      <c r="E10" s="331"/>
      <c r="F10" s="330" t="s">
        <v>212</v>
      </c>
      <c r="G10" s="330"/>
      <c r="J10" s="332" t="s">
        <v>214</v>
      </c>
      <c r="K10" s="332"/>
      <c r="L10" s="332"/>
    </row>
    <row r="11" spans="1:29" x14ac:dyDescent="0.45">
      <c r="C11" s="132">
        <f>År1</f>
        <v>2019</v>
      </c>
      <c r="D11" s="132">
        <f>År2</f>
        <v>2030</v>
      </c>
      <c r="E11" s="132">
        <f>År3</f>
        <v>2050</v>
      </c>
      <c r="F11" s="132">
        <v>2030</v>
      </c>
      <c r="G11" s="132">
        <v>2050</v>
      </c>
      <c r="H11" s="132" t="s">
        <v>106</v>
      </c>
      <c r="I11" s="132" t="s">
        <v>145</v>
      </c>
      <c r="J11" s="132">
        <f>År1</f>
        <v>2019</v>
      </c>
      <c r="K11" s="132">
        <f>År2</f>
        <v>2030</v>
      </c>
      <c r="L11" s="132">
        <f>År3</f>
        <v>2050</v>
      </c>
      <c r="M11" s="125" t="s">
        <v>217</v>
      </c>
    </row>
    <row r="12" spans="1:29" x14ac:dyDescent="0.45">
      <c r="A12" s="133" t="s">
        <v>136</v>
      </c>
      <c r="B12" s="133" t="s">
        <v>140</v>
      </c>
      <c r="C12" s="134">
        <f>SUMIFS('Resultater - Danmark'!H$3:H$482,'Resultater - Danmark'!$F$3:$F$482,$A12)*B3</f>
        <v>2914869.3333333335</v>
      </c>
      <c r="D12" s="134">
        <f>SUMIFS('Resultater - Danmark'!I$3:I$482,'Resultater - Danmark'!$F$3:$F$482,$A12)*C3</f>
        <v>9147340.4973796736</v>
      </c>
      <c r="E12" s="134">
        <f>SUMIFS('Resultater - Danmark'!J$3:J$482,'Resultater - Danmark'!$F$3:$F$482,$A12)*D3</f>
        <v>8757449.2808849216</v>
      </c>
      <c r="F12" s="249">
        <f>SUMIFS('Resultat-Produktion &amp; forbrug'!$F$3:$F$290,'Resultat-Produktion &amp; forbrug'!$A$3:$A$290,$A12,'Resultat-Produktion &amp; forbrug'!$D$3:$D$290,Biogasanlæg!F$11)-SUMIFS('Resultat-Produktion &amp; forbrug'!$G$3:$G$290,'Resultat-Produktion &amp; forbrug'!$A$3:$A$290,$A12,'Resultat-Produktion &amp; forbrug'!$D$3:$D$290,Biogasanlæg!F$11)-SUMIFS('Resultat-Produktion &amp; forbrug'!$H$3:$H$290,'Resultat-Produktion &amp; forbrug'!$A$3:$A$290,$A12,'Resultat-Produktion &amp; forbrug'!$D$3:$D$290,Biogasanlæg!F$11)-SUMIFS('Resultat-Produktion &amp; forbrug'!$I$3:$I$290,'Resultat-Produktion &amp; forbrug'!$A$3:$A$290,$A12,'Resultat-Produktion &amp; forbrug'!$D$3:$D$290,Biogasanlæg!F$11)-D12</f>
        <v>8111792.5165442396</v>
      </c>
      <c r="G12" s="249">
        <f>SUMIFS('Resultat-Produktion &amp; forbrug'!$F$3:$F$290,'Resultat-Produktion &amp; forbrug'!$A$3:$A$290,$A12,'Resultat-Produktion &amp; forbrug'!$D$3:$D$290,Biogasanlæg!G$11)-SUMIFS('Resultat-Produktion &amp; forbrug'!$G$3:$G$290,'Resultat-Produktion &amp; forbrug'!$A$3:$A$290,$A12,'Resultat-Produktion &amp; forbrug'!$D$3:$D$290,Biogasanlæg!G$11)-SUMIFS('Resultat-Produktion &amp; forbrug'!$H$3:$H$290,'Resultat-Produktion &amp; forbrug'!$A$3:$A$290,$A12,'Resultat-Produktion &amp; forbrug'!$D$3:$D$290,Biogasanlæg!G$11)-SUMIFS('Resultat-Produktion &amp; forbrug'!$I$3:$I$290,'Resultat-Produktion &amp; forbrug'!$A$3:$A$290,$A12,'Resultat-Produktion &amp; forbrug'!$D$3:$D$290,Biogasanlæg!G$11)-E12</f>
        <v>7766039.9283319097</v>
      </c>
      <c r="H12" s="135">
        <f>VLOOKUP(A12,[1]Biogasudbytte!$A$2:$C$18,3,FALSE)</f>
        <v>0.05</v>
      </c>
      <c r="I12" s="136">
        <f>VLOOKUP(A12,[1]Biogasudbytte!$A$2:$C$18,2,FALSE)*IFERROR(VLOOKUP(A12,$F$3:$G$8,2,FALSE),1)</f>
        <v>12</v>
      </c>
      <c r="J12" s="135">
        <f t="shared" ref="J12:J28" si="1">C12/C$29</f>
        <v>0.22267199142680771</v>
      </c>
      <c r="K12" s="135">
        <f t="shared" ref="K12:K28" si="2">D12/D$29</f>
        <v>0.35512191290714007</v>
      </c>
      <c r="L12" s="135">
        <f t="shared" ref="L12:L28" si="3">E12/E$29</f>
        <v>0.34536833172797138</v>
      </c>
      <c r="M12" s="126" t="s">
        <v>215</v>
      </c>
      <c r="N12" s="126">
        <f>S12+2/3*T12</f>
        <v>2914869.3333333335</v>
      </c>
      <c r="O12" s="153">
        <f t="shared" ref="O12:O16" si="4">N12-C12</f>
        <v>0</v>
      </c>
      <c r="P12" s="142">
        <f>C12*I12</f>
        <v>34978432</v>
      </c>
      <c r="Q12" s="126">
        <f>P12*35.9/1000000000</f>
        <v>1.2557257088</v>
      </c>
      <c r="S12" s="126">
        <v>2517134</v>
      </c>
      <c r="T12" s="126">
        <v>596603</v>
      </c>
    </row>
    <row r="13" spans="1:29" x14ac:dyDescent="0.45">
      <c r="A13" s="128" t="s">
        <v>137</v>
      </c>
      <c r="B13" s="128" t="s">
        <v>140</v>
      </c>
      <c r="C13" s="137">
        <f>SUMIFS('Resultater - Danmark'!H$3:H$482,'Resultater - Danmark'!$F$3:$F$482,$A13)*B4</f>
        <v>4353509.666666667</v>
      </c>
      <c r="D13" s="137">
        <f>SUMIFS('Resultater - Danmark'!I$3:I$482,'Resultater - Danmark'!$F$3:$F$482,$A13)*C4</f>
        <v>10568777.271841515</v>
      </c>
      <c r="E13" s="137">
        <f>SUMIFS('Resultater - Danmark'!J$3:J$482,'Resultater - Danmark'!$F$3:$F$482,$A13)*D4</f>
        <v>10366827.811054559</v>
      </c>
      <c r="F13" s="250">
        <f>SUMIFS('Resultat-Produktion &amp; forbrug'!$F$3:$F$290,'Resultat-Produktion &amp; forbrug'!$A$3:$A$290,$A13,'Resultat-Produktion &amp; forbrug'!$D$3:$D$290,Biogasanlæg!F$11)-SUMIFS('Resultat-Produktion &amp; forbrug'!$G$3:$G$290,'Resultat-Produktion &amp; forbrug'!$A$3:$A$290,$A13,'Resultat-Produktion &amp; forbrug'!$D$3:$D$290,Biogasanlæg!F$11)-SUMIFS('Resultat-Produktion &amp; forbrug'!$H$3:$H$290,'Resultat-Produktion &amp; forbrug'!$A$3:$A$290,$A13,'Resultat-Produktion &amp; forbrug'!$D$3:$D$290,Biogasanlæg!F$11)-SUMIFS('Resultat-Produktion &amp; forbrug'!$I$3:$I$290,'Resultat-Produktion &amp; forbrug'!$A$3:$A$290,$A13,'Resultat-Produktion &amp; forbrug'!$D$3:$D$290,Biogasanlæg!F$11)-D13</f>
        <v>3337508.6121604759</v>
      </c>
      <c r="G13" s="250">
        <f>SUMIFS('Resultat-Produktion &amp; forbrug'!$F$3:$F$290,'Resultat-Produktion &amp; forbrug'!$A$3:$A$290,$A13,'Resultat-Produktion &amp; forbrug'!$D$3:$D$290,Biogasanlæg!G$11)-SUMIFS('Resultat-Produktion &amp; forbrug'!$G$3:$G$290,'Resultat-Produktion &amp; forbrug'!$A$3:$A$290,$A13,'Resultat-Produktion &amp; forbrug'!$D$3:$D$290,Biogasanlæg!G$11)-SUMIFS('Resultat-Produktion &amp; forbrug'!$H$3:$H$290,'Resultat-Produktion &amp; forbrug'!$A$3:$A$290,$A13,'Resultat-Produktion &amp; forbrug'!$D$3:$D$290,Biogasanlæg!G$11)-SUMIFS('Resultat-Produktion &amp; forbrug'!$I$3:$I$290,'Resultat-Produktion &amp; forbrug'!$A$3:$A$290,$A13,'Resultat-Produktion &amp; forbrug'!$D$3:$D$290,Biogasanlæg!G$11)-E13</f>
        <v>3273735.0982277542</v>
      </c>
      <c r="H13" s="138">
        <f>VLOOKUP(A13,[1]Biogasudbytte!$A$2:$C$18,3,FALSE)</f>
        <v>7.5999999999999998E-2</v>
      </c>
      <c r="I13" s="139">
        <f>VLOOKUP(A13,[1]Biogasudbytte!$A$2:$C$18,2,FALSE)*IFERROR(VLOOKUP(A13,$F$3:$G$8,2,FALSE),1)</f>
        <v>14.1</v>
      </c>
      <c r="J13" s="138">
        <f t="shared" si="1"/>
        <v>0.33257225498473725</v>
      </c>
      <c r="K13" s="138">
        <f t="shared" si="2"/>
        <v>0.41030553120232033</v>
      </c>
      <c r="L13" s="138">
        <f t="shared" si="3"/>
        <v>0.40883754065581773</v>
      </c>
      <c r="M13" s="126" t="s">
        <v>216</v>
      </c>
      <c r="N13" s="126">
        <f>S13+1/3*T13</f>
        <v>4353509.666666667</v>
      </c>
      <c r="O13" s="153">
        <f t="shared" si="4"/>
        <v>0</v>
      </c>
      <c r="P13" s="142">
        <f t="shared" ref="P13:P28" si="5">C13*I13</f>
        <v>61384486.300000004</v>
      </c>
      <c r="Q13" s="126">
        <f t="shared" ref="Q13:Q28" si="6">P13*35.9/1000000000</f>
        <v>2.2037030581699999</v>
      </c>
      <c r="S13" s="126">
        <v>4154642</v>
      </c>
      <c r="T13" s="126">
        <v>596603</v>
      </c>
    </row>
    <row r="14" spans="1:29" x14ac:dyDescent="0.45">
      <c r="A14" s="128" t="s">
        <v>138</v>
      </c>
      <c r="B14" s="128" t="s">
        <v>140</v>
      </c>
      <c r="C14" s="137">
        <f>SUMIFS('Resultater - Danmark'!H$3:H$482,'Resultater - Danmark'!$F$3:$F$482,$A14)*B5</f>
        <v>4441.5</v>
      </c>
      <c r="D14" s="137">
        <f>SUMIFS('Resultater - Danmark'!I$3:I$482,'Resultater - Danmark'!$F$3:$F$482,$A14)*C5</f>
        <v>4521.4640303491688</v>
      </c>
      <c r="E14" s="137">
        <f>SUMIFS('Resultater - Danmark'!J$3:J$482,'Resultater - Danmark'!$F$3:$F$482,$A14)*D5</f>
        <v>4669.3150599254877</v>
      </c>
      <c r="F14" s="250">
        <f>SUMIFS('Resultat-Produktion &amp; forbrug'!$F$3:$F$290,'Resultat-Produktion &amp; forbrug'!$A$3:$A$290,$A14,'Resultat-Produktion &amp; forbrug'!$D$3:$D$290,Biogasanlæg!F$11)-SUMIFS('Resultat-Produktion &amp; forbrug'!$G$3:$G$290,'Resultat-Produktion &amp; forbrug'!$A$3:$A$290,$A14,'Resultat-Produktion &amp; forbrug'!$D$3:$D$290,Biogasanlæg!F$11)-SUMIFS('Resultat-Produktion &amp; forbrug'!$H$3:$H$290,'Resultat-Produktion &amp; forbrug'!$A$3:$A$290,$A14,'Resultat-Produktion &amp; forbrug'!$D$3:$D$290,Biogasanlæg!F$11)-SUMIFS('Resultat-Produktion &amp; forbrug'!$I$3:$I$290,'Resultat-Produktion &amp; forbrug'!$A$3:$A$290,$A14,'Resultat-Produktion &amp; forbrug'!$D$3:$D$290,Biogasanlæg!F$11)-D14</f>
        <v>4521.4640303491688</v>
      </c>
      <c r="G14" s="250">
        <f>SUMIFS('Resultat-Produktion &amp; forbrug'!$F$3:$F$290,'Resultat-Produktion &amp; forbrug'!$A$3:$A$290,$A14,'Resultat-Produktion &amp; forbrug'!$D$3:$D$290,Biogasanlæg!G$11)-SUMIFS('Resultat-Produktion &amp; forbrug'!$G$3:$G$290,'Resultat-Produktion &amp; forbrug'!$A$3:$A$290,$A14,'Resultat-Produktion &amp; forbrug'!$D$3:$D$290,Biogasanlæg!G$11)-SUMIFS('Resultat-Produktion &amp; forbrug'!$H$3:$H$290,'Resultat-Produktion &amp; forbrug'!$A$3:$A$290,$A14,'Resultat-Produktion &amp; forbrug'!$D$3:$D$290,Biogasanlæg!G$11)-SUMIFS('Resultat-Produktion &amp; forbrug'!$I$3:$I$290,'Resultat-Produktion &amp; forbrug'!$A$3:$A$290,$A14,'Resultat-Produktion &amp; forbrug'!$D$3:$D$290,Biogasanlæg!G$11)-E14</f>
        <v>4669.3150599254859</v>
      </c>
      <c r="H14" s="138">
        <f>VLOOKUP(A14,[1]Biogasudbytte!$A$2:$C$18,3,FALSE)</f>
        <v>6.3E-2</v>
      </c>
      <c r="I14" s="139">
        <f>VLOOKUP(A14,[1]Biogasudbytte!$A$2:$C$18,2,FALSE)*IFERROR(VLOOKUP(A14,$F$3:$G$8,2,FALSE),1)</f>
        <v>13.1</v>
      </c>
      <c r="J14" s="138">
        <f t="shared" si="1"/>
        <v>3.3929399119623192E-4</v>
      </c>
      <c r="K14" s="138">
        <f t="shared" si="2"/>
        <v>1.7553418461446592E-4</v>
      </c>
      <c r="L14" s="138">
        <f t="shared" si="3"/>
        <v>1.8414420693005777E-4</v>
      </c>
      <c r="M14" s="130" t="s">
        <v>146</v>
      </c>
      <c r="N14" s="131">
        <v>11417</v>
      </c>
      <c r="O14" s="153">
        <f t="shared" si="4"/>
        <v>6975.5</v>
      </c>
      <c r="P14" s="142">
        <f t="shared" si="5"/>
        <v>58183.65</v>
      </c>
      <c r="Q14" s="126">
        <f t="shared" si="6"/>
        <v>2.0887930350000001E-3</v>
      </c>
    </row>
    <row r="15" spans="1:29" x14ac:dyDescent="0.45">
      <c r="A15" s="128" t="s">
        <v>141</v>
      </c>
      <c r="B15" s="128" t="s">
        <v>140</v>
      </c>
      <c r="C15" s="137">
        <f>SUMIFS('Resultater - Danmark'!H$3:H$482,'Resultater - Danmark'!$F$3:$F$482,$A15)*B6</f>
        <v>2668834</v>
      </c>
      <c r="D15" s="137">
        <f>SUMIFS('Resultater - Danmark'!I$3:I$482,'Resultater - Danmark'!$F$3:$F$482,$A15)*C6</f>
        <v>2775329.8009308982</v>
      </c>
      <c r="E15" s="137">
        <f>SUMIFS('Resultater - Danmark'!J$3:J$482,'Resultater - Danmark'!$F$3:$F$482,$A15)*D6</f>
        <v>2890677.9581297943</v>
      </c>
      <c r="F15" s="250">
        <f>SUMIFS('Resultat-Produktion &amp; forbrug'!$F$3:$F$290,'Resultat-Produktion &amp; forbrug'!$A$3:$A$290,$A15,'Resultat-Produktion &amp; forbrug'!$D$3:$D$290,Biogasanlæg!F$11)-SUMIFS('Resultat-Produktion &amp; forbrug'!$G$3:$G$290,'Resultat-Produktion &amp; forbrug'!$A$3:$A$290,$A15,'Resultat-Produktion &amp; forbrug'!$D$3:$D$290,Biogasanlæg!F$11)-SUMIFS('Resultat-Produktion &amp; forbrug'!$H$3:$H$290,'Resultat-Produktion &amp; forbrug'!$A$3:$A$290,$A15,'Resultat-Produktion &amp; forbrug'!$D$3:$D$290,Biogasanlæg!F$11)-SUMIFS('Resultat-Produktion &amp; forbrug'!$I$3:$I$290,'Resultat-Produktion &amp; forbrug'!$A$3:$A$290,$A15,'Resultat-Produktion &amp; forbrug'!$D$3:$D$290,Biogasanlæg!F$11)-D15</f>
        <v>4542635.2873380352</v>
      </c>
      <c r="G15" s="250">
        <f>SUMIFS('Resultat-Produktion &amp; forbrug'!$F$3:$F$290,'Resultat-Produktion &amp; forbrug'!$A$3:$A$290,$A15,'Resultat-Produktion &amp; forbrug'!$D$3:$D$290,Biogasanlæg!G$11)-SUMIFS('Resultat-Produktion &amp; forbrug'!$G$3:$G$290,'Resultat-Produktion &amp; forbrug'!$A$3:$A$290,$A15,'Resultat-Produktion &amp; forbrug'!$D$3:$D$290,Biogasanlæg!G$11)-SUMIFS('Resultat-Produktion &amp; forbrug'!$H$3:$H$290,'Resultat-Produktion &amp; forbrug'!$A$3:$A$290,$A15,'Resultat-Produktion &amp; forbrug'!$D$3:$D$290,Biogasanlæg!G$11)-SUMIFS('Resultat-Produktion &amp; forbrug'!$I$3:$I$290,'Resultat-Produktion &amp; forbrug'!$A$3:$A$290,$A15,'Resultat-Produktion &amp; forbrug'!$D$3:$D$290,Biogasanlæg!G$11)-E15</f>
        <v>4731436.1314918958</v>
      </c>
      <c r="H15" s="138">
        <f>VLOOKUP(A15,[1]Biogasudbytte!$A$2:$C$18,3,FALSE)</f>
        <v>0.06</v>
      </c>
      <c r="I15" s="139">
        <f>VLOOKUP(A15,[1]Biogasudbytte!$A$2:$C$18,2,FALSE)*IFERROR(VLOOKUP(A15,$F$3:$G$8,2,FALSE),1)</f>
        <v>13.9</v>
      </c>
      <c r="J15" s="138">
        <f t="shared" si="1"/>
        <v>0.20387691989197443</v>
      </c>
      <c r="K15" s="138">
        <f t="shared" si="2"/>
        <v>0.10774502470276469</v>
      </c>
      <c r="L15" s="138">
        <f t="shared" si="3"/>
        <v>0.11399993216531935</v>
      </c>
      <c r="M15" s="140" t="s">
        <v>306</v>
      </c>
      <c r="N15" s="141">
        <f>SUM(S15:Z15)</f>
        <v>2668834</v>
      </c>
      <c r="O15" s="153">
        <f t="shared" si="4"/>
        <v>0</v>
      </c>
      <c r="P15" s="142">
        <f>C15*I15</f>
        <v>37096792.600000001</v>
      </c>
      <c r="Q15" s="126">
        <f t="shared" si="6"/>
        <v>1.3317748543399999</v>
      </c>
      <c r="S15" s="168">
        <v>2666649</v>
      </c>
      <c r="T15" s="126">
        <v>2185</v>
      </c>
      <c r="U15" s="168" t="s">
        <v>308</v>
      </c>
      <c r="V15" s="130"/>
      <c r="W15" s="130"/>
    </row>
    <row r="16" spans="1:29" x14ac:dyDescent="0.45">
      <c r="A16" s="128" t="s">
        <v>102</v>
      </c>
      <c r="B16" s="128" t="s">
        <v>140</v>
      </c>
      <c r="C16" s="137">
        <f>SUMIFS('Resultater - Danmark'!H$3:H$482,'Resultater - Danmark'!$F$3:$F$482,$A16)*B7</f>
        <v>757087</v>
      </c>
      <c r="D16" s="137">
        <f>SUMIFS('Resultater - Danmark'!I$3:I$482,'Resultater - Danmark'!$F$3:$F$482,$A16)*C7</f>
        <v>1505490.464025514</v>
      </c>
      <c r="E16" s="137">
        <f>SUMIFS('Resultater - Danmark'!J$3:J$482,'Resultater - Danmark'!$F$3:$F$482,$A16)*D7</f>
        <v>1577517.9173522871</v>
      </c>
      <c r="F16" s="250">
        <f>SUMIFS('Resultat-Produktion &amp; forbrug'!$F$3:$F$290,'Resultat-Produktion &amp; forbrug'!$A$3:$A$290,$A16,'Resultat-Produktion &amp; forbrug'!$D$3:$D$290,Biogasanlæg!F$11)-SUMIFS('Resultat-Produktion &amp; forbrug'!$G$3:$G$290,'Resultat-Produktion &amp; forbrug'!$A$3:$A$290,$A16,'Resultat-Produktion &amp; forbrug'!$D$3:$D$290,Biogasanlæg!F$11)-SUMIFS('Resultat-Produktion &amp; forbrug'!$H$3:$H$290,'Resultat-Produktion &amp; forbrug'!$A$3:$A$290,$A16,'Resultat-Produktion &amp; forbrug'!$D$3:$D$290,Biogasanlæg!F$11)-SUMIFS('Resultat-Produktion &amp; forbrug'!$I$3:$I$290,'Resultat-Produktion &amp; forbrug'!$A$3:$A$290,$A16,'Resultat-Produktion &amp; forbrug'!$D$3:$D$290,Biogasanlæg!F$11)-D16</f>
        <v>1505490.464025514</v>
      </c>
      <c r="G16" s="250">
        <f>SUMIFS('Resultat-Produktion &amp; forbrug'!$F$3:$F$290,'Resultat-Produktion &amp; forbrug'!$A$3:$A$290,$A16,'Resultat-Produktion &amp; forbrug'!$D$3:$D$290,Biogasanlæg!G$11)-SUMIFS('Resultat-Produktion &amp; forbrug'!$G$3:$G$290,'Resultat-Produktion &amp; forbrug'!$A$3:$A$290,$A16,'Resultat-Produktion &amp; forbrug'!$D$3:$D$290,Biogasanlæg!G$11)-SUMIFS('Resultat-Produktion &amp; forbrug'!$H$3:$H$290,'Resultat-Produktion &amp; forbrug'!$A$3:$A$290,$A16,'Resultat-Produktion &amp; forbrug'!$D$3:$D$290,Biogasanlæg!G$11)-SUMIFS('Resultat-Produktion &amp; forbrug'!$I$3:$I$290,'Resultat-Produktion &amp; forbrug'!$A$3:$A$290,$A16,'Resultat-Produktion &amp; forbrug'!$D$3:$D$290,Biogasanlæg!G$11)-E16</f>
        <v>1577517.9173522885</v>
      </c>
      <c r="H16" s="138">
        <f>VLOOKUP(A16,[1]Biogasudbytte!$A$2:$C$18,3,FALSE)</f>
        <v>0.3</v>
      </c>
      <c r="I16" s="139">
        <f>VLOOKUP(A16,[1]Biogasudbytte!$A$2:$C$18,2,FALSE)*IFERROR(VLOOKUP(A16,$F$3:$G$8,2,FALSE),1)</f>
        <v>60</v>
      </c>
      <c r="J16" s="138">
        <f t="shared" si="1"/>
        <v>5.7835206554718369E-2</v>
      </c>
      <c r="K16" s="138">
        <f t="shared" si="2"/>
        <v>5.8446786101528432E-2</v>
      </c>
      <c r="L16" s="138">
        <f t="shared" si="3"/>
        <v>6.2212719013531058E-2</v>
      </c>
      <c r="M16" s="254" t="s">
        <v>157</v>
      </c>
      <c r="N16" s="255">
        <v>757087</v>
      </c>
      <c r="O16" s="153">
        <f t="shared" si="4"/>
        <v>0</v>
      </c>
      <c r="P16" s="142">
        <f t="shared" si="5"/>
        <v>45425220</v>
      </c>
      <c r="Q16" s="126">
        <f t="shared" si="6"/>
        <v>1.6307653980000001</v>
      </c>
    </row>
    <row r="17" spans="1:23" x14ac:dyDescent="0.45">
      <c r="A17" s="129" t="s">
        <v>210</v>
      </c>
      <c r="B17" s="128" t="s">
        <v>140</v>
      </c>
      <c r="C17" s="137">
        <f>SUMIFS('Resultater - Danmark'!H$3:H$482,'Resultater - Danmark'!$F$3:$F$482,$A17)*B8</f>
        <v>0</v>
      </c>
      <c r="D17" s="137">
        <f>SUMIFS('Resultater - Danmark'!I$3:I$482,'Resultater - Danmark'!$F$3:$F$482,$A17)*C8</f>
        <v>0</v>
      </c>
      <c r="E17" s="137">
        <f>SUMIFS('Resultater - Danmark'!J$3:J$482,'Resultater - Danmark'!$F$3:$F$482,$A17)*D8</f>
        <v>0</v>
      </c>
      <c r="F17" s="250">
        <f>SUMIFS('Resultat-Produktion &amp; forbrug'!$F$3:$F$290,'Resultat-Produktion &amp; forbrug'!$A$3:$A$290,$A17,'Resultat-Produktion &amp; forbrug'!$D$3:$D$290,Biogasanlæg!F$11)-SUMIFS('Resultat-Produktion &amp; forbrug'!$G$3:$G$290,'Resultat-Produktion &amp; forbrug'!$A$3:$A$290,$A17,'Resultat-Produktion &amp; forbrug'!$D$3:$D$290,Biogasanlæg!F$11)-SUMIFS('Resultat-Produktion &amp; forbrug'!$H$3:$H$290,'Resultat-Produktion &amp; forbrug'!$A$3:$A$290,$A17,'Resultat-Produktion &amp; forbrug'!$D$3:$D$290,Biogasanlæg!F$11)-SUMIFS('Resultat-Produktion &amp; forbrug'!$I$3:$I$290,'Resultat-Produktion &amp; forbrug'!$A$3:$A$290,$A17,'Resultat-Produktion &amp; forbrug'!$D$3:$D$290,Biogasanlæg!F$11)-D17</f>
        <v>0</v>
      </c>
      <c r="G17" s="250">
        <f>SUMIFS('Resultat-Produktion &amp; forbrug'!$F$3:$F$290,'Resultat-Produktion &amp; forbrug'!$A$3:$A$290,$A17,'Resultat-Produktion &amp; forbrug'!$D$3:$D$290,Biogasanlæg!G$11)-SUMIFS('Resultat-Produktion &amp; forbrug'!$G$3:$G$290,'Resultat-Produktion &amp; forbrug'!$A$3:$A$290,$A17,'Resultat-Produktion &amp; forbrug'!$D$3:$D$290,Biogasanlæg!G$11)-SUMIFS('Resultat-Produktion &amp; forbrug'!$H$3:$H$290,'Resultat-Produktion &amp; forbrug'!$A$3:$A$290,$A17,'Resultat-Produktion &amp; forbrug'!$D$3:$D$290,Biogasanlæg!G$11)-SUMIFS('Resultat-Produktion &amp; forbrug'!$I$3:$I$290,'Resultat-Produktion &amp; forbrug'!$A$3:$A$290,$A17,'Resultat-Produktion &amp; forbrug'!$D$3:$D$290,Biogasanlæg!G$11)-E17</f>
        <v>0</v>
      </c>
      <c r="H17" s="138">
        <f>VLOOKUP(A17,[1]Biogasudbytte!$A$2:$C$18,3,FALSE)</f>
        <v>4.2763387558472386E-2</v>
      </c>
      <c r="I17" s="139">
        <f>VLOOKUP(A17,[1]Biogasudbytte!$A$2:$C$18,2,FALSE)*IFERROR(VLOOKUP(A17,$F$3:$G$8,2,FALSE),1)</f>
        <v>15.822453396634783</v>
      </c>
      <c r="J17" s="138">
        <f t="shared" si="1"/>
        <v>0</v>
      </c>
      <c r="K17" s="138">
        <f t="shared" si="2"/>
        <v>0</v>
      </c>
      <c r="L17" s="138">
        <f t="shared" si="3"/>
        <v>0</v>
      </c>
      <c r="M17" s="126" t="s">
        <v>150</v>
      </c>
      <c r="N17" s="142"/>
      <c r="O17" s="153"/>
      <c r="P17" s="142">
        <f t="shared" si="5"/>
        <v>0</v>
      </c>
      <c r="Q17" s="126">
        <f t="shared" si="6"/>
        <v>0</v>
      </c>
    </row>
    <row r="18" spans="1:23" x14ac:dyDescent="0.45">
      <c r="A18" s="128" t="s">
        <v>103</v>
      </c>
      <c r="B18" s="128" t="s">
        <v>140</v>
      </c>
      <c r="C18" s="257">
        <f t="shared" ref="C18" si="7">N18</f>
        <v>729134</v>
      </c>
      <c r="D18" s="258">
        <v>363995</v>
      </c>
      <c r="E18" s="258">
        <v>369777</v>
      </c>
      <c r="F18" s="250">
        <f ca="1">SUMIFS('Resultat-Produktion &amp; forbrug'!$F$3:$F$290,'Resultat-Produktion &amp; forbrug'!$A$3:$A$290,$A18,'Resultat-Produktion &amp; forbrug'!$D$3:$D$290,Biogasanlæg!F$11)-SUMIFS('Resultat-Produktion &amp; forbrug'!$G$3:$G$290,'Resultat-Produktion &amp; forbrug'!$A$3:$A$290,$A18,'Resultat-Produktion &amp; forbrug'!$D$3:$D$290,Biogasanlæg!F$11)-SUMIFS('Resultat-Produktion &amp; forbrug'!$H$3:$H$290,'Resultat-Produktion &amp; forbrug'!$A$3:$A$290,$A18,'Resultat-Produktion &amp; forbrug'!$D$3:$D$290,Biogasanlæg!F$11)-SUMIFS('Resultat-Produktion &amp; forbrug'!$I$3:$I$290,'Resultat-Produktion &amp; forbrug'!$A$3:$A$290,$A18,'Resultat-Produktion &amp; forbrug'!$D$3:$D$290,Biogasanlæg!F$11)-D18</f>
        <v>-2.8257256140932441E-2</v>
      </c>
      <c r="G18" s="250">
        <f ca="1">SUMIFS('Resultat-Produktion &amp; forbrug'!$F$3:$F$290,'Resultat-Produktion &amp; forbrug'!$A$3:$A$290,$A18,'Resultat-Produktion &amp; forbrug'!$D$3:$D$290,Biogasanlæg!G$11)-SUMIFS('Resultat-Produktion &amp; forbrug'!$G$3:$G$290,'Resultat-Produktion &amp; forbrug'!$A$3:$A$290,$A18,'Resultat-Produktion &amp; forbrug'!$D$3:$D$290,Biogasanlæg!G$11)-SUMIFS('Resultat-Produktion &amp; forbrug'!$H$3:$H$290,'Resultat-Produktion &amp; forbrug'!$A$3:$A$290,$A18,'Resultat-Produktion &amp; forbrug'!$D$3:$D$290,Biogasanlæg!G$11)-SUMIFS('Resultat-Produktion &amp; forbrug'!$I$3:$I$290,'Resultat-Produktion &amp; forbrug'!$A$3:$A$290,$A18,'Resultat-Produktion &amp; forbrug'!$D$3:$D$290,Biogasanlæg!G$11)-E18</f>
        <v>-0.18489040050189942</v>
      </c>
      <c r="H18" s="138">
        <f>VLOOKUP(A18,[1]Biogasudbytte!$A$2:$C$18,3,FALSE)</f>
        <v>0.28000000000000003</v>
      </c>
      <c r="I18" s="139">
        <f>VLOOKUP(A18,[1]Biogasudbytte!$A$2:$C$18,2,FALSE)*IFERROR(VLOOKUP(A18,$F$3:$G$8,2,FALSE),1)</f>
        <v>85.410000000000011</v>
      </c>
      <c r="J18" s="138">
        <f t="shared" si="1"/>
        <v>5.5699827755684647E-2</v>
      </c>
      <c r="K18" s="138">
        <f t="shared" si="2"/>
        <v>1.4131167493509476E-2</v>
      </c>
      <c r="L18" s="138">
        <f t="shared" si="3"/>
        <v>1.4582929515804097E-2</v>
      </c>
      <c r="M18" s="162" t="s">
        <v>304</v>
      </c>
      <c r="N18" s="163">
        <f>SUM(S18:Z18)</f>
        <v>729134</v>
      </c>
      <c r="O18" s="153">
        <f>N18-C18</f>
        <v>0</v>
      </c>
      <c r="P18" s="142">
        <f>C18*I18</f>
        <v>62275334.940000005</v>
      </c>
      <c r="Q18" s="126">
        <f>P18*35.9/1000000000</f>
        <v>2.2356845243460004</v>
      </c>
      <c r="S18" s="126">
        <v>338470</v>
      </c>
      <c r="T18" s="126">
        <v>199809</v>
      </c>
      <c r="U18" s="126">
        <v>60011</v>
      </c>
      <c r="V18" s="126">
        <v>44821</v>
      </c>
      <c r="W18" s="126">
        <v>86023</v>
      </c>
    </row>
    <row r="19" spans="1:23" x14ac:dyDescent="0.45">
      <c r="A19" s="128" t="s">
        <v>104</v>
      </c>
      <c r="B19" s="128" t="s">
        <v>140</v>
      </c>
      <c r="C19" s="257">
        <f>N19</f>
        <v>995654</v>
      </c>
      <c r="D19" s="258">
        <v>725968</v>
      </c>
      <c r="E19" s="258">
        <v>723032</v>
      </c>
      <c r="F19" s="250">
        <f>SUMIFS('Resultat-Produktion &amp; forbrug'!$F$3:$F$290,'Resultat-Produktion &amp; forbrug'!$A$3:$A$290,$A19,'Resultat-Produktion &amp; forbrug'!$D$3:$D$290,Biogasanlæg!F$11)-SUMIFS('Resultat-Produktion &amp; forbrug'!$G$3:$G$290,'Resultat-Produktion &amp; forbrug'!$A$3:$A$290,$A19,'Resultat-Produktion &amp; forbrug'!$D$3:$D$290,Biogasanlæg!F$11)-SUMIFS('Resultat-Produktion &amp; forbrug'!$H$3:$H$290,'Resultat-Produktion &amp; forbrug'!$A$3:$A$290,$A19,'Resultat-Produktion &amp; forbrug'!$D$3:$D$290,Biogasanlæg!F$11)-SUMIFS('Resultat-Produktion &amp; forbrug'!$I$3:$I$290,'Resultat-Produktion &amp; forbrug'!$A$3:$A$290,$A19,'Resultat-Produktion &amp; forbrug'!$D$3:$D$290,Biogasanlæg!F$11)-D19</f>
        <v>0.40288562409114093</v>
      </c>
      <c r="G19" s="250">
        <f>SUMIFS('Resultat-Produktion &amp; forbrug'!$F$3:$F$290,'Resultat-Produktion &amp; forbrug'!$A$3:$A$290,$A19,'Resultat-Produktion &amp; forbrug'!$D$3:$D$290,Biogasanlæg!G$11)-SUMIFS('Resultat-Produktion &amp; forbrug'!$G$3:$G$290,'Resultat-Produktion &amp; forbrug'!$A$3:$A$290,$A19,'Resultat-Produktion &amp; forbrug'!$D$3:$D$290,Biogasanlæg!G$11)-SUMIFS('Resultat-Produktion &amp; forbrug'!$H$3:$H$290,'Resultat-Produktion &amp; forbrug'!$A$3:$A$290,$A19,'Resultat-Produktion &amp; forbrug'!$D$3:$D$290,Biogasanlæg!G$11)-SUMIFS('Resultat-Produktion &amp; forbrug'!$I$3:$I$290,'Resultat-Produktion &amp; forbrug'!$A$3:$A$290,$A19,'Resultat-Produktion &amp; forbrug'!$D$3:$D$290,Biogasanlæg!G$11)-E19</f>
        <v>-0.11492812377400696</v>
      </c>
      <c r="H19" s="138">
        <f>VLOOKUP(A19,[1]Biogasudbytte!$A$2:$C$18,3,FALSE)</f>
        <v>0.42</v>
      </c>
      <c r="I19" s="139">
        <f>VLOOKUP(A19,[1]Biogasudbytte!$A$2:$C$18,2,FALSE)*IFERROR(VLOOKUP(A19,$F$3:$G$8,2,FALSE),1)</f>
        <v>108.63000000000001</v>
      </c>
      <c r="J19" s="138">
        <f t="shared" si="1"/>
        <v>7.6059758980185313E-2</v>
      </c>
      <c r="K19" s="138">
        <f t="shared" si="2"/>
        <v>2.8183836049748175E-2</v>
      </c>
      <c r="L19" s="138">
        <f t="shared" si="3"/>
        <v>2.8514279399937982E-2</v>
      </c>
      <c r="M19" s="164" t="s">
        <v>305</v>
      </c>
      <c r="N19" s="165">
        <f>SUM(S19:Z19)</f>
        <v>995654</v>
      </c>
      <c r="O19" s="153">
        <f>N19-C19</f>
        <v>0</v>
      </c>
      <c r="P19" s="142">
        <f>C19*I19</f>
        <v>108157894.02000001</v>
      </c>
      <c r="Q19" s="126">
        <f>P19*35.9/1000000000</f>
        <v>3.8828683953180003</v>
      </c>
      <c r="S19" s="126">
        <v>995654</v>
      </c>
    </row>
    <row r="20" spans="1:23" x14ac:dyDescent="0.45">
      <c r="A20" s="128" t="s">
        <v>68</v>
      </c>
      <c r="B20" s="128" t="s">
        <v>140</v>
      </c>
      <c r="C20" s="257">
        <f>N20</f>
        <v>75934</v>
      </c>
      <c r="D20" s="258">
        <v>75934</v>
      </c>
      <c r="E20" s="258">
        <v>75934</v>
      </c>
      <c r="F20" s="250">
        <f>SUMIFS('Resultat-Produktion &amp; forbrug'!$F$3:$F$290,'Resultat-Produktion &amp; forbrug'!$A$3:$A$290,$A20,'Resultat-Produktion &amp; forbrug'!$D$3:$D$290,Biogasanlæg!F$11)-SUMIFS('Resultat-Produktion &amp; forbrug'!$G$3:$G$290,'Resultat-Produktion &amp; forbrug'!$A$3:$A$290,$A20,'Resultat-Produktion &amp; forbrug'!$D$3:$D$290,Biogasanlæg!F$11)-SUMIFS('Resultat-Produktion &amp; forbrug'!$H$3:$H$290,'Resultat-Produktion &amp; forbrug'!$A$3:$A$290,$A20,'Resultat-Produktion &amp; forbrug'!$D$3:$D$290,Biogasanlæg!F$11)-SUMIFS('Resultat-Produktion &amp; forbrug'!$I$3:$I$290,'Resultat-Produktion &amp; forbrug'!$A$3:$A$290,$A20,'Resultat-Produktion &amp; forbrug'!$D$3:$D$290,Biogasanlæg!F$11)-D20</f>
        <v>1961505.5799949402</v>
      </c>
      <c r="G20" s="250">
        <f>SUMIFS('Resultat-Produktion &amp; forbrug'!$F$3:$F$290,'Resultat-Produktion &amp; forbrug'!$A$3:$A$290,$A20,'Resultat-Produktion &amp; forbrug'!$D$3:$D$290,Biogasanlæg!G$11)-SUMIFS('Resultat-Produktion &amp; forbrug'!$G$3:$G$290,'Resultat-Produktion &amp; forbrug'!$A$3:$A$290,$A20,'Resultat-Produktion &amp; forbrug'!$D$3:$D$290,Biogasanlæg!G$11)-SUMIFS('Resultat-Produktion &amp; forbrug'!$H$3:$H$290,'Resultat-Produktion &amp; forbrug'!$A$3:$A$290,$A20,'Resultat-Produktion &amp; forbrug'!$D$3:$D$290,Biogasanlæg!G$11)-SUMIFS('Resultat-Produktion &amp; forbrug'!$I$3:$I$290,'Resultat-Produktion &amp; forbrug'!$A$3:$A$290,$A20,'Resultat-Produktion &amp; forbrug'!$D$3:$D$290,Biogasanlæg!G$11)-E20</f>
        <v>1700816.426967964</v>
      </c>
      <c r="H20" s="138">
        <f>VLOOKUP(A20,[1]Biogasudbytte!$A$2:$C$18,3,FALSE)</f>
        <v>0.85</v>
      </c>
      <c r="I20" s="139">
        <f>VLOOKUP(A20,[1]Biogasudbytte!$A$2:$C$18,2,FALSE)*IFERROR(VLOOKUP(A20,$F$3:$G$8,2,FALSE),1)</f>
        <v>160.6</v>
      </c>
      <c r="J20" s="138">
        <f t="shared" si="1"/>
        <v>5.8007317184497744E-3</v>
      </c>
      <c r="K20" s="138">
        <f t="shared" si="2"/>
        <v>2.9479417916513924E-3</v>
      </c>
      <c r="L20" s="138">
        <f t="shared" si="3"/>
        <v>2.99461613311014E-3</v>
      </c>
      <c r="M20" s="126" t="s">
        <v>147</v>
      </c>
      <c r="N20" s="142">
        <v>75934</v>
      </c>
      <c r="O20" s="153">
        <f t="shared" ref="O20:O28" si="8">N20-C20</f>
        <v>0</v>
      </c>
      <c r="P20" s="142">
        <f t="shared" si="5"/>
        <v>12195000.4</v>
      </c>
      <c r="Q20" s="126">
        <f t="shared" si="6"/>
        <v>0.43780051436</v>
      </c>
    </row>
    <row r="21" spans="1:23" x14ac:dyDescent="0.45">
      <c r="A21" s="128" t="s">
        <v>48</v>
      </c>
      <c r="B21" s="128" t="s">
        <v>140</v>
      </c>
      <c r="C21" s="257">
        <f t="shared" ref="C21:C28" si="9">N21</f>
        <v>3786</v>
      </c>
      <c r="D21" s="258">
        <v>3786</v>
      </c>
      <c r="E21" s="258">
        <v>3786</v>
      </c>
      <c r="F21" s="250">
        <f>SUMIFS('Resultat-Produktion &amp; forbrug'!$F$3:$F$290,'Resultat-Produktion &amp; forbrug'!$A$3:$A$290,$A21,'Resultat-Produktion &amp; forbrug'!$D$3:$D$290,Biogasanlæg!F$11)-SUMIFS('Resultat-Produktion &amp; forbrug'!$G$3:$G$290,'Resultat-Produktion &amp; forbrug'!$A$3:$A$290,$A21,'Resultat-Produktion &amp; forbrug'!$D$3:$D$290,Biogasanlæg!F$11)-SUMIFS('Resultat-Produktion &amp; forbrug'!$H$3:$H$290,'Resultat-Produktion &amp; forbrug'!$A$3:$A$290,$A21,'Resultat-Produktion &amp; forbrug'!$D$3:$D$290,Biogasanlæg!F$11)-SUMIFS('Resultat-Produktion &amp; forbrug'!$I$3:$I$290,'Resultat-Produktion &amp; forbrug'!$A$3:$A$290,$A21,'Resultat-Produktion &amp; forbrug'!$D$3:$D$290,Biogasanlæg!F$11)-D21</f>
        <v>2948702.3670405024</v>
      </c>
      <c r="G21" s="250">
        <f>SUMIFS('Resultat-Produktion &amp; forbrug'!$F$3:$F$290,'Resultat-Produktion &amp; forbrug'!$A$3:$A$290,$A21,'Resultat-Produktion &amp; forbrug'!$D$3:$D$290,Biogasanlæg!G$11)-SUMIFS('Resultat-Produktion &amp; forbrug'!$G$3:$G$290,'Resultat-Produktion &amp; forbrug'!$A$3:$A$290,$A21,'Resultat-Produktion &amp; forbrug'!$D$3:$D$290,Biogasanlæg!G$11)-SUMIFS('Resultat-Produktion &amp; forbrug'!$H$3:$H$290,'Resultat-Produktion &amp; forbrug'!$A$3:$A$290,$A21,'Resultat-Produktion &amp; forbrug'!$D$3:$D$290,Biogasanlæg!G$11)-SUMIFS('Resultat-Produktion &amp; forbrug'!$I$3:$I$290,'Resultat-Produktion &amp; forbrug'!$A$3:$A$290,$A21,'Resultat-Produktion &amp; forbrug'!$D$3:$D$290,Biogasanlæg!G$11)-E21</f>
        <v>2125486.6888101227</v>
      </c>
      <c r="H21" s="138">
        <f>VLOOKUP(A21,[1]Biogasudbytte!$A$2:$C$18,3,FALSE)</f>
        <v>0.31</v>
      </c>
      <c r="I21" s="139">
        <f>VLOOKUP(A21,[1]Biogasudbytte!$A$2:$C$18,2,FALSE)*IFERROR(VLOOKUP(A21,$F$3:$G$8,2,FALSE),1)</f>
        <v>95.4</v>
      </c>
      <c r="J21" s="138">
        <f t="shared" si="1"/>
        <v>2.8921919411661239E-4</v>
      </c>
      <c r="K21" s="138">
        <f t="shared" si="2"/>
        <v>1.469816896672396E-4</v>
      </c>
      <c r="L21" s="138">
        <f t="shared" si="3"/>
        <v>1.4930882977263137E-4</v>
      </c>
      <c r="M21" s="126" t="s">
        <v>158</v>
      </c>
      <c r="N21" s="142">
        <v>3786</v>
      </c>
      <c r="O21" s="153">
        <f t="shared" si="8"/>
        <v>0</v>
      </c>
      <c r="P21" s="142">
        <f t="shared" si="5"/>
        <v>361184.4</v>
      </c>
      <c r="Q21" s="126">
        <f t="shared" si="6"/>
        <v>1.2966519960000001E-2</v>
      </c>
    </row>
    <row r="22" spans="1:23" x14ac:dyDescent="0.45">
      <c r="A22" s="128" t="s">
        <v>51</v>
      </c>
      <c r="B22" s="128" t="s">
        <v>140</v>
      </c>
      <c r="C22" s="257">
        <f t="shared" si="9"/>
        <v>85677</v>
      </c>
      <c r="D22" s="258">
        <v>85677</v>
      </c>
      <c r="E22" s="258">
        <v>85677</v>
      </c>
      <c r="F22" s="250">
        <f>SUMIFS('Resultat-Produktion &amp; forbrug'!$F$3:$F$290,'Resultat-Produktion &amp; forbrug'!$A$3:$A$290,$A22,'Resultat-Produktion &amp; forbrug'!$D$3:$D$290,Biogasanlæg!F$11)-SUMIFS('Resultat-Produktion &amp; forbrug'!$G$3:$G$290,'Resultat-Produktion &amp; forbrug'!$A$3:$A$290,$A22,'Resultat-Produktion &amp; forbrug'!$D$3:$D$290,Biogasanlæg!F$11)-SUMIFS('Resultat-Produktion &amp; forbrug'!$H$3:$H$290,'Resultat-Produktion &amp; forbrug'!$A$3:$A$290,$A22,'Resultat-Produktion &amp; forbrug'!$D$3:$D$290,Biogasanlæg!F$11)-SUMIFS('Resultat-Produktion &amp; forbrug'!$I$3:$I$290,'Resultat-Produktion &amp; forbrug'!$A$3:$A$290,$A22,'Resultat-Produktion &amp; forbrug'!$D$3:$D$290,Biogasanlæg!F$11)-D22</f>
        <v>4828921.2485613972</v>
      </c>
      <c r="G22" s="250">
        <f>SUMIFS('Resultat-Produktion &amp; forbrug'!$F$3:$F$290,'Resultat-Produktion &amp; forbrug'!$A$3:$A$290,$A22,'Resultat-Produktion &amp; forbrug'!$D$3:$D$290,Biogasanlæg!G$11)-SUMIFS('Resultat-Produktion &amp; forbrug'!$G$3:$G$290,'Resultat-Produktion &amp; forbrug'!$A$3:$A$290,$A22,'Resultat-Produktion &amp; forbrug'!$D$3:$D$290,Biogasanlæg!G$11)-SUMIFS('Resultat-Produktion &amp; forbrug'!$H$3:$H$290,'Resultat-Produktion &amp; forbrug'!$A$3:$A$290,$A22,'Resultat-Produktion &amp; forbrug'!$D$3:$D$290,Biogasanlæg!G$11)-SUMIFS('Resultat-Produktion &amp; forbrug'!$I$3:$I$290,'Resultat-Produktion &amp; forbrug'!$A$3:$A$290,$A22,'Resultat-Produktion &amp; forbrug'!$D$3:$D$290,Biogasanlæg!G$11)-E22</f>
        <v>4438214.851569131</v>
      </c>
      <c r="H22" s="138">
        <f>VLOOKUP(A22,[1]Biogasudbytte!$A$2:$C$18,3,FALSE)</f>
        <v>0.28000000000000003</v>
      </c>
      <c r="I22" s="139">
        <f>VLOOKUP(A22,[1]Biogasudbytte!$A$2:$C$18,2,FALSE)*IFERROR(VLOOKUP(A22,$F$3:$G$8,2,FALSE),1)</f>
        <v>51.25</v>
      </c>
      <c r="J22" s="138">
        <f t="shared" si="1"/>
        <v>6.5450166123425784E-3</v>
      </c>
      <c r="K22" s="138">
        <f t="shared" si="2"/>
        <v>3.3261886491336734E-3</v>
      </c>
      <c r="L22" s="138">
        <f t="shared" si="3"/>
        <v>3.3788517190781134E-3</v>
      </c>
      <c r="M22" s="166" t="s">
        <v>307</v>
      </c>
      <c r="N22" s="167">
        <f>SUM(S22:Z22)</f>
        <v>85677</v>
      </c>
      <c r="O22" s="153">
        <f t="shared" si="8"/>
        <v>0</v>
      </c>
      <c r="P22" s="142">
        <f t="shared" si="5"/>
        <v>4390946.25</v>
      </c>
      <c r="Q22" s="126">
        <f t="shared" si="6"/>
        <v>0.15763497037499999</v>
      </c>
      <c r="S22" s="126">
        <v>66010</v>
      </c>
      <c r="T22" s="126">
        <v>2139</v>
      </c>
      <c r="U22" s="126">
        <v>14273</v>
      </c>
      <c r="V22" s="126">
        <v>3255</v>
      </c>
    </row>
    <row r="23" spans="1:23" x14ac:dyDescent="0.45">
      <c r="A23" s="128" t="s">
        <v>53</v>
      </c>
      <c r="B23" s="128" t="s">
        <v>140</v>
      </c>
      <c r="C23" s="257">
        <f t="shared" si="9"/>
        <v>330026</v>
      </c>
      <c r="D23" s="258">
        <v>330026</v>
      </c>
      <c r="E23" s="258">
        <v>330026</v>
      </c>
      <c r="F23" s="250">
        <f>SUMIFS('Resultat-Produktion &amp; forbrug'!$F$3:$F$290,'Resultat-Produktion &amp; forbrug'!$A$3:$A$290,$A23,'Resultat-Produktion &amp; forbrug'!$D$3:$D$290,Biogasanlæg!F$11)-SUMIFS('Resultat-Produktion &amp; forbrug'!$G$3:$G$290,'Resultat-Produktion &amp; forbrug'!$A$3:$A$290,$A23,'Resultat-Produktion &amp; forbrug'!$D$3:$D$290,Biogasanlæg!F$11)-SUMIFS('Resultat-Produktion &amp; forbrug'!$H$3:$H$290,'Resultat-Produktion &amp; forbrug'!$A$3:$A$290,$A23,'Resultat-Produktion &amp; forbrug'!$D$3:$D$290,Biogasanlæg!F$11)-SUMIFS('Resultat-Produktion &amp; forbrug'!$I$3:$I$290,'Resultat-Produktion &amp; forbrug'!$A$3:$A$290,$A23,'Resultat-Produktion &amp; forbrug'!$D$3:$D$290,Biogasanlæg!F$11)-D23</f>
        <v>1690869.075056117</v>
      </c>
      <c r="G23" s="250">
        <f>SUMIFS('Resultat-Produktion &amp; forbrug'!$F$3:$F$290,'Resultat-Produktion &amp; forbrug'!$A$3:$A$290,$A23,'Resultat-Produktion &amp; forbrug'!$D$3:$D$290,Biogasanlæg!G$11)-SUMIFS('Resultat-Produktion &amp; forbrug'!$G$3:$G$290,'Resultat-Produktion &amp; forbrug'!$A$3:$A$290,$A23,'Resultat-Produktion &amp; forbrug'!$D$3:$D$290,Biogasanlæg!G$11)-SUMIFS('Resultat-Produktion &amp; forbrug'!$H$3:$H$290,'Resultat-Produktion &amp; forbrug'!$A$3:$A$290,$A23,'Resultat-Produktion &amp; forbrug'!$D$3:$D$290,Biogasanlæg!G$11)-SUMIFS('Resultat-Produktion &amp; forbrug'!$I$3:$I$290,'Resultat-Produktion &amp; forbrug'!$A$3:$A$290,$A23,'Resultat-Produktion &amp; forbrug'!$D$3:$D$290,Biogasanlæg!G$11)-E23</f>
        <v>1488865.2333387677</v>
      </c>
      <c r="H23" s="138">
        <f>VLOOKUP(A23,[1]Biogasudbytte!$A$2:$C$18,3,FALSE)</f>
        <v>0.3</v>
      </c>
      <c r="I23" s="139">
        <f>VLOOKUP(A23,[1]Biogasudbytte!$A$2:$C$18,2,FALSE)*IFERROR(VLOOKUP(A23,$F$3:$G$8,2,FALSE),1)</f>
        <v>100</v>
      </c>
      <c r="J23" s="138">
        <f t="shared" si="1"/>
        <v>2.5211266180012976E-2</v>
      </c>
      <c r="K23" s="138">
        <f t="shared" si="2"/>
        <v>1.2812408640813634E-2</v>
      </c>
      <c r="L23" s="138">
        <f t="shared" si="3"/>
        <v>1.3015265677375182E-2</v>
      </c>
      <c r="M23" s="126" t="s">
        <v>148</v>
      </c>
      <c r="N23" s="142">
        <v>330026</v>
      </c>
      <c r="O23" s="153">
        <f t="shared" si="8"/>
        <v>0</v>
      </c>
      <c r="P23" s="142">
        <f t="shared" si="5"/>
        <v>33002600</v>
      </c>
      <c r="Q23" s="126">
        <f t="shared" si="6"/>
        <v>1.1847933399999999</v>
      </c>
    </row>
    <row r="24" spans="1:23" x14ac:dyDescent="0.45">
      <c r="A24" s="128" t="s">
        <v>52</v>
      </c>
      <c r="B24" s="128" t="s">
        <v>140</v>
      </c>
      <c r="C24" s="257">
        <f t="shared" si="9"/>
        <v>28645</v>
      </c>
      <c r="D24" s="258">
        <v>28645</v>
      </c>
      <c r="E24" s="258">
        <v>28645</v>
      </c>
      <c r="F24" s="250">
        <f>SUMIFS('Resultat-Produktion &amp; forbrug'!$F$3:$F$290,'Resultat-Produktion &amp; forbrug'!$A$3:$A$290,$A24,'Resultat-Produktion &amp; forbrug'!$D$3:$D$290,Biogasanlæg!F$11)-SUMIFS('Resultat-Produktion &amp; forbrug'!$G$3:$G$290,'Resultat-Produktion &amp; forbrug'!$A$3:$A$290,$A24,'Resultat-Produktion &amp; forbrug'!$D$3:$D$290,Biogasanlæg!F$11)-SUMIFS('Resultat-Produktion &amp; forbrug'!$H$3:$H$290,'Resultat-Produktion &amp; forbrug'!$A$3:$A$290,$A24,'Resultat-Produktion &amp; forbrug'!$D$3:$D$290,Biogasanlæg!F$11)-SUMIFS('Resultat-Produktion &amp; forbrug'!$I$3:$I$290,'Resultat-Produktion &amp; forbrug'!$A$3:$A$290,$A24,'Resultat-Produktion &amp; forbrug'!$D$3:$D$290,Biogasanlæg!F$11)-D24</f>
        <v>1803779.2618535156</v>
      </c>
      <c r="G24" s="250">
        <f>SUMIFS('Resultat-Produktion &amp; forbrug'!$F$3:$F$290,'Resultat-Produktion &amp; forbrug'!$A$3:$A$290,$A24,'Resultat-Produktion &amp; forbrug'!$D$3:$D$290,Biogasanlæg!G$11)-SUMIFS('Resultat-Produktion &amp; forbrug'!$G$3:$G$290,'Resultat-Produktion &amp; forbrug'!$A$3:$A$290,$A24,'Resultat-Produktion &amp; forbrug'!$D$3:$D$290,Biogasanlæg!G$11)-SUMIFS('Resultat-Produktion &amp; forbrug'!$H$3:$H$290,'Resultat-Produktion &amp; forbrug'!$A$3:$A$290,$A24,'Resultat-Produktion &amp; forbrug'!$D$3:$D$290,Biogasanlæg!G$11)-SUMIFS('Resultat-Produktion &amp; forbrug'!$I$3:$I$290,'Resultat-Produktion &amp; forbrug'!$A$3:$A$290,$A24,'Resultat-Produktion &amp; forbrug'!$D$3:$D$290,Biogasanlæg!G$11)-E24</f>
        <v>1730280.0978252576</v>
      </c>
      <c r="H24" s="138">
        <f>VLOOKUP(A24,[1]Biogasudbytte!$A$2:$C$18,3,FALSE)</f>
        <v>0.2</v>
      </c>
      <c r="I24" s="139">
        <f>VLOOKUP(A24,[1]Biogasudbytte!$A$2:$C$18,2,FALSE)*IFERROR(VLOOKUP(A24,$F$3:$G$8,2,FALSE),1)</f>
        <v>75.599999999999994</v>
      </c>
      <c r="J24" s="138">
        <f t="shared" si="1"/>
        <v>2.1882418952642265E-3</v>
      </c>
      <c r="K24" s="138">
        <f t="shared" si="2"/>
        <v>1.112068278002662E-3</v>
      </c>
      <c r="L24" s="138">
        <f t="shared" si="3"/>
        <v>1.1296754962591192E-3</v>
      </c>
      <c r="M24" s="126" t="s">
        <v>149</v>
      </c>
      <c r="N24" s="142">
        <v>28645</v>
      </c>
      <c r="O24" s="153">
        <f t="shared" si="8"/>
        <v>0</v>
      </c>
      <c r="P24" s="142">
        <f t="shared" si="5"/>
        <v>2165562</v>
      </c>
      <c r="Q24" s="126">
        <f t="shared" si="6"/>
        <v>7.7743675799999995E-2</v>
      </c>
    </row>
    <row r="25" spans="1:23" x14ac:dyDescent="0.45">
      <c r="A25" s="129" t="s">
        <v>163</v>
      </c>
      <c r="B25" s="128" t="s">
        <v>140</v>
      </c>
      <c r="C25" s="257">
        <f t="shared" si="9"/>
        <v>78</v>
      </c>
      <c r="D25" s="258">
        <v>78</v>
      </c>
      <c r="E25" s="258">
        <v>78</v>
      </c>
      <c r="F25" s="250">
        <f>SUMIFS('Resultat-Produktion &amp; forbrug'!$F$3:$F$290,'Resultat-Produktion &amp; forbrug'!$A$3:$A$290,$A25,'Resultat-Produktion &amp; forbrug'!$D$3:$D$290,Biogasanlæg!F$11)-SUMIFS('Resultat-Produktion &amp; forbrug'!$G$3:$G$290,'Resultat-Produktion &amp; forbrug'!$A$3:$A$290,$A25,'Resultat-Produktion &amp; forbrug'!$D$3:$D$290,Biogasanlæg!F$11)-SUMIFS('Resultat-Produktion &amp; forbrug'!$H$3:$H$290,'Resultat-Produktion &amp; forbrug'!$A$3:$A$290,$A25,'Resultat-Produktion &amp; forbrug'!$D$3:$D$290,Biogasanlæg!F$11)-SUMIFS('Resultat-Produktion &amp; forbrug'!$I$3:$I$290,'Resultat-Produktion &amp; forbrug'!$A$3:$A$290,$A25,'Resultat-Produktion &amp; forbrug'!$D$3:$D$290,Biogasanlæg!F$11)-D25</f>
        <v>982731</v>
      </c>
      <c r="G25" s="250">
        <f>SUMIFS('Resultat-Produktion &amp; forbrug'!$F$3:$F$290,'Resultat-Produktion &amp; forbrug'!$A$3:$A$290,$A25,'Resultat-Produktion &amp; forbrug'!$D$3:$D$290,Biogasanlæg!G$11)-SUMIFS('Resultat-Produktion &amp; forbrug'!$G$3:$G$290,'Resultat-Produktion &amp; forbrug'!$A$3:$A$290,$A25,'Resultat-Produktion &amp; forbrug'!$D$3:$D$290,Biogasanlæg!G$11)-SUMIFS('Resultat-Produktion &amp; forbrug'!$H$3:$H$290,'Resultat-Produktion &amp; forbrug'!$A$3:$A$290,$A25,'Resultat-Produktion &amp; forbrug'!$D$3:$D$290,Biogasanlæg!G$11)-SUMIFS('Resultat-Produktion &amp; forbrug'!$I$3:$I$290,'Resultat-Produktion &amp; forbrug'!$A$3:$A$290,$A25,'Resultat-Produktion &amp; forbrug'!$D$3:$D$290,Biogasanlæg!G$11)-E25</f>
        <v>982731</v>
      </c>
      <c r="H25" s="138">
        <f>VLOOKUP(A25,[1]Biogasudbytte!$A$2:$C$18,3,FALSE)</f>
        <v>0.3</v>
      </c>
      <c r="I25" s="139">
        <f>VLOOKUP(A25,[1]Biogasudbytte!$A$2:$C$18,2,FALSE)*IFERROR(VLOOKUP(A25,$F$3:$G$8,2,FALSE),1)</f>
        <v>47.3</v>
      </c>
      <c r="J25" s="138">
        <f t="shared" si="1"/>
        <v>5.9585570895657067E-6</v>
      </c>
      <c r="K25" s="138">
        <f t="shared" si="2"/>
        <v>3.0281489154898806E-6</v>
      </c>
      <c r="L25" s="138">
        <f t="shared" si="3"/>
        <v>3.0760931648878094E-6</v>
      </c>
      <c r="M25" s="126" t="s">
        <v>164</v>
      </c>
      <c r="N25" s="142">
        <v>78</v>
      </c>
      <c r="O25" s="153">
        <f t="shared" si="8"/>
        <v>0</v>
      </c>
      <c r="P25" s="142">
        <f t="shared" si="5"/>
        <v>3689.3999999999996</v>
      </c>
      <c r="Q25" s="126">
        <f t="shared" si="6"/>
        <v>1.3244945999999998E-4</v>
      </c>
    </row>
    <row r="26" spans="1:23" x14ac:dyDescent="0.45">
      <c r="A26" s="129" t="s">
        <v>159</v>
      </c>
      <c r="B26" s="129" t="s">
        <v>140</v>
      </c>
      <c r="C26" s="257">
        <f t="shared" si="9"/>
        <v>142742</v>
      </c>
      <c r="D26" s="258">
        <v>142742</v>
      </c>
      <c r="E26" s="258">
        <v>142742</v>
      </c>
      <c r="F26" s="250">
        <f>SUMIFS('Resultat-Produktion &amp; forbrug'!$F$3:$F$290,'Resultat-Produktion &amp; forbrug'!$A$3:$A$290,$A26,'Resultat-Produktion &amp; forbrug'!$D$3:$D$290,Biogasanlæg!F$11)-SUMIFS('Resultat-Produktion &amp; forbrug'!$G$3:$G$290,'Resultat-Produktion &amp; forbrug'!$A$3:$A$290,$A26,'Resultat-Produktion &amp; forbrug'!$D$3:$D$290,Biogasanlæg!F$11)-SUMIFS('Resultat-Produktion &amp; forbrug'!$H$3:$H$290,'Resultat-Produktion &amp; forbrug'!$A$3:$A$290,$A26,'Resultat-Produktion &amp; forbrug'!$D$3:$D$290,Biogasanlæg!F$11)-SUMIFS('Resultat-Produktion &amp; forbrug'!$I$3:$I$290,'Resultat-Produktion &amp; forbrug'!$A$3:$A$290,$A26,'Resultat-Produktion &amp; forbrug'!$D$3:$D$290,Biogasanlæg!F$11)-D26</f>
        <v>-142742</v>
      </c>
      <c r="G26" s="250">
        <f>SUMIFS('Resultat-Produktion &amp; forbrug'!$F$3:$F$290,'Resultat-Produktion &amp; forbrug'!$A$3:$A$290,$A26,'Resultat-Produktion &amp; forbrug'!$D$3:$D$290,Biogasanlæg!G$11)-SUMIFS('Resultat-Produktion &amp; forbrug'!$G$3:$G$290,'Resultat-Produktion &amp; forbrug'!$A$3:$A$290,$A26,'Resultat-Produktion &amp; forbrug'!$D$3:$D$290,Biogasanlæg!G$11)-SUMIFS('Resultat-Produktion &amp; forbrug'!$H$3:$H$290,'Resultat-Produktion &amp; forbrug'!$A$3:$A$290,$A26,'Resultat-Produktion &amp; forbrug'!$D$3:$D$290,Biogasanlæg!G$11)-SUMIFS('Resultat-Produktion &amp; forbrug'!$I$3:$I$290,'Resultat-Produktion &amp; forbrug'!$A$3:$A$290,$A26,'Resultat-Produktion &amp; forbrug'!$D$3:$D$290,Biogasanlæg!G$11)-E26</f>
        <v>-142742</v>
      </c>
      <c r="H26" s="138">
        <f>VLOOKUP(A26,[1]Biogasudbytte!$A$2:$C$18,3,FALSE)</f>
        <v>0.9</v>
      </c>
      <c r="I26" s="139">
        <f>VLOOKUP(A26,[1]Biogasudbytte!$A$2:$C$18,2,FALSE)*IFERROR(VLOOKUP(A26,$F$3:$G$8,2,FALSE),1)</f>
        <v>423.36</v>
      </c>
      <c r="J26" s="138">
        <f t="shared" si="1"/>
        <v>1.090431225742036E-2</v>
      </c>
      <c r="K26" s="138">
        <f t="shared" si="2"/>
        <v>5.5415901601904684E-3</v>
      </c>
      <c r="L26" s="138">
        <f t="shared" si="3"/>
        <v>5.6293293659284063E-3</v>
      </c>
      <c r="M26" s="126" t="s">
        <v>162</v>
      </c>
      <c r="N26" s="126">
        <v>142742</v>
      </c>
      <c r="O26" s="153">
        <f t="shared" si="8"/>
        <v>0</v>
      </c>
      <c r="P26" s="142">
        <f t="shared" si="5"/>
        <v>60431253.120000005</v>
      </c>
      <c r="Q26" s="126">
        <f t="shared" si="6"/>
        <v>2.169481987008</v>
      </c>
    </row>
    <row r="27" spans="1:23" x14ac:dyDescent="0.45">
      <c r="A27" s="128" t="s">
        <v>107</v>
      </c>
      <c r="B27" s="128" t="s">
        <v>140</v>
      </c>
      <c r="C27" s="257">
        <f t="shared" si="9"/>
        <v>0</v>
      </c>
      <c r="D27" s="258">
        <v>0</v>
      </c>
      <c r="E27" s="258">
        <v>0</v>
      </c>
      <c r="F27" s="250">
        <f>SUMIFS('Resultat-Produktion &amp; forbrug'!$F$3:$F$290,'Resultat-Produktion &amp; forbrug'!$A$3:$A$290,$A27,'Resultat-Produktion &amp; forbrug'!$D$3:$D$290,Biogasanlæg!F$11)-SUMIFS('Resultat-Produktion &amp; forbrug'!$G$3:$G$290,'Resultat-Produktion &amp; forbrug'!$A$3:$A$290,$A27,'Resultat-Produktion &amp; forbrug'!$D$3:$D$290,Biogasanlæg!F$11)-SUMIFS('Resultat-Produktion &amp; forbrug'!$H$3:$H$290,'Resultat-Produktion &amp; forbrug'!$A$3:$A$290,$A27,'Resultat-Produktion &amp; forbrug'!$D$3:$D$290,Biogasanlæg!F$11)-SUMIFS('Resultat-Produktion &amp; forbrug'!$I$3:$I$290,'Resultat-Produktion &amp; forbrug'!$A$3:$A$290,$A27,'Resultat-Produktion &amp; forbrug'!$D$3:$D$290,Biogasanlæg!F$11)-D27</f>
        <v>148232.6739623498</v>
      </c>
      <c r="G27" s="250">
        <f>SUMIFS('Resultat-Produktion &amp; forbrug'!$F$3:$F$290,'Resultat-Produktion &amp; forbrug'!$A$3:$A$290,$A27,'Resultat-Produktion &amp; forbrug'!$D$3:$D$290,Biogasanlæg!G$11)-SUMIFS('Resultat-Produktion &amp; forbrug'!$G$3:$G$290,'Resultat-Produktion &amp; forbrug'!$A$3:$A$290,$A27,'Resultat-Produktion &amp; forbrug'!$D$3:$D$290,Biogasanlæg!G$11)-SUMIFS('Resultat-Produktion &amp; forbrug'!$H$3:$H$290,'Resultat-Produktion &amp; forbrug'!$A$3:$A$290,$A27,'Resultat-Produktion &amp; forbrug'!$D$3:$D$290,Biogasanlæg!G$11)-SUMIFS('Resultat-Produktion &amp; forbrug'!$I$3:$I$290,'Resultat-Produktion &amp; forbrug'!$A$3:$A$290,$A27,'Resultat-Produktion &amp; forbrug'!$D$3:$D$290,Biogasanlæg!G$11)-E27</f>
        <v>243411.82603765032</v>
      </c>
      <c r="H27" s="138">
        <f>VLOOKUP(A27,[1]Biogasudbytte!$A$2:$C$18,3,FALSE)</f>
        <v>0.15</v>
      </c>
      <c r="I27" s="139">
        <f>VLOOKUP(A27,[1]Biogasudbytte!$A$2:$C$18,2,FALSE)*IFERROR(VLOOKUP(A27,$F$3:$G$8,2,FALSE),1)</f>
        <v>25</v>
      </c>
      <c r="J27" s="138">
        <f t="shared" si="1"/>
        <v>0</v>
      </c>
      <c r="K27" s="138">
        <f t="shared" si="2"/>
        <v>0</v>
      </c>
      <c r="L27" s="138">
        <f t="shared" si="3"/>
        <v>0</v>
      </c>
      <c r="M27" s="126" t="s">
        <v>150</v>
      </c>
      <c r="O27" s="153">
        <f t="shared" si="8"/>
        <v>0</v>
      </c>
      <c r="P27" s="142">
        <f t="shared" si="5"/>
        <v>0</v>
      </c>
      <c r="Q27" s="126">
        <f t="shared" si="6"/>
        <v>0</v>
      </c>
    </row>
    <row r="28" spans="1:23" ht="12" thickBot="1" x14ac:dyDescent="0.5">
      <c r="A28" s="143" t="s">
        <v>100</v>
      </c>
      <c r="B28" s="143" t="s">
        <v>140</v>
      </c>
      <c r="C28" s="259">
        <f t="shared" si="9"/>
        <v>0</v>
      </c>
      <c r="D28" s="260">
        <v>0</v>
      </c>
      <c r="E28" s="260">
        <v>0</v>
      </c>
      <c r="F28" s="251">
        <f>SUMIFS('Resultat-Produktion &amp; forbrug'!$F$3:$F$290,'Resultat-Produktion &amp; forbrug'!$A$3:$A$290,$A28,'Resultat-Produktion &amp; forbrug'!$D$3:$D$290,Biogasanlæg!F$11)-SUMIFS('Resultat-Produktion &amp; forbrug'!$G$3:$G$290,'Resultat-Produktion &amp; forbrug'!$A$3:$A$290,$A28,'Resultat-Produktion &amp; forbrug'!$D$3:$D$290,Biogasanlæg!F$11)-SUMIFS('Resultat-Produktion &amp; forbrug'!$H$3:$H$290,'Resultat-Produktion &amp; forbrug'!$A$3:$A$290,$A28,'Resultat-Produktion &amp; forbrug'!$D$3:$D$290,Biogasanlæg!F$11)-SUMIFS('Resultat-Produktion &amp; forbrug'!$I$3:$I$290,'Resultat-Produktion &amp; forbrug'!$A$3:$A$290,$A28,'Resultat-Produktion &amp; forbrug'!$D$3:$D$290,Biogasanlæg!F$11)-D28</f>
        <v>14400</v>
      </c>
      <c r="G28" s="251">
        <f>SUMIFS('Resultat-Produktion &amp; forbrug'!$F$3:$F$290,'Resultat-Produktion &amp; forbrug'!$A$3:$A$290,$A28,'Resultat-Produktion &amp; forbrug'!$D$3:$D$290,Biogasanlæg!G$11)-SUMIFS('Resultat-Produktion &amp; forbrug'!$G$3:$G$290,'Resultat-Produktion &amp; forbrug'!$A$3:$A$290,$A28,'Resultat-Produktion &amp; forbrug'!$D$3:$D$290,Biogasanlæg!G$11)-SUMIFS('Resultat-Produktion &amp; forbrug'!$H$3:$H$290,'Resultat-Produktion &amp; forbrug'!$A$3:$A$290,$A28,'Resultat-Produktion &amp; forbrug'!$D$3:$D$290,Biogasanlæg!G$11)-SUMIFS('Resultat-Produktion &amp; forbrug'!$I$3:$I$290,'Resultat-Produktion &amp; forbrug'!$A$3:$A$290,$A28,'Resultat-Produktion &amp; forbrug'!$D$3:$D$290,Biogasanlæg!G$11)-E28</f>
        <v>18000</v>
      </c>
      <c r="H28" s="144">
        <f>VLOOKUP(A28,[1]Biogasudbytte!$A$2:$C$18,3,FALSE)</f>
        <v>0.15</v>
      </c>
      <c r="I28" s="145">
        <f>VLOOKUP(A28,[1]Biogasudbytte!$A$2:$C$18,2,FALSE)*IFERROR(VLOOKUP(A28,$F$3:$G$8,2,FALSE),1)</f>
        <v>25</v>
      </c>
      <c r="J28" s="144">
        <f t="shared" si="1"/>
        <v>0</v>
      </c>
      <c r="K28" s="144">
        <f t="shared" si="2"/>
        <v>0</v>
      </c>
      <c r="L28" s="144">
        <f t="shared" si="3"/>
        <v>0</v>
      </c>
      <c r="M28" s="126" t="s">
        <v>150</v>
      </c>
      <c r="O28" s="153">
        <f t="shared" si="8"/>
        <v>0</v>
      </c>
      <c r="P28" s="142">
        <f t="shared" si="5"/>
        <v>0</v>
      </c>
      <c r="Q28" s="126">
        <f t="shared" si="6"/>
        <v>0</v>
      </c>
    </row>
    <row r="29" spans="1:23" x14ac:dyDescent="0.45">
      <c r="A29" s="126" t="s">
        <v>105</v>
      </c>
      <c r="B29" s="126" t="s">
        <v>140</v>
      </c>
      <c r="C29" s="146">
        <f>SUM(C12:C28)</f>
        <v>13090417.5</v>
      </c>
      <c r="D29" s="146">
        <f>SUM(D12:D28)</f>
        <v>25758310.498207945</v>
      </c>
      <c r="E29" s="146">
        <f>SUM(E12:E28)</f>
        <v>25356839.282481484</v>
      </c>
      <c r="F29" s="146"/>
      <c r="G29" s="146"/>
      <c r="H29" s="147"/>
      <c r="I29" s="147"/>
      <c r="J29" s="148">
        <f>SUM(J12:J28)</f>
        <v>1</v>
      </c>
      <c r="K29" s="148">
        <f>SUM(K12:K28)</f>
        <v>1.0000000000000002</v>
      </c>
      <c r="L29" s="148">
        <f>SUM(L12:L28)</f>
        <v>1</v>
      </c>
      <c r="N29" s="126">
        <f>SUM(N12:N28)</f>
        <v>13097393</v>
      </c>
      <c r="P29" s="142">
        <f>SUM(P12:P28)</f>
        <v>461926579.07999992</v>
      </c>
      <c r="Q29" s="126">
        <f>P29*35.9/1000000000</f>
        <v>16.583164188971995</v>
      </c>
    </row>
    <row r="30" spans="1:23" x14ac:dyDescent="0.45">
      <c r="A30" s="149" t="s">
        <v>124</v>
      </c>
      <c r="C30" s="150">
        <f>SUMPRODUCT(C12:C28,$H$12:$H$28)/C29</f>
        <v>0.13822427556900557</v>
      </c>
      <c r="D30" s="150">
        <f>SUMPRODUCT(D12:D28,$H$12:$H$28)/D29</f>
        <v>0.10128017352721401</v>
      </c>
      <c r="E30" s="150">
        <f>SUMPRODUCT(E12:E28,$H$12:$H$28)/E29</f>
        <v>0.10265032199911929</v>
      </c>
      <c r="F30" s="161"/>
      <c r="G30" s="161"/>
    </row>
    <row r="31" spans="1:23" x14ac:dyDescent="0.45">
      <c r="A31" s="149" t="s">
        <v>161</v>
      </c>
      <c r="C31" s="150">
        <f>SUM(C21:C24)/C29</f>
        <v>3.4233743881736389E-2</v>
      </c>
      <c r="D31" s="150">
        <f>SUM(D21:D24)/D29</f>
        <v>1.7397647257617208E-2</v>
      </c>
      <c r="E31" s="150">
        <f>SUM(E21:E24)/E29</f>
        <v>1.7673101722485048E-2</v>
      </c>
      <c r="F31" s="161"/>
      <c r="G31" s="161"/>
    </row>
    <row r="32" spans="1:23" x14ac:dyDescent="0.45">
      <c r="A32" s="126" t="s">
        <v>143</v>
      </c>
      <c r="B32" s="126" t="s">
        <v>144</v>
      </c>
      <c r="C32" s="126">
        <f>SUMPRODUCT(C12:C28,$I$12:$I$28)</f>
        <v>461926579.07999992</v>
      </c>
      <c r="D32" s="126">
        <f>SUMPRODUCT(D12:D28,$I$12:$I$28)</f>
        <v>610254541.11478925</v>
      </c>
      <c r="E32" s="126">
        <f>SUMPRODUCT(E12:E28,$I$12:$I$28)</f>
        <v>608830185.49291468</v>
      </c>
    </row>
    <row r="33" spans="1:15" x14ac:dyDescent="0.45">
      <c r="A33" s="126" t="s">
        <v>143</v>
      </c>
      <c r="B33" s="126" t="s">
        <v>123</v>
      </c>
      <c r="C33" s="126">
        <f>C32*[1]Energiindhold!$C$10</f>
        <v>16.583164188971999</v>
      </c>
      <c r="D33" s="126">
        <f>D32*[1]Energiindhold!$C$10</f>
        <v>21.908138026020936</v>
      </c>
      <c r="E33" s="126">
        <f>E32*[1]Energiindhold!$C$10</f>
        <v>21.857003659195641</v>
      </c>
    </row>
    <row r="34" spans="1:15" x14ac:dyDescent="0.45">
      <c r="C34" s="261"/>
    </row>
    <row r="35" spans="1:15" x14ac:dyDescent="0.45">
      <c r="A35" s="181"/>
      <c r="B35" s="181" t="s">
        <v>27</v>
      </c>
      <c r="C35" s="181" t="s">
        <v>28</v>
      </c>
    </row>
    <row r="36" spans="1:15" x14ac:dyDescent="0.45">
      <c r="A36" s="181" t="s">
        <v>159</v>
      </c>
      <c r="B36" s="182">
        <v>0.8</v>
      </c>
      <c r="C36" s="182">
        <v>0.2</v>
      </c>
    </row>
    <row r="38" spans="1:15" hidden="1" x14ac:dyDescent="0.45">
      <c r="C38" s="132">
        <f>År1</f>
        <v>2019</v>
      </c>
      <c r="D38" s="132">
        <f>År2</f>
        <v>2030</v>
      </c>
      <c r="E38" s="132">
        <f>År3</f>
        <v>2050</v>
      </c>
      <c r="F38" s="132" t="s">
        <v>106</v>
      </c>
      <c r="G38" s="132" t="s">
        <v>145</v>
      </c>
      <c r="K38" s="132">
        <f>År1</f>
        <v>2019</v>
      </c>
      <c r="L38" s="132">
        <f>År2</f>
        <v>2030</v>
      </c>
      <c r="M38" s="132">
        <f>År3</f>
        <v>2050</v>
      </c>
      <c r="N38" s="132" t="s">
        <v>106</v>
      </c>
      <c r="O38" s="132" t="s">
        <v>145</v>
      </c>
    </row>
    <row r="39" spans="1:15" hidden="1" x14ac:dyDescent="0.45">
      <c r="A39" s="133" t="str">
        <f t="shared" ref="A39:A55" si="10">A12</f>
        <v>Svinegylle</v>
      </c>
      <c r="B39" s="133" t="s">
        <v>140</v>
      </c>
      <c r="C39" s="134">
        <f>SUMIFS('Resultater - Vestdanmark'!H$3:H$482,'Resultater - Vestdanmark'!$F$3:$F$482,$A39)*B3</f>
        <v>2534442.072977222</v>
      </c>
      <c r="D39" s="134">
        <f>SUMIFS('Resultater - Vestdanmark'!I$3:I$482,'Resultater - Vestdanmark'!$F$3:$F$482,$A39)*C3</f>
        <v>7989661.5832169671</v>
      </c>
      <c r="E39" s="134">
        <f>SUMIFS('Resultater - Vestdanmark'!J$3:J$482,'Resultater - Vestdanmark'!$F$3:$F$482,$A39)*D3</f>
        <v>7649114.6368171675</v>
      </c>
      <c r="F39" s="135">
        <f>VLOOKUP(A39,[1]Biogasudbytte!$A$2:$C$18,3,FALSE)</f>
        <v>0.05</v>
      </c>
      <c r="G39" s="136">
        <f t="shared" ref="G39:G55" si="11">I12</f>
        <v>12</v>
      </c>
      <c r="I39" s="133" t="str">
        <f>A39</f>
        <v>Svinegylle</v>
      </c>
      <c r="J39" s="133" t="s">
        <v>140</v>
      </c>
      <c r="K39" s="134">
        <f>SUMIFS('Resultater - Østdanmark'!H$3:H$482,'Resultater - Østdanmark'!$F$3:$F$482,$A39)*B3</f>
        <v>380427.26035611134</v>
      </c>
      <c r="L39" s="134">
        <f>SUMIFS('Resultater - Østdanmark'!I$3:I$482,'Resultater - Østdanmark'!$F$3:$F$482,$A39)*C3</f>
        <v>1157678.9141627084</v>
      </c>
      <c r="M39" s="134">
        <f>SUMIFS('Resultater - Østdanmark'!J$3:J$482,'Resultater - Østdanmark'!$F$3:$F$482,$A39)*D3</f>
        <v>1108334.6440677529</v>
      </c>
      <c r="N39" s="135">
        <f>VLOOKUP(I39,[1]Biogasudbytte!$A$2:$C$18,3,FALSE)</f>
        <v>0.05</v>
      </c>
      <c r="O39" s="136">
        <f t="shared" ref="O39:O55" si="12">I12</f>
        <v>12</v>
      </c>
    </row>
    <row r="40" spans="1:15" hidden="1" x14ac:dyDescent="0.45">
      <c r="A40" s="128" t="str">
        <f t="shared" si="10"/>
        <v>Kvæggylle</v>
      </c>
      <c r="B40" s="128" t="s">
        <v>140</v>
      </c>
      <c r="C40" s="137">
        <f>SUMIFS('Resultater - Vestdanmark'!H$3:H$482,'Resultater - Vestdanmark'!$F$3:$F$482,$A40)*B4</f>
        <v>4066864.6068164087</v>
      </c>
      <c r="D40" s="137">
        <f>SUMIFS('Resultater - Vestdanmark'!I$3:I$482,'Resultater - Vestdanmark'!$F$3:$F$482,$A40)*C4</f>
        <v>9867457.5006151944</v>
      </c>
      <c r="E40" s="137">
        <f>SUMIFS('Resultater - Vestdanmark'!J$3:J$482,'Resultater - Vestdanmark'!$F$3:$F$482,$A40)*D4</f>
        <v>9678908.9419378657</v>
      </c>
      <c r="F40" s="138">
        <f>VLOOKUP(A40,[1]Biogasudbytte!$A$2:$C$18,3,FALSE)</f>
        <v>7.5999999999999998E-2</v>
      </c>
      <c r="G40" s="139">
        <f t="shared" si="11"/>
        <v>14.1</v>
      </c>
      <c r="I40" s="128" t="str">
        <f t="shared" ref="I40:I55" si="13">A40</f>
        <v>Kvæggylle</v>
      </c>
      <c r="J40" s="128" t="s">
        <v>140</v>
      </c>
      <c r="K40" s="137">
        <f>SUMIFS('Resultater - Østdanmark'!H$3:H$482,'Resultater - Østdanmark'!$F$3:$F$482,$A40)*B4</f>
        <v>286645.05985025823</v>
      </c>
      <c r="L40" s="137">
        <f>SUMIFS('Resultater - Østdanmark'!I$3:I$482,'Resultater - Østdanmark'!$F$3:$F$482,$A40)*C4</f>
        <v>701319.77122631879</v>
      </c>
      <c r="M40" s="137">
        <f>SUMIFS('Resultater - Østdanmark'!J$3:J$482,'Resultater - Østdanmark'!$F$3:$F$482,$A40)*D4</f>
        <v>687918.86911669304</v>
      </c>
      <c r="N40" s="138">
        <f>VLOOKUP(I40,[1]Biogasudbytte!$A$2:$C$18,3,FALSE)</f>
        <v>7.5999999999999998E-2</v>
      </c>
      <c r="O40" s="139">
        <f t="shared" si="12"/>
        <v>14.1</v>
      </c>
    </row>
    <row r="41" spans="1:15" hidden="1" x14ac:dyDescent="0.45">
      <c r="A41" s="128" t="str">
        <f t="shared" si="10"/>
        <v>Fjerkrægylle</v>
      </c>
      <c r="B41" s="128" t="s">
        <v>140</v>
      </c>
      <c r="C41" s="137">
        <f>SUMIFS('Resultater - Vestdanmark'!H$3:H$482,'Resultater - Vestdanmark'!$F$3:$F$482,$A41)*B5</f>
        <v>4103.8061780475591</v>
      </c>
      <c r="D41" s="137">
        <f>SUMIFS('Resultater - Vestdanmark'!I$3:I$482,'Resultater - Vestdanmark'!$F$3:$F$482,$A41)*C5</f>
        <v>4171.3630677727415</v>
      </c>
      <c r="E41" s="137">
        <f>SUMIFS('Resultater - Vestdanmark'!J$3:J$482,'Resultater - Vestdanmark'!$F$3:$F$482,$A41)*D5</f>
        <v>4307.7658612412106</v>
      </c>
      <c r="F41" s="138">
        <f>VLOOKUP(A41,[1]Biogasudbytte!$A$2:$C$18,3,FALSE)</f>
        <v>6.3E-2</v>
      </c>
      <c r="G41" s="139">
        <f t="shared" si="11"/>
        <v>13.1</v>
      </c>
      <c r="I41" s="128" t="str">
        <f t="shared" si="13"/>
        <v>Fjerkrægylle</v>
      </c>
      <c r="J41" s="128" t="s">
        <v>140</v>
      </c>
      <c r="K41" s="137">
        <f>SUMIFS('Resultater - Østdanmark'!H$3:H$482,'Resultater - Østdanmark'!$F$3:$F$482,$A41)*B5</f>
        <v>337.693821952441</v>
      </c>
      <c r="L41" s="137">
        <f>SUMIFS('Resultater - Østdanmark'!I$3:I$482,'Resultater - Østdanmark'!$F$3:$F$482,$A41)*C5</f>
        <v>350.10096257642732</v>
      </c>
      <c r="M41" s="137">
        <f>SUMIFS('Resultater - Østdanmark'!J$3:J$482,'Resultater - Østdanmark'!$F$3:$F$482,$A41)*D5</f>
        <v>361.54919868427658</v>
      </c>
      <c r="N41" s="138">
        <f>VLOOKUP(I41,[1]Biogasudbytte!$A$2:$C$18,3,FALSE)</f>
        <v>6.3E-2</v>
      </c>
      <c r="O41" s="139">
        <f t="shared" si="12"/>
        <v>13.1</v>
      </c>
    </row>
    <row r="42" spans="1:15" hidden="1" x14ac:dyDescent="0.45">
      <c r="A42" s="128" t="str">
        <f t="shared" si="10"/>
        <v>Spildevandsslam</v>
      </c>
      <c r="B42" s="128" t="s">
        <v>140</v>
      </c>
      <c r="C42" s="137">
        <f>SUMIFS('Resultater - Vestdanmark'!H$3:H$482,'Resultater - Vestdanmark'!$F$3:$F$482,$A42)*B6</f>
        <v>1460182.5874658169</v>
      </c>
      <c r="D42" s="137">
        <f>SUMIFS('Resultater - Vestdanmark'!I$3:I$482,'Resultater - Vestdanmark'!$F$3:$F$482,$A42)*C6</f>
        <v>1507101.1523820646</v>
      </c>
      <c r="E42" s="137">
        <f>SUMIFS('Resultater - Vestdanmark'!J$3:J$482,'Resultater - Vestdanmark'!$F$3:$F$482,$A42)*D6</f>
        <v>1563200.2483061554</v>
      </c>
      <c r="F42" s="138">
        <f>VLOOKUP(A42,[1]Biogasudbytte!$A$2:$C$18,3,FALSE)</f>
        <v>0.06</v>
      </c>
      <c r="G42" s="139">
        <f t="shared" si="11"/>
        <v>13.9</v>
      </c>
      <c r="I42" s="128" t="str">
        <f t="shared" si="13"/>
        <v>Spildevandsslam</v>
      </c>
      <c r="J42" s="128" t="s">
        <v>140</v>
      </c>
      <c r="K42" s="137">
        <f>SUMIFS('Resultater - Østdanmark'!H$3:H$482,'Resultater - Østdanmark'!$F$3:$F$482,$A42)*B6</f>
        <v>1208651.4125341829</v>
      </c>
      <c r="L42" s="137">
        <f>SUMIFS('Resultater - Østdanmark'!I$3:I$482,'Resultater - Østdanmark'!$F$3:$F$482,$A42)*C6</f>
        <v>1268228.6485488336</v>
      </c>
      <c r="M42" s="137">
        <f>SUMIFS('Resultater - Østdanmark'!J$3:J$482,'Resultater - Østdanmark'!$F$3:$F$482,$A42)*D6</f>
        <v>1327477.7098236387</v>
      </c>
      <c r="N42" s="138">
        <f>VLOOKUP(I42,[1]Biogasudbytte!$A$2:$C$18,3,FALSE)</f>
        <v>0.06</v>
      </c>
      <c r="O42" s="139">
        <f t="shared" si="12"/>
        <v>13.9</v>
      </c>
    </row>
    <row r="43" spans="1:15" hidden="1" x14ac:dyDescent="0.45">
      <c r="A43" s="128" t="str">
        <f t="shared" si="10"/>
        <v>Dybstrøelse</v>
      </c>
      <c r="B43" s="128" t="s">
        <v>140</v>
      </c>
      <c r="C43" s="137">
        <f>SUMIFS('Resultater - Vestdanmark'!H$3:H$482,'Resultater - Vestdanmark'!$F$3:$F$482,$A43)*B7</f>
        <v>671194.67155029252</v>
      </c>
      <c r="D43" s="137">
        <f>SUMIFS('Resultater - Vestdanmark'!I$3:I$482,'Resultater - Vestdanmark'!$F$3:$F$482,$A43)*C7</f>
        <v>1326462.9092294232</v>
      </c>
      <c r="E43" s="137">
        <f>SUMIFS('Resultater - Vestdanmark'!J$3:J$482,'Resultater - Vestdanmark'!$F$3:$F$482,$A43)*D7</f>
        <v>1388988.8638442878</v>
      </c>
      <c r="F43" s="138">
        <f>VLOOKUP(A43,[1]Biogasudbytte!$A$2:$C$18,3,FALSE)</f>
        <v>0.3</v>
      </c>
      <c r="G43" s="139">
        <f t="shared" si="11"/>
        <v>60</v>
      </c>
      <c r="I43" s="128" t="str">
        <f t="shared" si="13"/>
        <v>Dybstrøelse</v>
      </c>
      <c r="J43" s="128" t="s">
        <v>140</v>
      </c>
      <c r="K43" s="137">
        <f>SUMIFS('Resultater - Østdanmark'!H$3:H$482,'Resultater - Østdanmark'!$F$3:$F$482,$A43)*B7</f>
        <v>85892.328449707566</v>
      </c>
      <c r="L43" s="137">
        <f>SUMIFS('Resultater - Østdanmark'!I$3:I$482,'Resultater - Østdanmark'!$F$3:$F$482,$A43)*C7</f>
        <v>179027.55479609076</v>
      </c>
      <c r="M43" s="137">
        <f>SUMIFS('Resultater - Østdanmark'!J$3:J$482,'Resultater - Østdanmark'!$F$3:$F$482,$A43)*D7</f>
        <v>188529.05350799995</v>
      </c>
      <c r="N43" s="138">
        <f>VLOOKUP(I43,[1]Biogasudbytte!$A$2:$C$18,3,FALSE)</f>
        <v>0.3</v>
      </c>
      <c r="O43" s="139">
        <f t="shared" si="12"/>
        <v>60</v>
      </c>
    </row>
    <row r="44" spans="1:15" hidden="1" x14ac:dyDescent="0.45">
      <c r="A44" s="129" t="str">
        <f t="shared" si="10"/>
        <v>Brun saft</v>
      </c>
      <c r="B44" s="128" t="s">
        <v>140</v>
      </c>
      <c r="C44" s="137">
        <f>SUMIFS('Resultater - Vestdanmark'!H$3:H$482,'Resultater - Vestdanmark'!$F$3:$F$482,$A44)*B8</f>
        <v>0</v>
      </c>
      <c r="D44" s="137">
        <f>SUMIFS('Resultater - Vestdanmark'!I$3:I$482,'Resultater - Vestdanmark'!$F$3:$F$482,$A44)*C8</f>
        <v>0</v>
      </c>
      <c r="E44" s="137">
        <f>SUMIFS('Resultater - Vestdanmark'!J$3:J$482,'Resultater - Vestdanmark'!$F$3:$F$482,$A44)*D8</f>
        <v>0</v>
      </c>
      <c r="F44" s="138">
        <f>VLOOKUP(A44,[1]Biogasudbytte!$A$2:$C$18,3,FALSE)</f>
        <v>4.2763387558472386E-2</v>
      </c>
      <c r="G44" s="139">
        <f t="shared" si="11"/>
        <v>15.822453396634783</v>
      </c>
      <c r="I44" s="129" t="str">
        <f t="shared" si="13"/>
        <v>Brun saft</v>
      </c>
      <c r="J44" s="128" t="s">
        <v>140</v>
      </c>
      <c r="K44" s="137">
        <f>SUMIFS('Resultater - Østdanmark'!H$3:H$482,'Resultater - Østdanmark'!$F$3:$F$482,$A44)*B8</f>
        <v>0</v>
      </c>
      <c r="L44" s="137">
        <f>SUMIFS('Resultater - Østdanmark'!I$3:I$482,'Resultater - Østdanmark'!$F$3:$F$482,$A44)*C8</f>
        <v>0</v>
      </c>
      <c r="M44" s="137">
        <f>SUMIFS('Resultater - Østdanmark'!J$3:J$482,'Resultater - Østdanmark'!$F$3:$F$482,$A44)*D8</f>
        <v>0</v>
      </c>
      <c r="N44" s="138">
        <f>VLOOKUP(I44,[1]Biogasudbytte!$A$2:$C$18,3,FALSE)</f>
        <v>4.2763387558472386E-2</v>
      </c>
      <c r="O44" s="139">
        <f t="shared" si="12"/>
        <v>15.822453396634783</v>
      </c>
    </row>
    <row r="45" spans="1:15" hidden="1" x14ac:dyDescent="0.45">
      <c r="A45" s="128" t="str">
        <f t="shared" si="10"/>
        <v>Bioaffald</v>
      </c>
      <c r="B45" s="128" t="s">
        <v>140</v>
      </c>
      <c r="C45" s="137">
        <f ca="1">SUMIFS('Resultater - Vestdanmark'!H$3:H$482,'Resultater - Vestdanmark'!$F$3:$F$482,$A45)/SUMIFS('Resultater - Danmark'!H$3:H$482,'Resultater - Danmark'!$F$3:$F$482,$A45)*C18</f>
        <v>393543.64426779439</v>
      </c>
      <c r="D45" s="137">
        <f ca="1">SUMIFS('Resultater - Vestdanmark'!I$3:I$482,'Resultater - Vestdanmark'!$F$3:$F$482,$A45)/SUMIFS('Resultater - Danmark'!I$3:I$482,'Resultater - Danmark'!$F$3:$F$482,$A45)*D18</f>
        <v>195082.24112879002</v>
      </c>
      <c r="E45" s="137">
        <f ca="1">SUMIFS('Resultater - Vestdanmark'!J$3:J$482,'Resultater - Vestdanmark'!$F$3:$F$482,$A45)/SUMIFS('Resultater - Danmark'!J$3:J$482,'Resultater - Danmark'!$F$3:$F$482,$A45)*E18</f>
        <v>197484.23354298095</v>
      </c>
      <c r="F45" s="138">
        <f>VLOOKUP(A45,[1]Biogasudbytte!$A$2:$C$18,3,FALSE)</f>
        <v>0.28000000000000003</v>
      </c>
      <c r="G45" s="139">
        <f t="shared" si="11"/>
        <v>85.410000000000011</v>
      </c>
      <c r="I45" s="128" t="str">
        <f t="shared" si="13"/>
        <v>Bioaffald</v>
      </c>
      <c r="J45" s="128" t="s">
        <v>140</v>
      </c>
      <c r="K45" s="137">
        <f ca="1">SUMIFS('Resultater - Østdanmark'!H$3:H$482,'Resultater - Østdanmark'!$F$3:$F$482,$A45)/SUMIFS('Resultater - Danmark'!H$3:H$482,'Resultater - Danmark'!$F$3:$F$482,$A45)*C18</f>
        <v>335590.35573220561</v>
      </c>
      <c r="L45" s="137">
        <f ca="1">SUMIFS('Resultater - Østdanmark'!I$3:I$482,'Resultater - Østdanmark'!$F$3:$F$482,$A45)/SUMIFS('Resultater - Danmark'!I$3:I$482,'Resultater - Danmark'!$F$3:$F$482,$A45)*D18</f>
        <v>168912.75887120995</v>
      </c>
      <c r="M45" s="137">
        <f ca="1">SUMIFS('Resultater - Østdanmark'!J$3:J$482,'Resultater - Østdanmark'!$F$3:$F$482,$A45)/SUMIFS('Resultater - Danmark'!J$3:J$482,'Resultater - Danmark'!$F$3:$F$482,$A45)*E18</f>
        <v>172292.76645701908</v>
      </c>
      <c r="N45" s="138">
        <f>VLOOKUP(I45,[1]Biogasudbytte!$A$2:$C$18,3,FALSE)</f>
        <v>0.28000000000000003</v>
      </c>
      <c r="O45" s="139">
        <f t="shared" si="12"/>
        <v>85.410000000000011</v>
      </c>
    </row>
    <row r="46" spans="1:15" hidden="1" x14ac:dyDescent="0.45">
      <c r="A46" s="128" t="str">
        <f t="shared" si="10"/>
        <v>Industriaffald</v>
      </c>
      <c r="B46" s="128" t="s">
        <v>140</v>
      </c>
      <c r="C46" s="137">
        <f>SUMIFS('Resultater - Vestdanmark'!H$3:H$482,'Resultater - Vestdanmark'!$F$3:$F$482,$A46)/SUMIFS('Resultater - Danmark'!H$3:H$482,'Resultater - Danmark'!$F$3:$F$482,$A46)*C19</f>
        <v>716103.75203569303</v>
      </c>
      <c r="D46" s="137">
        <f>SUMIFS('Resultater - Vestdanmark'!I$3:I$482,'Resultater - Vestdanmark'!$F$3:$F$482,$A46)/SUMIFS('Resultater - Danmark'!I$3:I$482,'Resultater - Danmark'!$F$3:$F$482,$A46)*D19</f>
        <v>523057.13098607323</v>
      </c>
      <c r="E46" s="137">
        <f>SUMIFS('Resultater - Vestdanmark'!J$3:J$482,'Resultater - Vestdanmark'!$F$3:$F$482,$A46)/SUMIFS('Resultater - Danmark'!J$3:J$482,'Resultater - Danmark'!$F$3:$F$482,$A46)*E19</f>
        <v>519697.15308066551</v>
      </c>
      <c r="F46" s="138">
        <f>VLOOKUP(A46,[1]Biogasudbytte!$A$2:$C$18,3,FALSE)</f>
        <v>0.42</v>
      </c>
      <c r="G46" s="139">
        <f t="shared" si="11"/>
        <v>108.63000000000001</v>
      </c>
      <c r="I46" s="128" t="str">
        <f t="shared" si="13"/>
        <v>Industriaffald</v>
      </c>
      <c r="J46" s="128" t="s">
        <v>140</v>
      </c>
      <c r="K46" s="137">
        <f>SUMIFS('Resultater - Østdanmark'!H$3:H$482,'Resultater - Østdanmark'!$F$3:$F$482,$A46)/SUMIFS('Resultater - Danmark'!H$3:H$482,'Resultater - Danmark'!$F$3:$F$482,$A46)*C19</f>
        <v>279550.24796430691</v>
      </c>
      <c r="L46" s="137">
        <f>SUMIFS('Resultater - Østdanmark'!I$3:I$482,'Resultater - Østdanmark'!$F$3:$F$482,$A46)/SUMIFS('Resultater - Danmark'!I$3:I$482,'Resultater - Danmark'!$F$3:$F$482,$A46)*D19</f>
        <v>202910.8690139266</v>
      </c>
      <c r="M46" s="137">
        <f>SUMIFS('Resultater - Østdanmark'!J$3:J$482,'Resultater - Østdanmark'!$F$3:$F$482,$A46)/SUMIFS('Resultater - Danmark'!J$3:J$482,'Resultater - Danmark'!$F$3:$F$482,$A46)*E19</f>
        <v>203334.8469193347</v>
      </c>
      <c r="N46" s="138">
        <f>VLOOKUP(I46,[1]Biogasudbytte!$A$2:$C$18,3,FALSE)</f>
        <v>0.42</v>
      </c>
      <c r="O46" s="139">
        <f t="shared" si="12"/>
        <v>108.63000000000001</v>
      </c>
    </row>
    <row r="47" spans="1:15" hidden="1" x14ac:dyDescent="0.45">
      <c r="A47" s="128" t="str">
        <f t="shared" si="10"/>
        <v>Halm</v>
      </c>
      <c r="B47" s="128" t="s">
        <v>140</v>
      </c>
      <c r="C47" s="137">
        <f>SUMIFS('Resultater - Vestdanmark'!H$3:H$482,'Resultater - Vestdanmark'!$F$3:$F$482,$A47)/SUMIFS('Resultater - Danmark'!H$3:H$482,'Resultater - Danmark'!$F$3:$F$482,$A47)*C20</f>
        <v>53138.892747161146</v>
      </c>
      <c r="D47" s="137">
        <f>SUMIFS('Resultater - Vestdanmark'!I$3:I$482,'Resultater - Vestdanmark'!$F$3:$F$482,$A47)/SUMIFS('Resultater - Danmark'!I$3:I$482,'Resultater - Danmark'!$F$3:$F$482,$A47)*D20</f>
        <v>54131.009350127919</v>
      </c>
      <c r="E47" s="137">
        <f>SUMIFS('Resultater - Vestdanmark'!J$3:J$482,'Resultater - Vestdanmark'!$F$3:$F$482,$A47)/SUMIFS('Resultater - Danmark'!J$3:J$482,'Resultater - Danmark'!$F$3:$F$482,$A47)*E20</f>
        <v>52543.907435919093</v>
      </c>
      <c r="F47" s="138">
        <f>VLOOKUP(A47,[1]Biogasudbytte!$A$2:$C$18,3,FALSE)</f>
        <v>0.85</v>
      </c>
      <c r="G47" s="139">
        <f t="shared" si="11"/>
        <v>160.6</v>
      </c>
      <c r="I47" s="128" t="str">
        <f t="shared" si="13"/>
        <v>Halm</v>
      </c>
      <c r="J47" s="128" t="s">
        <v>140</v>
      </c>
      <c r="K47" s="137">
        <f>SUMIFS('Resultater - Østdanmark'!H$3:H$482,'Resultater - Østdanmark'!$F$3:$F$482,$A47)/SUMIFS('Resultater - Danmark'!H$3:H$482,'Resultater - Danmark'!$F$3:$F$482,$A47)*C20</f>
        <v>22795.107252838847</v>
      </c>
      <c r="L47" s="137">
        <f>SUMIFS('Resultater - Østdanmark'!I$3:I$482,'Resultater - Østdanmark'!$F$3:$F$482,$A47)/SUMIFS('Resultater - Danmark'!I$3:I$482,'Resultater - Danmark'!$F$3:$F$482,$A47)*D20</f>
        <v>21802.990649872077</v>
      </c>
      <c r="M47" s="137">
        <f>SUMIFS('Resultater - Østdanmark'!J$3:J$482,'Resultater - Østdanmark'!$F$3:$F$482,$A47)/SUMIFS('Resultater - Danmark'!J$3:J$482,'Resultater - Danmark'!$F$3:$F$482,$A47)*E20</f>
        <v>23390.092564080911</v>
      </c>
      <c r="N47" s="138">
        <f>VLOOKUP(I47,[1]Biogasudbytte!$A$2:$C$18,3,FALSE)</f>
        <v>0.85</v>
      </c>
      <c r="O47" s="139">
        <f t="shared" si="12"/>
        <v>160.6</v>
      </c>
    </row>
    <row r="48" spans="1:15" hidden="1" x14ac:dyDescent="0.45">
      <c r="A48" s="128" t="str">
        <f t="shared" si="10"/>
        <v>Korn</v>
      </c>
      <c r="B48" s="128" t="s">
        <v>140</v>
      </c>
      <c r="C48" s="137">
        <f>SUMIFS('Resultater - Vestdanmark'!H$3:H$482,'Resultater - Vestdanmark'!$F$3:$F$482,$A48)/SUMIFS('Resultater - Danmark'!H$3:H$482,'Resultater - Danmark'!$F$3:$F$482,$A48)*C21</f>
        <v>2840.1853290986264</v>
      </c>
      <c r="D48" s="137">
        <f>SUMIFS('Resultater - Vestdanmark'!I$3:I$482,'Resultater - Vestdanmark'!$F$3:$F$482,$A48)/SUMIFS('Resultater - Danmark'!I$3:I$482,'Resultater - Danmark'!$F$3:$F$482,$A48)*D21</f>
        <v>2883.4110214289831</v>
      </c>
      <c r="E48" s="137">
        <f>SUMIFS('Resultater - Vestdanmark'!J$3:J$482,'Resultater - Vestdanmark'!$F$3:$F$482,$A48)/SUMIFS('Resultater - Danmark'!J$3:J$482,'Resultater - Danmark'!$F$3:$F$482,$A48)*E21</f>
        <v>2825.7560217041437</v>
      </c>
      <c r="F48" s="138">
        <f>VLOOKUP(A48,[1]Biogasudbytte!$A$2:$C$18,3,FALSE)</f>
        <v>0.31</v>
      </c>
      <c r="G48" s="139">
        <f t="shared" si="11"/>
        <v>95.4</v>
      </c>
      <c r="I48" s="128" t="str">
        <f t="shared" si="13"/>
        <v>Korn</v>
      </c>
      <c r="J48" s="128" t="s">
        <v>140</v>
      </c>
      <c r="K48" s="137">
        <f>SUMIFS('Resultater - Østdanmark'!H$3:H$482,'Resultater - Østdanmark'!$F$3:$F$482,$A48)/SUMIFS('Resultater - Danmark'!H$3:H$482,'Resultater - Danmark'!$F$3:$F$482,$A48)*C21</f>
        <v>945.81467090137289</v>
      </c>
      <c r="L48" s="137">
        <f>SUMIFS('Resultater - Østdanmark'!I$3:I$482,'Resultater - Østdanmark'!$F$3:$F$482,$A48)/SUMIFS('Resultater - Danmark'!I$3:I$482,'Resultater - Danmark'!$F$3:$F$482,$A48)*D21</f>
        <v>902.58897857101761</v>
      </c>
      <c r="M48" s="137">
        <f>SUMIFS('Resultater - Østdanmark'!J$3:J$482,'Resultater - Østdanmark'!$F$3:$F$482,$A48)/SUMIFS('Resultater - Danmark'!J$3:J$482,'Resultater - Danmark'!$F$3:$F$482,$A48)*E21</f>
        <v>960.24397829585632</v>
      </c>
      <c r="N48" s="138">
        <f>VLOOKUP(I48,[1]Biogasudbytte!$A$2:$C$18,3,FALSE)</f>
        <v>0.31</v>
      </c>
      <c r="O48" s="139">
        <f t="shared" si="12"/>
        <v>95.4</v>
      </c>
    </row>
    <row r="49" spans="1:15" hidden="1" x14ac:dyDescent="0.45">
      <c r="A49" s="128" t="str">
        <f t="shared" si="10"/>
        <v>Græs</v>
      </c>
      <c r="B49" s="128" t="s">
        <v>140</v>
      </c>
      <c r="C49" s="137">
        <f>SUMIFS('Resultater - Vestdanmark'!H$3:H$482,'Resultater - Vestdanmark'!$F$3:$F$482,$A49)/SUMIFS('Resultater - Danmark'!H$3:H$482,'Resultater - Danmark'!$F$3:$F$482,$A49)*C22</f>
        <v>75746.163899662715</v>
      </c>
      <c r="D49" s="137">
        <f>SUMIFS('Resultater - Vestdanmark'!I$3:I$482,'Resultater - Vestdanmark'!$F$3:$F$482,$A49)/SUMIFS('Resultater - Danmark'!I$3:I$482,'Resultater - Danmark'!$F$3:$F$482,$A49)*D22</f>
        <v>75614.059561949907</v>
      </c>
      <c r="E49" s="137">
        <f>SUMIFS('Resultater - Vestdanmark'!J$3:J$482,'Resultater - Vestdanmark'!$F$3:$F$482,$A49)/SUMIFS('Resultater - Danmark'!J$3:J$482,'Resultater - Danmark'!$F$3:$F$482,$A49)*E22</f>
        <v>75527.053678542041</v>
      </c>
      <c r="F49" s="138">
        <f>VLOOKUP(A49,[1]Biogasudbytte!$A$2:$C$18,3,FALSE)</f>
        <v>0.28000000000000003</v>
      </c>
      <c r="G49" s="139">
        <f t="shared" si="11"/>
        <v>51.25</v>
      </c>
      <c r="I49" s="128" t="str">
        <f t="shared" si="13"/>
        <v>Græs</v>
      </c>
      <c r="J49" s="128" t="s">
        <v>140</v>
      </c>
      <c r="K49" s="137">
        <f>SUMIFS('Resultater - Østdanmark'!H$3:H$482,'Resultater - Østdanmark'!$F$3:$F$482,$A49)/SUMIFS('Resultater - Danmark'!H$3:H$482,'Resultater - Danmark'!$F$3:$F$482,$A49)*C22</f>
        <v>9930.836100337272</v>
      </c>
      <c r="L49" s="137">
        <f>SUMIFS('Resultater - Østdanmark'!I$3:I$482,'Resultater - Østdanmark'!$F$3:$F$482,$A49)/SUMIFS('Resultater - Danmark'!I$3:I$482,'Resultater - Danmark'!$F$3:$F$482,$A49)*D22</f>
        <v>10062.940438050116</v>
      </c>
      <c r="M49" s="137">
        <f>SUMIFS('Resultater - Østdanmark'!J$3:J$482,'Resultater - Østdanmark'!$F$3:$F$482,$A49)/SUMIFS('Resultater - Danmark'!J$3:J$482,'Resultater - Danmark'!$F$3:$F$482,$A49)*E22</f>
        <v>10149.946321457959</v>
      </c>
      <c r="N49" s="138">
        <f>VLOOKUP(I49,[1]Biogasudbytte!$A$2:$C$18,3,FALSE)</f>
        <v>0.28000000000000003</v>
      </c>
      <c r="O49" s="139">
        <f t="shared" si="12"/>
        <v>51.25</v>
      </c>
    </row>
    <row r="50" spans="1:15" hidden="1" x14ac:dyDescent="0.45">
      <c r="A50" s="128" t="str">
        <f t="shared" si="10"/>
        <v>Majs</v>
      </c>
      <c r="B50" s="128" t="s">
        <v>140</v>
      </c>
      <c r="C50" s="137">
        <f>SUMIFS('Resultater - Vestdanmark'!H$3:H$482,'Resultater - Vestdanmark'!$F$3:$F$482,$A50)/SUMIFS('Resultater - Danmark'!H$3:H$482,'Resultater - Danmark'!$F$3:$F$482,$A50)*C23</f>
        <v>314821.43493156106</v>
      </c>
      <c r="D50" s="137">
        <f>SUMIFS('Resultater - Vestdanmark'!I$3:I$482,'Resultater - Vestdanmark'!$F$3:$F$482,$A50)/SUMIFS('Resultater - Danmark'!I$3:I$482,'Resultater - Danmark'!$F$3:$F$482,$A50)*D23</f>
        <v>314692.31350359169</v>
      </c>
      <c r="E50" s="137">
        <f>SUMIFS('Resultater - Vestdanmark'!J$3:J$482,'Resultater - Vestdanmark'!$F$3:$F$482,$A50)/SUMIFS('Resultater - Danmark'!J$3:J$482,'Resultater - Danmark'!$F$3:$F$482,$A50)*E23</f>
        <v>314525.12457946909</v>
      </c>
      <c r="F50" s="138">
        <f>VLOOKUP(A50,[1]Biogasudbytte!$A$2:$C$18,3,FALSE)</f>
        <v>0.3</v>
      </c>
      <c r="G50" s="139">
        <f t="shared" si="11"/>
        <v>100</v>
      </c>
      <c r="I50" s="128" t="str">
        <f t="shared" si="13"/>
        <v>Majs</v>
      </c>
      <c r="J50" s="128" t="s">
        <v>140</v>
      </c>
      <c r="K50" s="137">
        <f>SUMIFS('Resultater - Østdanmark'!H$3:H$482,'Resultater - Østdanmark'!$F$3:$F$482,$A50)/SUMIFS('Resultater - Danmark'!H$3:H$482,'Resultater - Danmark'!$F$3:$F$482,$A50)*C23</f>
        <v>15204.565068438918</v>
      </c>
      <c r="L50" s="137">
        <f>SUMIFS('Resultater - Østdanmark'!I$3:I$482,'Resultater - Østdanmark'!$F$3:$F$482,$A50)/SUMIFS('Resultater - Danmark'!I$3:I$482,'Resultater - Danmark'!$F$3:$F$482,$A50)*D23</f>
        <v>15333.686496408332</v>
      </c>
      <c r="M50" s="137">
        <f>SUMIFS('Resultater - Østdanmark'!J$3:J$482,'Resultater - Østdanmark'!$F$3:$F$482,$A50)/SUMIFS('Resultater - Danmark'!J$3:J$482,'Resultater - Danmark'!$F$3:$F$482,$A50)*E23</f>
        <v>15500.875420530891</v>
      </c>
      <c r="N50" s="138">
        <f>VLOOKUP(I50,[1]Biogasudbytte!$A$2:$C$18,3,FALSE)</f>
        <v>0.3</v>
      </c>
      <c r="O50" s="139">
        <f t="shared" si="12"/>
        <v>100</v>
      </c>
    </row>
    <row r="51" spans="1:15" hidden="1" x14ac:dyDescent="0.45">
      <c r="A51" s="128" t="str">
        <f t="shared" si="10"/>
        <v>Roer</v>
      </c>
      <c r="B51" s="128" t="s">
        <v>140</v>
      </c>
      <c r="C51" s="137">
        <f>SUMIFS('Resultater - Vestdanmark'!H$3:H$482,'Resultater - Vestdanmark'!$F$3:$F$482,$A51)/SUMIFS('Resultater - Danmark'!H$3:H$482,'Resultater - Danmark'!$F$3:$F$482,$A51)*C24</f>
        <v>4101.0489241972273</v>
      </c>
      <c r="D51" s="137">
        <f>SUMIFS('Resultater - Vestdanmark'!I$3:I$482,'Resultater - Vestdanmark'!$F$3:$F$482,$A51)/SUMIFS('Resultater - Danmark'!I$3:I$482,'Resultater - Danmark'!$F$3:$F$482,$A51)*D24</f>
        <v>4075.7207832735812</v>
      </c>
      <c r="E51" s="137">
        <f>SUMIFS('Resultater - Vestdanmark'!J$3:J$482,'Resultater - Vestdanmark'!$F$3:$F$482,$A51)/SUMIFS('Resultater - Danmark'!J$3:J$482,'Resultater - Danmark'!$F$3:$F$482,$A51)*E24</f>
        <v>4034.07077562927</v>
      </c>
      <c r="F51" s="138">
        <f>VLOOKUP(A51,[1]Biogasudbytte!$A$2:$C$18,3,FALSE)</f>
        <v>0.2</v>
      </c>
      <c r="G51" s="139">
        <f t="shared" si="11"/>
        <v>75.599999999999994</v>
      </c>
      <c r="I51" s="128" t="str">
        <f t="shared" si="13"/>
        <v>Roer</v>
      </c>
      <c r="J51" s="128" t="s">
        <v>140</v>
      </c>
      <c r="K51" s="137">
        <f>SUMIFS('Resultater - Østdanmark'!H$3:H$482,'Resultater - Østdanmark'!$F$3:$F$482,$A51)/SUMIFS('Resultater - Danmark'!H$3:H$482,'Resultater - Danmark'!$F$3:$F$482,$A51)*C24</f>
        <v>24543.951075802775</v>
      </c>
      <c r="L51" s="137">
        <f>SUMIFS('Resultater - Østdanmark'!I$3:I$482,'Resultater - Østdanmark'!$F$3:$F$482,$A51)/SUMIFS('Resultater - Danmark'!I$3:I$482,'Resultater - Danmark'!$F$3:$F$482,$A51)*D24</f>
        <v>24569.279216726416</v>
      </c>
      <c r="M51" s="137">
        <f>SUMIFS('Resultater - Østdanmark'!J$3:J$482,'Resultater - Østdanmark'!$F$3:$F$482,$A51)/SUMIFS('Resultater - Danmark'!J$3:J$482,'Resultater - Danmark'!$F$3:$F$482,$A51)*E24</f>
        <v>24610.929224370728</v>
      </c>
      <c r="N51" s="138">
        <f>VLOOKUP(I51,[1]Biogasudbytte!$A$2:$C$18,3,FALSE)</f>
        <v>0.2</v>
      </c>
      <c r="O51" s="139">
        <f t="shared" si="12"/>
        <v>75.599999999999994</v>
      </c>
    </row>
    <row r="52" spans="1:15" hidden="1" x14ac:dyDescent="0.45">
      <c r="A52" s="128" t="str">
        <f t="shared" si="10"/>
        <v>Have/parkaffald</v>
      </c>
      <c r="B52" s="128" t="s">
        <v>140</v>
      </c>
      <c r="C52" s="137">
        <f>SUMIFS('Resultater - Vestdanmark'!H$3:H$482,'Resultater - Vestdanmark'!$F$3:$F$482,$A52)/SUMIFS('Resultater - Danmark'!H$3:H$482,'Resultater - Danmark'!$F$3:$F$482,$A52)*C25</f>
        <v>42.099811904105366</v>
      </c>
      <c r="D52" s="137">
        <f>SUMIFS('Resultater - Vestdanmark'!I$3:I$482,'Resultater - Vestdanmark'!$F$3:$F$482,$A52)/SUMIFS('Resultater - Danmark'!I$3:I$482,'Resultater - Danmark'!$F$3:$F$482,$A52)*D25</f>
        <v>41.80391161429587</v>
      </c>
      <c r="E52" s="137">
        <f>SUMIFS('Resultater - Vestdanmark'!J$3:J$482,'Resultater - Vestdanmark'!$F$3:$F$482,$A52)/SUMIFS('Resultater - Danmark'!J$3:J$482,'Resultater - Danmark'!$F$3:$F$482,$A52)*E25</f>
        <v>41.656918132692169</v>
      </c>
      <c r="F52" s="138">
        <f>VLOOKUP(A52,[1]Biogasudbytte!$A$2:$C$18,3,FALSE)</f>
        <v>0.3</v>
      </c>
      <c r="G52" s="139">
        <f t="shared" si="11"/>
        <v>47.3</v>
      </c>
      <c r="I52" s="128" t="str">
        <f t="shared" si="13"/>
        <v>Have/parkaffald</v>
      </c>
      <c r="J52" s="128" t="s">
        <v>140</v>
      </c>
      <c r="K52" s="137">
        <f>SUMIFS('Resultater - Østdanmark'!H$3:H$482,'Resultater - Østdanmark'!$F$3:$F$482,$A52)/SUMIFS('Resultater - Danmark'!H$3:H$482,'Resultater - Danmark'!$F$3:$F$482,$A52)*C25</f>
        <v>35.900188095894634</v>
      </c>
      <c r="L52" s="137">
        <f>SUMIFS('Resultater - Østdanmark'!I$3:I$482,'Resultater - Østdanmark'!$F$3:$F$482,$A52)/SUMIFS('Resultater - Danmark'!I$3:I$482,'Resultater - Danmark'!$F$3:$F$482,$A52)*D25</f>
        <v>36.19608838570413</v>
      </c>
      <c r="M52" s="137">
        <f>SUMIFS('Resultater - Østdanmark'!J$3:J$482,'Resultater - Østdanmark'!$F$3:$F$482,$A52)/SUMIFS('Resultater - Danmark'!J$3:J$482,'Resultater - Danmark'!$F$3:$F$482,$A52)*E25</f>
        <v>36.343081867307831</v>
      </c>
      <c r="N52" s="138">
        <f>VLOOKUP(I52,[1]Biogasudbytte!$A$2:$C$18,3,FALSE)</f>
        <v>0.3</v>
      </c>
      <c r="O52" s="139">
        <f t="shared" si="12"/>
        <v>47.3</v>
      </c>
    </row>
    <row r="53" spans="1:15" hidden="1" x14ac:dyDescent="0.45">
      <c r="A53" s="129" t="str">
        <f t="shared" si="10"/>
        <v>Glycerin</v>
      </c>
      <c r="B53" s="129" t="s">
        <v>140</v>
      </c>
      <c r="C53" s="137">
        <f>C26*$B$36</f>
        <v>114193.60000000001</v>
      </c>
      <c r="D53" s="137">
        <f>D26*$B$36</f>
        <v>114193.60000000001</v>
      </c>
      <c r="E53" s="137">
        <f>E26*$B$36</f>
        <v>114193.60000000001</v>
      </c>
      <c r="F53" s="138">
        <f>VLOOKUP(A53,[1]Biogasudbytte!$A$2:$C$18,3,FALSE)</f>
        <v>0.9</v>
      </c>
      <c r="G53" s="139">
        <f t="shared" si="11"/>
        <v>423.36</v>
      </c>
      <c r="I53" s="129" t="str">
        <f t="shared" si="13"/>
        <v>Glycerin</v>
      </c>
      <c r="J53" s="129" t="s">
        <v>140</v>
      </c>
      <c r="K53" s="137">
        <f>C26*$C$36</f>
        <v>28548.400000000001</v>
      </c>
      <c r="L53" s="137">
        <f>D26*$C$36</f>
        <v>28548.400000000001</v>
      </c>
      <c r="M53" s="137">
        <f>E26*$C$36</f>
        <v>28548.400000000001</v>
      </c>
      <c r="N53" s="138">
        <f>VLOOKUP(I53,[1]Biogasudbytte!$A$2:$C$18,3,FALSE)</f>
        <v>0.9</v>
      </c>
      <c r="O53" s="139">
        <f t="shared" si="12"/>
        <v>423.36</v>
      </c>
    </row>
    <row r="54" spans="1:15" hidden="1" x14ac:dyDescent="0.45">
      <c r="A54" s="128" t="str">
        <f t="shared" si="10"/>
        <v>Muslinger</v>
      </c>
      <c r="B54" s="128" t="s">
        <v>140</v>
      </c>
      <c r="C54" s="137">
        <f>SUMIFS('Resultater - Vestdanmark'!H$3:H$482,'Resultater - Vestdanmark'!$F$3:$F$482,$A54)/SUMIFS('Resultater - Danmark'!H$3:H$482,'Resultater - Danmark'!$F$3:$F$482,$A54)*C27</f>
        <v>0</v>
      </c>
      <c r="D54" s="137">
        <f>SUMIFS('Resultater - Vestdanmark'!I$3:I$482,'Resultater - Vestdanmark'!$F$3:$F$482,$A54)/SUMIFS('Resultater - Danmark'!I$3:I$482,'Resultater - Danmark'!$F$3:$F$482,$A54)*D27</f>
        <v>0</v>
      </c>
      <c r="E54" s="137">
        <f>SUMIFS('Resultater - Vestdanmark'!J$3:J$482,'Resultater - Vestdanmark'!$F$3:$F$482,$A54)/SUMIFS('Resultater - Danmark'!J$3:J$482,'Resultater - Danmark'!$F$3:$F$482,$A54)*E27</f>
        <v>0</v>
      </c>
      <c r="F54" s="138">
        <f>VLOOKUP(A54,[1]Biogasudbytte!$A$2:$C$18,3,FALSE)</f>
        <v>0.15</v>
      </c>
      <c r="G54" s="139">
        <f t="shared" si="11"/>
        <v>25</v>
      </c>
      <c r="I54" s="128" t="str">
        <f t="shared" si="13"/>
        <v>Muslinger</v>
      </c>
      <c r="J54" s="128" t="s">
        <v>140</v>
      </c>
      <c r="K54" s="137">
        <f>SUMIFS('Resultater - Østdanmark'!H$3:H$482,'Resultater - Østdanmark'!$F$3:$F$482,$A54)/SUMIFS('Resultater - Danmark'!H$3:H$482,'Resultater - Danmark'!$F$3:$F$482,$A54)*C27</f>
        <v>0</v>
      </c>
      <c r="L54" s="137">
        <f>SUMIFS('Resultater - Østdanmark'!I$3:I$482,'Resultater - Østdanmark'!$F$3:$F$482,$A54)/SUMIFS('Resultater - Danmark'!I$3:I$482,'Resultater - Danmark'!$F$3:$F$482,$A54)*D27</f>
        <v>0</v>
      </c>
      <c r="M54" s="137">
        <f>SUMIFS('Resultater - Østdanmark'!J$3:J$482,'Resultater - Østdanmark'!$F$3:$F$482,$A54)/SUMIFS('Resultater - Danmark'!J$3:J$482,'Resultater - Danmark'!$F$3:$F$482,$A54)*E27</f>
        <v>0</v>
      </c>
      <c r="N54" s="138">
        <f>VLOOKUP(I54,[1]Biogasudbytte!$A$2:$C$18,3,FALSE)</f>
        <v>0.15</v>
      </c>
      <c r="O54" s="139">
        <f t="shared" si="12"/>
        <v>25</v>
      </c>
    </row>
    <row r="55" spans="1:15" ht="12" hidden="1" thickBot="1" x14ac:dyDescent="0.5">
      <c r="A55" s="143" t="str">
        <f t="shared" si="10"/>
        <v>Tang</v>
      </c>
      <c r="B55" s="143" t="s">
        <v>140</v>
      </c>
      <c r="C55" s="180">
        <f>SUMIFS('Resultater - Vestdanmark'!H$3:H$482,'Resultater - Vestdanmark'!$F$3:$F$482,$A55)/SUMIFS('Resultater - Danmark'!H$3:H$482,'Resultater - Danmark'!$F$3:$F$482,$A55)*C28</f>
        <v>0</v>
      </c>
      <c r="D55" s="180">
        <f>SUMIFS('Resultater - Vestdanmark'!I$3:I$482,'Resultater - Vestdanmark'!$F$3:$F$482,$A55)/SUMIFS('Resultater - Danmark'!I$3:I$482,'Resultater - Danmark'!$F$3:$F$482,$A55)*D28</f>
        <v>0</v>
      </c>
      <c r="E55" s="180">
        <f>SUMIFS('Resultater - Vestdanmark'!J$3:J$482,'Resultater - Vestdanmark'!$F$3:$F$482,$A55)/SUMIFS('Resultater - Danmark'!J$3:J$482,'Resultater - Danmark'!$F$3:$F$482,$A55)*E28</f>
        <v>0</v>
      </c>
      <c r="F55" s="144">
        <f>VLOOKUP(A55,[1]Biogasudbytte!$A$2:$C$18,3,FALSE)</f>
        <v>0.15</v>
      </c>
      <c r="G55" s="145">
        <f t="shared" si="11"/>
        <v>25</v>
      </c>
      <c r="I55" s="143" t="str">
        <f t="shared" si="13"/>
        <v>Tang</v>
      </c>
      <c r="J55" s="143" t="s">
        <v>140</v>
      </c>
      <c r="K55" s="180">
        <f>SUMIFS('Resultater - Østdanmark'!H$3:H$482,'Resultater - Østdanmark'!$F$3:$F$482,$A55)/SUMIFS('Resultater - Danmark'!H$3:H$482,'Resultater - Danmark'!$F$3:$F$482,$A55)*C28</f>
        <v>0</v>
      </c>
      <c r="L55" s="180">
        <f>SUMIFS('Resultater - Østdanmark'!I$3:I$482,'Resultater - Østdanmark'!$F$3:$F$482,$A55)/SUMIFS('Resultater - Danmark'!I$3:I$482,'Resultater - Danmark'!$F$3:$F$482,$A55)*D28</f>
        <v>0</v>
      </c>
      <c r="M55" s="180">
        <f>SUMIFS('Resultater - Østdanmark'!J$3:J$482,'Resultater - Østdanmark'!$F$3:$F$482,$A55)/SUMIFS('Resultater - Danmark'!J$3:J$482,'Resultater - Danmark'!$F$3:$F$482,$A55)*E28</f>
        <v>0</v>
      </c>
      <c r="N55" s="144">
        <f>VLOOKUP(I55,[1]Biogasudbytte!$A$2:$C$18,3,FALSE)</f>
        <v>0.15</v>
      </c>
      <c r="O55" s="145">
        <f t="shared" si="12"/>
        <v>25</v>
      </c>
    </row>
    <row r="56" spans="1:15" hidden="1" x14ac:dyDescent="0.45">
      <c r="A56" s="126" t="s">
        <v>105</v>
      </c>
      <c r="B56" s="126" t="s">
        <v>140</v>
      </c>
      <c r="C56" s="146">
        <f ca="1">SUM(C39:C55)</f>
        <v>10411318.566934858</v>
      </c>
      <c r="D56" s="146">
        <f ca="1">SUM(D39:D55)</f>
        <v>21978625.798758276</v>
      </c>
      <c r="E56" s="146">
        <f ca="1">SUM(E39:E55)</f>
        <v>21565393.012799766</v>
      </c>
      <c r="F56" s="147"/>
      <c r="G56" s="147"/>
      <c r="I56" s="126" t="s">
        <v>105</v>
      </c>
      <c r="J56" s="126" t="s">
        <v>140</v>
      </c>
      <c r="K56" s="146">
        <f ca="1">SUM(K39:K55)</f>
        <v>2679098.9330651397</v>
      </c>
      <c r="L56" s="146">
        <f ca="1">SUM(L39:L55)</f>
        <v>3779684.699449678</v>
      </c>
      <c r="M56" s="146">
        <f ca="1">SUM(M39:M55)</f>
        <v>3791446.2696817257</v>
      </c>
      <c r="N56" s="147"/>
      <c r="O56" s="147"/>
    </row>
    <row r="57" spans="1:15" hidden="1" x14ac:dyDescent="0.45">
      <c r="A57" s="149" t="s">
        <v>124</v>
      </c>
      <c r="C57" s="150">
        <f ca="1">SUMPRODUCT(C39:C55,$F$39:$F$55)/C56</f>
        <v>0.13459375485410555</v>
      </c>
      <c r="D57" s="150">
        <f ca="1">SUMPRODUCT(D39:D55,$F$39:$F$55)/D56</f>
        <v>9.9115904738171806E-2</v>
      </c>
      <c r="E57" s="150">
        <f ca="1">SUMPRODUCT(E39:E55,$F$39:$F$55)/E56</f>
        <v>0.10048591428175808</v>
      </c>
      <c r="I57" s="149" t="s">
        <v>124</v>
      </c>
      <c r="K57" s="150">
        <f ca="1">SUMPRODUCT(K39:K55,$N$39:$N$55)/K56</f>
        <v>0.15233293996365566</v>
      </c>
      <c r="L57" s="150">
        <f ca="1">SUMPRODUCT(L39:L55,$N$39:$N$55)/L56</f>
        <v>0.11386525869297286</v>
      </c>
      <c r="M57" s="150">
        <f ca="1">SUMPRODUCT(M39:M55,$N$39:$N$55)/M56</f>
        <v>0.11496127136904122</v>
      </c>
    </row>
    <row r="58" spans="1:15" hidden="1" x14ac:dyDescent="0.45">
      <c r="A58" s="149" t="s">
        <v>161</v>
      </c>
      <c r="C58" s="150">
        <f ca="1">SUM(C48:C51)/C56</f>
        <v>3.8180450490388568E-2</v>
      </c>
      <c r="D58" s="150">
        <f ca="1">SUM(D48:D51)/D56</f>
        <v>1.8075083879570325E-2</v>
      </c>
      <c r="E58" s="150">
        <f ca="1">SUM(E48:E51)/E56</f>
        <v>1.8405043896940077E-2</v>
      </c>
      <c r="I58" s="149" t="s">
        <v>161</v>
      </c>
      <c r="K58" s="150">
        <f ca="1">SUM(K48:K51)/K56</f>
        <v>1.8896340963997331E-2</v>
      </c>
      <c r="L58" s="150">
        <f ca="1">SUM(L48:L51)/L56</f>
        <v>1.3458396446974092E-2</v>
      </c>
      <c r="M58" s="150">
        <f ca="1">SUM(M48:M51)/M56</f>
        <v>1.3509882852422774E-2</v>
      </c>
    </row>
    <row r="59" spans="1:15" hidden="1" x14ac:dyDescent="0.45">
      <c r="A59" s="126" t="s">
        <v>143</v>
      </c>
      <c r="B59" s="126" t="s">
        <v>144</v>
      </c>
      <c r="C59" s="126">
        <f ca="1">SUMPRODUCT(C39:C55,$I$12:$I$28)</f>
        <v>352607214.55648887</v>
      </c>
      <c r="D59" s="126">
        <f ca="1">SUMPRODUCT(D39:D55,$I$12:$I$28)</f>
        <v>502047959.26738763</v>
      </c>
      <c r="E59" s="126">
        <f ca="1">SUMPRODUCT(E39:E55,$I$12:$I$28)</f>
        <v>499391420.10060036</v>
      </c>
      <c r="I59" s="126" t="s">
        <v>143</v>
      </c>
      <c r="J59" s="126" t="s">
        <v>144</v>
      </c>
      <c r="K59" s="126">
        <f ca="1">SUMPRODUCT(K39:K55,$I$12:$I$28)</f>
        <v>109319364.52351122</v>
      </c>
      <c r="L59" s="126">
        <f ca="1">SUMPRODUCT(L39:L55,$I$12:$I$28)</f>
        <v>108206581.84740165</v>
      </c>
      <c r="M59" s="126">
        <f ca="1">SUMPRODUCT(M39:M55,$I$12:$I$28)</f>
        <v>109438765.39231445</v>
      </c>
    </row>
    <row r="60" spans="1:15" hidden="1" x14ac:dyDescent="0.45">
      <c r="A60" s="126" t="s">
        <v>143</v>
      </c>
      <c r="B60" s="126" t="s">
        <v>123</v>
      </c>
      <c r="C60" s="126">
        <f ca="1">C59*[1]Energiindhold!$C$10</f>
        <v>12.658599002577953</v>
      </c>
      <c r="D60" s="126">
        <f ca="1">D59*[1]Energiindhold!$C$10</f>
        <v>18.023521737699216</v>
      </c>
      <c r="E60" s="126">
        <f ca="1">E59*[1]Energiindhold!$C$10</f>
        <v>17.928151981611556</v>
      </c>
      <c r="I60" s="126" t="s">
        <v>143</v>
      </c>
      <c r="J60" s="126" t="s">
        <v>123</v>
      </c>
      <c r="K60" s="126">
        <f ca="1">K59*[1]Energiindhold!$C$10</f>
        <v>3.9245651863940529</v>
      </c>
      <c r="L60" s="126">
        <f ca="1">L59*[1]Energiindhold!$C$10</f>
        <v>3.8846162883217197</v>
      </c>
      <c r="M60" s="126">
        <f ca="1">M59*[1]Energiindhold!$C$10</f>
        <v>3.9288516775840892</v>
      </c>
    </row>
  </sheetData>
  <mergeCells count="4">
    <mergeCell ref="F10:G10"/>
    <mergeCell ref="C10:E10"/>
    <mergeCell ref="J10:L10"/>
    <mergeCell ref="F2:G2"/>
  </mergeCells>
  <conditionalFormatting sqref="C57:E57 C30:G31">
    <cfRule type="cellIs" dxfId="3" priority="7" operator="greaterThan">
      <formula>13%</formula>
    </cfRule>
  </conditionalFormatting>
  <conditionalFormatting sqref="K57:M57">
    <cfRule type="cellIs" dxfId="2" priority="5" operator="greaterThan">
      <formula>13%</formula>
    </cfRule>
  </conditionalFormatting>
  <conditionalFormatting sqref="C58:E58">
    <cfRule type="cellIs" dxfId="1" priority="2" operator="greaterThan">
      <formula>13%</formula>
    </cfRule>
  </conditionalFormatting>
  <conditionalFormatting sqref="K58:M58">
    <cfRule type="cellIs" dxfId="0" priority="1" operator="greaterThan">
      <formula>13%</formula>
    </cfRule>
  </conditionalFormatting>
  <hyperlinks>
    <hyperlink ref="A1" location="Resume!A1" display="% af alt produceret" xr:uid="{0D01C50C-EAA6-4BDE-A936-53C722D7B96A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CED11-E78A-4181-9F3D-9C80FCFD4911}">
  <sheetPr codeName="Sheet8">
    <tabColor theme="9" tint="0.39997558519241921"/>
  </sheetPr>
  <dimension ref="A1:E22"/>
  <sheetViews>
    <sheetView zoomScale="117" workbookViewId="0">
      <selection activeCell="A10" sqref="A10:D10"/>
    </sheetView>
  </sheetViews>
  <sheetFormatPr defaultColWidth="9.15625" defaultRowHeight="14.4" x14ac:dyDescent="0.55000000000000004"/>
  <cols>
    <col min="1" max="1" width="20" style="1" customWidth="1"/>
    <col min="2" max="16384" width="9.15625" style="1"/>
  </cols>
  <sheetData>
    <row r="1" spans="1:5" x14ac:dyDescent="0.55000000000000004">
      <c r="A1" s="233" t="s">
        <v>284</v>
      </c>
    </row>
    <row r="2" spans="1:5" ht="15.6" x14ac:dyDescent="0.6">
      <c r="A2" s="231" t="s">
        <v>325</v>
      </c>
    </row>
    <row r="3" spans="1:5" x14ac:dyDescent="0.55000000000000004">
      <c r="A3" s="2" t="s">
        <v>140</v>
      </c>
      <c r="B3" s="2">
        <f>År1</f>
        <v>2019</v>
      </c>
      <c r="C3" s="2">
        <f>År2</f>
        <v>2030</v>
      </c>
      <c r="D3" s="2">
        <f>År3</f>
        <v>2050</v>
      </c>
    </row>
    <row r="4" spans="1:5" x14ac:dyDescent="0.55000000000000004">
      <c r="A4" s="2" t="s">
        <v>68</v>
      </c>
      <c r="B4" s="110">
        <v>0</v>
      </c>
      <c r="C4" s="111">
        <v>0</v>
      </c>
      <c r="D4" s="111">
        <v>0</v>
      </c>
    </row>
    <row r="5" spans="1:5" x14ac:dyDescent="0.55000000000000004">
      <c r="A5" s="317"/>
    </row>
    <row r="6" spans="1:5" x14ac:dyDescent="0.55000000000000004">
      <c r="A6" s="317"/>
    </row>
    <row r="7" spans="1:5" ht="15.6" x14ac:dyDescent="0.6">
      <c r="A7" s="231" t="s">
        <v>309</v>
      </c>
    </row>
    <row r="8" spans="1:5" x14ac:dyDescent="0.55000000000000004">
      <c r="A8" s="2"/>
      <c r="B8" s="2">
        <f>År1</f>
        <v>2019</v>
      </c>
      <c r="C8" s="2">
        <f>År2</f>
        <v>2030</v>
      </c>
      <c r="D8" s="2">
        <f>År3</f>
        <v>2050</v>
      </c>
    </row>
    <row r="9" spans="1:5" x14ac:dyDescent="0.55000000000000004">
      <c r="A9" s="2" t="str">
        <f>'[1]Processer - data'!$D459</f>
        <v>Halm</v>
      </c>
      <c r="B9" s="87">
        <v>0</v>
      </c>
      <c r="C9" s="3">
        <v>0</v>
      </c>
      <c r="D9" s="3">
        <v>0</v>
      </c>
    </row>
    <row r="10" spans="1:5" x14ac:dyDescent="0.55000000000000004">
      <c r="A10" s="2" t="str">
        <f>'[1]Processer - data'!$D460</f>
        <v>Rapsolie</v>
      </c>
      <c r="B10" s="87">
        <v>0.98</v>
      </c>
      <c r="C10" s="3">
        <v>0</v>
      </c>
      <c r="D10" s="3">
        <v>0</v>
      </c>
      <c r="E10" s="1" t="s">
        <v>250</v>
      </c>
    </row>
    <row r="11" spans="1:5" x14ac:dyDescent="0.55000000000000004">
      <c r="A11" s="2" t="str">
        <f>'[1]Processer - data'!$D461</f>
        <v>Pil &amp; poppel</v>
      </c>
      <c r="B11" s="87">
        <v>0</v>
      </c>
      <c r="C11" s="3">
        <v>0</v>
      </c>
      <c r="D11" s="3">
        <v>0</v>
      </c>
    </row>
    <row r="12" spans="1:5" x14ac:dyDescent="0.55000000000000004">
      <c r="A12" s="2" t="str">
        <f>'[1]Processer - data'!$D462</f>
        <v>Træ til energi</v>
      </c>
      <c r="B12" s="87">
        <v>0</v>
      </c>
      <c r="C12" s="3">
        <v>0</v>
      </c>
      <c r="D12" s="3">
        <v>0</v>
      </c>
    </row>
    <row r="13" spans="1:5" x14ac:dyDescent="0.55000000000000004">
      <c r="A13" s="2" t="str">
        <f>'[1]Processer - data'!$D463</f>
        <v>Have/parkaffald</v>
      </c>
      <c r="B13" s="87">
        <v>0</v>
      </c>
      <c r="C13" s="3">
        <v>0</v>
      </c>
      <c r="D13" s="3">
        <v>0</v>
      </c>
    </row>
    <row r="14" spans="1:5" x14ac:dyDescent="0.55000000000000004">
      <c r="A14" s="2" t="str">
        <f>'[1]Processer - data'!$D464</f>
        <v>Bioaffald</v>
      </c>
      <c r="B14" s="87">
        <v>0</v>
      </c>
      <c r="C14" s="3">
        <v>0</v>
      </c>
      <c r="D14" s="3">
        <v>0</v>
      </c>
    </row>
    <row r="16" spans="1:5" x14ac:dyDescent="0.55000000000000004">
      <c r="A16" s="2" t="s">
        <v>252</v>
      </c>
      <c r="B16" s="2">
        <f>År1</f>
        <v>2019</v>
      </c>
      <c r="C16" s="2">
        <f>År2</f>
        <v>2030</v>
      </c>
      <c r="D16" s="2">
        <f>År3</f>
        <v>2050</v>
      </c>
    </row>
    <row r="17" spans="1:4" x14ac:dyDescent="0.55000000000000004">
      <c r="A17" s="2" t="str">
        <f>A9</f>
        <v>Halm</v>
      </c>
      <c r="B17" s="110">
        <f>SUMIFS('Forbrug af biomasse'!$E$2:$E$403,'Forbrug af biomasse'!$D$2:$D$403,'Forbrug til andet'!B$16,'Forbrug af biomasse'!$C$2:$C$403,'Forbrug til andet'!$A17,'Forbrug af biomasse'!$A$2:$A$403,"Materialer")</f>
        <v>0</v>
      </c>
      <c r="C17" s="110">
        <f>SUMIFS('Forbrug af biomasse'!$E$2:$E$403,'Forbrug af biomasse'!$D$2:$D$403,'Forbrug til andet'!C$16,'Forbrug af biomasse'!$C$2:$C$403,'Forbrug til andet'!$A17,'Forbrug af biomasse'!$A$2:$A$403,"Materialer")</f>
        <v>0</v>
      </c>
      <c r="D17" s="110">
        <f>SUMIFS('Forbrug af biomasse'!$E$2:$E$403,'Forbrug af biomasse'!$D$2:$D$403,'Forbrug til andet'!D$16,'Forbrug af biomasse'!$C$2:$C$403,'Forbrug til andet'!$A17,'Forbrug af biomasse'!$A$2:$A$403,"Materialer")</f>
        <v>0</v>
      </c>
    </row>
    <row r="18" spans="1:4" x14ac:dyDescent="0.55000000000000004">
      <c r="A18" s="2" t="str">
        <f t="shared" ref="A18:A22" si="0">A10</f>
        <v>Rapsolie</v>
      </c>
      <c r="B18" s="110">
        <f>SUMIFS('Forbrug af biomasse'!$E$2:$E$403,'Forbrug af biomasse'!$D$2:$D$403,'Forbrug til andet'!B$16,'Forbrug af biomasse'!$C$2:$C$403,'Forbrug til andet'!$A18,'Forbrug af biomasse'!$A$2:$A$403,"Materialer")</f>
        <v>212748.69149851578</v>
      </c>
      <c r="C18" s="110">
        <f>SUMIFS('Forbrug af biomasse'!$E$2:$E$403,'Forbrug af biomasse'!$D$2:$D$403,'Forbrug til andet'!C$16,'Forbrug af biomasse'!$C$2:$C$403,'Forbrug til andet'!$A18,'Forbrug af biomasse'!$A$2:$A$403,"Materialer")</f>
        <v>0</v>
      </c>
      <c r="D18" s="110">
        <f>SUMIFS('Forbrug af biomasse'!$E$2:$E$403,'Forbrug af biomasse'!$D$2:$D$403,'Forbrug til andet'!D$16,'Forbrug af biomasse'!$C$2:$C$403,'Forbrug til andet'!$A18,'Forbrug af biomasse'!$A$2:$A$403,"Materialer")</f>
        <v>0</v>
      </c>
    </row>
    <row r="19" spans="1:4" x14ac:dyDescent="0.55000000000000004">
      <c r="A19" s="2" t="str">
        <f t="shared" si="0"/>
        <v>Pil &amp; poppel</v>
      </c>
      <c r="B19" s="110">
        <f>SUMIFS('Forbrug af biomasse'!$E$2:$E$403,'Forbrug af biomasse'!$D$2:$D$403,'Forbrug til andet'!B$16,'Forbrug af biomasse'!$C$2:$C$403,'Forbrug til andet'!$A19,'Forbrug af biomasse'!$A$2:$A$403,"Materialer")</f>
        <v>0</v>
      </c>
      <c r="C19" s="110">
        <f>SUMIFS('Forbrug af biomasse'!$E$2:$E$403,'Forbrug af biomasse'!$D$2:$D$403,'Forbrug til andet'!C$16,'Forbrug af biomasse'!$C$2:$C$403,'Forbrug til andet'!$A19,'Forbrug af biomasse'!$A$2:$A$403,"Materialer")</f>
        <v>0</v>
      </c>
      <c r="D19" s="110">
        <f>SUMIFS('Forbrug af biomasse'!$E$2:$E$403,'Forbrug af biomasse'!$D$2:$D$403,'Forbrug til andet'!D$16,'Forbrug af biomasse'!$C$2:$C$403,'Forbrug til andet'!$A19,'Forbrug af biomasse'!$A$2:$A$403,"Materialer")</f>
        <v>0</v>
      </c>
    </row>
    <row r="20" spans="1:4" x14ac:dyDescent="0.55000000000000004">
      <c r="A20" s="2" t="str">
        <f t="shared" si="0"/>
        <v>Træ til energi</v>
      </c>
      <c r="B20" s="110">
        <f>SUMIFS('Forbrug af biomasse'!$E$2:$E$403,'Forbrug af biomasse'!$D$2:$D$403,'Forbrug til andet'!B$16,'Forbrug af biomasse'!$C$2:$C$403,'Forbrug til andet'!$A20,'Forbrug af biomasse'!$A$2:$A$403,"Materialer")</f>
        <v>0</v>
      </c>
      <c r="C20" s="110">
        <f>SUMIFS('Forbrug af biomasse'!$E$2:$E$403,'Forbrug af biomasse'!$D$2:$D$403,'Forbrug til andet'!C$16,'Forbrug af biomasse'!$C$2:$C$403,'Forbrug til andet'!$A20,'Forbrug af biomasse'!$A$2:$A$403,"Materialer")</f>
        <v>0</v>
      </c>
      <c r="D20" s="110">
        <f>SUMIFS('Forbrug af biomasse'!$E$2:$E$403,'Forbrug af biomasse'!$D$2:$D$403,'Forbrug til andet'!D$16,'Forbrug af biomasse'!$C$2:$C$403,'Forbrug til andet'!$A20,'Forbrug af biomasse'!$A$2:$A$403,"Materialer")</f>
        <v>0</v>
      </c>
    </row>
    <row r="21" spans="1:4" x14ac:dyDescent="0.55000000000000004">
      <c r="A21" s="2" t="str">
        <f t="shared" si="0"/>
        <v>Have/parkaffald</v>
      </c>
      <c r="B21" s="110">
        <f>SUMIFS('Forbrug af biomasse'!$E$2:$E$403,'Forbrug af biomasse'!$D$2:$D$403,'Forbrug til andet'!B$16,'Forbrug af biomasse'!$C$2:$C$403,'Forbrug til andet'!$A21,'Forbrug af biomasse'!$A$2:$A$403,"Materialer")</f>
        <v>0</v>
      </c>
      <c r="C21" s="110">
        <f>SUMIFS('Forbrug af biomasse'!$E$2:$E$403,'Forbrug af biomasse'!$D$2:$D$403,'Forbrug til andet'!C$16,'Forbrug af biomasse'!$C$2:$C$403,'Forbrug til andet'!$A21,'Forbrug af biomasse'!$A$2:$A$403,"Materialer")</f>
        <v>0</v>
      </c>
      <c r="D21" s="110">
        <f>SUMIFS('Forbrug af biomasse'!$E$2:$E$403,'Forbrug af biomasse'!$D$2:$D$403,'Forbrug til andet'!D$16,'Forbrug af biomasse'!$C$2:$C$403,'Forbrug til andet'!$A21,'Forbrug af biomasse'!$A$2:$A$403,"Materialer")</f>
        <v>0</v>
      </c>
    </row>
    <row r="22" spans="1:4" x14ac:dyDescent="0.55000000000000004">
      <c r="A22" s="2" t="str">
        <f t="shared" si="0"/>
        <v>Bioaffald</v>
      </c>
      <c r="B22" s="110">
        <f ca="1">SUMIFS('Forbrug af biomasse'!$E$2:$E$403,'Forbrug af biomasse'!$D$2:$D$403,'Forbrug til andet'!B$16,'Forbrug af biomasse'!$C$2:$C$403,'Forbrug til andet'!$A22,'Forbrug af biomasse'!$A$2:$A$403,"Materialer")</f>
        <v>0</v>
      </c>
      <c r="C22" s="110">
        <f ca="1">SUMIFS('Forbrug af biomasse'!$E$2:$E$403,'Forbrug af biomasse'!$D$2:$D$403,'Forbrug til andet'!C$16,'Forbrug af biomasse'!$C$2:$C$403,'Forbrug til andet'!$A22,'Forbrug af biomasse'!$A$2:$A$403,"Materialer")</f>
        <v>0</v>
      </c>
      <c r="D22" s="110">
        <f ca="1">SUMIFS('Forbrug af biomasse'!$E$2:$E$403,'Forbrug af biomasse'!$D$2:$D$403,'Forbrug til andet'!D$16,'Forbrug af biomasse'!$C$2:$C$403,'Forbrug til andet'!$A22,'Forbrug af biomasse'!$A$2:$A$403,"Materialer")</f>
        <v>0</v>
      </c>
    </row>
  </sheetData>
  <hyperlinks>
    <hyperlink ref="A1" location="Resume!A1" display="Andel af restprodukter, der skal bruges til materialer og kemi" xr:uid="{2ADFAA73-6F3A-408B-A4EB-208A02DB2964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9FCC3-6F11-4492-846A-11E022D09B95}">
  <sheetPr codeName="Sheet14">
    <tabColor rgb="FFFF0000"/>
  </sheetPr>
  <dimension ref="A1:A2"/>
  <sheetViews>
    <sheetView workbookViewId="0">
      <selection activeCell="A2" sqref="A2"/>
    </sheetView>
  </sheetViews>
  <sheetFormatPr defaultColWidth="8.83984375" defaultRowHeight="14.4" x14ac:dyDescent="0.55000000000000004"/>
  <cols>
    <col min="1" max="16384" width="8.83984375" style="93"/>
  </cols>
  <sheetData>
    <row r="1" spans="1:1" x14ac:dyDescent="0.55000000000000004">
      <c r="A1" s="6" t="s">
        <v>254</v>
      </c>
    </row>
    <row r="2" spans="1:1" x14ac:dyDescent="0.55000000000000004">
      <c r="A2" s="93" t="s">
        <v>255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CAA6-B7D2-4926-A470-3639DE0D1070}">
  <sheetPr codeName="Sheet19" filterMode="1">
    <tabColor rgb="FFFF0000"/>
  </sheetPr>
  <dimension ref="A1:I230"/>
  <sheetViews>
    <sheetView workbookViewId="0">
      <selection activeCell="H228" sqref="H228"/>
    </sheetView>
  </sheetViews>
  <sheetFormatPr defaultRowHeight="14.4" x14ac:dyDescent="0.55000000000000004"/>
  <cols>
    <col min="6" max="6" width="21.26171875" customWidth="1"/>
  </cols>
  <sheetData>
    <row r="1" spans="1:9" x14ac:dyDescent="0.55000000000000004">
      <c r="A1" s="96"/>
      <c r="B1" s="96"/>
      <c r="C1" s="96"/>
      <c r="D1" s="96"/>
      <c r="E1" s="96"/>
      <c r="F1" s="96"/>
      <c r="G1" s="96" t="s">
        <v>86</v>
      </c>
      <c r="H1" s="96"/>
      <c r="I1" s="96"/>
    </row>
    <row r="2" spans="1:9" x14ac:dyDescent="0.55000000000000004">
      <c r="A2" s="96" t="s">
        <v>64</v>
      </c>
      <c r="B2" s="96" t="s">
        <v>57</v>
      </c>
      <c r="C2" s="96" t="s">
        <v>59</v>
      </c>
      <c r="D2" s="96" t="s">
        <v>63</v>
      </c>
      <c r="E2" s="96"/>
      <c r="F2" s="96" t="s">
        <v>98</v>
      </c>
      <c r="G2" s="96">
        <f>År1</f>
        <v>2019</v>
      </c>
      <c r="H2" s="96">
        <f>År2</f>
        <v>2030</v>
      </c>
      <c r="I2" s="96">
        <f>År3</f>
        <v>2050</v>
      </c>
    </row>
    <row r="3" spans="1:9" hidden="1" x14ac:dyDescent="0.55000000000000004">
      <c r="A3" t="s">
        <v>23</v>
      </c>
      <c r="B3" s="1" t="str">
        <f>[1]Afgrødefordeling!$C$2</f>
        <v>Korn</v>
      </c>
      <c r="C3" t="s">
        <v>7</v>
      </c>
      <c r="D3" t="str">
        <f t="shared" ref="D3:D16" si="0">Jordbund1</f>
        <v>JB1-10</v>
      </c>
      <c r="F3" t="str">
        <f>CONCATENATE("Areal-",IF(LEFT(B3,3)&lt;&gt;"Pil",IF(LEFT(B3,3)&lt;&gt;"Frø",LOWER(B3),"frøgræs"),"pil-poppel"))</f>
        <v>Areal-korn</v>
      </c>
      <c r="G3" s="97" cm="1">
        <f t="array" ref="G3">IF($A3="Vestdanmark",IF($C3="Konventionel",IF(G$2=2019,SUMPRODUCT(($B3='Landbrugsareal - resultat'!$B$5:$B$18)*(INDEX('Landbrugsareal - resultat'!$C$5:$E$18,,MATCH($D3,'Landbrugsareal - resultat'!$C$4:$E$4,0)))),IF(G$2=2030,SUMPRODUCT(($B3='Landbrugsareal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resultat'!$I$4:$K$4,0)))))),IF(G$2=2019,SUMPRODUCT(($B3='Landbrugsareal - resultat'!$B$5:$B$18)*(INDEX('Landbrugsareal - resultat'!$L$5:$N$18,,MATCH($D3,'Landbrugsareal - resultat'!$L$4:$N$4,0)))),IF(G$2=2030,SUMPRODUCT(($B3='Landbrugsareal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resultat'!$R$4:$T$4,0))))))),IF($C3="Konventionel",IF(G$2=2019,SUMPRODUCT((B3='Landbrugsareal - resultat'!$B$32:$B$45)*(INDEX('Landbrugsareal - resultat'!$C$32:$E$45,,MATCH($D3,'Landbrugsareal - resultat'!$C$4:$E$4,0)))),IF(G$2=2030,SUMPRODUCT(($B3='Landbrugsareal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resultat'!$I$4:$K$4,0)))))),IF(G$2=2019,SUMPRODUCT(($B3='Landbrugsareal - resultat'!$B$32:$B$45)*(INDEX('Landbrugsareal - resultat'!$L$32:$N$45,,MATCH($D3,'Landbrugsareal - resultat'!$L$4:$N$4,0)))),IF(G$2=2030,SUMPRODUCT(($B3='Landbrugsareal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853064.00210361299</v>
      </c>
      <c r="H3" s="97" cm="1">
        <f t="array" ref="H3">IF($A3="Vestdanmark",IF($C3="Konventionel",IF(H$2=2019,SUMPRODUCT(($B3='Landbrugsareal - resultat'!$B$5:$B$18)*(INDEX('Landbrugsareal - resultat'!$C$5:$E$18,,MATCH($D3,'Landbrugsareal - resultat'!$C$4:$E$4,0)))),IF(H$2=2030,SUMPRODUCT(($B3='Landbrugsareal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resultat'!$I$4:$K$4,0)))))),IF(H$2=2019,SUMPRODUCT(($B3='Landbrugsareal - resultat'!$B$5:$B$18)*(INDEX('Landbrugsareal - resultat'!$L$5:$N$18,,MATCH($D3,'Landbrugsareal - resultat'!$L$4:$N$4,0)))),IF(H$2=2030,SUMPRODUCT(($B3='Landbrugsareal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resultat'!$R$4:$T$4,0))))))),IF($C3="Konventionel",IF(H$2=2019,SUMPRODUCT(($B3='Landbrugsareal - resultat'!$B$32:$B$45)*(INDEX('Landbrugsareal - resultat'!$C$32:$E$45,,MATCH($D3,'Landbrugsareal - resultat'!$C$4:$E$4,0)))),IF(H$2=2030,SUMPRODUCT(($B3='Landbrugsareal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resultat'!$I$4:$K$4,0)))))),IF(H$2=2019,SUMPRODUCT(($B3='Landbrugsareal - resultat'!$B$32:$B$45)*(INDEX('Landbrugsareal - resultat'!$L$32:$N$45,,MATCH($D3,'Landbrugsareal - resultat'!$L$4:$N$4,0)))),IF(H$2=2030,SUMPRODUCT(($B3='Landbrugsareal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887019.9002401476</v>
      </c>
      <c r="I3" s="97" cm="1">
        <f t="array" ref="I3">IF($A3="Vestdanmark",IF($C3="Konventionel",IF(I$2=2019,SUMPRODUCT(($B3='Landbrugsareal - resultat'!$B$5:$B$18)*(INDEX('Landbrugsareal - resultat'!$C$5:$E$18,,MATCH($D3,'Landbrugsareal - resultat'!$C$4:$E$4,0)))),IF(I$2=2030,SUMPRODUCT(($B3='Landbrugsareal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resultat'!$I$4:$K$4,0)))))),IF(I$2=2019,SUMPRODUCT(($B3='Landbrugsareal - resultat'!$B$5:$B$18)*(INDEX('Landbrugsareal - resultat'!$L$5:$N$18,,MATCH($D3,'Landbrugsareal - resultat'!$L$4:$N$4,0)))),IF(I$2=2030,SUMPRODUCT(($B3='Landbrugsareal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resultat'!$R$4:$T$4,0))))))),IF($C3="Konventionel",IF(I$2=2019,SUMPRODUCT((C3='Landbrugsareal - resultat'!$B$32:$B$45)*(INDEX('Landbrugsareal - resultat'!$C$32:$E$45,,MATCH($D3,'Landbrugsareal - resultat'!$C$4:$E$4,0)))),IF(I$2=2030,SUMPRODUCT(($B3='Landbrugsareal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resultat'!$I$4:$K$4,0)))))),IF(I$2=2019,SUMPRODUCT(($B3='Landbrugsareal - resultat'!$B$32:$B$45)*(INDEX('Landbrugsareal - resultat'!$L$32:$N$45,,MATCH($D3,'Landbrugsareal - resultat'!$L$4:$N$4,0)))),IF(I$2=2030,SUMPRODUCT(($B3='Landbrugsareal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770919.64193441265</v>
      </c>
    </row>
    <row r="4" spans="1:9" hidden="1" x14ac:dyDescent="0.55000000000000004">
      <c r="A4" t="s">
        <v>23</v>
      </c>
      <c r="B4" s="1" t="str">
        <f>[1]Afgrødefordeling!$C$3</f>
        <v>Bælgsæd</v>
      </c>
      <c r="C4" t="s">
        <v>7</v>
      </c>
      <c r="D4" t="str">
        <f t="shared" si="0"/>
        <v>JB1-10</v>
      </c>
      <c r="F4" t="str">
        <f t="shared" ref="F4:F67" si="1">CONCATENATE("Areal-",IF(LEFT(B4,3)&lt;&gt;"Pil",IF(LEFT(B4,3)&lt;&gt;"Frø",LOWER(B4),"frøgræs"),"pil-poppel"))</f>
        <v>Areal-bælgsæd</v>
      </c>
      <c r="G4" s="97" cm="1">
        <f t="array" ref="G4">IF($A4="Vestdanmark",IF($C4="Konventionel",IF(G$2=2019,SUMPRODUCT(($B4='Landbrugsareal - resultat'!$B$5:$B$18)*(INDEX('Landbrugsareal - resultat'!$C$5:$E$18,,MATCH($D4,'Landbrugsareal - resultat'!$C$4:$E$4,0)))),IF(G$2=2030,SUMPRODUCT(($B4='Landbrugsareal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resultat'!$I$4:$K$4,0)))))),IF(G$2=2019,SUMPRODUCT(($B4='Landbrugsareal - resultat'!$B$5:$B$18)*(INDEX('Landbrugsareal - resultat'!$L$5:$N$18,,MATCH($D4,'Landbrugsareal - resultat'!$L$4:$N$4,0)))),IF(G$2=2030,SUMPRODUCT(($B4='Landbrugsareal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resultat'!$R$4:$T$4,0))))))),IF($C4="Konventionel",IF(G$2=2019,SUMPRODUCT((B4='Landbrugsareal - resultat'!$B$32:$B$45)*(INDEX('Landbrugsareal - resultat'!$C$32:$E$45,,MATCH($D4,'Landbrugsareal - resultat'!$C$4:$E$4,0)))),IF(G$2=2030,SUMPRODUCT(($B4='Landbrugsareal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resultat'!$I$4:$K$4,0)))))),IF(G$2=2019,SUMPRODUCT(($B4='Landbrugsareal - resultat'!$B$32:$B$45)*(INDEX('Landbrugsareal - resultat'!$L$32:$N$45,,MATCH($D4,'Landbrugsareal - resultat'!$L$4:$N$4,0)))),IF(G$2=2030,SUMPRODUCT(($B4='Landbrugsareal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58939.484550716581</v>
      </c>
      <c r="H4" s="97" cm="1">
        <f t="array" ref="H4">IF($A4="Vestdanmark",IF($C4="Konventionel",IF(H$2=2019,SUMPRODUCT(($B4='Landbrugsareal - resultat'!$B$5:$B$18)*(INDEX('Landbrugsareal - resultat'!$C$5:$E$18,,MATCH($D4,'Landbrugsareal - resultat'!$C$4:$E$4,0)))),IF(H$2=2030,SUMPRODUCT(($B4='Landbrugsareal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resultat'!$I$4:$K$4,0)))))),IF(H$2=2019,SUMPRODUCT(($B4='Landbrugsareal - resultat'!$B$5:$B$18)*(INDEX('Landbrugsareal - resultat'!$L$5:$N$18,,MATCH($D4,'Landbrugsareal - resultat'!$L$4:$N$4,0)))),IF(H$2=2030,SUMPRODUCT(($B4='Landbrugsareal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resultat'!$R$4:$T$4,0))))))),IF($C4="Konventionel",IF(H$2=2019,SUMPRODUCT(($B4='Landbrugsareal - resultat'!$B$32:$B$45)*(INDEX('Landbrugsareal - resultat'!$C$32:$E$45,,MATCH($D4,'Landbrugsareal - resultat'!$C$4:$E$4,0)))),IF(H$2=2030,SUMPRODUCT(($B4='Landbrugsareal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resultat'!$I$4:$K$4,0)))))),IF(H$2=2019,SUMPRODUCT(($B4='Landbrugsareal - resultat'!$B$32:$B$45)*(INDEX('Landbrugsareal - resultat'!$L$32:$N$45,,MATCH($D4,'Landbrugsareal - resultat'!$L$4:$N$4,0)))),IF(H$2=2030,SUMPRODUCT(($B4='Landbrugsareal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56914.161564160306</v>
      </c>
      <c r="I4" s="97" cm="1">
        <f t="array" ref="I4">IF($A4="Vestdanmark",IF($C4="Konventionel",IF(I$2=2019,SUMPRODUCT(($B4='Landbrugsareal - resultat'!$B$5:$B$18)*(INDEX('Landbrugsareal - resultat'!$C$5:$E$18,,MATCH($D4,'Landbrugsareal - resultat'!$C$4:$E$4,0)))),IF(I$2=2030,SUMPRODUCT(($B4='Landbrugsareal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resultat'!$I$4:$K$4,0)))))),IF(I$2=2019,SUMPRODUCT(($B4='Landbrugsareal - resultat'!$B$5:$B$18)*(INDEX('Landbrugsareal - resultat'!$L$5:$N$18,,MATCH($D4,'Landbrugsareal - resultat'!$L$4:$N$4,0)))),IF(I$2=2030,SUMPRODUCT(($B4='Landbrugsareal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resultat'!$R$4:$T$4,0))))))),IF($C4="Konventionel",IF(I$2=2019,SUMPRODUCT((C4='Landbrugsareal - resultat'!$B$32:$B$45)*(INDEX('Landbrugsareal - resultat'!$C$32:$E$45,,MATCH($D4,'Landbrugsareal - resultat'!$C$4:$E$4,0)))),IF(I$2=2030,SUMPRODUCT(($B4='Landbrugsareal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resultat'!$I$4:$K$4,0)))))),IF(I$2=2019,SUMPRODUCT(($B4='Landbrugsareal - resultat'!$B$32:$B$45)*(INDEX('Landbrugsareal - resultat'!$L$32:$N$45,,MATCH($D4,'Landbrugsareal - resultat'!$L$4:$N$4,0)))),IF(I$2=2030,SUMPRODUCT(($B4='Landbrugsareal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53264.00623351871</v>
      </c>
    </row>
    <row r="5" spans="1:9" hidden="1" x14ac:dyDescent="0.55000000000000004">
      <c r="A5" t="s">
        <v>23</v>
      </c>
      <c r="B5" s="1" t="str">
        <f>[1]Afgrødefordeling!$C$4</f>
        <v>Raps</v>
      </c>
      <c r="C5" t="s">
        <v>7</v>
      </c>
      <c r="D5" t="str">
        <f t="shared" si="0"/>
        <v>JB1-10</v>
      </c>
      <c r="F5" t="str">
        <f t="shared" si="1"/>
        <v>Areal-raps</v>
      </c>
      <c r="G5" s="97" cm="1">
        <f t="array" ref="G5">IF($A5="Vestdanmark",IF($C5="Konventionel",IF(G$2=2019,SUMPRODUCT(($B5='Landbrugsareal - resultat'!$B$5:$B$18)*(INDEX('Landbrugsareal - resultat'!$C$5:$E$18,,MATCH($D5,'Landbrugsareal - resultat'!$C$4:$E$4,0)))),IF(G$2=2030,SUMPRODUCT(($B5='Landbrugsareal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resultat'!$I$4:$K$4,0)))))),IF(G$2=2019,SUMPRODUCT(($B5='Landbrugsareal - resultat'!$B$5:$B$18)*(INDEX('Landbrugsareal - resultat'!$L$5:$N$18,,MATCH($D5,'Landbrugsareal - resultat'!$L$4:$N$4,0)))),IF(G$2=2030,SUMPRODUCT(($B5='Landbrugsareal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resultat'!$R$4:$T$4,0))))))),IF($C5="Konventionel",IF(G$2=2019,SUMPRODUCT((B5='Landbrugsareal - resultat'!$B$32:$B$45)*(INDEX('Landbrugsareal - resultat'!$C$32:$E$45,,MATCH($D5,'Landbrugsareal - resultat'!$C$4:$E$4,0)))),IF(G$2=2030,SUMPRODUCT(($B5='Landbrugsareal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resultat'!$I$4:$K$4,0)))))),IF(G$2=2019,SUMPRODUCT(($B5='Landbrugsareal - resultat'!$B$32:$B$45)*(INDEX('Landbrugsareal - resultat'!$L$32:$N$45,,MATCH($D5,'Landbrugsareal - resultat'!$L$4:$N$4,0)))),IF(G$2=2030,SUMPRODUCT(($B5='Landbrugsareal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99115.06241944003</v>
      </c>
      <c r="H5" s="97" cm="1">
        <f t="array" ref="H5">IF($A5="Vestdanmark",IF($C5="Konventionel",IF(H$2=2019,SUMPRODUCT(($B5='Landbrugsareal - resultat'!$B$5:$B$18)*(INDEX('Landbrugsareal - resultat'!$C$5:$E$18,,MATCH($D5,'Landbrugsareal - resultat'!$C$4:$E$4,0)))),IF(H$2=2030,SUMPRODUCT(($B5='Landbrugsareal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resultat'!$I$4:$K$4,0)))))),IF(H$2=2019,SUMPRODUCT(($B5='Landbrugsareal - resultat'!$B$5:$B$18)*(INDEX('Landbrugsareal - resultat'!$L$5:$N$18,,MATCH($D5,'Landbrugsareal - resultat'!$L$4:$N$4,0)))),IF(H$2=2030,SUMPRODUCT(($B5='Landbrugsareal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resultat'!$R$4:$T$4,0))))))),IF($C5="Konventionel",IF(H$2=2019,SUMPRODUCT(($B5='Landbrugsareal - resultat'!$B$32:$B$45)*(INDEX('Landbrugsareal - resultat'!$C$32:$E$45,,MATCH($D5,'Landbrugsareal - resultat'!$C$4:$E$4,0)))),IF(H$2=2030,SUMPRODUCT(($B5='Landbrugsareal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resultat'!$I$4:$K$4,0)))))),IF(H$2=2019,SUMPRODUCT(($B5='Landbrugsareal - resultat'!$B$32:$B$45)*(INDEX('Landbrugsareal - resultat'!$L$32:$N$45,,MATCH($D5,'Landbrugsareal - resultat'!$L$4:$N$4,0)))),IF(H$2=2030,SUMPRODUCT(($B5='Landbrugsareal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95709.195948732828</v>
      </c>
      <c r="I5" s="97" cm="1">
        <f t="array" ref="I5">IF($A5="Vestdanmark",IF($C5="Konventionel",IF(I$2=2019,SUMPRODUCT(($B5='Landbrugsareal - resultat'!$B$5:$B$18)*(INDEX('Landbrugsareal - resultat'!$C$5:$E$18,,MATCH($D5,'Landbrugsareal - resultat'!$C$4:$E$4,0)))),IF(I$2=2030,SUMPRODUCT(($B5='Landbrugsareal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resultat'!$I$4:$K$4,0)))))),IF(I$2=2019,SUMPRODUCT(($B5='Landbrugsareal - resultat'!$B$5:$B$18)*(INDEX('Landbrugsareal - resultat'!$L$5:$N$18,,MATCH($D5,'Landbrugsareal - resultat'!$L$4:$N$4,0)))),IF(I$2=2030,SUMPRODUCT(($B5='Landbrugsareal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resultat'!$R$4:$T$4,0))))))),IF($C5="Konventionel",IF(I$2=2019,SUMPRODUCT((C5='Landbrugsareal - resultat'!$B$32:$B$45)*(INDEX('Landbrugsareal - resultat'!$C$32:$E$45,,MATCH($D5,'Landbrugsareal - resultat'!$C$4:$E$4,0)))),IF(I$2=2030,SUMPRODUCT(($B5='Landbrugsareal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resultat'!$I$4:$K$4,0)))))),IF(I$2=2019,SUMPRODUCT(($B5='Landbrugsareal - resultat'!$B$32:$B$45)*(INDEX('Landbrugsareal - resultat'!$L$32:$N$45,,MATCH($D5,'Landbrugsareal - resultat'!$L$4:$N$4,0)))),IF(I$2=2030,SUMPRODUCT(($B5='Landbrugsareal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89570.944550794622</v>
      </c>
    </row>
    <row r="6" spans="1:9" hidden="1" x14ac:dyDescent="0.55000000000000004">
      <c r="A6" t="s">
        <v>23</v>
      </c>
      <c r="B6" s="1" t="str">
        <f>[1]Afgrødefordeling!$C$5</f>
        <v>Græs</v>
      </c>
      <c r="C6" t="s">
        <v>7</v>
      </c>
      <c r="D6" t="str">
        <f t="shared" si="0"/>
        <v>JB1-10</v>
      </c>
      <c r="F6" t="str">
        <f t="shared" si="1"/>
        <v>Areal-græs</v>
      </c>
      <c r="G6" s="97" cm="1">
        <f t="array" ref="G6">IF($A6="Vestdanmark",IF($C6="Konventionel",IF(G$2=2019,SUMPRODUCT(($B6='Landbrugsareal - resultat'!$B$5:$B$18)*(INDEX('Landbrugsareal - resultat'!$C$5:$E$18,,MATCH($D6,'Landbrugsareal - resultat'!$C$4:$E$4,0)))),IF(G$2=2030,SUMPRODUCT(($B6='Landbrugsareal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resultat'!$I$4:$K$4,0)))))),IF(G$2=2019,SUMPRODUCT(($B6='Landbrugsareal - resultat'!$B$5:$B$18)*(INDEX('Landbrugsareal - resultat'!$L$5:$N$18,,MATCH($D6,'Landbrugsareal - resultat'!$L$4:$N$4,0)))),IF(G$2=2030,SUMPRODUCT(($B6='Landbrugsareal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resultat'!$R$4:$T$4,0))))))),IF($C6="Konventionel",IF(G$2=2019,SUMPRODUCT((B6='Landbrugsareal - resultat'!$B$32:$B$45)*(INDEX('Landbrugsareal - resultat'!$C$32:$E$45,,MATCH($D6,'Landbrugsareal - resultat'!$C$4:$E$4,0)))),IF(G$2=2030,SUMPRODUCT(($B6='Landbrugsareal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resultat'!$I$4:$K$4,0)))))),IF(G$2=2019,SUMPRODUCT(($B6='Landbrugsareal - resultat'!$B$32:$B$45)*(INDEX('Landbrugsareal - resultat'!$L$32:$N$45,,MATCH($D6,'Landbrugsareal - resultat'!$L$4:$N$4,0)))),IF(G$2=2030,SUMPRODUCT(($B6='Landbrugsareal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188981.25083524975</v>
      </c>
      <c r="H6" s="97" cm="1">
        <f t="array" ref="H6">IF($A6="Vestdanmark",IF($C6="Konventionel",IF(H$2=2019,SUMPRODUCT(($B6='Landbrugsareal - resultat'!$B$5:$B$18)*(INDEX('Landbrugsareal - resultat'!$C$5:$E$18,,MATCH($D6,'Landbrugsareal - resultat'!$C$4:$E$4,0)))),IF(H$2=2030,SUMPRODUCT(($B6='Landbrugsareal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resultat'!$I$4:$K$4,0)))))),IF(H$2=2019,SUMPRODUCT(($B6='Landbrugsareal - resultat'!$B$5:$B$18)*(INDEX('Landbrugsareal - resultat'!$L$5:$N$18,,MATCH($D6,'Landbrugsareal - resultat'!$L$4:$N$4,0)))),IF(H$2=2030,SUMPRODUCT(($B6='Landbrugsareal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resultat'!$R$4:$T$4,0))))))),IF($C6="Konventionel",IF(H$2=2019,SUMPRODUCT(($B6='Landbrugsareal - resultat'!$B$32:$B$45)*(INDEX('Landbrugsareal - resultat'!$C$32:$E$45,,MATCH($D6,'Landbrugsareal - resultat'!$C$4:$E$4,0)))),IF(H$2=2030,SUMPRODUCT(($B6='Landbrugsareal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resultat'!$I$4:$K$4,0)))))),IF(H$2=2019,SUMPRODUCT(($B6='Landbrugsareal - resultat'!$B$32:$B$45)*(INDEX('Landbrugsareal - resultat'!$L$32:$N$45,,MATCH($D6,'Landbrugsareal - resultat'!$L$4:$N$4,0)))),IF(H$2=2030,SUMPRODUCT(($B6='Landbrugsareal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182487.33467255518</v>
      </c>
      <c r="I6" s="97" cm="1">
        <f t="array" ref="I6">IF($A6="Vestdanmark",IF($C6="Konventionel",IF(I$2=2019,SUMPRODUCT(($B6='Landbrugsareal - resultat'!$B$5:$B$18)*(INDEX('Landbrugsareal - resultat'!$C$5:$E$18,,MATCH($D6,'Landbrugsareal - resultat'!$C$4:$E$4,0)))),IF(I$2=2030,SUMPRODUCT(($B6='Landbrugsareal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resultat'!$I$4:$K$4,0)))))),IF(I$2=2019,SUMPRODUCT(($B6='Landbrugsareal - resultat'!$B$5:$B$18)*(INDEX('Landbrugsareal - resultat'!$L$5:$N$18,,MATCH($D6,'Landbrugsareal - resultat'!$L$4:$N$4,0)))),IF(I$2=2030,SUMPRODUCT(($B6='Landbrugsareal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resultat'!$R$4:$T$4,0))))))),IF($C6="Konventionel",IF(I$2=2019,SUMPRODUCT((C6='Landbrugsareal - resultat'!$B$32:$B$45)*(INDEX('Landbrugsareal - resultat'!$C$32:$E$45,,MATCH($D6,'Landbrugsareal - resultat'!$C$4:$E$4,0)))),IF(I$2=2030,SUMPRODUCT(($B6='Landbrugsareal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resultat'!$I$4:$K$4,0)))))),IF(I$2=2019,SUMPRODUCT(($B6='Landbrugsareal - resultat'!$B$32:$B$45)*(INDEX('Landbrugsareal - resultat'!$L$32:$N$45,,MATCH($D6,'Landbrugsareal - resultat'!$L$4:$N$4,0)))),IF(I$2=2030,SUMPRODUCT(($B6='Landbrugsareal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170783.61983035918</v>
      </c>
    </row>
    <row r="7" spans="1:9" hidden="1" x14ac:dyDescent="0.55000000000000004">
      <c r="A7" t="s">
        <v>23</v>
      </c>
      <c r="B7" s="1" t="str">
        <f>[1]Afgrødefordeling!$C$6</f>
        <v>Grøntsager</v>
      </c>
      <c r="C7" t="s">
        <v>7</v>
      </c>
      <c r="D7" t="str">
        <f t="shared" si="0"/>
        <v>JB1-10</v>
      </c>
      <c r="F7" t="str">
        <f t="shared" si="1"/>
        <v>Areal-grøntsager</v>
      </c>
      <c r="G7" s="97" cm="1">
        <f t="array" ref="G7">IF($A7="Vestdanmark",IF($C7="Konventionel",IF(G$2=2019,SUMPRODUCT(($B7='Landbrugsareal - resultat'!$B$5:$B$18)*(INDEX('Landbrugsareal - resultat'!$C$5:$E$18,,MATCH($D7,'Landbrugsareal - resultat'!$C$4:$E$4,0)))),IF(G$2=2030,SUMPRODUCT(($B7='Landbrugsareal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resultat'!$I$4:$K$4,0)))))),IF(G$2=2019,SUMPRODUCT(($B7='Landbrugsareal - resultat'!$B$5:$B$18)*(INDEX('Landbrugsareal - resultat'!$L$5:$N$18,,MATCH($D7,'Landbrugsareal - resultat'!$L$4:$N$4,0)))),IF(G$2=2030,SUMPRODUCT(($B7='Landbrugsareal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resultat'!$R$4:$T$4,0))))))),IF($C7="Konventionel",IF(G$2=2019,SUMPRODUCT((B7='Landbrugsareal - resultat'!$B$32:$B$45)*(INDEX('Landbrugsareal - resultat'!$C$32:$E$45,,MATCH($D7,'Landbrugsareal - resultat'!$C$4:$E$4,0)))),IF(G$2=2030,SUMPRODUCT(($B7='Landbrugsareal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resultat'!$I$4:$K$4,0)))))),IF(G$2=2019,SUMPRODUCT(($B7='Landbrugsareal - resultat'!$B$32:$B$45)*(INDEX('Landbrugsareal - resultat'!$L$32:$N$45,,MATCH($D7,'Landbrugsareal - resultat'!$L$4:$N$4,0)))),IF(G$2=2030,SUMPRODUCT(($B7='Landbrugsareal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7313.1446192208541</v>
      </c>
      <c r="H7" s="97" cm="1">
        <f t="array" ref="H7">IF($A7="Vestdanmark",IF($C7="Konventionel",IF(H$2=2019,SUMPRODUCT(($B7='Landbrugsareal - resultat'!$B$5:$B$18)*(INDEX('Landbrugsareal - resultat'!$C$5:$E$18,,MATCH($D7,'Landbrugsareal - resultat'!$C$4:$E$4,0)))),IF(H$2=2030,SUMPRODUCT(($B7='Landbrugsareal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resultat'!$I$4:$K$4,0)))))),IF(H$2=2019,SUMPRODUCT(($B7='Landbrugsareal - resultat'!$B$5:$B$18)*(INDEX('Landbrugsareal - resultat'!$L$5:$N$18,,MATCH($D7,'Landbrugsareal - resultat'!$L$4:$N$4,0)))),IF(H$2=2030,SUMPRODUCT(($B7='Landbrugsareal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resultat'!$R$4:$T$4,0))))))),IF($C7="Konventionel",IF(H$2=2019,SUMPRODUCT(($B7='Landbrugsareal - resultat'!$B$32:$B$45)*(INDEX('Landbrugsareal - resultat'!$C$32:$E$45,,MATCH($D7,'Landbrugsareal - resultat'!$C$4:$E$4,0)))),IF(H$2=2030,SUMPRODUCT(($B7='Landbrugsareal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resultat'!$I$4:$K$4,0)))))),IF(H$2=2019,SUMPRODUCT(($B7='Landbrugsareal - resultat'!$B$32:$B$45)*(INDEX('Landbrugsareal - resultat'!$L$32:$N$45,,MATCH($D7,'Landbrugsareal - resultat'!$L$4:$N$4,0)))),IF(H$2=2030,SUMPRODUCT(($B7='Landbrugsareal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7061.8448324272804</v>
      </c>
      <c r="I7" s="97" cm="1">
        <f t="array" ref="I7">IF($A7="Vestdanmark",IF($C7="Konventionel",IF(I$2=2019,SUMPRODUCT(($B7='Landbrugsareal - resultat'!$B$5:$B$18)*(INDEX('Landbrugsareal - resultat'!$C$5:$E$18,,MATCH($D7,'Landbrugsareal - resultat'!$C$4:$E$4,0)))),IF(I$2=2030,SUMPRODUCT(($B7='Landbrugsareal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resultat'!$I$4:$K$4,0)))))),IF(I$2=2019,SUMPRODUCT(($B7='Landbrugsareal - resultat'!$B$5:$B$18)*(INDEX('Landbrugsareal - resultat'!$L$5:$N$18,,MATCH($D7,'Landbrugsareal - resultat'!$L$4:$N$4,0)))),IF(I$2=2030,SUMPRODUCT(($B7='Landbrugsareal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resultat'!$R$4:$T$4,0))))))),IF($C7="Konventionel",IF(I$2=2019,SUMPRODUCT((C7='Landbrugsareal - resultat'!$B$32:$B$45)*(INDEX('Landbrugsareal - resultat'!$C$32:$E$45,,MATCH($D7,'Landbrugsareal - resultat'!$C$4:$E$4,0)))),IF(I$2=2030,SUMPRODUCT(($B7='Landbrugsareal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resultat'!$I$4:$K$4,0)))))),IF(I$2=2019,SUMPRODUCT(($B7='Landbrugsareal - resultat'!$B$32:$B$45)*(INDEX('Landbrugsareal - resultat'!$L$32:$N$45,,MATCH($D7,'Landbrugsareal - resultat'!$L$4:$N$4,0)))),IF(I$2=2030,SUMPRODUCT(($B7='Landbrugsareal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6608.9376850525514</v>
      </c>
    </row>
    <row r="8" spans="1:9" hidden="1" x14ac:dyDescent="0.55000000000000004">
      <c r="A8" t="s">
        <v>23</v>
      </c>
      <c r="B8" s="1" t="str">
        <f>[1]Afgrødefordeling!$C$7</f>
        <v>Kartofler</v>
      </c>
      <c r="C8" t="s">
        <v>7</v>
      </c>
      <c r="D8" t="str">
        <f t="shared" si="0"/>
        <v>JB1-10</v>
      </c>
      <c r="F8" t="str">
        <f t="shared" si="1"/>
        <v>Areal-kartofler</v>
      </c>
      <c r="G8" s="97" cm="1">
        <f t="array" ref="G8">IF($A8="Vestdanmark",IF($C8="Konventionel",IF(G$2=2019,SUMPRODUCT(($B8='Landbrugsareal - resultat'!$B$5:$B$18)*(INDEX('Landbrugsareal - resultat'!$C$5:$E$18,,MATCH($D8,'Landbrugsareal - resultat'!$C$4:$E$4,0)))),IF(G$2=2030,SUMPRODUCT(($B8='Landbrugsareal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resultat'!$I$4:$K$4,0)))))),IF(G$2=2019,SUMPRODUCT(($B8='Landbrugsareal - resultat'!$B$5:$B$18)*(INDEX('Landbrugsareal - resultat'!$L$5:$N$18,,MATCH($D8,'Landbrugsareal - resultat'!$L$4:$N$4,0)))),IF(G$2=2030,SUMPRODUCT(($B8='Landbrugsareal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resultat'!$R$4:$T$4,0))))))),IF($C8="Konventionel",IF(G$2=2019,SUMPRODUCT((B8='Landbrugsareal - resultat'!$B$32:$B$45)*(INDEX('Landbrugsareal - resultat'!$C$32:$E$45,,MATCH($D8,'Landbrugsareal - resultat'!$C$4:$E$4,0)))),IF(G$2=2030,SUMPRODUCT(($B8='Landbrugsareal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resultat'!$I$4:$K$4,0)))))),IF(G$2=2019,SUMPRODUCT(($B8='Landbrugsareal - resultat'!$B$32:$B$45)*(INDEX('Landbrugsareal - resultat'!$L$32:$N$45,,MATCH($D8,'Landbrugsareal - resultat'!$L$4:$N$4,0)))),IF(G$2=2030,SUMPRODUCT(($B8='Landbrugsareal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43565.33101601588</v>
      </c>
      <c r="H8" s="97" cm="1">
        <f t="array" ref="H8">IF($A8="Vestdanmark",IF($C8="Konventionel",IF(H$2=2019,SUMPRODUCT(($B8='Landbrugsareal - resultat'!$B$5:$B$18)*(INDEX('Landbrugsareal - resultat'!$C$5:$E$18,,MATCH($D8,'Landbrugsareal - resultat'!$C$4:$E$4,0)))),IF(H$2=2030,SUMPRODUCT(($B8='Landbrugsareal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resultat'!$I$4:$K$4,0)))))),IF(H$2=2019,SUMPRODUCT(($B8='Landbrugsareal - resultat'!$B$5:$B$18)*(INDEX('Landbrugsareal - resultat'!$L$5:$N$18,,MATCH($D8,'Landbrugsareal - resultat'!$L$4:$N$4,0)))),IF(H$2=2030,SUMPRODUCT(($B8='Landbrugsareal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resultat'!$R$4:$T$4,0))))))),IF($C8="Konventionel",IF(H$2=2019,SUMPRODUCT(($B8='Landbrugsareal - resultat'!$B$32:$B$45)*(INDEX('Landbrugsareal - resultat'!$C$32:$E$45,,MATCH($D8,'Landbrugsareal - resultat'!$C$4:$E$4,0)))),IF(H$2=2030,SUMPRODUCT(($B8='Landbrugsareal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resultat'!$I$4:$K$4,0)))))),IF(H$2=2019,SUMPRODUCT(($B8='Landbrugsareal - resultat'!$B$32:$B$45)*(INDEX('Landbrugsareal - resultat'!$L$32:$N$45,,MATCH($D8,'Landbrugsareal - resultat'!$L$4:$N$4,0)))),IF(H$2=2030,SUMPRODUCT(($B8='Landbrugsareal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42068.306279606026</v>
      </c>
      <c r="I8" s="97" cm="1">
        <f t="array" ref="I8">IF($A8="Vestdanmark",IF($C8="Konventionel",IF(I$2=2019,SUMPRODUCT(($B8='Landbrugsareal - resultat'!$B$5:$B$18)*(INDEX('Landbrugsareal - resultat'!$C$5:$E$18,,MATCH($D8,'Landbrugsareal - resultat'!$C$4:$E$4,0)))),IF(I$2=2030,SUMPRODUCT(($B8='Landbrugsareal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resultat'!$I$4:$K$4,0)))))),IF(I$2=2019,SUMPRODUCT(($B8='Landbrugsareal - resultat'!$B$5:$B$18)*(INDEX('Landbrugsareal - resultat'!$L$5:$N$18,,MATCH($D8,'Landbrugsareal - resultat'!$L$4:$N$4,0)))),IF(I$2=2030,SUMPRODUCT(($B8='Landbrugsareal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resultat'!$R$4:$T$4,0))))))),IF($C8="Konventionel",IF(I$2=2019,SUMPRODUCT((C8='Landbrugsareal - resultat'!$B$32:$B$45)*(INDEX('Landbrugsareal - resultat'!$C$32:$E$45,,MATCH($D8,'Landbrugsareal - resultat'!$C$4:$E$4,0)))),IF(I$2=2030,SUMPRODUCT(($B8='Landbrugsareal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resultat'!$I$4:$K$4,0)))))),IF(I$2=2019,SUMPRODUCT(($B8='Landbrugsareal - resultat'!$B$32:$B$45)*(INDEX('Landbrugsareal - resultat'!$L$32:$N$45,,MATCH($D8,'Landbrugsareal - resultat'!$L$4:$N$4,0)))),IF(I$2=2030,SUMPRODUCT(($B8='Landbrugsareal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39370.280898972756</v>
      </c>
    </row>
    <row r="9" spans="1:9" hidden="1" x14ac:dyDescent="0.55000000000000004">
      <c r="A9" t="s">
        <v>23</v>
      </c>
      <c r="B9" s="1" t="str">
        <f>[1]Afgrødefordeling!$C$8</f>
        <v>Roer</v>
      </c>
      <c r="C9" t="s">
        <v>7</v>
      </c>
      <c r="D9" t="str">
        <f t="shared" si="0"/>
        <v>JB1-10</v>
      </c>
      <c r="F9" t="str">
        <f t="shared" si="1"/>
        <v>Areal-roer</v>
      </c>
      <c r="G9" s="97" cm="1">
        <f t="array" ref="G9">IF($A9="Vestdanmark",IF($C9="Konventionel",IF(G$2=2019,SUMPRODUCT(($B9='Landbrugsareal - resultat'!$B$5:$B$18)*(INDEX('Landbrugsareal - resultat'!$C$5:$E$18,,MATCH($D9,'Landbrugsareal - resultat'!$C$4:$E$4,0)))),IF(G$2=2030,SUMPRODUCT(($B9='Landbrugsareal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resultat'!$I$4:$K$4,0)))))),IF(G$2=2019,SUMPRODUCT(($B9='Landbrugsareal - resultat'!$B$5:$B$18)*(INDEX('Landbrugsareal - resultat'!$L$5:$N$18,,MATCH($D9,'Landbrugsareal - resultat'!$L$4:$N$4,0)))),IF(G$2=2030,SUMPRODUCT(($B9='Landbrugsareal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resultat'!$R$4:$T$4,0))))))),IF($C9="Konventionel",IF(G$2=2019,SUMPRODUCT((B9='Landbrugsareal - resultat'!$B$32:$B$45)*(INDEX('Landbrugsareal - resultat'!$C$32:$E$45,,MATCH($D9,'Landbrugsareal - resultat'!$C$4:$E$4,0)))),IF(G$2=2030,SUMPRODUCT(($B9='Landbrugsareal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resultat'!$I$4:$K$4,0)))))),IF(G$2=2019,SUMPRODUCT(($B9='Landbrugsareal - resultat'!$B$32:$B$45)*(INDEX('Landbrugsareal - resultat'!$L$32:$N$45,,MATCH($D9,'Landbrugsareal - resultat'!$L$4:$N$4,0)))),IF(G$2=2030,SUMPRODUCT(($B9='Landbrugsareal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4252.8843446697592</v>
      </c>
      <c r="H9" s="97" cm="1">
        <f t="array" ref="H9">IF($A9="Vestdanmark",IF($C9="Konventionel",IF(H$2=2019,SUMPRODUCT(($B9='Landbrugsareal - resultat'!$B$5:$B$18)*(INDEX('Landbrugsareal - resultat'!$C$5:$E$18,,MATCH($D9,'Landbrugsareal - resultat'!$C$4:$E$4,0)))),IF(H$2=2030,SUMPRODUCT(($B9='Landbrugsareal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resultat'!$I$4:$K$4,0)))))),IF(H$2=2019,SUMPRODUCT(($B9='Landbrugsareal - resultat'!$B$5:$B$18)*(INDEX('Landbrugsareal - resultat'!$L$5:$N$18,,MATCH($D9,'Landbrugsareal - resultat'!$L$4:$N$4,0)))),IF(H$2=2030,SUMPRODUCT(($B9='Landbrugsareal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resultat'!$R$4:$T$4,0))))))),IF($C9="Konventionel",IF(H$2=2019,SUMPRODUCT(($B9='Landbrugsareal - resultat'!$B$32:$B$45)*(INDEX('Landbrugsareal - resultat'!$C$32:$E$45,,MATCH($D9,'Landbrugsareal - resultat'!$C$4:$E$4,0)))),IF(H$2=2030,SUMPRODUCT(($B9='Landbrugsareal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resultat'!$I$4:$K$4,0)))))),IF(H$2=2019,SUMPRODUCT(($B9='Landbrugsareal - resultat'!$B$32:$B$45)*(INDEX('Landbrugsareal - resultat'!$L$32:$N$45,,MATCH($D9,'Landbrugsareal - resultat'!$L$4:$N$4,0)))),IF(H$2=2030,SUMPRODUCT(($B9='Landbrugsareal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4106.7435277270333</v>
      </c>
      <c r="I9" s="97" cm="1">
        <f t="array" ref="I9">IF($A9="Vestdanmark",IF($C9="Konventionel",IF(I$2=2019,SUMPRODUCT(($B9='Landbrugsareal - resultat'!$B$5:$B$18)*(INDEX('Landbrugsareal - resultat'!$C$5:$E$18,,MATCH($D9,'Landbrugsareal - resultat'!$C$4:$E$4,0)))),IF(I$2=2030,SUMPRODUCT(($B9='Landbrugsareal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resultat'!$I$4:$K$4,0)))))),IF(I$2=2019,SUMPRODUCT(($B9='Landbrugsareal - resultat'!$B$5:$B$18)*(INDEX('Landbrugsareal - resultat'!$L$5:$N$18,,MATCH($D9,'Landbrugsareal - resultat'!$L$4:$N$4,0)))),IF(I$2=2030,SUMPRODUCT(($B9='Landbrugsareal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resultat'!$R$4:$T$4,0))))))),IF($C9="Konventionel",IF(I$2=2019,SUMPRODUCT((C9='Landbrugsareal - resultat'!$B$32:$B$45)*(INDEX('Landbrugsareal - resultat'!$C$32:$E$45,,MATCH($D9,'Landbrugsareal - resultat'!$C$4:$E$4,0)))),IF(I$2=2030,SUMPRODUCT(($B9='Landbrugsareal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resultat'!$I$4:$K$4,0)))))),IF(I$2=2019,SUMPRODUCT(($B9='Landbrugsareal - resultat'!$B$32:$B$45)*(INDEX('Landbrugsareal - resultat'!$L$32:$N$45,,MATCH($D9,'Landbrugsareal - resultat'!$L$4:$N$4,0)))),IF(I$2=2030,SUMPRODUCT(($B9='Landbrugsareal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3843.3600153052266</v>
      </c>
    </row>
    <row r="10" spans="1:9" hidden="1" x14ac:dyDescent="0.55000000000000004">
      <c r="A10" t="s">
        <v>23</v>
      </c>
      <c r="B10" s="1" t="str">
        <f>[1]Afgrødefordeling!$C$9</f>
        <v>Majs</v>
      </c>
      <c r="C10" t="s">
        <v>7</v>
      </c>
      <c r="D10" t="str">
        <f t="shared" si="0"/>
        <v>JB1-10</v>
      </c>
      <c r="F10" t="str">
        <f t="shared" si="1"/>
        <v>Areal-majs</v>
      </c>
      <c r="G10" s="97" cm="1">
        <f t="array" ref="G10">IF($A10="Vestdanmark",IF($C10="Konventionel",IF(G$2=2019,SUMPRODUCT(($B10='Landbrugsareal - resultat'!$B$5:$B$18)*(INDEX('Landbrugsareal - resultat'!$C$5:$E$18,,MATCH($D10,'Landbrugsareal - resultat'!$C$4:$E$4,0)))),IF(G$2=2030,SUMPRODUCT(($B10='Landbrugsareal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resultat'!$I$4:$K$4,0)))))),IF(G$2=2019,SUMPRODUCT(($B10='Landbrugsareal - resultat'!$B$5:$B$18)*(INDEX('Landbrugsareal - resultat'!$L$5:$N$18,,MATCH($D10,'Landbrugsareal - resultat'!$L$4:$N$4,0)))),IF(G$2=2030,SUMPRODUCT(($B10='Landbrugsareal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resultat'!$R$4:$T$4,0))))))),IF($C10="Konventionel",IF(G$2=2019,SUMPRODUCT((B10='Landbrugsareal - resultat'!$B$32:$B$45)*(INDEX('Landbrugsareal - resultat'!$C$32:$E$45,,MATCH($D10,'Landbrugsareal - resultat'!$C$4:$E$4,0)))),IF(G$2=2030,SUMPRODUCT(($B10='Landbrugsareal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resultat'!$I$4:$K$4,0)))))),IF(G$2=2019,SUMPRODUCT(($B10='Landbrugsareal - resultat'!$B$32:$B$45)*(INDEX('Landbrugsareal - resultat'!$L$32:$N$45,,MATCH($D10,'Landbrugsareal - resultat'!$L$4:$N$4,0)))),IF(G$2=2030,SUMPRODUCT(($B10='Landbrugsareal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145638.34626271055</v>
      </c>
      <c r="H10" s="97" cm="1">
        <f t="array" ref="H10">IF($A10="Vestdanmark",IF($C10="Konventionel",IF(H$2=2019,SUMPRODUCT(($B10='Landbrugsareal - resultat'!$B$5:$B$18)*(INDEX('Landbrugsareal - resultat'!$C$5:$E$18,,MATCH($D10,'Landbrugsareal - resultat'!$C$4:$E$4,0)))),IF(H$2=2030,SUMPRODUCT(($B10='Landbrugsareal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resultat'!$I$4:$K$4,0)))))),IF(H$2=2019,SUMPRODUCT(($B10='Landbrugsareal - resultat'!$B$5:$B$18)*(INDEX('Landbrugsareal - resultat'!$L$5:$N$18,,MATCH($D10,'Landbrugsareal - resultat'!$L$4:$N$4,0)))),IF(H$2=2030,SUMPRODUCT(($B10='Landbrugsareal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resultat'!$R$4:$T$4,0))))))),IF($C10="Konventionel",IF(H$2=2019,SUMPRODUCT(($B10='Landbrugsareal - resultat'!$B$32:$B$45)*(INDEX('Landbrugsareal - resultat'!$C$32:$E$45,,MATCH($D10,'Landbrugsareal - resultat'!$C$4:$E$4,0)))),IF(H$2=2030,SUMPRODUCT(($B10='Landbrugsareal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resultat'!$I$4:$K$4,0)))))),IF(H$2=2019,SUMPRODUCT(($B10='Landbrugsareal - resultat'!$B$32:$B$45)*(INDEX('Landbrugsareal - resultat'!$L$32:$N$45,,MATCH($D10,'Landbrugsareal - resultat'!$L$4:$N$4,0)))),IF(H$2=2030,SUMPRODUCT(($B10='Landbrugsareal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140633.81165134837</v>
      </c>
      <c r="I10" s="97" cm="1">
        <f t="array" ref="I10">IF($A10="Vestdanmark",IF($C10="Konventionel",IF(I$2=2019,SUMPRODUCT(($B10='Landbrugsareal - resultat'!$B$5:$B$18)*(INDEX('Landbrugsareal - resultat'!$C$5:$E$18,,MATCH($D10,'Landbrugsareal - resultat'!$C$4:$E$4,0)))),IF(I$2=2030,SUMPRODUCT(($B10='Landbrugsareal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resultat'!$I$4:$K$4,0)))))),IF(I$2=2019,SUMPRODUCT(($B10='Landbrugsareal - resultat'!$B$5:$B$18)*(INDEX('Landbrugsareal - resultat'!$L$5:$N$18,,MATCH($D10,'Landbrugsareal - resultat'!$L$4:$N$4,0)))),IF(I$2=2030,SUMPRODUCT(($B10='Landbrugsareal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resultat'!$R$4:$T$4,0))))))),IF($C10="Konventionel",IF(I$2=2019,SUMPRODUCT((C10='Landbrugsareal - resultat'!$B$32:$B$45)*(INDEX('Landbrugsareal - resultat'!$C$32:$E$45,,MATCH($D10,'Landbrugsareal - resultat'!$C$4:$E$4,0)))),IF(I$2=2030,SUMPRODUCT(($B10='Landbrugsareal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resultat'!$I$4:$K$4,0)))))),IF(I$2=2019,SUMPRODUCT(($B10='Landbrugsareal - resultat'!$B$32:$B$45)*(INDEX('Landbrugsareal - resultat'!$L$32:$N$45,,MATCH($D10,'Landbrugsareal - resultat'!$L$4:$N$4,0)))),IF(I$2=2030,SUMPRODUCT(($B10='Landbrugsareal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131614.34719540758</v>
      </c>
    </row>
    <row r="11" spans="1:9" hidden="1" x14ac:dyDescent="0.55000000000000004">
      <c r="A11" t="s">
        <v>23</v>
      </c>
      <c r="B11" s="1" t="str">
        <f>[1]Afgrødefordeling!$C$10</f>
        <v>Frugt</v>
      </c>
      <c r="C11" t="s">
        <v>7</v>
      </c>
      <c r="D11" t="str">
        <f t="shared" si="0"/>
        <v>JB1-10</v>
      </c>
      <c r="F11" t="str">
        <f t="shared" si="1"/>
        <v>Areal-frugt</v>
      </c>
      <c r="G11" s="97" cm="1">
        <f t="array" ref="G11">IF($A11="Vestdanmark",IF($C11="Konventionel",IF(G$2=2019,SUMPRODUCT(($B11='Landbrugsareal - resultat'!$B$5:$B$18)*(INDEX('Landbrugsareal - resultat'!$C$5:$E$18,,MATCH($D11,'Landbrugsareal - resultat'!$C$4:$E$4,0)))),IF(G$2=2030,SUMPRODUCT(($B11='Landbrugsareal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resultat'!$I$4:$K$4,0)))))),IF(G$2=2019,SUMPRODUCT(($B11='Landbrugsareal - resultat'!$B$5:$B$18)*(INDEX('Landbrugsareal - resultat'!$L$5:$N$18,,MATCH($D11,'Landbrugsareal - resultat'!$L$4:$N$4,0)))),IF(G$2=2030,SUMPRODUCT(($B11='Landbrugsareal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resultat'!$R$4:$T$4,0))))))),IF($C11="Konventionel",IF(G$2=2019,SUMPRODUCT((B11='Landbrugsareal - resultat'!$B$32:$B$45)*(INDEX('Landbrugsareal - resultat'!$C$32:$E$45,,MATCH($D11,'Landbrugsareal - resultat'!$C$4:$E$4,0)))),IF(G$2=2030,SUMPRODUCT(($B11='Landbrugsareal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resultat'!$I$4:$K$4,0)))))),IF(G$2=2019,SUMPRODUCT(($B11='Landbrugsareal - resultat'!$B$32:$B$45)*(INDEX('Landbrugsareal - resultat'!$L$32:$N$45,,MATCH($D11,'Landbrugsareal - resultat'!$L$4:$N$4,0)))),IF(G$2=2030,SUMPRODUCT(($B11='Landbrugsareal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2676.1448409922077</v>
      </c>
      <c r="H11" s="97" cm="1">
        <f t="array" ref="H11">IF($A11="Vestdanmark",IF($C11="Konventionel",IF(H$2=2019,SUMPRODUCT(($B11='Landbrugsareal - resultat'!$B$5:$B$18)*(INDEX('Landbrugsareal - resultat'!$C$5:$E$18,,MATCH($D11,'Landbrugsareal - resultat'!$C$4:$E$4,0)))),IF(H$2=2030,SUMPRODUCT(($B11='Landbrugsareal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resultat'!$I$4:$K$4,0)))))),IF(H$2=2019,SUMPRODUCT(($B11='Landbrugsareal - resultat'!$B$5:$B$18)*(INDEX('Landbrugsareal - resultat'!$L$5:$N$18,,MATCH($D11,'Landbrugsareal - resultat'!$L$4:$N$4,0)))),IF(H$2=2030,SUMPRODUCT(($B11='Landbrugsareal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resultat'!$R$4:$T$4,0))))))),IF($C11="Konventionel",IF(H$2=2019,SUMPRODUCT(($B11='Landbrugsareal - resultat'!$B$32:$B$45)*(INDEX('Landbrugsareal - resultat'!$C$32:$E$45,,MATCH($D11,'Landbrugsareal - resultat'!$C$4:$E$4,0)))),IF(H$2=2030,SUMPRODUCT(($B11='Landbrugsareal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resultat'!$I$4:$K$4,0)))))),IF(H$2=2019,SUMPRODUCT(($B11='Landbrugsareal - resultat'!$B$32:$B$45)*(INDEX('Landbrugsareal - resultat'!$L$32:$N$45,,MATCH($D11,'Landbrugsareal - resultat'!$L$4:$N$4,0)))),IF(H$2=2030,SUMPRODUCT(($B11='Landbrugsareal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2584.1851351493174</v>
      </c>
      <c r="I11" s="97" cm="1">
        <f t="array" ref="I11">IF($A11="Vestdanmark",IF($C11="Konventionel",IF(I$2=2019,SUMPRODUCT(($B11='Landbrugsareal - resultat'!$B$5:$B$18)*(INDEX('Landbrugsareal - resultat'!$C$5:$E$18,,MATCH($D11,'Landbrugsareal - resultat'!$C$4:$E$4,0)))),IF(I$2=2030,SUMPRODUCT(($B11='Landbrugsareal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resultat'!$I$4:$K$4,0)))))),IF(I$2=2019,SUMPRODUCT(($B11='Landbrugsareal - resultat'!$B$5:$B$18)*(INDEX('Landbrugsareal - resultat'!$L$5:$N$18,,MATCH($D11,'Landbrugsareal - resultat'!$L$4:$N$4,0)))),IF(I$2=2030,SUMPRODUCT(($B11='Landbrugsareal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resultat'!$R$4:$T$4,0))))))),IF($C11="Konventionel",IF(I$2=2019,SUMPRODUCT((C11='Landbrugsareal - resultat'!$B$32:$B$45)*(INDEX('Landbrugsareal - resultat'!$C$32:$E$45,,MATCH($D11,'Landbrugsareal - resultat'!$C$4:$E$4,0)))),IF(I$2=2030,SUMPRODUCT(($B11='Landbrugsareal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resultat'!$I$4:$K$4,0)))))),IF(I$2=2019,SUMPRODUCT(($B11='Landbrugsareal - resultat'!$B$32:$B$45)*(INDEX('Landbrugsareal - resultat'!$L$32:$N$45,,MATCH($D11,'Landbrugsareal - resultat'!$L$4:$N$4,0)))),IF(I$2=2030,SUMPRODUCT(($B11='Landbrugsareal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2418.4499844031116</v>
      </c>
    </row>
    <row r="12" spans="1:9" hidden="1" x14ac:dyDescent="0.55000000000000004">
      <c r="A12" t="s">
        <v>23</v>
      </c>
      <c r="B12" s="1" t="str">
        <f>[1]Afgrødefordeling!$C$11</f>
        <v>Øvrige</v>
      </c>
      <c r="C12" t="s">
        <v>7</v>
      </c>
      <c r="D12" t="str">
        <f t="shared" si="0"/>
        <v>JB1-10</v>
      </c>
      <c r="F12" t="str">
        <f t="shared" si="1"/>
        <v>Areal-øvrige</v>
      </c>
      <c r="G12" s="97" cm="1">
        <f t="array" ref="G12">IF($A12="Vestdanmark",IF($C12="Konventionel",IF(G$2=2019,SUMPRODUCT(($B12='Landbrugsareal - resultat'!$B$5:$B$18)*(INDEX('Landbrugsareal - resultat'!$C$5:$E$18,,MATCH($D12,'Landbrugsareal - resultat'!$C$4:$E$4,0)))),IF(G$2=2030,SUMPRODUCT(($B12='Landbrugsareal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resultat'!$I$4:$K$4,0)))))),IF(G$2=2019,SUMPRODUCT(($B12='Landbrugsareal - resultat'!$B$5:$B$18)*(INDEX('Landbrugsareal - resultat'!$L$5:$N$18,,MATCH($D12,'Landbrugsareal - resultat'!$L$4:$N$4,0)))),IF(G$2=2030,SUMPRODUCT(($B12='Landbrugsareal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resultat'!$R$4:$T$4,0))))))),IF($C12="Konventionel",IF(G$2=2019,SUMPRODUCT((B12='Landbrugsareal - resultat'!$B$32:$B$45)*(INDEX('Landbrugsareal - resultat'!$C$32:$E$45,,MATCH($D12,'Landbrugsareal - resultat'!$C$4:$E$4,0)))),IF(G$2=2030,SUMPRODUCT(($B12='Landbrugsareal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resultat'!$I$4:$K$4,0)))))),IF(G$2=2019,SUMPRODUCT(($B12='Landbrugsareal - resultat'!$B$32:$B$45)*(INDEX('Landbrugsareal - resultat'!$L$32:$N$45,,MATCH($D12,'Landbrugsareal - resultat'!$L$4:$N$4,0)))),IF(G$2=2030,SUMPRODUCT(($B12='Landbrugsareal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47330.033772765404</v>
      </c>
      <c r="H12" s="97" cm="1">
        <f t="array" ref="H12">IF($A12="Vestdanmark",IF($C12="Konventionel",IF(H$2=2019,SUMPRODUCT(($B12='Landbrugsareal - resultat'!$B$5:$B$18)*(INDEX('Landbrugsareal - resultat'!$C$5:$E$18,,MATCH($D12,'Landbrugsareal - resultat'!$C$4:$E$4,0)))),IF(H$2=2030,SUMPRODUCT(($B12='Landbrugsareal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resultat'!$I$4:$K$4,0)))))),IF(H$2=2019,SUMPRODUCT(($B12='Landbrugsareal - resultat'!$B$5:$B$18)*(INDEX('Landbrugsareal - resultat'!$L$5:$N$18,,MATCH($D12,'Landbrugsareal - resultat'!$L$4:$N$4,0)))),IF(H$2=2030,SUMPRODUCT(($B12='Landbrugsareal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resultat'!$R$4:$T$4,0))))))),IF($C12="Konventionel",IF(H$2=2019,SUMPRODUCT(($B12='Landbrugsareal - resultat'!$B$32:$B$45)*(INDEX('Landbrugsareal - resultat'!$C$32:$E$45,,MATCH($D12,'Landbrugsareal - resultat'!$C$4:$E$4,0)))),IF(H$2=2030,SUMPRODUCT(($B12='Landbrugsareal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resultat'!$I$4:$K$4,0)))))),IF(H$2=2019,SUMPRODUCT(($B12='Landbrugsareal - resultat'!$B$32:$B$45)*(INDEX('Landbrugsareal - resultat'!$L$32:$N$45,,MATCH($D12,'Landbrugsareal - resultat'!$L$4:$N$4,0)))),IF(H$2=2030,SUMPRODUCT(($B12='Landbrugsareal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45703.64348304407</v>
      </c>
      <c r="I12" s="97" cm="1">
        <f t="array" ref="I12">IF($A12="Vestdanmark",IF($C12="Konventionel",IF(I$2=2019,SUMPRODUCT(($B12='Landbrugsareal - resultat'!$B$5:$B$18)*(INDEX('Landbrugsareal - resultat'!$C$5:$E$18,,MATCH($D12,'Landbrugsareal - resultat'!$C$4:$E$4,0)))),IF(I$2=2030,SUMPRODUCT(($B12='Landbrugsareal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resultat'!$I$4:$K$4,0)))))),IF(I$2=2019,SUMPRODUCT(($B12='Landbrugsareal - resultat'!$B$5:$B$18)*(INDEX('Landbrugsareal - resultat'!$L$5:$N$18,,MATCH($D12,'Landbrugsareal - resultat'!$L$4:$N$4,0)))),IF(I$2=2030,SUMPRODUCT(($B12='Landbrugsareal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resultat'!$R$4:$T$4,0))))))),IF($C12="Konventionel",IF(I$2=2019,SUMPRODUCT((C12='Landbrugsareal - resultat'!$B$32:$B$45)*(INDEX('Landbrugsareal - resultat'!$C$32:$E$45,,MATCH($D12,'Landbrugsareal - resultat'!$C$4:$E$4,0)))),IF(I$2=2030,SUMPRODUCT(($B12='Landbrugsareal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resultat'!$I$4:$K$4,0)))))),IF(I$2=2019,SUMPRODUCT(($B12='Landbrugsareal - resultat'!$B$32:$B$45)*(INDEX('Landbrugsareal - resultat'!$L$32:$N$45,,MATCH($D12,'Landbrugsareal - resultat'!$L$4:$N$4,0)))),IF(I$2=2030,SUMPRODUCT(($B12='Landbrugsareal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42772.467949494108</v>
      </c>
    </row>
    <row r="13" spans="1:9" hidden="1" x14ac:dyDescent="0.55000000000000004">
      <c r="A13" t="s">
        <v>23</v>
      </c>
      <c r="B13" s="1" t="str">
        <f>[1]Afgrødefordeling!$C$12</f>
        <v>Frø</v>
      </c>
      <c r="C13" t="s">
        <v>7</v>
      </c>
      <c r="D13" t="str">
        <f t="shared" si="0"/>
        <v>JB1-10</v>
      </c>
      <c r="F13" t="str">
        <f t="shared" si="1"/>
        <v>Areal-frøgræs</v>
      </c>
      <c r="G13" s="97" cm="1">
        <f t="array" ref="G13">IF($A13="Vestdanmark",IF($C13="Konventionel",IF(G$2=2019,SUMPRODUCT(($B13='Landbrugsareal - resultat'!$B$5:$B$18)*(INDEX('Landbrugsareal - resultat'!$C$5:$E$18,,MATCH($D13,'Landbrugsareal - resultat'!$C$4:$E$4,0)))),IF(G$2=2030,SUMPRODUCT(($B13='Landbrugsareal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resultat'!$I$4:$K$4,0)))))),IF(G$2=2019,SUMPRODUCT(($B13='Landbrugsareal - resultat'!$B$5:$B$18)*(INDEX('Landbrugsareal - resultat'!$L$5:$N$18,,MATCH($D13,'Landbrugsareal - resultat'!$L$4:$N$4,0)))),IF(G$2=2030,SUMPRODUCT(($B13='Landbrugsareal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resultat'!$R$4:$T$4,0))))))),IF($C13="Konventionel",IF(G$2=2019,SUMPRODUCT((B13='Landbrugsareal - resultat'!$B$32:$B$45)*(INDEX('Landbrugsareal - resultat'!$C$32:$E$45,,MATCH($D13,'Landbrugsareal - resultat'!$C$4:$E$4,0)))),IF(G$2=2030,SUMPRODUCT(($B13='Landbrugsareal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resultat'!$I$4:$K$4,0)))))),IF(G$2=2019,SUMPRODUCT(($B13='Landbrugsareal - resultat'!$B$32:$B$45)*(INDEX('Landbrugsareal - resultat'!$L$32:$N$45,,MATCH($D13,'Landbrugsareal - resultat'!$L$4:$N$4,0)))),IF(G$2=2030,SUMPRODUCT(($B13='Landbrugsareal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49787.032963432102</v>
      </c>
      <c r="H13" s="97" cm="1">
        <f t="array" ref="H13">IF($A13="Vestdanmark",IF($C13="Konventionel",IF(H$2=2019,SUMPRODUCT(($B13='Landbrugsareal - resultat'!$B$5:$B$18)*(INDEX('Landbrugsareal - resultat'!$C$5:$E$18,,MATCH($D13,'Landbrugsareal - resultat'!$C$4:$E$4,0)))),IF(H$2=2030,SUMPRODUCT(($B13='Landbrugsareal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resultat'!$I$4:$K$4,0)))))),IF(H$2=2019,SUMPRODUCT(($B13='Landbrugsareal - resultat'!$B$5:$B$18)*(INDEX('Landbrugsareal - resultat'!$L$5:$N$18,,MATCH($D13,'Landbrugsareal - resultat'!$L$4:$N$4,0)))),IF(H$2=2030,SUMPRODUCT(($B13='Landbrugsareal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resultat'!$R$4:$T$4,0))))))),IF($C13="Konventionel",IF(H$2=2019,SUMPRODUCT(($B13='Landbrugsareal - resultat'!$B$32:$B$45)*(INDEX('Landbrugsareal - resultat'!$C$32:$E$45,,MATCH($D13,'Landbrugsareal - resultat'!$C$4:$E$4,0)))),IF(H$2=2030,SUMPRODUCT(($B13='Landbrugsareal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resultat'!$I$4:$K$4,0)))))),IF(H$2=2019,SUMPRODUCT(($B13='Landbrugsareal - resultat'!$B$32:$B$45)*(INDEX('Landbrugsareal - resultat'!$L$32:$N$45,,MATCH($D13,'Landbrugsareal - resultat'!$L$4:$N$4,0)))),IF(H$2=2030,SUMPRODUCT(($B13='Landbrugsareal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48076.213415858583</v>
      </c>
      <c r="I13" s="97" cm="1">
        <f t="array" ref="I13">IF($A13="Vestdanmark",IF($C13="Konventionel",IF(I$2=2019,SUMPRODUCT(($B13='Landbrugsareal - resultat'!$B$5:$B$18)*(INDEX('Landbrugsareal - resultat'!$C$5:$E$18,,MATCH($D13,'Landbrugsareal - resultat'!$C$4:$E$4,0)))),IF(I$2=2030,SUMPRODUCT(($B13='Landbrugsareal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resultat'!$I$4:$K$4,0)))))),IF(I$2=2019,SUMPRODUCT(($B13='Landbrugsareal - resultat'!$B$5:$B$18)*(INDEX('Landbrugsareal - resultat'!$L$5:$N$18,,MATCH($D13,'Landbrugsareal - resultat'!$L$4:$N$4,0)))),IF(I$2=2030,SUMPRODUCT(($B13='Landbrugsareal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resultat'!$R$4:$T$4,0))))))),IF($C13="Konventionel",IF(I$2=2019,SUMPRODUCT((C13='Landbrugsareal - resultat'!$B$32:$B$45)*(INDEX('Landbrugsareal - resultat'!$C$32:$E$45,,MATCH($D13,'Landbrugsareal - resultat'!$C$4:$E$4,0)))),IF(I$2=2030,SUMPRODUCT(($B13='Landbrugsareal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resultat'!$I$4:$K$4,0)))))),IF(I$2=2019,SUMPRODUCT(($B13='Landbrugsareal - resultat'!$B$32:$B$45)*(INDEX('Landbrugsareal - resultat'!$L$32:$N$45,,MATCH($D13,'Landbrugsareal - resultat'!$L$4:$N$4,0)))),IF(I$2=2030,SUMPRODUCT(($B13='Landbrugsareal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44992.874544580809</v>
      </c>
    </row>
    <row r="14" spans="1:9" hidden="1" x14ac:dyDescent="0.55000000000000004">
      <c r="A14" t="s">
        <v>23</v>
      </c>
      <c r="B14" s="1" t="str">
        <f>[1]Afgrødefordeling!$C$13</f>
        <v>Juletræer</v>
      </c>
      <c r="C14" t="s">
        <v>7</v>
      </c>
      <c r="D14" t="str">
        <f t="shared" si="0"/>
        <v>JB1-10</v>
      </c>
      <c r="F14" t="str">
        <f t="shared" si="1"/>
        <v>Areal-juletræer</v>
      </c>
      <c r="G14" s="97" cm="1">
        <f t="array" ref="G14">IF($A14="Vestdanmark",IF($C14="Konventionel",IF(G$2=2019,SUMPRODUCT(($B14='Landbrugsareal - resultat'!$B$5:$B$18)*(INDEX('Landbrugsareal - resultat'!$C$5:$E$18,,MATCH($D14,'Landbrugsareal - resultat'!$C$4:$E$4,0)))),IF(G$2=2030,SUMPRODUCT(($B14='Landbrugsareal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resultat'!$I$4:$K$4,0)))))),IF(G$2=2019,SUMPRODUCT(($B14='Landbrugsareal - resultat'!$B$5:$B$18)*(INDEX('Landbrugsareal - resultat'!$L$5:$N$18,,MATCH($D14,'Landbrugsareal - resultat'!$L$4:$N$4,0)))),IF(G$2=2030,SUMPRODUCT(($B14='Landbrugsareal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resultat'!$R$4:$T$4,0))))))),IF($C14="Konventionel",IF(G$2=2019,SUMPRODUCT((B14='Landbrugsareal - resultat'!$B$32:$B$45)*(INDEX('Landbrugsareal - resultat'!$C$32:$E$45,,MATCH($D14,'Landbrugsareal - resultat'!$C$4:$E$4,0)))),IF(G$2=2030,SUMPRODUCT(($B14='Landbrugsareal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resultat'!$I$4:$K$4,0)))))),IF(G$2=2019,SUMPRODUCT(($B14='Landbrugsareal - resultat'!$B$32:$B$45)*(INDEX('Landbrugsareal - resultat'!$L$32:$N$45,,MATCH($D14,'Landbrugsareal - resultat'!$L$4:$N$4,0)))),IF(G$2=2030,SUMPRODUCT(($B14='Landbrugsareal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13422.322311297707</v>
      </c>
      <c r="H14" s="97" cm="1">
        <f t="array" ref="H14">IF($A14="Vestdanmark",IF($C14="Konventionel",IF(H$2=2019,SUMPRODUCT(($B14='Landbrugsareal - resultat'!$B$5:$B$18)*(INDEX('Landbrugsareal - resultat'!$C$5:$E$18,,MATCH($D14,'Landbrugsareal - resultat'!$C$4:$E$4,0)))),IF(H$2=2030,SUMPRODUCT(($B14='Landbrugsareal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resultat'!$I$4:$K$4,0)))))),IF(H$2=2019,SUMPRODUCT(($B14='Landbrugsareal - resultat'!$B$5:$B$18)*(INDEX('Landbrugsareal - resultat'!$L$5:$N$18,,MATCH($D14,'Landbrugsareal - resultat'!$L$4:$N$4,0)))),IF(H$2=2030,SUMPRODUCT(($B14='Landbrugsareal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resultat'!$R$4:$T$4,0))))))),IF($C14="Konventionel",IF(H$2=2019,SUMPRODUCT(($B14='Landbrugsareal - resultat'!$B$32:$B$45)*(INDEX('Landbrugsareal - resultat'!$C$32:$E$45,,MATCH($D14,'Landbrugsareal - resultat'!$C$4:$E$4,0)))),IF(H$2=2030,SUMPRODUCT(($B14='Landbrugsareal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resultat'!$I$4:$K$4,0)))))),IF(H$2=2019,SUMPRODUCT(($B14='Landbrugsareal - resultat'!$B$32:$B$45)*(INDEX('Landbrugsareal - resultat'!$L$32:$N$45,,MATCH($D14,'Landbrugsareal - resultat'!$L$4:$N$4,0)))),IF(H$2=2030,SUMPRODUCT(($B14='Landbrugsareal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12961.094356603833</v>
      </c>
      <c r="I14" s="97" cm="1">
        <f t="array" ref="I14">IF($A14="Vestdanmark",IF($C14="Konventionel",IF(I$2=2019,SUMPRODUCT(($B14='Landbrugsareal - resultat'!$B$5:$B$18)*(INDEX('Landbrugsareal - resultat'!$C$5:$E$18,,MATCH($D14,'Landbrugsareal - resultat'!$C$4:$E$4,0)))),IF(I$2=2030,SUMPRODUCT(($B14='Landbrugsareal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resultat'!$I$4:$K$4,0)))))),IF(I$2=2019,SUMPRODUCT(($B14='Landbrugsareal - resultat'!$B$5:$B$18)*(INDEX('Landbrugsareal - resultat'!$L$5:$N$18,,MATCH($D14,'Landbrugsareal - resultat'!$L$4:$N$4,0)))),IF(I$2=2030,SUMPRODUCT(($B14='Landbrugsareal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resultat'!$R$4:$T$4,0))))))),IF($C14="Konventionel",IF(I$2=2019,SUMPRODUCT((C14='Landbrugsareal - resultat'!$B$32:$B$45)*(INDEX('Landbrugsareal - resultat'!$C$32:$E$45,,MATCH($D14,'Landbrugsareal - resultat'!$C$4:$E$4,0)))),IF(I$2=2030,SUMPRODUCT(($B14='Landbrugsareal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resultat'!$I$4:$K$4,0)))))),IF(I$2=2019,SUMPRODUCT(($B14='Landbrugsareal - resultat'!$B$32:$B$45)*(INDEX('Landbrugsareal - resultat'!$L$32:$N$45,,MATCH($D14,'Landbrugsareal - resultat'!$L$4:$N$4,0)))),IF(I$2=2030,SUMPRODUCT(($B14='Landbrugsareal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12129.842408819752</v>
      </c>
    </row>
    <row r="15" spans="1:9" hidden="1" x14ac:dyDescent="0.55000000000000004">
      <c r="A15" t="s">
        <v>23</v>
      </c>
      <c r="B15" s="1" t="str">
        <f>[1]Afgrødefordeling!$C$14</f>
        <v>Pil &amp; poppel</v>
      </c>
      <c r="C15" t="s">
        <v>7</v>
      </c>
      <c r="D15" t="str">
        <f t="shared" si="0"/>
        <v>JB1-10</v>
      </c>
      <c r="F15" t="str">
        <f t="shared" si="1"/>
        <v>Areal-pil-poppel</v>
      </c>
      <c r="G15" s="97" cm="1">
        <f t="array" ref="G15">IF($A15="Vestdanmark",IF($C15="Konventionel",IF(G$2=2019,SUMPRODUCT(($B15='Landbrugsareal - resultat'!$B$5:$B$18)*(INDEX('Landbrugsareal - resultat'!$C$5:$E$18,,MATCH($D15,'Landbrugsareal - resultat'!$C$4:$E$4,0)))),IF(G$2=2030,SUMPRODUCT(($B15='Landbrugsareal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resultat'!$I$4:$K$4,0)))))),IF(G$2=2019,SUMPRODUCT(($B15='Landbrugsareal - resultat'!$B$5:$B$18)*(INDEX('Landbrugsareal - resultat'!$L$5:$N$18,,MATCH($D15,'Landbrugsareal - resultat'!$L$4:$N$4,0)))),IF(G$2=2030,SUMPRODUCT(($B15='Landbrugsareal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resultat'!$R$4:$T$4,0))))))),IF($C15="Konventionel",IF(G$2=2019,SUMPRODUCT((B15='Landbrugsareal - resultat'!$B$32:$B$45)*(INDEX('Landbrugsareal - resultat'!$C$32:$E$45,,MATCH($D15,'Landbrugsareal - resultat'!$C$4:$E$4,0)))),IF(G$2=2030,SUMPRODUCT(($B15='Landbrugsareal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resultat'!$I$4:$K$4,0)))))),IF(G$2=2019,SUMPRODUCT(($B15='Landbrugsareal - resultat'!$B$32:$B$45)*(INDEX('Landbrugsareal - resultat'!$L$32:$N$45,,MATCH($D15,'Landbrugsareal - resultat'!$L$4:$N$4,0)))),IF(G$2=2030,SUMPRODUCT(($B15='Landbrugsareal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4937.1607996010098</v>
      </c>
      <c r="H15" s="97" cm="1">
        <f t="array" ref="H15">IF($A15="Vestdanmark",IF($C15="Konventionel",IF(H$2=2019,SUMPRODUCT(($B15='Landbrugsareal - resultat'!$B$5:$B$18)*(INDEX('Landbrugsareal - resultat'!$C$5:$E$18,,MATCH($D15,'Landbrugsareal - resultat'!$C$4:$E$4,0)))),IF(H$2=2030,SUMPRODUCT(($B15='Landbrugsareal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resultat'!$I$4:$K$4,0)))))),IF(H$2=2019,SUMPRODUCT(($B15='Landbrugsareal - resultat'!$B$5:$B$18)*(INDEX('Landbrugsareal - resultat'!$L$5:$N$18,,MATCH($D15,'Landbrugsareal - resultat'!$L$4:$N$4,0)))),IF(H$2=2030,SUMPRODUCT(($B15='Landbrugsareal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resultat'!$R$4:$T$4,0))))))),IF($C15="Konventionel",IF(H$2=2019,SUMPRODUCT(($B15='Landbrugsareal - resultat'!$B$32:$B$45)*(INDEX('Landbrugsareal - resultat'!$C$32:$E$45,,MATCH($D15,'Landbrugsareal - resultat'!$C$4:$E$4,0)))),IF(H$2=2030,SUMPRODUCT(($B15='Landbrugsareal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resultat'!$I$4:$K$4,0)))))),IF(H$2=2019,SUMPRODUCT(($B15='Landbrugsareal - resultat'!$B$32:$B$45)*(INDEX('Landbrugsareal - resultat'!$L$32:$N$45,,MATCH($D15,'Landbrugsareal - resultat'!$L$4:$N$4,0)))),IF(H$2=2030,SUMPRODUCT(($B15='Landbrugsareal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4767.5063594242874</v>
      </c>
      <c r="I15" s="97" cm="1">
        <f t="array" ref="I15">IF($A15="Vestdanmark",IF($C15="Konventionel",IF(I$2=2019,SUMPRODUCT(($B15='Landbrugsareal - resultat'!$B$5:$B$18)*(INDEX('Landbrugsareal - resultat'!$C$5:$E$18,,MATCH($D15,'Landbrugsareal - resultat'!$C$4:$E$4,0)))),IF(I$2=2030,SUMPRODUCT(($B15='Landbrugsareal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resultat'!$I$4:$K$4,0)))))),IF(I$2=2019,SUMPRODUCT(($B15='Landbrugsareal - resultat'!$B$5:$B$18)*(INDEX('Landbrugsareal - resultat'!$L$5:$N$18,,MATCH($D15,'Landbrugsareal - resultat'!$L$4:$N$4,0)))),IF(I$2=2030,SUMPRODUCT(($B15='Landbrugsareal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resultat'!$R$4:$T$4,0))))))),IF($C15="Konventionel",IF(I$2=2019,SUMPRODUCT((C15='Landbrugsareal - resultat'!$B$32:$B$45)*(INDEX('Landbrugsareal - resultat'!$C$32:$E$45,,MATCH($D15,'Landbrugsareal - resultat'!$C$4:$E$4,0)))),IF(I$2=2030,SUMPRODUCT(($B15='Landbrugsareal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resultat'!$I$4:$K$4,0)))))),IF(I$2=2019,SUMPRODUCT(($B15='Landbrugsareal - resultat'!$B$32:$B$45)*(INDEX('Landbrugsareal - resultat'!$L$32:$N$45,,MATCH($D15,'Landbrugsareal - resultat'!$L$4:$N$4,0)))),IF(I$2=2030,SUMPRODUCT(($B15='Landbrugsareal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4461.7452224161889</v>
      </c>
    </row>
    <row r="16" spans="1:9" hidden="1" x14ac:dyDescent="0.55000000000000004">
      <c r="A16" t="s">
        <v>23</v>
      </c>
      <c r="B16" s="1" t="str">
        <f>[1]Afgrødefordeling!$C$15</f>
        <v>Permanent græs</v>
      </c>
      <c r="C16" t="s">
        <v>7</v>
      </c>
      <c r="D16" t="str">
        <f t="shared" si="0"/>
        <v>JB1-10</v>
      </c>
      <c r="F16" t="str">
        <f t="shared" si="1"/>
        <v>Areal-permanent græs</v>
      </c>
      <c r="G16" s="97" cm="1">
        <f t="array" ref="G16">IF($A16="Vestdanmark",IF($C16="Konventionel",IF(G$2=2019,SUMPRODUCT(($B16='Landbrugsareal - resultat'!$B$5:$B$18)*(INDEX('Landbrugsareal - resultat'!$C$5:$E$18,,MATCH($D16,'Landbrugsareal - resultat'!$C$4:$E$4,0)))),IF(G$2=2030,SUMPRODUCT(($B16='Landbrugsareal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resultat'!$I$4:$K$4,0)))))),IF(G$2=2019,SUMPRODUCT(($B16='Landbrugsareal - resultat'!$B$5:$B$18)*(INDEX('Landbrugsareal - resultat'!$L$5:$N$18,,MATCH($D16,'Landbrugsareal - resultat'!$L$4:$N$4,0)))),IF(G$2=2030,SUMPRODUCT(($B16='Landbrugsareal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resultat'!$R$4:$T$4,0))))))),IF($C16="Konventionel",IF(G$2=2019,SUMPRODUCT((B16='Landbrugsareal - resultat'!$B$32:$B$45)*(INDEX('Landbrugsareal - resultat'!$C$32:$E$45,,MATCH($D16,'Landbrugsareal - resultat'!$C$4:$E$4,0)))),IF(G$2=2030,SUMPRODUCT(($B16='Landbrugsareal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resultat'!$I$4:$K$4,0)))))),IF(G$2=2019,SUMPRODUCT(($B16='Landbrugsareal - resultat'!$B$32:$B$45)*(INDEX('Landbrugsareal - resultat'!$L$32:$N$45,,MATCH($D16,'Landbrugsareal - resultat'!$L$4:$N$4,0)))),IF(G$2=2030,SUMPRODUCT(($B16='Landbrugsareal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119003.01274629038</v>
      </c>
      <c r="H16" s="97" cm="1">
        <f t="array" ref="H16">IF($A16="Vestdanmark",IF($C16="Konventionel",IF(H$2=2019,SUMPRODUCT(($B16='Landbrugsareal - resultat'!$B$5:$B$18)*(INDEX('Landbrugsareal - resultat'!$C$5:$E$18,,MATCH($D16,'Landbrugsareal - resultat'!$C$4:$E$4,0)))),IF(H$2=2030,SUMPRODUCT(($B16='Landbrugsareal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resultat'!$I$4:$K$4,0)))))),IF(H$2=2019,SUMPRODUCT(($B16='Landbrugsareal - resultat'!$B$5:$B$18)*(INDEX('Landbrugsareal - resultat'!$L$5:$N$18,,MATCH($D16,'Landbrugsareal - resultat'!$L$4:$N$4,0)))),IF(H$2=2030,SUMPRODUCT(($B16='Landbrugsareal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resultat'!$R$4:$T$4,0))))))),IF($C16="Konventionel",IF(H$2=2019,SUMPRODUCT(($B16='Landbrugsareal - resultat'!$B$32:$B$45)*(INDEX('Landbrugsareal - resultat'!$C$32:$E$45,,MATCH($D16,'Landbrugsareal - resultat'!$C$4:$E$4,0)))),IF(H$2=2030,SUMPRODUCT(($B16='Landbrugsareal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resultat'!$I$4:$K$4,0)))))),IF(H$2=2019,SUMPRODUCT(($B16='Landbrugsareal - resultat'!$B$32:$B$45)*(INDEX('Landbrugsareal - resultat'!$L$32:$N$45,,MATCH($D16,'Landbrugsareal - resultat'!$L$4:$N$4,0)))),IF(H$2=2030,SUMPRODUCT(($B16='Landbrugsareal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114913.74153834289</v>
      </c>
      <c r="I16" s="97" cm="1">
        <f t="array" ref="I16">IF($A16="Vestdanmark",IF($C16="Konventionel",IF(I$2=2019,SUMPRODUCT(($B16='Landbrugsareal - resultat'!$B$5:$B$18)*(INDEX('Landbrugsareal - resultat'!$C$5:$E$18,,MATCH($D16,'Landbrugsareal - resultat'!$C$4:$E$4,0)))),IF(I$2=2030,SUMPRODUCT(($B16='Landbrugsareal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resultat'!$I$4:$K$4,0)))))),IF(I$2=2019,SUMPRODUCT(($B16='Landbrugsareal - resultat'!$B$5:$B$18)*(INDEX('Landbrugsareal - resultat'!$L$5:$N$18,,MATCH($D16,'Landbrugsareal - resultat'!$L$4:$N$4,0)))),IF(I$2=2030,SUMPRODUCT(($B16='Landbrugsareal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resultat'!$R$4:$T$4,0))))))),IF($C16="Konventionel",IF(I$2=2019,SUMPRODUCT((C16='Landbrugsareal - resultat'!$B$32:$B$45)*(INDEX('Landbrugsareal - resultat'!$C$32:$E$45,,MATCH($D16,'Landbrugsareal - resultat'!$C$4:$E$4,0)))),IF(I$2=2030,SUMPRODUCT(($B16='Landbrugsareal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resultat'!$I$4:$K$4,0)))))),IF(I$2=2019,SUMPRODUCT(($B16='Landbrugsareal - resultat'!$B$32:$B$45)*(INDEX('Landbrugsareal - resultat'!$L$32:$N$45,,MATCH($D16,'Landbrugsareal - resultat'!$L$4:$N$4,0)))),IF(I$2=2030,SUMPRODUCT(($B16='Landbrugsareal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107543.81822378619</v>
      </c>
    </row>
    <row r="17" spans="1:9" hidden="1" x14ac:dyDescent="0.55000000000000004">
      <c r="A17" t="s">
        <v>23</v>
      </c>
      <c r="B17" s="1" t="str">
        <f>[1]Afgrødefordeling!$C$2</f>
        <v>Korn</v>
      </c>
      <c r="C17" t="s">
        <v>7</v>
      </c>
      <c r="D17" t="str">
        <f t="shared" ref="D17:D30" si="2">Organ6</f>
        <v>OC6</v>
      </c>
      <c r="F17" t="str">
        <f t="shared" si="1"/>
        <v>Areal-korn</v>
      </c>
      <c r="G17" s="97" cm="1">
        <f t="array" ref="G17">IF($A17="Vestdanmark",IF($C17="Konventionel",IF(G$2=2019,SUMPRODUCT(($B17='Landbrugsareal - resultat'!$B$5:$B$18)*(INDEX('Landbrugsareal - resultat'!$C$5:$E$18,,MATCH($D17,'Landbrugsareal - resultat'!$C$4:$E$4,0)))),IF(G$2=2030,SUMPRODUCT(($B17='Landbrugsareal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resultat'!$I$4:$K$4,0)))))),IF(G$2=2019,SUMPRODUCT(($B17='Landbrugsareal - resultat'!$B$5:$B$18)*(INDEX('Landbrugsareal - resultat'!$L$5:$N$18,,MATCH($D17,'Landbrugsareal - resultat'!$L$4:$N$4,0)))),IF(G$2=2030,SUMPRODUCT(($B17='Landbrugsareal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resultat'!$R$4:$T$4,0))))))),IF($C17="Konventionel",IF(G$2=2019,SUMPRODUCT((B17='Landbrugsareal - resultat'!$B$32:$B$45)*(INDEX('Landbrugsareal - resultat'!$C$32:$E$45,,MATCH($D17,'Landbrugsareal - resultat'!$C$4:$E$4,0)))),IF(G$2=2030,SUMPRODUCT(($B17='Landbrugsareal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resultat'!$I$4:$K$4,0)))))),IF(G$2=2019,SUMPRODUCT(($B17='Landbrugsareal - resultat'!$B$32:$B$45)*(INDEX('Landbrugsareal - resultat'!$L$32:$N$45,,MATCH($D17,'Landbrugsareal - resultat'!$L$4:$N$4,0)))),IF(G$2=2030,SUMPRODUCT(($B17='Landbrugsareal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23536.994348302134</v>
      </c>
      <c r="H17" s="97" cm="1">
        <f t="array" ref="H17">IF($A17="Vestdanmark",IF($C17="Konventionel",IF(H$2=2019,SUMPRODUCT(($B17='Landbrugsareal - resultat'!$B$5:$B$18)*(INDEX('Landbrugsareal - resultat'!$C$5:$E$18,,MATCH($D17,'Landbrugsareal - resultat'!$C$4:$E$4,0)))),IF(H$2=2030,SUMPRODUCT(($B17='Landbrugsareal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resultat'!$I$4:$K$4,0)))))),IF(H$2=2019,SUMPRODUCT(($B17='Landbrugsareal - resultat'!$B$5:$B$18)*(INDEX('Landbrugsareal - resultat'!$L$5:$N$18,,MATCH($D17,'Landbrugsareal - resultat'!$L$4:$N$4,0)))),IF(H$2=2030,SUMPRODUCT(($B17='Landbrugsareal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resultat'!$R$4:$T$4,0))))))),IF($C17="Konventionel",IF(H$2=2019,SUMPRODUCT(($B17='Landbrugsareal - resultat'!$B$32:$B$45)*(INDEX('Landbrugsareal - resultat'!$C$32:$E$45,,MATCH($D17,'Landbrugsareal - resultat'!$C$4:$E$4,0)))),IF(H$2=2030,SUMPRODUCT(($B17='Landbrugsareal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resultat'!$I$4:$K$4,0)))))),IF(H$2=2019,SUMPRODUCT(($B17='Landbrugsareal - resultat'!$B$32:$B$45)*(INDEX('Landbrugsareal - resultat'!$L$32:$N$45,,MATCH($D17,'Landbrugsareal - resultat'!$L$4:$N$4,0)))),IF(H$2=2030,SUMPRODUCT(($B17='Landbrugsareal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21249.096650527637</v>
      </c>
      <c r="I17" s="97" cm="1">
        <f t="array" ref="I17">IF($A17="Vestdanmark",IF($C17="Konventionel",IF(I$2=2019,SUMPRODUCT(($B17='Landbrugsareal - resultat'!$B$5:$B$18)*(INDEX('Landbrugsareal - resultat'!$C$5:$E$18,,MATCH($D17,'Landbrugsareal - resultat'!$C$4:$E$4,0)))),IF(I$2=2030,SUMPRODUCT(($B17='Landbrugsareal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resultat'!$I$4:$K$4,0)))))),IF(I$2=2019,SUMPRODUCT(($B17='Landbrugsareal - resultat'!$B$5:$B$18)*(INDEX('Landbrugsareal - resultat'!$L$5:$N$18,,MATCH($D17,'Landbrugsareal - resultat'!$L$4:$N$4,0)))),IF(I$2=2030,SUMPRODUCT(($B17='Landbrugsareal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resultat'!$R$4:$T$4,0))))))),IF($C17="Konventionel",IF(I$2=2019,SUMPRODUCT((C17='Landbrugsareal - resultat'!$B$32:$B$45)*(INDEX('Landbrugsareal - resultat'!$C$32:$E$45,,MATCH($D17,'Landbrugsareal - resultat'!$C$4:$E$4,0)))),IF(I$2=2030,SUMPRODUCT(($B17='Landbrugsareal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resultat'!$I$4:$K$4,0)))))),IF(I$2=2019,SUMPRODUCT(($B17='Landbrugsareal - resultat'!$B$32:$B$45)*(INDEX('Landbrugsareal - resultat'!$L$32:$N$45,,MATCH($D17,'Landbrugsareal - resultat'!$L$4:$N$4,0)))),IF(I$2=2030,SUMPRODUCT(($B17='Landbrugsareal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20266.479464376069</v>
      </c>
    </row>
    <row r="18" spans="1:9" hidden="1" x14ac:dyDescent="0.55000000000000004">
      <c r="A18" t="s">
        <v>23</v>
      </c>
      <c r="B18" s="1" t="str">
        <f>[1]Afgrødefordeling!$C$3</f>
        <v>Bælgsæd</v>
      </c>
      <c r="C18" t="s">
        <v>7</v>
      </c>
      <c r="D18" t="str">
        <f t="shared" si="2"/>
        <v>OC6</v>
      </c>
      <c r="F18" t="str">
        <f t="shared" si="1"/>
        <v>Areal-bælgsæd</v>
      </c>
      <c r="G18" s="97" cm="1">
        <f t="array" ref="G18">IF($A18="Vestdanmark",IF($C18="Konventionel",IF(G$2=2019,SUMPRODUCT(($B18='Landbrugsareal - resultat'!$B$5:$B$18)*(INDEX('Landbrugsareal - resultat'!$C$5:$E$18,,MATCH($D18,'Landbrugsareal - resultat'!$C$4:$E$4,0)))),IF(G$2=2030,SUMPRODUCT(($B18='Landbrugsareal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resultat'!$I$4:$K$4,0)))))),IF(G$2=2019,SUMPRODUCT(($B18='Landbrugsareal - resultat'!$B$5:$B$18)*(INDEX('Landbrugsareal - resultat'!$L$5:$N$18,,MATCH($D18,'Landbrugsareal - resultat'!$L$4:$N$4,0)))),IF(G$2=2030,SUMPRODUCT(($B18='Landbrugsareal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resultat'!$R$4:$T$4,0))))))),IF($C18="Konventionel",IF(G$2=2019,SUMPRODUCT((B18='Landbrugsareal - resultat'!$B$32:$B$45)*(INDEX('Landbrugsareal - resultat'!$C$32:$E$45,,MATCH($D18,'Landbrugsareal - resultat'!$C$4:$E$4,0)))),IF(G$2=2030,SUMPRODUCT(($B18='Landbrugsareal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resultat'!$I$4:$K$4,0)))))),IF(G$2=2019,SUMPRODUCT(($B18='Landbrugsareal - resultat'!$B$32:$B$45)*(INDEX('Landbrugsareal - resultat'!$L$32:$N$45,,MATCH($D18,'Landbrugsareal - resultat'!$L$4:$N$4,0)))),IF(G$2=2030,SUMPRODUCT(($B18='Landbrugsareal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2017.6900814622547</v>
      </c>
      <c r="H18" s="97" cm="1">
        <f t="array" ref="H18">IF($A18="Vestdanmark",IF($C18="Konventionel",IF(H$2=2019,SUMPRODUCT(($B18='Landbrugsareal - resultat'!$B$5:$B$18)*(INDEX('Landbrugsareal - resultat'!$C$5:$E$18,,MATCH($D18,'Landbrugsareal - resultat'!$C$4:$E$4,0)))),IF(H$2=2030,SUMPRODUCT(($B18='Landbrugsareal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resultat'!$I$4:$K$4,0)))))),IF(H$2=2019,SUMPRODUCT(($B18='Landbrugsareal - resultat'!$B$5:$B$18)*(INDEX('Landbrugsareal - resultat'!$L$5:$N$18,,MATCH($D18,'Landbrugsareal - resultat'!$L$4:$N$4,0)))),IF(H$2=2030,SUMPRODUCT(($B18='Landbrugsareal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resultat'!$R$4:$T$4,0))))))),IF($C18="Konventionel",IF(H$2=2019,SUMPRODUCT(($B18='Landbrugsareal - resultat'!$B$32:$B$45)*(INDEX('Landbrugsareal - resultat'!$C$32:$E$45,,MATCH($D18,'Landbrugsareal - resultat'!$C$4:$E$4,0)))),IF(H$2=2030,SUMPRODUCT(($B18='Landbrugsareal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resultat'!$I$4:$K$4,0)))))),IF(H$2=2019,SUMPRODUCT(($B18='Landbrugsareal - resultat'!$B$32:$B$45)*(INDEX('Landbrugsareal - resultat'!$L$32:$N$45,,MATCH($D18,'Landbrugsareal - resultat'!$L$4:$N$4,0)))),IF(H$2=2030,SUMPRODUCT(($B18='Landbrugsareal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1821.561874780974</v>
      </c>
      <c r="I18" s="97" cm="1">
        <f t="array" ref="I18">IF($A18="Vestdanmark",IF($C18="Konventionel",IF(I$2=2019,SUMPRODUCT(($B18='Landbrugsareal - resultat'!$B$5:$B$18)*(INDEX('Landbrugsareal - resultat'!$C$5:$E$18,,MATCH($D18,'Landbrugsareal - resultat'!$C$4:$E$4,0)))),IF(I$2=2030,SUMPRODUCT(($B18='Landbrugsareal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resultat'!$I$4:$K$4,0)))))),IF(I$2=2019,SUMPRODUCT(($B18='Landbrugsareal - resultat'!$B$5:$B$18)*(INDEX('Landbrugsareal - resultat'!$L$5:$N$18,,MATCH($D18,'Landbrugsareal - resultat'!$L$4:$N$4,0)))),IF(I$2=2030,SUMPRODUCT(($B18='Landbrugsareal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resultat'!$R$4:$T$4,0))))))),IF($C18="Konventionel",IF(I$2=2019,SUMPRODUCT((C18='Landbrugsareal - resultat'!$B$32:$B$45)*(INDEX('Landbrugsareal - resultat'!$C$32:$E$45,,MATCH($D18,'Landbrugsareal - resultat'!$C$4:$E$4,0)))),IF(I$2=2030,SUMPRODUCT(($B18='Landbrugsareal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resultat'!$I$4:$K$4,0)))))),IF(I$2=2019,SUMPRODUCT(($B18='Landbrugsareal - resultat'!$B$32:$B$45)*(INDEX('Landbrugsareal - resultat'!$L$32:$N$45,,MATCH($D18,'Landbrugsareal - resultat'!$L$4:$N$4,0)))),IF(I$2=2030,SUMPRODUCT(($B18='Landbrugsareal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1737.3277996465938</v>
      </c>
    </row>
    <row r="19" spans="1:9" hidden="1" x14ac:dyDescent="0.55000000000000004">
      <c r="A19" t="s">
        <v>23</v>
      </c>
      <c r="B19" s="1" t="str">
        <f>[1]Afgrødefordeling!$C$4</f>
        <v>Raps</v>
      </c>
      <c r="C19" t="s">
        <v>7</v>
      </c>
      <c r="D19" t="str">
        <f t="shared" si="2"/>
        <v>OC6</v>
      </c>
      <c r="F19" t="str">
        <f t="shared" si="1"/>
        <v>Areal-raps</v>
      </c>
      <c r="G19" s="97" cm="1">
        <f t="array" ref="G19">IF($A19="Vestdanmark",IF($C19="Konventionel",IF(G$2=2019,SUMPRODUCT(($B19='Landbrugsareal - resultat'!$B$5:$B$18)*(INDEX('Landbrugsareal - resultat'!$C$5:$E$18,,MATCH($D19,'Landbrugsareal - resultat'!$C$4:$E$4,0)))),IF(G$2=2030,SUMPRODUCT(($B19='Landbrugsareal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resultat'!$I$4:$K$4,0)))))),IF(G$2=2019,SUMPRODUCT(($B19='Landbrugsareal - resultat'!$B$5:$B$18)*(INDEX('Landbrugsareal - resultat'!$L$5:$N$18,,MATCH($D19,'Landbrugsareal - resultat'!$L$4:$N$4,0)))),IF(G$2=2030,SUMPRODUCT(($B19='Landbrugsareal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resultat'!$R$4:$T$4,0))))))),IF($C19="Konventionel",IF(G$2=2019,SUMPRODUCT((B19='Landbrugsareal - resultat'!$B$32:$B$45)*(INDEX('Landbrugsareal - resultat'!$C$32:$E$45,,MATCH($D19,'Landbrugsareal - resultat'!$C$4:$E$4,0)))),IF(G$2=2030,SUMPRODUCT(($B19='Landbrugsareal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resultat'!$I$4:$K$4,0)))))),IF(G$2=2019,SUMPRODUCT(($B19='Landbrugsareal - resultat'!$B$32:$B$45)*(INDEX('Landbrugsareal - resultat'!$L$32:$N$45,,MATCH($D19,'Landbrugsareal - resultat'!$L$4:$N$4,0)))),IF(G$2=2030,SUMPRODUCT(($B19='Landbrugsareal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2160.5082355894242</v>
      </c>
      <c r="H19" s="97" cm="1">
        <f t="array" ref="H19">IF($A19="Vestdanmark",IF($C19="Konventionel",IF(H$2=2019,SUMPRODUCT(($B19='Landbrugsareal - resultat'!$B$5:$B$18)*(INDEX('Landbrugsareal - resultat'!$C$5:$E$18,,MATCH($D19,'Landbrugsareal - resultat'!$C$4:$E$4,0)))),IF(H$2=2030,SUMPRODUCT(($B19='Landbrugsareal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resultat'!$I$4:$K$4,0)))))),IF(H$2=2019,SUMPRODUCT(($B19='Landbrugsareal - resultat'!$B$5:$B$18)*(INDEX('Landbrugsareal - resultat'!$L$5:$N$18,,MATCH($D19,'Landbrugsareal - resultat'!$L$4:$N$4,0)))),IF(H$2=2030,SUMPRODUCT(($B19='Landbrugsareal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resultat'!$R$4:$T$4,0))))))),IF($C19="Konventionel",IF(H$2=2019,SUMPRODUCT(($B19='Landbrugsareal - resultat'!$B$32:$B$45)*(INDEX('Landbrugsareal - resultat'!$C$32:$E$45,,MATCH($D19,'Landbrugsareal - resultat'!$C$4:$E$4,0)))),IF(H$2=2030,SUMPRODUCT(($B19='Landbrugsareal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resultat'!$I$4:$K$4,0)))))),IF(H$2=2019,SUMPRODUCT(($B19='Landbrugsareal - resultat'!$B$32:$B$45)*(INDEX('Landbrugsareal - resultat'!$L$32:$N$45,,MATCH($D19,'Landbrugsareal - resultat'!$L$4:$N$4,0)))),IF(H$2=2030,SUMPRODUCT(($B19='Landbrugsareal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1950.4974863373875</v>
      </c>
      <c r="I19" s="97" cm="1">
        <f t="array" ref="I19">IF($A19="Vestdanmark",IF($C19="Konventionel",IF(I$2=2019,SUMPRODUCT(($B19='Landbrugsareal - resultat'!$B$5:$B$18)*(INDEX('Landbrugsareal - resultat'!$C$5:$E$18,,MATCH($D19,'Landbrugsareal - resultat'!$C$4:$E$4,0)))),IF(I$2=2030,SUMPRODUCT(($B19='Landbrugsareal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resultat'!$I$4:$K$4,0)))))),IF(I$2=2019,SUMPRODUCT(($B19='Landbrugsareal - resultat'!$B$5:$B$18)*(INDEX('Landbrugsareal - resultat'!$L$5:$N$18,,MATCH($D19,'Landbrugsareal - resultat'!$L$4:$N$4,0)))),IF(I$2=2030,SUMPRODUCT(($B19='Landbrugsareal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resultat'!$R$4:$T$4,0))))))),IF($C19="Konventionel",IF(I$2=2019,SUMPRODUCT((C19='Landbrugsareal - resultat'!$B$32:$B$45)*(INDEX('Landbrugsareal - resultat'!$C$32:$E$45,,MATCH($D19,'Landbrugsareal - resultat'!$C$4:$E$4,0)))),IF(I$2=2030,SUMPRODUCT(($B19='Landbrugsareal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resultat'!$I$4:$K$4,0)))))),IF(I$2=2019,SUMPRODUCT(($B19='Landbrugsareal - resultat'!$B$32:$B$45)*(INDEX('Landbrugsareal - resultat'!$L$32:$N$45,,MATCH($D19,'Landbrugsareal - resultat'!$L$4:$N$4,0)))),IF(I$2=2030,SUMPRODUCT(($B19='Landbrugsareal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1860.3010707842134</v>
      </c>
    </row>
    <row r="20" spans="1:9" hidden="1" x14ac:dyDescent="0.55000000000000004">
      <c r="A20" t="s">
        <v>23</v>
      </c>
      <c r="B20" s="1" t="str">
        <f>[1]Afgrødefordeling!$C$5</f>
        <v>Græs</v>
      </c>
      <c r="C20" t="s">
        <v>7</v>
      </c>
      <c r="D20" t="str">
        <f t="shared" si="2"/>
        <v>OC6</v>
      </c>
      <c r="F20" t="str">
        <f t="shared" si="1"/>
        <v>Areal-græs</v>
      </c>
      <c r="G20" s="97" cm="1">
        <f t="array" ref="G20">IF($A20="Vestdanmark",IF($C20="Konventionel",IF(G$2=2019,SUMPRODUCT(($B20='Landbrugsareal - resultat'!$B$5:$B$18)*(INDEX('Landbrugsareal - resultat'!$C$5:$E$18,,MATCH($D20,'Landbrugsareal - resultat'!$C$4:$E$4,0)))),IF(G$2=2030,SUMPRODUCT(($B20='Landbrugsareal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resultat'!$I$4:$K$4,0)))))),IF(G$2=2019,SUMPRODUCT(($B20='Landbrugsareal - resultat'!$B$5:$B$18)*(INDEX('Landbrugsareal - resultat'!$L$5:$N$18,,MATCH($D20,'Landbrugsareal - resultat'!$L$4:$N$4,0)))),IF(G$2=2030,SUMPRODUCT(($B20='Landbrugsareal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resultat'!$R$4:$T$4,0))))))),IF($C20="Konventionel",IF(G$2=2019,SUMPRODUCT((B20='Landbrugsareal - resultat'!$B$32:$B$45)*(INDEX('Landbrugsareal - resultat'!$C$32:$E$45,,MATCH($D20,'Landbrugsareal - resultat'!$C$4:$E$4,0)))),IF(G$2=2030,SUMPRODUCT(($B20='Landbrugsareal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resultat'!$I$4:$K$4,0)))))),IF(G$2=2019,SUMPRODUCT(($B20='Landbrugsareal - resultat'!$B$32:$B$45)*(INDEX('Landbrugsareal - resultat'!$L$32:$N$45,,MATCH($D20,'Landbrugsareal - resultat'!$L$4:$N$4,0)))),IF(G$2=2030,SUMPRODUCT(($B20='Landbrugsareal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19937.932611161701</v>
      </c>
      <c r="H20" s="97" cm="1">
        <f t="array" ref="H20">IF($A20="Vestdanmark",IF($C20="Konventionel",IF(H$2=2019,SUMPRODUCT(($B20='Landbrugsareal - resultat'!$B$5:$B$18)*(INDEX('Landbrugsareal - resultat'!$C$5:$E$18,,MATCH($D20,'Landbrugsareal - resultat'!$C$4:$E$4,0)))),IF(H$2=2030,SUMPRODUCT(($B20='Landbrugsareal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resultat'!$I$4:$K$4,0)))))),IF(H$2=2019,SUMPRODUCT(($B20='Landbrugsareal - resultat'!$B$5:$B$18)*(INDEX('Landbrugsareal - resultat'!$L$5:$N$18,,MATCH($D20,'Landbrugsareal - resultat'!$L$4:$N$4,0)))),IF(H$2=2030,SUMPRODUCT(($B20='Landbrugsareal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resultat'!$R$4:$T$4,0))))))),IF($C20="Konventionel",IF(H$2=2019,SUMPRODUCT(($B20='Landbrugsareal - resultat'!$B$32:$B$45)*(INDEX('Landbrugsareal - resultat'!$C$32:$E$45,,MATCH($D20,'Landbrugsareal - resultat'!$C$4:$E$4,0)))),IF(H$2=2030,SUMPRODUCT(($B20='Landbrugsareal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resultat'!$I$4:$K$4,0)))))),IF(H$2=2019,SUMPRODUCT(($B20='Landbrugsareal - resultat'!$B$32:$B$45)*(INDEX('Landbrugsareal - resultat'!$L$32:$N$45,,MATCH($D20,'Landbrugsareal - resultat'!$L$4:$N$4,0)))),IF(H$2=2030,SUMPRODUCT(($B20='Landbrugsareal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17999.879287766547</v>
      </c>
      <c r="I20" s="97" cm="1">
        <f t="array" ref="I20">IF($A20="Vestdanmark",IF($C20="Konventionel",IF(I$2=2019,SUMPRODUCT(($B20='Landbrugsareal - resultat'!$B$5:$B$18)*(INDEX('Landbrugsareal - resultat'!$C$5:$E$18,,MATCH($D20,'Landbrugsareal - resultat'!$C$4:$E$4,0)))),IF(I$2=2030,SUMPRODUCT(($B20='Landbrugsareal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resultat'!$I$4:$K$4,0)))))),IF(I$2=2019,SUMPRODUCT(($B20='Landbrugsareal - resultat'!$B$5:$B$18)*(INDEX('Landbrugsareal - resultat'!$L$5:$N$18,,MATCH($D20,'Landbrugsareal - resultat'!$L$4:$N$4,0)))),IF(I$2=2030,SUMPRODUCT(($B20='Landbrugsareal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resultat'!$R$4:$T$4,0))))))),IF($C20="Konventionel",IF(I$2=2019,SUMPRODUCT((C20='Landbrugsareal - resultat'!$B$32:$B$45)*(INDEX('Landbrugsareal - resultat'!$C$32:$E$45,,MATCH($D20,'Landbrugsareal - resultat'!$C$4:$E$4,0)))),IF(I$2=2030,SUMPRODUCT(($B20='Landbrugsareal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resultat'!$I$4:$K$4,0)))))),IF(I$2=2019,SUMPRODUCT(($B20='Landbrugsareal - resultat'!$B$32:$B$45)*(INDEX('Landbrugsareal - resultat'!$L$32:$N$45,,MATCH($D20,'Landbrugsareal - resultat'!$L$4:$N$4,0)))),IF(I$2=2030,SUMPRODUCT(($B20='Landbrugsareal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17167.514927638611</v>
      </c>
    </row>
    <row r="21" spans="1:9" hidden="1" x14ac:dyDescent="0.55000000000000004">
      <c r="A21" t="s">
        <v>23</v>
      </c>
      <c r="B21" s="1" t="str">
        <f>[1]Afgrødefordeling!$C$6</f>
        <v>Grøntsager</v>
      </c>
      <c r="C21" t="s">
        <v>7</v>
      </c>
      <c r="D21" t="str">
        <f t="shared" si="2"/>
        <v>OC6</v>
      </c>
      <c r="F21" t="str">
        <f t="shared" si="1"/>
        <v>Areal-grøntsager</v>
      </c>
      <c r="G21" s="97" cm="1">
        <f t="array" ref="G21">IF($A21="Vestdanmark",IF($C21="Konventionel",IF(G$2=2019,SUMPRODUCT(($B21='Landbrugsareal - resultat'!$B$5:$B$18)*(INDEX('Landbrugsareal - resultat'!$C$5:$E$18,,MATCH($D21,'Landbrugsareal - resultat'!$C$4:$E$4,0)))),IF(G$2=2030,SUMPRODUCT(($B21='Landbrugsareal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resultat'!$I$4:$K$4,0)))))),IF(G$2=2019,SUMPRODUCT(($B21='Landbrugsareal - resultat'!$B$5:$B$18)*(INDEX('Landbrugsareal - resultat'!$L$5:$N$18,,MATCH($D21,'Landbrugsareal - resultat'!$L$4:$N$4,0)))),IF(G$2=2030,SUMPRODUCT(($B21='Landbrugsareal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resultat'!$R$4:$T$4,0))))))),IF($C21="Konventionel",IF(G$2=2019,SUMPRODUCT((B21='Landbrugsareal - resultat'!$B$32:$B$45)*(INDEX('Landbrugsareal - resultat'!$C$32:$E$45,,MATCH($D21,'Landbrugsareal - resultat'!$C$4:$E$4,0)))),IF(G$2=2030,SUMPRODUCT(($B21='Landbrugsareal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resultat'!$I$4:$K$4,0)))))),IF(G$2=2019,SUMPRODUCT(($B21='Landbrugsareal - resultat'!$B$32:$B$45)*(INDEX('Landbrugsareal - resultat'!$L$32:$N$45,,MATCH($D21,'Landbrugsareal - resultat'!$L$4:$N$4,0)))),IF(G$2=2030,SUMPRODUCT(($B21='Landbrugsareal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93.250460767730289</v>
      </c>
      <c r="H21" s="97" cm="1">
        <f t="array" ref="H21">IF($A21="Vestdanmark",IF($C21="Konventionel",IF(H$2=2019,SUMPRODUCT(($B21='Landbrugsareal - resultat'!$B$5:$B$18)*(INDEX('Landbrugsareal - resultat'!$C$5:$E$18,,MATCH($D21,'Landbrugsareal - resultat'!$C$4:$E$4,0)))),IF(H$2=2030,SUMPRODUCT(($B21='Landbrugsareal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resultat'!$I$4:$K$4,0)))))),IF(H$2=2019,SUMPRODUCT(($B21='Landbrugsareal - resultat'!$B$5:$B$18)*(INDEX('Landbrugsareal - resultat'!$L$5:$N$18,,MATCH($D21,'Landbrugsareal - resultat'!$L$4:$N$4,0)))),IF(H$2=2030,SUMPRODUCT(($B21='Landbrugsareal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resultat'!$R$4:$T$4,0))))))),IF($C21="Konventionel",IF(H$2=2019,SUMPRODUCT(($B21='Landbrugsareal - resultat'!$B$32:$B$45)*(INDEX('Landbrugsareal - resultat'!$C$32:$E$45,,MATCH($D21,'Landbrugsareal - resultat'!$C$4:$E$4,0)))),IF(H$2=2030,SUMPRODUCT(($B21='Landbrugsareal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resultat'!$I$4:$K$4,0)))))),IF(H$2=2019,SUMPRODUCT(($B21='Landbrugsareal - resultat'!$B$32:$B$45)*(INDEX('Landbrugsareal - resultat'!$L$32:$N$45,,MATCH($D21,'Landbrugsareal - resultat'!$L$4:$N$4,0)))),IF(H$2=2030,SUMPRODUCT(($B21='Landbrugsareal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84.186112476280258</v>
      </c>
      <c r="I21" s="97" cm="1">
        <f t="array" ref="I21">IF($A21="Vestdanmark",IF($C21="Konventionel",IF(I$2=2019,SUMPRODUCT(($B21='Landbrugsareal - resultat'!$B$5:$B$18)*(INDEX('Landbrugsareal - resultat'!$C$5:$E$18,,MATCH($D21,'Landbrugsareal - resultat'!$C$4:$E$4,0)))),IF(I$2=2030,SUMPRODUCT(($B21='Landbrugsareal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resultat'!$I$4:$K$4,0)))))),IF(I$2=2019,SUMPRODUCT(($B21='Landbrugsareal - resultat'!$B$5:$B$18)*(INDEX('Landbrugsareal - resultat'!$L$5:$N$18,,MATCH($D21,'Landbrugsareal - resultat'!$L$4:$N$4,0)))),IF(I$2=2030,SUMPRODUCT(($B21='Landbrugsareal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resultat'!$R$4:$T$4,0))))))),IF($C21="Konventionel",IF(I$2=2019,SUMPRODUCT((C21='Landbrugsareal - resultat'!$B$32:$B$45)*(INDEX('Landbrugsareal - resultat'!$C$32:$E$45,,MATCH($D21,'Landbrugsareal - resultat'!$C$4:$E$4,0)))),IF(I$2=2030,SUMPRODUCT(($B21='Landbrugsareal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resultat'!$I$4:$K$4,0)))))),IF(I$2=2019,SUMPRODUCT(($B21='Landbrugsareal - resultat'!$B$32:$B$45)*(INDEX('Landbrugsareal - resultat'!$L$32:$N$45,,MATCH($D21,'Landbrugsareal - resultat'!$L$4:$N$4,0)))),IF(I$2=2030,SUMPRODUCT(($B21='Landbrugsareal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80.293113055411794</v>
      </c>
    </row>
    <row r="22" spans="1:9" hidden="1" x14ac:dyDescent="0.55000000000000004">
      <c r="A22" t="s">
        <v>23</v>
      </c>
      <c r="B22" s="1" t="str">
        <f>[1]Afgrødefordeling!$C$7</f>
        <v>Kartofler</v>
      </c>
      <c r="C22" t="s">
        <v>7</v>
      </c>
      <c r="D22" t="str">
        <f t="shared" si="2"/>
        <v>OC6</v>
      </c>
      <c r="F22" t="str">
        <f t="shared" si="1"/>
        <v>Areal-kartofler</v>
      </c>
      <c r="G22" s="97" cm="1">
        <f t="array" ref="G22">IF($A22="Vestdanmark",IF($C22="Konventionel",IF(G$2=2019,SUMPRODUCT(($B22='Landbrugsareal - resultat'!$B$5:$B$18)*(INDEX('Landbrugsareal - resultat'!$C$5:$E$18,,MATCH($D22,'Landbrugsareal - resultat'!$C$4:$E$4,0)))),IF(G$2=2030,SUMPRODUCT(($B22='Landbrugsareal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resultat'!$I$4:$K$4,0)))))),IF(G$2=2019,SUMPRODUCT(($B22='Landbrugsareal - resultat'!$B$5:$B$18)*(INDEX('Landbrugsareal - resultat'!$L$5:$N$18,,MATCH($D22,'Landbrugsareal - resultat'!$L$4:$N$4,0)))),IF(G$2=2030,SUMPRODUCT(($B22='Landbrugsareal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resultat'!$R$4:$T$4,0))))))),IF($C22="Konventionel",IF(G$2=2019,SUMPRODUCT((B22='Landbrugsareal - resultat'!$B$32:$B$45)*(INDEX('Landbrugsareal - resultat'!$C$32:$E$45,,MATCH($D22,'Landbrugsareal - resultat'!$C$4:$E$4,0)))),IF(G$2=2030,SUMPRODUCT(($B22='Landbrugsareal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resultat'!$I$4:$K$4,0)))))),IF(G$2=2019,SUMPRODUCT(($B22='Landbrugsareal - resultat'!$B$32:$B$45)*(INDEX('Landbrugsareal - resultat'!$L$32:$N$45,,MATCH($D22,'Landbrugsareal - resultat'!$L$4:$N$4,0)))),IF(G$2=2030,SUMPRODUCT(($B22='Landbrugsareal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1472.183079133998</v>
      </c>
      <c r="H22" s="97" cm="1">
        <f t="array" ref="H22">IF($A22="Vestdanmark",IF($C22="Konventionel",IF(H$2=2019,SUMPRODUCT(($B22='Landbrugsareal - resultat'!$B$5:$B$18)*(INDEX('Landbrugsareal - resultat'!$C$5:$E$18,,MATCH($D22,'Landbrugsareal - resultat'!$C$4:$E$4,0)))),IF(H$2=2030,SUMPRODUCT(($B22='Landbrugsareal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resultat'!$I$4:$K$4,0)))))),IF(H$2=2019,SUMPRODUCT(($B22='Landbrugsareal - resultat'!$B$5:$B$18)*(INDEX('Landbrugsareal - resultat'!$L$5:$N$18,,MATCH($D22,'Landbrugsareal - resultat'!$L$4:$N$4,0)))),IF(H$2=2030,SUMPRODUCT(($B22='Landbrugsareal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resultat'!$R$4:$T$4,0))))))),IF($C22="Konventionel",IF(H$2=2019,SUMPRODUCT(($B22='Landbrugsareal - resultat'!$B$32:$B$45)*(INDEX('Landbrugsareal - resultat'!$C$32:$E$45,,MATCH($D22,'Landbrugsareal - resultat'!$C$4:$E$4,0)))),IF(H$2=2030,SUMPRODUCT(($B22='Landbrugsareal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resultat'!$I$4:$K$4,0)))))),IF(H$2=2019,SUMPRODUCT(($B22='Landbrugsareal - resultat'!$B$32:$B$45)*(INDEX('Landbrugsareal - resultat'!$L$32:$N$45,,MATCH($D22,'Landbrugsareal - resultat'!$L$4:$N$4,0)))),IF(H$2=2030,SUMPRODUCT(($B22='Landbrugsareal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1329.0805135468072</v>
      </c>
      <c r="I22" s="97" cm="1">
        <f t="array" ref="I22">IF($A22="Vestdanmark",IF($C22="Konventionel",IF(I$2=2019,SUMPRODUCT(($B22='Landbrugsareal - resultat'!$B$5:$B$18)*(INDEX('Landbrugsareal - resultat'!$C$5:$E$18,,MATCH($D22,'Landbrugsareal - resultat'!$C$4:$E$4,0)))),IF(I$2=2030,SUMPRODUCT(($B22='Landbrugsareal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resultat'!$I$4:$K$4,0)))))),IF(I$2=2019,SUMPRODUCT(($B22='Landbrugsareal - resultat'!$B$5:$B$18)*(INDEX('Landbrugsareal - resultat'!$L$5:$N$18,,MATCH($D22,'Landbrugsareal - resultat'!$L$4:$N$4,0)))),IF(I$2=2030,SUMPRODUCT(($B22='Landbrugsareal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resultat'!$R$4:$T$4,0))))))),IF($C22="Konventionel",IF(I$2=2019,SUMPRODUCT((C22='Landbrugsareal - resultat'!$B$32:$B$45)*(INDEX('Landbrugsareal - resultat'!$C$32:$E$45,,MATCH($D22,'Landbrugsareal - resultat'!$C$4:$E$4,0)))),IF(I$2=2030,SUMPRODUCT(($B22='Landbrugsareal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resultat'!$I$4:$K$4,0)))))),IF(I$2=2019,SUMPRODUCT(($B22='Landbrugsareal - resultat'!$B$32:$B$45)*(INDEX('Landbrugsareal - resultat'!$L$32:$N$45,,MATCH($D22,'Landbrugsareal - resultat'!$L$4:$N$4,0)))),IF(I$2=2030,SUMPRODUCT(($B22='Landbrugsareal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1267.6201429781686</v>
      </c>
    </row>
    <row r="23" spans="1:9" hidden="1" x14ac:dyDescent="0.55000000000000004">
      <c r="A23" t="s">
        <v>23</v>
      </c>
      <c r="B23" s="1" t="str">
        <f>[1]Afgrødefordeling!$C$8</f>
        <v>Roer</v>
      </c>
      <c r="C23" t="s">
        <v>7</v>
      </c>
      <c r="D23" t="str">
        <f t="shared" si="2"/>
        <v>OC6</v>
      </c>
      <c r="F23" t="str">
        <f t="shared" si="1"/>
        <v>Areal-roer</v>
      </c>
      <c r="G23" s="97" cm="1">
        <f t="array" ref="G23">IF($A23="Vestdanmark",IF($C23="Konventionel",IF(G$2=2019,SUMPRODUCT(($B23='Landbrugsareal - resultat'!$B$5:$B$18)*(INDEX('Landbrugsareal - resultat'!$C$5:$E$18,,MATCH($D23,'Landbrugsareal - resultat'!$C$4:$E$4,0)))),IF(G$2=2030,SUMPRODUCT(($B23='Landbrugsareal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resultat'!$I$4:$K$4,0)))))),IF(G$2=2019,SUMPRODUCT(($B23='Landbrugsareal - resultat'!$B$5:$B$18)*(INDEX('Landbrugsareal - resultat'!$L$5:$N$18,,MATCH($D23,'Landbrugsareal - resultat'!$L$4:$N$4,0)))),IF(G$2=2030,SUMPRODUCT(($B23='Landbrugsareal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resultat'!$R$4:$T$4,0))))))),IF($C23="Konventionel",IF(G$2=2019,SUMPRODUCT((B23='Landbrugsareal - resultat'!$B$32:$B$45)*(INDEX('Landbrugsareal - resultat'!$C$32:$E$45,,MATCH($D23,'Landbrugsareal - resultat'!$C$4:$E$4,0)))),IF(G$2=2030,SUMPRODUCT(($B23='Landbrugsareal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resultat'!$I$4:$K$4,0)))))),IF(G$2=2019,SUMPRODUCT(($B23='Landbrugsareal - resultat'!$B$32:$B$45)*(INDEX('Landbrugsareal - resultat'!$L$32:$N$45,,MATCH($D23,'Landbrugsareal - resultat'!$L$4:$N$4,0)))),IF(G$2=2030,SUMPRODUCT(($B23='Landbrugsareal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38.623193326213141</v>
      </c>
      <c r="H23" s="97" cm="1">
        <f t="array" ref="H23">IF($A23="Vestdanmark",IF($C23="Konventionel",IF(H$2=2019,SUMPRODUCT(($B23='Landbrugsareal - resultat'!$B$5:$B$18)*(INDEX('Landbrugsareal - resultat'!$C$5:$E$18,,MATCH($D23,'Landbrugsareal - resultat'!$C$4:$E$4,0)))),IF(H$2=2030,SUMPRODUCT(($B23='Landbrugsareal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resultat'!$I$4:$K$4,0)))))),IF(H$2=2019,SUMPRODUCT(($B23='Landbrugsareal - resultat'!$B$5:$B$18)*(INDEX('Landbrugsareal - resultat'!$L$5:$N$18,,MATCH($D23,'Landbrugsareal - resultat'!$L$4:$N$4,0)))),IF(H$2=2030,SUMPRODUCT(($B23='Landbrugsareal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resultat'!$R$4:$T$4,0))))))),IF($C23="Konventionel",IF(H$2=2019,SUMPRODUCT(($B23='Landbrugsareal - resultat'!$B$32:$B$45)*(INDEX('Landbrugsareal - resultat'!$C$32:$E$45,,MATCH($D23,'Landbrugsareal - resultat'!$C$4:$E$4,0)))),IF(H$2=2030,SUMPRODUCT(($B23='Landbrugsareal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resultat'!$I$4:$K$4,0)))))),IF(H$2=2019,SUMPRODUCT(($B23='Landbrugsareal - resultat'!$B$32:$B$45)*(INDEX('Landbrugsareal - resultat'!$L$32:$N$45,,MATCH($D23,'Landbrugsareal - resultat'!$L$4:$N$4,0)))),IF(H$2=2030,SUMPRODUCT(($B23='Landbrugsareal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34.868851808171492</v>
      </c>
      <c r="I23" s="97" cm="1">
        <f t="array" ref="I23">IF($A23="Vestdanmark",IF($C23="Konventionel",IF(I$2=2019,SUMPRODUCT(($B23='Landbrugsareal - resultat'!$B$5:$B$18)*(INDEX('Landbrugsareal - resultat'!$C$5:$E$18,,MATCH($D23,'Landbrugsareal - resultat'!$C$4:$E$4,0)))),IF(I$2=2030,SUMPRODUCT(($B23='Landbrugsareal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resultat'!$I$4:$K$4,0)))))),IF(I$2=2019,SUMPRODUCT(($B23='Landbrugsareal - resultat'!$B$5:$B$18)*(INDEX('Landbrugsareal - resultat'!$L$5:$N$18,,MATCH($D23,'Landbrugsareal - resultat'!$L$4:$N$4,0)))),IF(I$2=2030,SUMPRODUCT(($B23='Landbrugsareal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resultat'!$R$4:$T$4,0))))))),IF($C23="Konventionel",IF(I$2=2019,SUMPRODUCT((C23='Landbrugsareal - resultat'!$B$32:$B$45)*(INDEX('Landbrugsareal - resultat'!$C$32:$E$45,,MATCH($D23,'Landbrugsareal - resultat'!$C$4:$E$4,0)))),IF(I$2=2030,SUMPRODUCT(($B23='Landbrugsareal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resultat'!$I$4:$K$4,0)))))),IF(I$2=2019,SUMPRODUCT(($B23='Landbrugsareal - resultat'!$B$32:$B$45)*(INDEX('Landbrugsareal - resultat'!$L$32:$N$45,,MATCH($D23,'Landbrugsareal - resultat'!$L$4:$N$4,0)))),IF(I$2=2030,SUMPRODUCT(($B23='Landbrugsareal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33.25641935461443</v>
      </c>
    </row>
    <row r="24" spans="1:9" hidden="1" x14ac:dyDescent="0.55000000000000004">
      <c r="A24" t="s">
        <v>23</v>
      </c>
      <c r="B24" s="1" t="str">
        <f>[1]Afgrødefordeling!$C$9</f>
        <v>Majs</v>
      </c>
      <c r="C24" t="s">
        <v>7</v>
      </c>
      <c r="D24" t="str">
        <f t="shared" si="2"/>
        <v>OC6</v>
      </c>
      <c r="F24" t="str">
        <f t="shared" si="1"/>
        <v>Areal-majs</v>
      </c>
      <c r="G24" s="97" cm="1">
        <f t="array" ref="G24">IF($A24="Vestdanmark",IF($C24="Konventionel",IF(G$2=2019,SUMPRODUCT(($B24='Landbrugsareal - resultat'!$B$5:$B$18)*(INDEX('Landbrugsareal - resultat'!$C$5:$E$18,,MATCH($D24,'Landbrugsareal - resultat'!$C$4:$E$4,0)))),IF(G$2=2030,SUMPRODUCT(($B24='Landbrugsareal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resultat'!$I$4:$K$4,0)))))),IF(G$2=2019,SUMPRODUCT(($B24='Landbrugsareal - resultat'!$B$5:$B$18)*(INDEX('Landbrugsareal - resultat'!$L$5:$N$18,,MATCH($D24,'Landbrugsareal - resultat'!$L$4:$N$4,0)))),IF(G$2=2030,SUMPRODUCT(($B24='Landbrugsareal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resultat'!$R$4:$T$4,0))))))),IF($C24="Konventionel",IF(G$2=2019,SUMPRODUCT((B24='Landbrugsareal - resultat'!$B$32:$B$45)*(INDEX('Landbrugsareal - resultat'!$C$32:$E$45,,MATCH($D24,'Landbrugsareal - resultat'!$C$4:$E$4,0)))),IF(G$2=2030,SUMPRODUCT(($B24='Landbrugsareal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resultat'!$I$4:$K$4,0)))))),IF(G$2=2019,SUMPRODUCT(($B24='Landbrugsareal - resultat'!$B$32:$B$45)*(INDEX('Landbrugsareal - resultat'!$L$32:$N$45,,MATCH($D24,'Landbrugsareal - resultat'!$L$4:$N$4,0)))),IF(G$2=2030,SUMPRODUCT(($B24='Landbrugsareal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4985.6738479275327</v>
      </c>
      <c r="H24" s="97" cm="1">
        <f t="array" ref="H24">IF($A24="Vestdanmark",IF($C24="Konventionel",IF(H$2=2019,SUMPRODUCT(($B24='Landbrugsareal - resultat'!$B$5:$B$18)*(INDEX('Landbrugsareal - resultat'!$C$5:$E$18,,MATCH($D24,'Landbrugsareal - resultat'!$C$4:$E$4,0)))),IF(H$2=2030,SUMPRODUCT(($B24='Landbrugsareal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resultat'!$I$4:$K$4,0)))))),IF(H$2=2019,SUMPRODUCT(($B24='Landbrugsareal - resultat'!$B$5:$B$18)*(INDEX('Landbrugsareal - resultat'!$L$5:$N$18,,MATCH($D24,'Landbrugsareal - resultat'!$L$4:$N$4,0)))),IF(H$2=2030,SUMPRODUCT(($B24='Landbrugsareal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resultat'!$R$4:$T$4,0))))))),IF($C24="Konventionel",IF(H$2=2019,SUMPRODUCT(($B24='Landbrugsareal - resultat'!$B$32:$B$45)*(INDEX('Landbrugsareal - resultat'!$C$32:$E$45,,MATCH($D24,'Landbrugsareal - resultat'!$C$4:$E$4,0)))),IF(H$2=2030,SUMPRODUCT(($B24='Landbrugsareal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resultat'!$I$4:$K$4,0)))))),IF(H$2=2019,SUMPRODUCT(($B24='Landbrugsareal - resultat'!$B$32:$B$45)*(INDEX('Landbrugsareal - resultat'!$L$32:$N$45,,MATCH($D24,'Landbrugsareal - resultat'!$L$4:$N$4,0)))),IF(H$2=2030,SUMPRODUCT(($B24='Landbrugsareal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4501.0447763591501</v>
      </c>
      <c r="I24" s="97" cm="1">
        <f t="array" ref="I24">IF($A24="Vestdanmark",IF($C24="Konventionel",IF(I$2=2019,SUMPRODUCT(($B24='Landbrugsareal - resultat'!$B$5:$B$18)*(INDEX('Landbrugsareal - resultat'!$C$5:$E$18,,MATCH($D24,'Landbrugsareal - resultat'!$C$4:$E$4,0)))),IF(I$2=2030,SUMPRODUCT(($B24='Landbrugsareal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resultat'!$I$4:$K$4,0)))))),IF(I$2=2019,SUMPRODUCT(($B24='Landbrugsareal - resultat'!$B$5:$B$18)*(INDEX('Landbrugsareal - resultat'!$L$5:$N$18,,MATCH($D24,'Landbrugsareal - resultat'!$L$4:$N$4,0)))),IF(I$2=2030,SUMPRODUCT(($B24='Landbrugsareal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resultat'!$R$4:$T$4,0))))))),IF($C24="Konventionel",IF(I$2=2019,SUMPRODUCT((C24='Landbrugsareal - resultat'!$B$32:$B$45)*(INDEX('Landbrugsareal - resultat'!$C$32:$E$45,,MATCH($D24,'Landbrugsareal - resultat'!$C$4:$E$4,0)))),IF(I$2=2030,SUMPRODUCT(($B24='Landbrugsareal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resultat'!$I$4:$K$4,0)))))),IF(I$2=2019,SUMPRODUCT(($B24='Landbrugsareal - resultat'!$B$32:$B$45)*(INDEX('Landbrugsareal - resultat'!$L$32:$N$45,,MATCH($D24,'Landbrugsareal - resultat'!$L$4:$N$4,0)))),IF(I$2=2030,SUMPRODUCT(($B24='Landbrugsareal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4292.903977452369</v>
      </c>
    </row>
    <row r="25" spans="1:9" hidden="1" x14ac:dyDescent="0.55000000000000004">
      <c r="A25" t="s">
        <v>23</v>
      </c>
      <c r="B25" s="1" t="str">
        <f>[1]Afgrødefordeling!$C$10</f>
        <v>Frugt</v>
      </c>
      <c r="C25" t="s">
        <v>7</v>
      </c>
      <c r="D25" t="str">
        <f t="shared" si="2"/>
        <v>OC6</v>
      </c>
      <c r="F25" t="str">
        <f t="shared" si="1"/>
        <v>Areal-frugt</v>
      </c>
      <c r="G25" s="97" cm="1">
        <f t="array" ref="G25">IF($A25="Vestdanmark",IF($C25="Konventionel",IF(G$2=2019,SUMPRODUCT(($B25='Landbrugsareal - resultat'!$B$5:$B$18)*(INDEX('Landbrugsareal - resultat'!$C$5:$E$18,,MATCH($D25,'Landbrugsareal - resultat'!$C$4:$E$4,0)))),IF(G$2=2030,SUMPRODUCT(($B25='Landbrugsareal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resultat'!$I$4:$K$4,0)))))),IF(G$2=2019,SUMPRODUCT(($B25='Landbrugsareal - resultat'!$B$5:$B$18)*(INDEX('Landbrugsareal - resultat'!$L$5:$N$18,,MATCH($D25,'Landbrugsareal - resultat'!$L$4:$N$4,0)))),IF(G$2=2030,SUMPRODUCT(($B25='Landbrugsareal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resultat'!$R$4:$T$4,0))))))),IF($C25="Konventionel",IF(G$2=2019,SUMPRODUCT((B25='Landbrugsareal - resultat'!$B$32:$B$45)*(INDEX('Landbrugsareal - resultat'!$C$32:$E$45,,MATCH($D25,'Landbrugsareal - resultat'!$C$4:$E$4,0)))),IF(G$2=2030,SUMPRODUCT(($B25='Landbrugsareal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resultat'!$I$4:$K$4,0)))))),IF(G$2=2019,SUMPRODUCT(($B25='Landbrugsareal - resultat'!$B$32:$B$45)*(INDEX('Landbrugsareal - resultat'!$L$32:$N$45,,MATCH($D25,'Landbrugsareal - resultat'!$L$4:$N$4,0)))),IF(G$2=2030,SUMPRODUCT(($B25='Landbrugsareal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84.935239958799571</v>
      </c>
      <c r="H25" s="97" cm="1">
        <f t="array" ref="H25">IF($A25="Vestdanmark",IF($C25="Konventionel",IF(H$2=2019,SUMPRODUCT(($B25='Landbrugsareal - resultat'!$B$5:$B$18)*(INDEX('Landbrugsareal - resultat'!$C$5:$E$18,,MATCH($D25,'Landbrugsareal - resultat'!$C$4:$E$4,0)))),IF(H$2=2030,SUMPRODUCT(($B25='Landbrugsareal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resultat'!$I$4:$K$4,0)))))),IF(H$2=2019,SUMPRODUCT(($B25='Landbrugsareal - resultat'!$B$5:$B$18)*(INDEX('Landbrugsareal - resultat'!$L$5:$N$18,,MATCH($D25,'Landbrugsareal - resultat'!$L$4:$N$4,0)))),IF(H$2=2030,SUMPRODUCT(($B25='Landbrugsareal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resultat'!$R$4:$T$4,0))))))),IF($C25="Konventionel",IF(H$2=2019,SUMPRODUCT(($B25='Landbrugsareal - resultat'!$B$32:$B$45)*(INDEX('Landbrugsareal - resultat'!$C$32:$E$45,,MATCH($D25,'Landbrugsareal - resultat'!$C$4:$E$4,0)))),IF(H$2=2030,SUMPRODUCT(($B25='Landbrugsareal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resultat'!$I$4:$K$4,0)))))),IF(H$2=2019,SUMPRODUCT(($B25='Landbrugsareal - resultat'!$B$32:$B$45)*(INDEX('Landbrugsareal - resultat'!$L$32:$N$45,,MATCH($D25,'Landbrugsareal - resultat'!$L$4:$N$4,0)))),IF(H$2=2030,SUMPRODUCT(($B25='Landbrugsareal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76.679167110837156</v>
      </c>
      <c r="I25" s="97" cm="1">
        <f t="array" ref="I25">IF($A25="Vestdanmark",IF($C25="Konventionel",IF(I$2=2019,SUMPRODUCT(($B25='Landbrugsareal - resultat'!$B$5:$B$18)*(INDEX('Landbrugsareal - resultat'!$C$5:$E$18,,MATCH($D25,'Landbrugsareal - resultat'!$C$4:$E$4,0)))),IF(I$2=2030,SUMPRODUCT(($B25='Landbrugsareal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resultat'!$I$4:$K$4,0)))))),IF(I$2=2019,SUMPRODUCT(($B25='Landbrugsareal - resultat'!$B$5:$B$18)*(INDEX('Landbrugsareal - resultat'!$L$5:$N$18,,MATCH($D25,'Landbrugsareal - resultat'!$L$4:$N$4,0)))),IF(I$2=2030,SUMPRODUCT(($B25='Landbrugsareal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resultat'!$R$4:$T$4,0))))))),IF($C25="Konventionel",IF(I$2=2019,SUMPRODUCT((C25='Landbrugsareal - resultat'!$B$32:$B$45)*(INDEX('Landbrugsareal - resultat'!$C$32:$E$45,,MATCH($D25,'Landbrugsareal - resultat'!$C$4:$E$4,0)))),IF(I$2=2030,SUMPRODUCT(($B25='Landbrugsareal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resultat'!$I$4:$K$4,0)))))),IF(I$2=2019,SUMPRODUCT(($B25='Landbrugsareal - resultat'!$B$32:$B$45)*(INDEX('Landbrugsareal - resultat'!$L$32:$N$45,,MATCH($D25,'Landbrugsareal - resultat'!$L$4:$N$4,0)))),IF(I$2=2030,SUMPRODUCT(($B25='Landbrugsareal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73.133309672185732</v>
      </c>
    </row>
    <row r="26" spans="1:9" hidden="1" x14ac:dyDescent="0.55000000000000004">
      <c r="A26" t="s">
        <v>23</v>
      </c>
      <c r="B26" s="1" t="str">
        <f>[1]Afgrødefordeling!$C$11</f>
        <v>Øvrige</v>
      </c>
      <c r="C26" t="s">
        <v>7</v>
      </c>
      <c r="D26" t="str">
        <f t="shared" si="2"/>
        <v>OC6</v>
      </c>
      <c r="F26" t="str">
        <f t="shared" si="1"/>
        <v>Areal-øvrige</v>
      </c>
      <c r="G26" s="97" cm="1">
        <f t="array" ref="G26">IF($A26="Vestdanmark",IF($C26="Konventionel",IF(G$2=2019,SUMPRODUCT(($B26='Landbrugsareal - resultat'!$B$5:$B$18)*(INDEX('Landbrugsareal - resultat'!$C$5:$E$18,,MATCH($D26,'Landbrugsareal - resultat'!$C$4:$E$4,0)))),IF(G$2=2030,SUMPRODUCT(($B26='Landbrugsareal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resultat'!$I$4:$K$4,0)))))),IF(G$2=2019,SUMPRODUCT(($B26='Landbrugsareal - resultat'!$B$5:$B$18)*(INDEX('Landbrugsareal - resultat'!$L$5:$N$18,,MATCH($D26,'Landbrugsareal - resultat'!$L$4:$N$4,0)))),IF(G$2=2030,SUMPRODUCT(($B26='Landbrugsareal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resultat'!$R$4:$T$4,0))))))),IF($C26="Konventionel",IF(G$2=2019,SUMPRODUCT((B26='Landbrugsareal - resultat'!$B$32:$B$45)*(INDEX('Landbrugsareal - resultat'!$C$32:$E$45,,MATCH($D26,'Landbrugsareal - resultat'!$C$4:$E$4,0)))),IF(G$2=2030,SUMPRODUCT(($B26='Landbrugsareal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resultat'!$I$4:$K$4,0)))))),IF(G$2=2019,SUMPRODUCT(($B26='Landbrugsareal - resultat'!$B$32:$B$45)*(INDEX('Landbrugsareal - resultat'!$L$32:$N$45,,MATCH($D26,'Landbrugsareal - resultat'!$L$4:$N$4,0)))),IF(G$2=2030,SUMPRODUCT(($B26='Landbrugsareal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1502.156278752635</v>
      </c>
      <c r="H26" s="97" cm="1">
        <f t="array" ref="H26">IF($A26="Vestdanmark",IF($C26="Konventionel",IF(H$2=2019,SUMPRODUCT(($B26='Landbrugsareal - resultat'!$B$5:$B$18)*(INDEX('Landbrugsareal - resultat'!$C$5:$E$18,,MATCH($D26,'Landbrugsareal - resultat'!$C$4:$E$4,0)))),IF(H$2=2030,SUMPRODUCT(($B26='Landbrugsareal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resultat'!$I$4:$K$4,0)))))),IF(H$2=2019,SUMPRODUCT(($B26='Landbrugsareal - resultat'!$B$5:$B$18)*(INDEX('Landbrugsareal - resultat'!$L$5:$N$18,,MATCH($D26,'Landbrugsareal - resultat'!$L$4:$N$4,0)))),IF(H$2=2030,SUMPRODUCT(($B26='Landbrugsareal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resultat'!$R$4:$T$4,0))))))),IF($C26="Konventionel",IF(H$2=2019,SUMPRODUCT(($B26='Landbrugsareal - resultat'!$B$32:$B$45)*(INDEX('Landbrugsareal - resultat'!$C$32:$E$45,,MATCH($D26,'Landbrugsareal - resultat'!$C$4:$E$4,0)))),IF(H$2=2030,SUMPRODUCT(($B26='Landbrugsareal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resultat'!$I$4:$K$4,0)))))),IF(H$2=2019,SUMPRODUCT(($B26='Landbrugsareal - resultat'!$B$32:$B$45)*(INDEX('Landbrugsareal - resultat'!$L$32:$N$45,,MATCH($D26,'Landbrugsareal - resultat'!$L$4:$N$4,0)))),IF(H$2=2030,SUMPRODUCT(($B26='Landbrugsareal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1356.1401884652369</v>
      </c>
      <c r="I26" s="97" cm="1">
        <f t="array" ref="I26">IF($A26="Vestdanmark",IF($C26="Konventionel",IF(I$2=2019,SUMPRODUCT(($B26='Landbrugsareal - resultat'!$B$5:$B$18)*(INDEX('Landbrugsareal - resultat'!$C$5:$E$18,,MATCH($D26,'Landbrugsareal - resultat'!$C$4:$E$4,0)))),IF(I$2=2030,SUMPRODUCT(($B26='Landbrugsareal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resultat'!$I$4:$K$4,0)))))),IF(I$2=2019,SUMPRODUCT(($B26='Landbrugsareal - resultat'!$B$5:$B$18)*(INDEX('Landbrugsareal - resultat'!$L$5:$N$18,,MATCH($D26,'Landbrugsareal - resultat'!$L$4:$N$4,0)))),IF(I$2=2030,SUMPRODUCT(($B26='Landbrugsareal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resultat'!$R$4:$T$4,0))))))),IF($C26="Konventionel",IF(I$2=2019,SUMPRODUCT((C26='Landbrugsareal - resultat'!$B$32:$B$45)*(INDEX('Landbrugsareal - resultat'!$C$32:$E$45,,MATCH($D26,'Landbrugsareal - resultat'!$C$4:$E$4,0)))),IF(I$2=2030,SUMPRODUCT(($B26='Landbrugsareal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resultat'!$I$4:$K$4,0)))))),IF(I$2=2019,SUMPRODUCT(($B26='Landbrugsareal - resultat'!$B$32:$B$45)*(INDEX('Landbrugsareal - resultat'!$L$32:$N$45,,MATCH($D26,'Landbrugsareal - resultat'!$L$4:$N$4,0)))),IF(I$2=2030,SUMPRODUCT(($B26='Landbrugsareal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1293.4285034495033</v>
      </c>
    </row>
    <row r="27" spans="1:9" hidden="1" x14ac:dyDescent="0.55000000000000004">
      <c r="A27" t="s">
        <v>23</v>
      </c>
      <c r="B27" s="1" t="str">
        <f>[1]Afgrødefordeling!$C$12</f>
        <v>Frø</v>
      </c>
      <c r="C27" t="s">
        <v>7</v>
      </c>
      <c r="D27" t="str">
        <f t="shared" si="2"/>
        <v>OC6</v>
      </c>
      <c r="F27" t="str">
        <f t="shared" si="1"/>
        <v>Areal-frøgræs</v>
      </c>
      <c r="G27" s="97" cm="1">
        <f t="array" ref="G27">IF($A27="Vestdanmark",IF($C27="Konventionel",IF(G$2=2019,SUMPRODUCT(($B27='Landbrugsareal - resultat'!$B$5:$B$18)*(INDEX('Landbrugsareal - resultat'!$C$5:$E$18,,MATCH($D27,'Landbrugsareal - resultat'!$C$4:$E$4,0)))),IF(G$2=2030,SUMPRODUCT(($B27='Landbrugsareal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resultat'!$I$4:$K$4,0)))))),IF(G$2=2019,SUMPRODUCT(($B27='Landbrugsareal - resultat'!$B$5:$B$18)*(INDEX('Landbrugsareal - resultat'!$L$5:$N$18,,MATCH($D27,'Landbrugsareal - resultat'!$L$4:$N$4,0)))),IF(G$2=2030,SUMPRODUCT(($B27='Landbrugsareal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resultat'!$R$4:$T$4,0))))))),IF($C27="Konventionel",IF(G$2=2019,SUMPRODUCT((B27='Landbrugsareal - resultat'!$B$32:$B$45)*(INDEX('Landbrugsareal - resultat'!$C$32:$E$45,,MATCH($D27,'Landbrugsareal - resultat'!$C$4:$E$4,0)))),IF(G$2=2030,SUMPRODUCT(($B27='Landbrugsareal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resultat'!$I$4:$K$4,0)))))),IF(G$2=2019,SUMPRODUCT(($B27='Landbrugsareal - resultat'!$B$32:$B$45)*(INDEX('Landbrugsareal - resultat'!$L$32:$N$45,,MATCH($D27,'Landbrugsareal - resultat'!$L$4:$N$4,0)))),IF(G$2=2030,SUMPRODUCT(($B27='Landbrugsareal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3707.7646805966074</v>
      </c>
      <c r="H27" s="97" cm="1">
        <f t="array" ref="H27">IF($A27="Vestdanmark",IF($C27="Konventionel",IF(H$2=2019,SUMPRODUCT(($B27='Landbrugsareal - resultat'!$B$5:$B$18)*(INDEX('Landbrugsareal - resultat'!$C$5:$E$18,,MATCH($D27,'Landbrugsareal - resultat'!$C$4:$E$4,0)))),IF(H$2=2030,SUMPRODUCT(($B27='Landbrugsareal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resultat'!$I$4:$K$4,0)))))),IF(H$2=2019,SUMPRODUCT(($B27='Landbrugsareal - resultat'!$B$5:$B$18)*(INDEX('Landbrugsareal - resultat'!$L$5:$N$18,,MATCH($D27,'Landbrugsareal - resultat'!$L$4:$N$4,0)))),IF(H$2=2030,SUMPRODUCT(($B27='Landbrugsareal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resultat'!$R$4:$T$4,0))))))),IF($C27="Konventionel",IF(H$2=2019,SUMPRODUCT(($B27='Landbrugsareal - resultat'!$B$32:$B$45)*(INDEX('Landbrugsareal - resultat'!$C$32:$E$45,,MATCH($D27,'Landbrugsareal - resultat'!$C$4:$E$4,0)))),IF(H$2=2030,SUMPRODUCT(($B27='Landbrugsareal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resultat'!$I$4:$K$4,0)))))),IF(H$2=2019,SUMPRODUCT(($B27='Landbrugsareal - resultat'!$B$32:$B$45)*(INDEX('Landbrugsareal - resultat'!$L$32:$N$45,,MATCH($D27,'Landbrugsareal - resultat'!$L$4:$N$4,0)))),IF(H$2=2030,SUMPRODUCT(($B27='Landbrugsareal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3347.3539097439348</v>
      </c>
      <c r="I27" s="97" cm="1">
        <f t="array" ref="I27">IF($A27="Vestdanmark",IF($C27="Konventionel",IF(I$2=2019,SUMPRODUCT(($B27='Landbrugsareal - resultat'!$B$5:$B$18)*(INDEX('Landbrugsareal - resultat'!$C$5:$E$18,,MATCH($D27,'Landbrugsareal - resultat'!$C$4:$E$4,0)))),IF(I$2=2030,SUMPRODUCT(($B27='Landbrugsareal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resultat'!$I$4:$K$4,0)))))),IF(I$2=2019,SUMPRODUCT(($B27='Landbrugsareal - resultat'!$B$5:$B$18)*(INDEX('Landbrugsareal - resultat'!$L$5:$N$18,,MATCH($D27,'Landbrugsareal - resultat'!$L$4:$N$4,0)))),IF(I$2=2030,SUMPRODUCT(($B27='Landbrugsareal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resultat'!$R$4:$T$4,0))))))),IF($C27="Konventionel",IF(I$2=2019,SUMPRODUCT((C27='Landbrugsareal - resultat'!$B$32:$B$45)*(INDEX('Landbrugsareal - resultat'!$C$32:$E$45,,MATCH($D27,'Landbrugsareal - resultat'!$C$4:$E$4,0)))),IF(I$2=2030,SUMPRODUCT(($B27='Landbrugsareal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resultat'!$I$4:$K$4,0)))))),IF(I$2=2019,SUMPRODUCT(($B27='Landbrugsareal - resultat'!$B$32:$B$45)*(INDEX('Landbrugsareal - resultat'!$L$32:$N$45,,MATCH($D27,'Landbrugsareal - resultat'!$L$4:$N$4,0)))),IF(I$2=2030,SUMPRODUCT(($B27='Landbrugsareal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3192.5629775014409</v>
      </c>
    </row>
    <row r="28" spans="1:9" hidden="1" x14ac:dyDescent="0.55000000000000004">
      <c r="A28" t="s">
        <v>23</v>
      </c>
      <c r="B28" s="1" t="str">
        <f>[1]Afgrødefordeling!$C$13</f>
        <v>Juletræer</v>
      </c>
      <c r="C28" t="s">
        <v>7</v>
      </c>
      <c r="D28" t="str">
        <f t="shared" si="2"/>
        <v>OC6</v>
      </c>
      <c r="F28" t="str">
        <f t="shared" si="1"/>
        <v>Areal-juletræer</v>
      </c>
      <c r="G28" s="97" cm="1">
        <f t="array" ref="G28">IF($A28="Vestdanmark",IF($C28="Konventionel",IF(G$2=2019,SUMPRODUCT(($B28='Landbrugsareal - resultat'!$B$5:$B$18)*(INDEX('Landbrugsareal - resultat'!$C$5:$E$18,,MATCH($D28,'Landbrugsareal - resultat'!$C$4:$E$4,0)))),IF(G$2=2030,SUMPRODUCT(($B28='Landbrugsareal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resultat'!$I$4:$K$4,0)))))),IF(G$2=2019,SUMPRODUCT(($B28='Landbrugsareal - resultat'!$B$5:$B$18)*(INDEX('Landbrugsareal - resultat'!$L$5:$N$18,,MATCH($D28,'Landbrugsareal - resultat'!$L$4:$N$4,0)))),IF(G$2=2030,SUMPRODUCT(($B28='Landbrugsareal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resultat'!$R$4:$T$4,0))))))),IF($C28="Konventionel",IF(G$2=2019,SUMPRODUCT((B28='Landbrugsareal - resultat'!$B$32:$B$45)*(INDEX('Landbrugsareal - resultat'!$C$32:$E$45,,MATCH($D28,'Landbrugsareal - resultat'!$C$4:$E$4,0)))),IF(G$2=2030,SUMPRODUCT(($B28='Landbrugsareal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resultat'!$I$4:$K$4,0)))))),IF(G$2=2019,SUMPRODUCT(($B28='Landbrugsareal - resultat'!$B$32:$B$45)*(INDEX('Landbrugsareal - resultat'!$L$32:$N$45,,MATCH($D28,'Landbrugsareal - resultat'!$L$4:$N$4,0)))),IF(G$2=2030,SUMPRODUCT(($B28='Landbrugsareal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425.99643668454917</v>
      </c>
      <c r="H28" s="97" cm="1">
        <f t="array" ref="H28">IF($A28="Vestdanmark",IF($C28="Konventionel",IF(H$2=2019,SUMPRODUCT(($B28='Landbrugsareal - resultat'!$B$5:$B$18)*(INDEX('Landbrugsareal - resultat'!$C$5:$E$18,,MATCH($D28,'Landbrugsareal - resultat'!$C$4:$E$4,0)))),IF(H$2=2030,SUMPRODUCT(($B28='Landbrugsareal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resultat'!$I$4:$K$4,0)))))),IF(H$2=2019,SUMPRODUCT(($B28='Landbrugsareal - resultat'!$B$5:$B$18)*(INDEX('Landbrugsareal - resultat'!$L$5:$N$18,,MATCH($D28,'Landbrugsareal - resultat'!$L$4:$N$4,0)))),IF(H$2=2030,SUMPRODUCT(($B28='Landbrugsareal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resultat'!$R$4:$T$4,0))))))),IF($C28="Konventionel",IF(H$2=2019,SUMPRODUCT(($B28='Landbrugsareal - resultat'!$B$32:$B$45)*(INDEX('Landbrugsareal - resultat'!$C$32:$E$45,,MATCH($D28,'Landbrugsareal - resultat'!$C$4:$E$4,0)))),IF(H$2=2030,SUMPRODUCT(($B28='Landbrugsareal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resultat'!$I$4:$K$4,0)))))),IF(H$2=2019,SUMPRODUCT(($B28='Landbrugsareal - resultat'!$B$32:$B$45)*(INDEX('Landbrugsareal - resultat'!$L$32:$N$45,,MATCH($D28,'Landbrugsareal - resultat'!$L$4:$N$4,0)))),IF(H$2=2030,SUMPRODUCT(($B28='Landbrugsareal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384.58773970616767</v>
      </c>
      <c r="I28" s="97" cm="1">
        <f t="array" ref="I28">IF($A28="Vestdanmark",IF($C28="Konventionel",IF(I$2=2019,SUMPRODUCT(($B28='Landbrugsareal - resultat'!$B$5:$B$18)*(INDEX('Landbrugsareal - resultat'!$C$5:$E$18,,MATCH($D28,'Landbrugsareal - resultat'!$C$4:$E$4,0)))),IF(I$2=2030,SUMPRODUCT(($B28='Landbrugsareal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resultat'!$I$4:$K$4,0)))))),IF(I$2=2019,SUMPRODUCT(($B28='Landbrugsareal - resultat'!$B$5:$B$18)*(INDEX('Landbrugsareal - resultat'!$L$5:$N$18,,MATCH($D28,'Landbrugsareal - resultat'!$L$4:$N$4,0)))),IF(I$2=2030,SUMPRODUCT(($B28='Landbrugsareal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resultat'!$R$4:$T$4,0))))))),IF($C28="Konventionel",IF(I$2=2019,SUMPRODUCT((C28='Landbrugsareal - resultat'!$B$32:$B$45)*(INDEX('Landbrugsareal - resultat'!$C$32:$E$45,,MATCH($D28,'Landbrugsareal - resultat'!$C$4:$E$4,0)))),IF(I$2=2030,SUMPRODUCT(($B28='Landbrugsareal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resultat'!$I$4:$K$4,0)))))),IF(I$2=2019,SUMPRODUCT(($B28='Landbrugsareal - resultat'!$B$32:$B$45)*(INDEX('Landbrugsareal - resultat'!$L$32:$N$45,,MATCH($D28,'Landbrugsareal - resultat'!$L$4:$N$4,0)))),IF(I$2=2030,SUMPRODUCT(($B28='Landbrugsareal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366.8033355579056</v>
      </c>
    </row>
    <row r="29" spans="1:9" hidden="1" x14ac:dyDescent="0.55000000000000004">
      <c r="A29" t="s">
        <v>23</v>
      </c>
      <c r="B29" s="1" t="str">
        <f>[1]Afgrødefordeling!$C$14</f>
        <v>Pil &amp; poppel</v>
      </c>
      <c r="C29" t="s">
        <v>7</v>
      </c>
      <c r="D29" t="str">
        <f t="shared" si="2"/>
        <v>OC6</v>
      </c>
      <c r="F29" t="str">
        <f t="shared" si="1"/>
        <v>Areal-pil-poppel</v>
      </c>
      <c r="G29" s="97" cm="1">
        <f t="array" ref="G29">IF($A29="Vestdanmark",IF($C29="Konventionel",IF(G$2=2019,SUMPRODUCT(($B29='Landbrugsareal - resultat'!$B$5:$B$18)*(INDEX('Landbrugsareal - resultat'!$C$5:$E$18,,MATCH($D29,'Landbrugsareal - resultat'!$C$4:$E$4,0)))),IF(G$2=2030,SUMPRODUCT(($B29='Landbrugsareal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resultat'!$I$4:$K$4,0)))))),IF(G$2=2019,SUMPRODUCT(($B29='Landbrugsareal - resultat'!$B$5:$B$18)*(INDEX('Landbrugsareal - resultat'!$L$5:$N$18,,MATCH($D29,'Landbrugsareal - resultat'!$L$4:$N$4,0)))),IF(G$2=2030,SUMPRODUCT(($B29='Landbrugsareal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resultat'!$R$4:$T$4,0))))))),IF($C29="Konventionel",IF(G$2=2019,SUMPRODUCT((B29='Landbrugsareal - resultat'!$B$32:$B$45)*(INDEX('Landbrugsareal - resultat'!$C$32:$E$45,,MATCH($D29,'Landbrugsareal - resultat'!$C$4:$E$4,0)))),IF(G$2=2030,SUMPRODUCT(($B29='Landbrugsareal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resultat'!$I$4:$K$4,0)))))),IF(G$2=2019,SUMPRODUCT(($B29='Landbrugsareal - resultat'!$B$32:$B$45)*(INDEX('Landbrugsareal - resultat'!$L$32:$N$45,,MATCH($D29,'Landbrugsareal - resultat'!$L$4:$N$4,0)))),IF(G$2=2030,SUMPRODUCT(($B29='Landbrugsareal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699.64323170301793</v>
      </c>
      <c r="H29" s="97" cm="1">
        <f t="array" ref="H29">IF($A29="Vestdanmark",IF($C29="Konventionel",IF(H$2=2019,SUMPRODUCT(($B29='Landbrugsareal - resultat'!$B$5:$B$18)*(INDEX('Landbrugsareal - resultat'!$C$5:$E$18,,MATCH($D29,'Landbrugsareal - resultat'!$C$4:$E$4,0)))),IF(H$2=2030,SUMPRODUCT(($B29='Landbrugsareal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resultat'!$I$4:$K$4,0)))))),IF(H$2=2019,SUMPRODUCT(($B29='Landbrugsareal - resultat'!$B$5:$B$18)*(INDEX('Landbrugsareal - resultat'!$L$5:$N$18,,MATCH($D29,'Landbrugsareal - resultat'!$L$4:$N$4,0)))),IF(H$2=2030,SUMPRODUCT(($B29='Landbrugsareal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resultat'!$R$4:$T$4,0))))))),IF($C29="Konventionel",IF(H$2=2019,SUMPRODUCT(($B29='Landbrugsareal - resultat'!$B$32:$B$45)*(INDEX('Landbrugsareal - resultat'!$C$32:$E$45,,MATCH($D29,'Landbrugsareal - resultat'!$C$4:$E$4,0)))),IF(H$2=2030,SUMPRODUCT(($B29='Landbrugsareal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resultat'!$I$4:$K$4,0)))))),IF(H$2=2019,SUMPRODUCT(($B29='Landbrugsareal - resultat'!$B$32:$B$45)*(INDEX('Landbrugsareal - resultat'!$L$32:$N$45,,MATCH($D29,'Landbrugsareal - resultat'!$L$4:$N$4,0)))),IF(H$2=2030,SUMPRODUCT(($B29='Landbrugsareal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631.63488214957056</v>
      </c>
      <c r="I29" s="97" cm="1">
        <f t="array" ref="I29">IF($A29="Vestdanmark",IF($C29="Konventionel",IF(I$2=2019,SUMPRODUCT(($B29='Landbrugsareal - resultat'!$B$5:$B$18)*(INDEX('Landbrugsareal - resultat'!$C$5:$E$18,,MATCH($D29,'Landbrugsareal - resultat'!$C$4:$E$4,0)))),IF(I$2=2030,SUMPRODUCT(($B29='Landbrugsareal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resultat'!$I$4:$K$4,0)))))),IF(I$2=2019,SUMPRODUCT(($B29='Landbrugsareal - resultat'!$B$5:$B$18)*(INDEX('Landbrugsareal - resultat'!$L$5:$N$18,,MATCH($D29,'Landbrugsareal - resultat'!$L$4:$N$4,0)))),IF(I$2=2030,SUMPRODUCT(($B29='Landbrugsareal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resultat'!$R$4:$T$4,0))))))),IF($C29="Konventionel",IF(I$2=2019,SUMPRODUCT((C29='Landbrugsareal - resultat'!$B$32:$B$45)*(INDEX('Landbrugsareal - resultat'!$C$32:$E$45,,MATCH($D29,'Landbrugsareal - resultat'!$C$4:$E$4,0)))),IF(I$2=2030,SUMPRODUCT(($B29='Landbrugsareal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resultat'!$I$4:$K$4,0)))))),IF(I$2=2019,SUMPRODUCT(($B29='Landbrugsareal - resultat'!$B$32:$B$45)*(INDEX('Landbrugsareal - resultat'!$L$32:$N$45,,MATCH($D29,'Landbrugsareal - resultat'!$L$4:$N$4,0)))),IF(I$2=2030,SUMPRODUCT(($B29='Landbrugsareal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602.42633268600662</v>
      </c>
    </row>
    <row r="30" spans="1:9" hidden="1" x14ac:dyDescent="0.55000000000000004">
      <c r="A30" t="s">
        <v>23</v>
      </c>
      <c r="B30" s="1" t="str">
        <f>[1]Afgrødefordeling!$C$15</f>
        <v>Permanent græs</v>
      </c>
      <c r="C30" t="s">
        <v>7</v>
      </c>
      <c r="D30" t="str">
        <f t="shared" si="2"/>
        <v>OC6</v>
      </c>
      <c r="F30" t="str">
        <f t="shared" si="1"/>
        <v>Areal-permanent græs</v>
      </c>
      <c r="G30" s="97" cm="1">
        <f t="array" ref="G30">IF($A30="Vestdanmark",IF($C30="Konventionel",IF(G$2=2019,SUMPRODUCT(($B30='Landbrugsareal - resultat'!$B$5:$B$18)*(INDEX('Landbrugsareal - resultat'!$C$5:$E$18,,MATCH($D30,'Landbrugsareal - resultat'!$C$4:$E$4,0)))),IF(G$2=2030,SUMPRODUCT(($B30='Landbrugsareal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resultat'!$I$4:$K$4,0)))))),IF(G$2=2019,SUMPRODUCT(($B30='Landbrugsareal - resultat'!$B$5:$B$18)*(INDEX('Landbrugsareal - resultat'!$L$5:$N$18,,MATCH($D30,'Landbrugsareal - resultat'!$L$4:$N$4,0)))),IF(G$2=2030,SUMPRODUCT(($B30='Landbrugsareal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resultat'!$R$4:$T$4,0))))))),IF($C30="Konventionel",IF(G$2=2019,SUMPRODUCT((B30='Landbrugsareal - resultat'!$B$32:$B$45)*(INDEX('Landbrugsareal - resultat'!$C$32:$E$45,,MATCH($D30,'Landbrugsareal - resultat'!$C$4:$E$4,0)))),IF(G$2=2030,SUMPRODUCT(($B30='Landbrugsareal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resultat'!$I$4:$K$4,0)))))),IF(G$2=2019,SUMPRODUCT(($B30='Landbrugsareal - resultat'!$B$32:$B$45)*(INDEX('Landbrugsareal - resultat'!$L$32:$N$45,,MATCH($D30,'Landbrugsareal - resultat'!$L$4:$N$4,0)))),IF(G$2=2030,SUMPRODUCT(($B30='Landbrugsareal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19775.461430434403</v>
      </c>
      <c r="H30" s="97" cm="1">
        <f t="array" ref="H30">IF($A30="Vestdanmark",IF($C30="Konventionel",IF(H$2=2019,SUMPRODUCT(($B30='Landbrugsareal - resultat'!$B$5:$B$18)*(INDEX('Landbrugsareal - resultat'!$C$5:$E$18,,MATCH($D30,'Landbrugsareal - resultat'!$C$4:$E$4,0)))),IF(H$2=2030,SUMPRODUCT(($B30='Landbrugsareal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resultat'!$I$4:$K$4,0)))))),IF(H$2=2019,SUMPRODUCT(($B30='Landbrugsareal - resultat'!$B$5:$B$18)*(INDEX('Landbrugsareal - resultat'!$L$5:$N$18,,MATCH($D30,'Landbrugsareal - resultat'!$L$4:$N$4,0)))),IF(H$2=2030,SUMPRODUCT(($B30='Landbrugsareal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resultat'!$R$4:$T$4,0))))))),IF($C30="Konventionel",IF(H$2=2019,SUMPRODUCT(($B30='Landbrugsareal - resultat'!$B$32:$B$45)*(INDEX('Landbrugsareal - resultat'!$C$32:$E$45,,MATCH($D30,'Landbrugsareal - resultat'!$C$4:$E$4,0)))),IF(H$2=2030,SUMPRODUCT(($B30='Landbrugsareal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resultat'!$I$4:$K$4,0)))))),IF(H$2=2019,SUMPRODUCT(($B30='Landbrugsareal - resultat'!$B$32:$B$45)*(INDEX('Landbrugsareal - resultat'!$L$32:$N$45,,MATCH($D30,'Landbrugsareal - resultat'!$L$4:$N$4,0)))),IF(H$2=2030,SUMPRODUCT(($B30='Landbrugsareal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17853.201008836309</v>
      </c>
      <c r="I30" s="97" cm="1">
        <f t="array" ref="I30">IF($A30="Vestdanmark",IF($C30="Konventionel",IF(I$2=2019,SUMPRODUCT(($B30='Landbrugsareal - resultat'!$B$5:$B$18)*(INDEX('Landbrugsareal - resultat'!$C$5:$E$18,,MATCH($D30,'Landbrugsareal - resultat'!$C$4:$E$4,0)))),IF(I$2=2030,SUMPRODUCT(($B30='Landbrugsareal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resultat'!$I$4:$K$4,0)))))),IF(I$2=2019,SUMPRODUCT(($B30='Landbrugsareal - resultat'!$B$5:$B$18)*(INDEX('Landbrugsareal - resultat'!$L$5:$N$18,,MATCH($D30,'Landbrugsareal - resultat'!$L$4:$N$4,0)))),IF(I$2=2030,SUMPRODUCT(($B30='Landbrugsareal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resultat'!$R$4:$T$4,0))))))),IF($C30="Konventionel",IF(I$2=2019,SUMPRODUCT((C30='Landbrugsareal - resultat'!$B$32:$B$45)*(INDEX('Landbrugsareal - resultat'!$C$32:$E$45,,MATCH($D30,'Landbrugsareal - resultat'!$C$4:$E$4,0)))),IF(I$2=2030,SUMPRODUCT(($B30='Landbrugsareal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resultat'!$I$4:$K$4,0)))))),IF(I$2=2019,SUMPRODUCT(($B30='Landbrugsareal - resultat'!$B$32:$B$45)*(INDEX('Landbrugsareal - resultat'!$L$32:$N$45,,MATCH($D30,'Landbrugsareal - resultat'!$L$4:$N$4,0)))),IF(I$2=2030,SUMPRODUCT(($B30='Landbrugsareal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17027.619459294743</v>
      </c>
    </row>
    <row r="31" spans="1:9" hidden="1" x14ac:dyDescent="0.55000000000000004">
      <c r="A31" t="s">
        <v>23</v>
      </c>
      <c r="B31" s="1" t="str">
        <f>[1]Afgrødefordeling!$C$2</f>
        <v>Korn</v>
      </c>
      <c r="C31" t="s">
        <v>7</v>
      </c>
      <c r="D31" t="str">
        <f t="shared" ref="D31:D44" si="3">Organ12</f>
        <v>OC12</v>
      </c>
      <c r="F31" t="str">
        <f t="shared" si="1"/>
        <v>Areal-korn</v>
      </c>
      <c r="G31" s="97" cm="1">
        <f t="array" ref="G31">IF($A31="Vestdanmark",IF($C31="Konventionel",IF(G$2=2019,SUMPRODUCT(($B31='Landbrugsareal - resultat'!$B$5:$B$18)*(INDEX('Landbrugsareal - resultat'!$C$5:$E$18,,MATCH($D31,'Landbrugsareal - resultat'!$C$4:$E$4,0)))),IF(G$2=2030,SUMPRODUCT(($B31='Landbrugsareal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resultat'!$I$4:$K$4,0)))))),IF(G$2=2019,SUMPRODUCT(($B31='Landbrugsareal - resultat'!$B$5:$B$18)*(INDEX('Landbrugsareal - resultat'!$L$5:$N$18,,MATCH($D31,'Landbrugsareal - resultat'!$L$4:$N$4,0)))),IF(G$2=2030,SUMPRODUCT(($B31='Landbrugsareal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resultat'!$R$4:$T$4,0))))))),IF($C31="Konventionel",IF(G$2=2019,SUMPRODUCT((B31='Landbrugsareal - resultat'!$B$32:$B$45)*(INDEX('Landbrugsareal - resultat'!$C$32:$E$45,,MATCH($D31,'Landbrugsareal - resultat'!$C$4:$E$4,0)))),IF(G$2=2030,SUMPRODUCT(($B31='Landbrugsareal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resultat'!$I$4:$K$4,0)))))),IF(G$2=2019,SUMPRODUCT(($B31='Landbrugsareal - resultat'!$B$32:$B$45)*(INDEX('Landbrugsareal - resultat'!$L$32:$N$45,,MATCH($D31,'Landbrugsareal - resultat'!$L$4:$N$4,0)))),IF(G$2=2030,SUMPRODUCT(($B31='Landbrugsareal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11897.853201235472</v>
      </c>
      <c r="H31" s="97" cm="1">
        <f t="array" ref="H31">IF($A31="Vestdanmark",IF($C31="Konventionel",IF(H$2=2019,SUMPRODUCT(($B31='Landbrugsareal - resultat'!$B$5:$B$18)*(INDEX('Landbrugsareal - resultat'!$C$5:$E$18,,MATCH($D31,'Landbrugsareal - resultat'!$C$4:$E$4,0)))),IF(H$2=2030,SUMPRODUCT(($B31='Landbrugsareal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resultat'!$I$4:$K$4,0)))))),IF(H$2=2019,SUMPRODUCT(($B31='Landbrugsareal - resultat'!$B$5:$B$18)*(INDEX('Landbrugsareal - resultat'!$L$5:$N$18,,MATCH($D31,'Landbrugsareal - resultat'!$L$4:$N$4,0)))),IF(H$2=2030,SUMPRODUCT(($B31='Landbrugsareal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resultat'!$R$4:$T$4,0))))))),IF($C31="Konventionel",IF(H$2=2019,SUMPRODUCT(($B31='Landbrugsareal - resultat'!$B$32:$B$45)*(INDEX('Landbrugsareal - resultat'!$C$32:$E$45,,MATCH($D31,'Landbrugsareal - resultat'!$C$4:$E$4,0)))),IF(H$2=2030,SUMPRODUCT(($B31='Landbrugsareal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resultat'!$I$4:$K$4,0)))))),IF(H$2=2019,SUMPRODUCT(($B31='Landbrugsareal - resultat'!$B$32:$B$45)*(INDEX('Landbrugsareal - resultat'!$L$32:$N$45,,MATCH($D31,'Landbrugsareal - resultat'!$L$4:$N$4,0)))),IF(H$2=2030,SUMPRODUCT(($B31='Landbrugsareal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10494.747555877077</v>
      </c>
      <c r="I31" s="97" cm="1">
        <f t="array" ref="I31">IF($A31="Vestdanmark",IF($C31="Konventionel",IF(I$2=2019,SUMPRODUCT(($B31='Landbrugsareal - resultat'!$B$5:$B$18)*(INDEX('Landbrugsareal - resultat'!$C$5:$E$18,,MATCH($D31,'Landbrugsareal - resultat'!$C$4:$E$4,0)))),IF(I$2=2030,SUMPRODUCT(($B31='Landbrugsareal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resultat'!$I$4:$K$4,0)))))),IF(I$2=2019,SUMPRODUCT(($B31='Landbrugsareal - resultat'!$B$5:$B$18)*(INDEX('Landbrugsareal - resultat'!$L$5:$N$18,,MATCH($D31,'Landbrugsareal - resultat'!$L$4:$N$4,0)))),IF(I$2=2030,SUMPRODUCT(($B31='Landbrugsareal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resultat'!$R$4:$T$4,0))))))),IF($C31="Konventionel",IF(I$2=2019,SUMPRODUCT((C31='Landbrugsareal - resultat'!$B$32:$B$45)*(INDEX('Landbrugsareal - resultat'!$C$32:$E$45,,MATCH($D31,'Landbrugsareal - resultat'!$C$4:$E$4,0)))),IF(I$2=2030,SUMPRODUCT(($B31='Landbrugsareal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resultat'!$I$4:$K$4,0)))))),IF(I$2=2019,SUMPRODUCT(($B31='Landbrugsareal - resultat'!$B$32:$B$45)*(INDEX('Landbrugsareal - resultat'!$L$32:$N$45,,MATCH($D31,'Landbrugsareal - resultat'!$L$4:$N$4,0)))),IF(I$2=2030,SUMPRODUCT(($B31='Landbrugsareal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10009.441310518599</v>
      </c>
    </row>
    <row r="32" spans="1:9" hidden="1" x14ac:dyDescent="0.55000000000000004">
      <c r="A32" t="s">
        <v>23</v>
      </c>
      <c r="B32" s="1" t="str">
        <f>[1]Afgrødefordeling!$C$3</f>
        <v>Bælgsæd</v>
      </c>
      <c r="C32" t="s">
        <v>7</v>
      </c>
      <c r="D32" t="str">
        <f t="shared" si="3"/>
        <v>OC12</v>
      </c>
      <c r="F32" t="str">
        <f t="shared" si="1"/>
        <v>Areal-bælgsæd</v>
      </c>
      <c r="G32" s="97" cm="1">
        <f t="array" ref="G32">IF($A32="Vestdanmark",IF($C32="Konventionel",IF(G$2=2019,SUMPRODUCT(($B32='Landbrugsareal - resultat'!$B$5:$B$18)*(INDEX('Landbrugsareal - resultat'!$C$5:$E$18,,MATCH($D32,'Landbrugsareal - resultat'!$C$4:$E$4,0)))),IF(G$2=2030,SUMPRODUCT(($B32='Landbrugsareal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resultat'!$I$4:$K$4,0)))))),IF(G$2=2019,SUMPRODUCT(($B32='Landbrugsareal - resultat'!$B$5:$B$18)*(INDEX('Landbrugsareal - resultat'!$L$5:$N$18,,MATCH($D32,'Landbrugsareal - resultat'!$L$4:$N$4,0)))),IF(G$2=2030,SUMPRODUCT(($B32='Landbrugsareal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resultat'!$R$4:$T$4,0))))))),IF($C32="Konventionel",IF(G$2=2019,SUMPRODUCT((B32='Landbrugsareal - resultat'!$B$32:$B$45)*(INDEX('Landbrugsareal - resultat'!$C$32:$E$45,,MATCH($D32,'Landbrugsareal - resultat'!$C$4:$E$4,0)))),IF(G$2=2030,SUMPRODUCT(($B32='Landbrugsareal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resultat'!$I$4:$K$4,0)))))),IF(G$2=2019,SUMPRODUCT(($B32='Landbrugsareal - resultat'!$B$32:$B$45)*(INDEX('Landbrugsareal - resultat'!$L$32:$N$45,,MATCH($D32,'Landbrugsareal - resultat'!$L$4:$N$4,0)))),IF(G$2=2030,SUMPRODUCT(($B32='Landbrugsareal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685.06913436036109</v>
      </c>
      <c r="H32" s="97" cm="1">
        <f t="array" ref="H32">IF($A32="Vestdanmark",IF($C32="Konventionel",IF(H$2=2019,SUMPRODUCT(($B32='Landbrugsareal - resultat'!$B$5:$B$18)*(INDEX('Landbrugsareal - resultat'!$C$5:$E$18,,MATCH($D32,'Landbrugsareal - resultat'!$C$4:$E$4,0)))),IF(H$2=2030,SUMPRODUCT(($B32='Landbrugsareal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resultat'!$I$4:$K$4,0)))))),IF(H$2=2019,SUMPRODUCT(($B32='Landbrugsareal - resultat'!$B$5:$B$18)*(INDEX('Landbrugsareal - resultat'!$L$5:$N$18,,MATCH($D32,'Landbrugsareal - resultat'!$L$4:$N$4,0)))),IF(H$2=2030,SUMPRODUCT(($B32='Landbrugsareal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resultat'!$R$4:$T$4,0))))))),IF($C32="Konventionel",IF(H$2=2019,SUMPRODUCT(($B32='Landbrugsareal - resultat'!$B$32:$B$45)*(INDEX('Landbrugsareal - resultat'!$C$32:$E$45,,MATCH($D32,'Landbrugsareal - resultat'!$C$4:$E$4,0)))),IF(H$2=2030,SUMPRODUCT(($B32='Landbrugsareal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resultat'!$I$4:$K$4,0)))))),IF(H$2=2019,SUMPRODUCT(($B32='Landbrugsareal - resultat'!$B$32:$B$45)*(INDEX('Landbrugsareal - resultat'!$L$32:$N$45,,MATCH($D32,'Landbrugsareal - resultat'!$L$4:$N$4,0)))),IF(H$2=2030,SUMPRODUCT(($B32='Landbrugsareal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604.279402496633</v>
      </c>
      <c r="I32" s="97" cm="1">
        <f t="array" ref="I32">IF($A32="Vestdanmark",IF($C32="Konventionel",IF(I$2=2019,SUMPRODUCT(($B32='Landbrugsareal - resultat'!$B$5:$B$18)*(INDEX('Landbrugsareal - resultat'!$C$5:$E$18,,MATCH($D32,'Landbrugsareal - resultat'!$C$4:$E$4,0)))),IF(I$2=2030,SUMPRODUCT(($B32='Landbrugsareal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resultat'!$I$4:$K$4,0)))))),IF(I$2=2019,SUMPRODUCT(($B32='Landbrugsareal - resultat'!$B$5:$B$18)*(INDEX('Landbrugsareal - resultat'!$L$5:$N$18,,MATCH($D32,'Landbrugsareal - resultat'!$L$4:$N$4,0)))),IF(I$2=2030,SUMPRODUCT(($B32='Landbrugsareal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resultat'!$R$4:$T$4,0))))))),IF($C32="Konventionel",IF(I$2=2019,SUMPRODUCT((C32='Landbrugsareal - resultat'!$B$32:$B$45)*(INDEX('Landbrugsareal - resultat'!$C$32:$E$45,,MATCH($D32,'Landbrugsareal - resultat'!$C$4:$E$4,0)))),IF(I$2=2030,SUMPRODUCT(($B32='Landbrugsareal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resultat'!$I$4:$K$4,0)))))),IF(I$2=2019,SUMPRODUCT(($B32='Landbrugsareal - resultat'!$B$32:$B$45)*(INDEX('Landbrugsareal - resultat'!$L$32:$N$45,,MATCH($D32,'Landbrugsareal - resultat'!$L$4:$N$4,0)))),IF(I$2=2030,SUMPRODUCT(($B32='Landbrugsareal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576.33584631181759</v>
      </c>
    </row>
    <row r="33" spans="1:9" hidden="1" x14ac:dyDescent="0.55000000000000004">
      <c r="A33" t="s">
        <v>23</v>
      </c>
      <c r="B33" s="1" t="str">
        <f>[1]Afgrødefordeling!$C$4</f>
        <v>Raps</v>
      </c>
      <c r="C33" t="s">
        <v>7</v>
      </c>
      <c r="D33" t="str">
        <f t="shared" si="3"/>
        <v>OC12</v>
      </c>
      <c r="F33" t="str">
        <f t="shared" si="1"/>
        <v>Areal-raps</v>
      </c>
      <c r="G33" s="97" cm="1">
        <f t="array" ref="G33">IF($A33="Vestdanmark",IF($C33="Konventionel",IF(G$2=2019,SUMPRODUCT(($B33='Landbrugsareal - resultat'!$B$5:$B$18)*(INDEX('Landbrugsareal - resultat'!$C$5:$E$18,,MATCH($D33,'Landbrugsareal - resultat'!$C$4:$E$4,0)))),IF(G$2=2030,SUMPRODUCT(($B33='Landbrugsareal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resultat'!$I$4:$K$4,0)))))),IF(G$2=2019,SUMPRODUCT(($B33='Landbrugsareal - resultat'!$B$5:$B$18)*(INDEX('Landbrugsareal - resultat'!$L$5:$N$18,,MATCH($D33,'Landbrugsareal - resultat'!$L$4:$N$4,0)))),IF(G$2=2030,SUMPRODUCT(($B33='Landbrugsareal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resultat'!$R$4:$T$4,0))))))),IF($C33="Konventionel",IF(G$2=2019,SUMPRODUCT((B33='Landbrugsareal - resultat'!$B$32:$B$45)*(INDEX('Landbrugsareal - resultat'!$C$32:$E$45,,MATCH($D33,'Landbrugsareal - resultat'!$C$4:$E$4,0)))),IF(G$2=2030,SUMPRODUCT(($B33='Landbrugsareal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resultat'!$I$4:$K$4,0)))))),IF(G$2=2019,SUMPRODUCT(($B33='Landbrugsareal - resultat'!$B$32:$B$45)*(INDEX('Landbrugsareal - resultat'!$L$32:$N$45,,MATCH($D33,'Landbrugsareal - resultat'!$L$4:$N$4,0)))),IF(G$2=2030,SUMPRODUCT(($B33='Landbrugsareal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887.13350750082327</v>
      </c>
      <c r="H33" s="97" cm="1">
        <f t="array" ref="H33">IF($A33="Vestdanmark",IF($C33="Konventionel",IF(H$2=2019,SUMPRODUCT(($B33='Landbrugsareal - resultat'!$B$5:$B$18)*(INDEX('Landbrugsareal - resultat'!$C$5:$E$18,,MATCH($D33,'Landbrugsareal - resultat'!$C$4:$E$4,0)))),IF(H$2=2030,SUMPRODUCT(($B33='Landbrugsareal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resultat'!$I$4:$K$4,0)))))),IF(H$2=2019,SUMPRODUCT(($B33='Landbrugsareal - resultat'!$B$5:$B$18)*(INDEX('Landbrugsareal - resultat'!$L$5:$N$18,,MATCH($D33,'Landbrugsareal - resultat'!$L$4:$N$4,0)))),IF(H$2=2030,SUMPRODUCT(($B33='Landbrugsareal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resultat'!$R$4:$T$4,0))))))),IF($C33="Konventionel",IF(H$2=2019,SUMPRODUCT(($B33='Landbrugsareal - resultat'!$B$32:$B$45)*(INDEX('Landbrugsareal - resultat'!$C$32:$E$45,,MATCH($D33,'Landbrugsareal - resultat'!$C$4:$E$4,0)))),IF(H$2=2030,SUMPRODUCT(($B33='Landbrugsareal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resultat'!$I$4:$K$4,0)))))),IF(H$2=2019,SUMPRODUCT(($B33='Landbrugsareal - resultat'!$B$32:$B$45)*(INDEX('Landbrugsareal - resultat'!$L$32:$N$45,,MATCH($D33,'Landbrugsareal - resultat'!$L$4:$N$4,0)))),IF(H$2=2030,SUMPRODUCT(($B33='Landbrugsareal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782.5144630809657</v>
      </c>
      <c r="I33" s="97" cm="1">
        <f t="array" ref="I33">IF($A33="Vestdanmark",IF($C33="Konventionel",IF(I$2=2019,SUMPRODUCT(($B33='Landbrugsareal - resultat'!$B$5:$B$18)*(INDEX('Landbrugsareal - resultat'!$C$5:$E$18,,MATCH($D33,'Landbrugsareal - resultat'!$C$4:$E$4,0)))),IF(I$2=2030,SUMPRODUCT(($B33='Landbrugsareal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resultat'!$I$4:$K$4,0)))))),IF(I$2=2019,SUMPRODUCT(($B33='Landbrugsareal - resultat'!$B$5:$B$18)*(INDEX('Landbrugsareal - resultat'!$L$5:$N$18,,MATCH($D33,'Landbrugsareal - resultat'!$L$4:$N$4,0)))),IF(I$2=2030,SUMPRODUCT(($B33='Landbrugsareal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resultat'!$R$4:$T$4,0))))))),IF($C33="Konventionel",IF(I$2=2019,SUMPRODUCT((C33='Landbrugsareal - resultat'!$B$32:$B$45)*(INDEX('Landbrugsareal - resultat'!$C$32:$E$45,,MATCH($D33,'Landbrugsareal - resultat'!$C$4:$E$4,0)))),IF(I$2=2030,SUMPRODUCT(($B33='Landbrugsareal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resultat'!$I$4:$K$4,0)))))),IF(I$2=2019,SUMPRODUCT(($B33='Landbrugsareal - resultat'!$B$32:$B$45)*(INDEX('Landbrugsareal - resultat'!$L$32:$N$45,,MATCH($D33,'Landbrugsareal - resultat'!$L$4:$N$4,0)))),IF(I$2=2030,SUMPRODUCT(($B33='Landbrugsareal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746.32882316970711</v>
      </c>
    </row>
    <row r="34" spans="1:9" hidden="1" x14ac:dyDescent="0.55000000000000004">
      <c r="A34" t="s">
        <v>23</v>
      </c>
      <c r="B34" s="1" t="str">
        <f>[1]Afgrødefordeling!$C$5</f>
        <v>Græs</v>
      </c>
      <c r="C34" t="s">
        <v>7</v>
      </c>
      <c r="D34" t="str">
        <f t="shared" si="3"/>
        <v>OC12</v>
      </c>
      <c r="F34" t="str">
        <f t="shared" si="1"/>
        <v>Areal-græs</v>
      </c>
      <c r="G34" s="97" cm="1">
        <f t="array" ref="G34">IF($A34="Vestdanmark",IF($C34="Konventionel",IF(G$2=2019,SUMPRODUCT(($B34='Landbrugsareal - resultat'!$B$5:$B$18)*(INDEX('Landbrugsareal - resultat'!$C$5:$E$18,,MATCH($D34,'Landbrugsareal - resultat'!$C$4:$E$4,0)))),IF(G$2=2030,SUMPRODUCT(($B34='Landbrugsareal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resultat'!$I$4:$K$4,0)))))),IF(G$2=2019,SUMPRODUCT(($B34='Landbrugsareal - resultat'!$B$5:$B$18)*(INDEX('Landbrugsareal - resultat'!$L$5:$N$18,,MATCH($D34,'Landbrugsareal - resultat'!$L$4:$N$4,0)))),IF(G$2=2030,SUMPRODUCT(($B34='Landbrugsareal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resultat'!$R$4:$T$4,0))))))),IF($C34="Konventionel",IF(G$2=2019,SUMPRODUCT((B34='Landbrugsareal - resultat'!$B$32:$B$45)*(INDEX('Landbrugsareal - resultat'!$C$32:$E$45,,MATCH($D34,'Landbrugsareal - resultat'!$C$4:$E$4,0)))),IF(G$2=2030,SUMPRODUCT(($B34='Landbrugsareal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resultat'!$I$4:$K$4,0)))))),IF(G$2=2019,SUMPRODUCT(($B34='Landbrugsareal - resultat'!$B$32:$B$45)*(INDEX('Landbrugsareal - resultat'!$L$32:$N$45,,MATCH($D34,'Landbrugsareal - resultat'!$L$4:$N$4,0)))),IF(G$2=2030,SUMPRODUCT(($B34='Landbrugsareal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20460.09912171523</v>
      </c>
      <c r="H34" s="97" cm="1">
        <f t="array" ref="H34">IF($A34="Vestdanmark",IF($C34="Konventionel",IF(H$2=2019,SUMPRODUCT(($B34='Landbrugsareal - resultat'!$B$5:$B$18)*(INDEX('Landbrugsareal - resultat'!$C$5:$E$18,,MATCH($D34,'Landbrugsareal - resultat'!$C$4:$E$4,0)))),IF(H$2=2030,SUMPRODUCT(($B34='Landbrugsareal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resultat'!$I$4:$K$4,0)))))),IF(H$2=2019,SUMPRODUCT(($B34='Landbrugsareal - resultat'!$B$5:$B$18)*(INDEX('Landbrugsareal - resultat'!$L$5:$N$18,,MATCH($D34,'Landbrugsareal - resultat'!$L$4:$N$4,0)))),IF(H$2=2030,SUMPRODUCT(($B34='Landbrugsareal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resultat'!$R$4:$T$4,0))))))),IF($C34="Konventionel",IF(H$2=2019,SUMPRODUCT(($B34='Landbrugsareal - resultat'!$B$32:$B$45)*(INDEX('Landbrugsareal - resultat'!$C$32:$E$45,,MATCH($D34,'Landbrugsareal - resultat'!$C$4:$E$4,0)))),IF(H$2=2030,SUMPRODUCT(($B34='Landbrugsareal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resultat'!$I$4:$K$4,0)))))),IF(H$2=2019,SUMPRODUCT(($B34='Landbrugsareal - resultat'!$B$32:$B$45)*(INDEX('Landbrugsareal - resultat'!$L$32:$N$45,,MATCH($D34,'Landbrugsareal - resultat'!$L$4:$N$4,0)))),IF(H$2=2030,SUMPRODUCT(($B34='Landbrugsareal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18047.25370357795</v>
      </c>
      <c r="I34" s="97" cm="1">
        <f t="array" ref="I34">IF($A34="Vestdanmark",IF($C34="Konventionel",IF(I$2=2019,SUMPRODUCT(($B34='Landbrugsareal - resultat'!$B$5:$B$18)*(INDEX('Landbrugsareal - resultat'!$C$5:$E$18,,MATCH($D34,'Landbrugsareal - resultat'!$C$4:$E$4,0)))),IF(I$2=2030,SUMPRODUCT(($B34='Landbrugsareal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resultat'!$I$4:$K$4,0)))))),IF(I$2=2019,SUMPRODUCT(($B34='Landbrugsareal - resultat'!$B$5:$B$18)*(INDEX('Landbrugsareal - resultat'!$L$5:$N$18,,MATCH($D34,'Landbrugsareal - resultat'!$L$4:$N$4,0)))),IF(I$2=2030,SUMPRODUCT(($B34='Landbrugsareal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resultat'!$R$4:$T$4,0))))))),IF($C34="Konventionel",IF(I$2=2019,SUMPRODUCT((C34='Landbrugsareal - resultat'!$B$32:$B$45)*(INDEX('Landbrugsareal - resultat'!$C$32:$E$45,,MATCH($D34,'Landbrugsareal - resultat'!$C$4:$E$4,0)))),IF(I$2=2030,SUMPRODUCT(($B34='Landbrugsareal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resultat'!$I$4:$K$4,0)))))),IF(I$2=2019,SUMPRODUCT(($B34='Landbrugsareal - resultat'!$B$32:$B$45)*(INDEX('Landbrugsareal - resultat'!$L$32:$N$45,,MATCH($D34,'Landbrugsareal - resultat'!$L$4:$N$4,0)))),IF(I$2=2030,SUMPRODUCT(($B34='Landbrugsareal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17212.698619019429</v>
      </c>
    </row>
    <row r="35" spans="1:9" hidden="1" x14ac:dyDescent="0.55000000000000004">
      <c r="A35" t="s">
        <v>23</v>
      </c>
      <c r="B35" s="1" t="str">
        <f>[1]Afgrødefordeling!$C$6</f>
        <v>Grøntsager</v>
      </c>
      <c r="C35" t="s">
        <v>7</v>
      </c>
      <c r="D35" t="str">
        <f t="shared" si="3"/>
        <v>OC12</v>
      </c>
      <c r="F35" t="str">
        <f t="shared" si="1"/>
        <v>Areal-grøntsager</v>
      </c>
      <c r="G35" s="97" cm="1">
        <f t="array" ref="G35">IF($A35="Vestdanmark",IF($C35="Konventionel",IF(G$2=2019,SUMPRODUCT(($B35='Landbrugsareal - resultat'!$B$5:$B$18)*(INDEX('Landbrugsareal - resultat'!$C$5:$E$18,,MATCH($D35,'Landbrugsareal - resultat'!$C$4:$E$4,0)))),IF(G$2=2030,SUMPRODUCT(($B35='Landbrugsareal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resultat'!$I$4:$K$4,0)))))),IF(G$2=2019,SUMPRODUCT(($B35='Landbrugsareal - resultat'!$B$5:$B$18)*(INDEX('Landbrugsareal - resultat'!$L$5:$N$18,,MATCH($D35,'Landbrugsareal - resultat'!$L$4:$N$4,0)))),IF(G$2=2030,SUMPRODUCT(($B35='Landbrugsareal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resultat'!$R$4:$T$4,0))))))),IF($C35="Konventionel",IF(G$2=2019,SUMPRODUCT((B35='Landbrugsareal - resultat'!$B$32:$B$45)*(INDEX('Landbrugsareal - resultat'!$C$32:$E$45,,MATCH($D35,'Landbrugsareal - resultat'!$C$4:$E$4,0)))),IF(G$2=2030,SUMPRODUCT(($B35='Landbrugsareal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resultat'!$I$4:$K$4,0)))))),IF(G$2=2019,SUMPRODUCT(($B35='Landbrugsareal - resultat'!$B$32:$B$45)*(INDEX('Landbrugsareal - resultat'!$L$32:$N$45,,MATCH($D35,'Landbrugsareal - resultat'!$L$4:$N$4,0)))),IF(G$2=2030,SUMPRODUCT(($B35='Landbrugsareal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23.781029114723999</v>
      </c>
      <c r="H35" s="97" cm="1">
        <f t="array" ref="H35">IF($A35="Vestdanmark",IF($C35="Konventionel",IF(H$2=2019,SUMPRODUCT(($B35='Landbrugsareal - resultat'!$B$5:$B$18)*(INDEX('Landbrugsareal - resultat'!$C$5:$E$18,,MATCH($D35,'Landbrugsareal - resultat'!$C$4:$E$4,0)))),IF(H$2=2030,SUMPRODUCT(($B35='Landbrugsareal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resultat'!$I$4:$K$4,0)))))),IF(H$2=2019,SUMPRODUCT(($B35='Landbrugsareal - resultat'!$B$5:$B$18)*(INDEX('Landbrugsareal - resultat'!$L$5:$N$18,,MATCH($D35,'Landbrugsareal - resultat'!$L$4:$N$4,0)))),IF(H$2=2030,SUMPRODUCT(($B35='Landbrugsareal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resultat'!$R$4:$T$4,0))))))),IF($C35="Konventionel",IF(H$2=2019,SUMPRODUCT(($B35='Landbrugsareal - resultat'!$B$32:$B$45)*(INDEX('Landbrugsareal - resultat'!$C$32:$E$45,,MATCH($D35,'Landbrugsareal - resultat'!$C$4:$E$4,0)))),IF(H$2=2030,SUMPRODUCT(($B35='Landbrugsareal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resultat'!$I$4:$K$4,0)))))),IF(H$2=2019,SUMPRODUCT(($B35='Landbrugsareal - resultat'!$B$32:$B$45)*(INDEX('Landbrugsareal - resultat'!$L$32:$N$45,,MATCH($D35,'Landbrugsareal - resultat'!$L$4:$N$4,0)))),IF(H$2=2030,SUMPRODUCT(($B35='Landbrugsareal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20.976548706457006</v>
      </c>
      <c r="I35" s="97" cm="1">
        <f t="array" ref="I35">IF($A35="Vestdanmark",IF($C35="Konventionel",IF(I$2=2019,SUMPRODUCT(($B35='Landbrugsareal - resultat'!$B$5:$B$18)*(INDEX('Landbrugsareal - resultat'!$C$5:$E$18,,MATCH($D35,'Landbrugsareal - resultat'!$C$4:$E$4,0)))),IF(I$2=2030,SUMPRODUCT(($B35='Landbrugsareal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resultat'!$I$4:$K$4,0)))))),IF(I$2=2019,SUMPRODUCT(($B35='Landbrugsareal - resultat'!$B$5:$B$18)*(INDEX('Landbrugsareal - resultat'!$L$5:$N$18,,MATCH($D35,'Landbrugsareal - resultat'!$L$4:$N$4,0)))),IF(I$2=2030,SUMPRODUCT(($B35='Landbrugsareal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resultat'!$R$4:$T$4,0))))))),IF($C35="Konventionel",IF(I$2=2019,SUMPRODUCT((C35='Landbrugsareal - resultat'!$B$32:$B$45)*(INDEX('Landbrugsareal - resultat'!$C$32:$E$45,,MATCH($D35,'Landbrugsareal - resultat'!$C$4:$E$4,0)))),IF(I$2=2030,SUMPRODUCT(($B35='Landbrugsareal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resultat'!$I$4:$K$4,0)))))),IF(I$2=2019,SUMPRODUCT(($B35='Landbrugsareal - resultat'!$B$32:$B$45)*(INDEX('Landbrugsareal - resultat'!$L$32:$N$45,,MATCH($D35,'Landbrugsareal - resultat'!$L$4:$N$4,0)))),IF(I$2=2030,SUMPRODUCT(($B35='Landbrugsareal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20.00653489344165</v>
      </c>
    </row>
    <row r="36" spans="1:9" hidden="1" x14ac:dyDescent="0.55000000000000004">
      <c r="A36" t="s">
        <v>23</v>
      </c>
      <c r="B36" s="1" t="str">
        <f>[1]Afgrødefordeling!$C$7</f>
        <v>Kartofler</v>
      </c>
      <c r="C36" t="s">
        <v>7</v>
      </c>
      <c r="D36" t="str">
        <f t="shared" si="3"/>
        <v>OC12</v>
      </c>
      <c r="F36" t="str">
        <f t="shared" si="1"/>
        <v>Areal-kartofler</v>
      </c>
      <c r="G36" s="97" cm="1">
        <f t="array" ref="G36">IF($A36="Vestdanmark",IF($C36="Konventionel",IF(G$2=2019,SUMPRODUCT(($B36='Landbrugsareal - resultat'!$B$5:$B$18)*(INDEX('Landbrugsareal - resultat'!$C$5:$E$18,,MATCH($D36,'Landbrugsareal - resultat'!$C$4:$E$4,0)))),IF(G$2=2030,SUMPRODUCT(($B36='Landbrugsareal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resultat'!$I$4:$K$4,0)))))),IF(G$2=2019,SUMPRODUCT(($B36='Landbrugsareal - resultat'!$B$5:$B$18)*(INDEX('Landbrugsareal - resultat'!$L$5:$N$18,,MATCH($D36,'Landbrugsareal - resultat'!$L$4:$N$4,0)))),IF(G$2=2030,SUMPRODUCT(($B36='Landbrugsareal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resultat'!$R$4:$T$4,0))))))),IF($C36="Konventionel",IF(G$2=2019,SUMPRODUCT((B36='Landbrugsareal - resultat'!$B$32:$B$45)*(INDEX('Landbrugsareal - resultat'!$C$32:$E$45,,MATCH($D36,'Landbrugsareal - resultat'!$C$4:$E$4,0)))),IF(G$2=2030,SUMPRODUCT(($B36='Landbrugsareal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resultat'!$I$4:$K$4,0)))))),IF(G$2=2019,SUMPRODUCT(($B36='Landbrugsareal - resultat'!$B$32:$B$45)*(INDEX('Landbrugsareal - resultat'!$L$32:$N$45,,MATCH($D36,'Landbrugsareal - resultat'!$L$4:$N$4,0)))),IF(G$2=2030,SUMPRODUCT(($B36='Landbrugsareal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1258.7368446928817</v>
      </c>
      <c r="H36" s="97" cm="1">
        <f t="array" ref="H36">IF($A36="Vestdanmark",IF($C36="Konventionel",IF(H$2=2019,SUMPRODUCT(($B36='Landbrugsareal - resultat'!$B$5:$B$18)*(INDEX('Landbrugsareal - resultat'!$C$5:$E$18,,MATCH($D36,'Landbrugsareal - resultat'!$C$4:$E$4,0)))),IF(H$2=2030,SUMPRODUCT(($B36='Landbrugsareal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resultat'!$I$4:$K$4,0)))))),IF(H$2=2019,SUMPRODUCT(($B36='Landbrugsareal - resultat'!$B$5:$B$18)*(INDEX('Landbrugsareal - resultat'!$L$5:$N$18,,MATCH($D36,'Landbrugsareal - resultat'!$L$4:$N$4,0)))),IF(H$2=2030,SUMPRODUCT(($B36='Landbrugsareal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resultat'!$R$4:$T$4,0))))))),IF($C36="Konventionel",IF(H$2=2019,SUMPRODUCT(($B36='Landbrugsareal - resultat'!$B$32:$B$45)*(INDEX('Landbrugsareal - resultat'!$C$32:$E$45,,MATCH($D36,'Landbrugsareal - resultat'!$C$4:$E$4,0)))),IF(H$2=2030,SUMPRODUCT(($B36='Landbrugsareal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resultat'!$I$4:$K$4,0)))))),IF(H$2=2019,SUMPRODUCT(($B36='Landbrugsareal - resultat'!$B$32:$B$45)*(INDEX('Landbrugsareal - resultat'!$L$32:$N$45,,MATCH($D36,'Landbrugsareal - resultat'!$L$4:$N$4,0)))),IF(H$2=2030,SUMPRODUCT(($B36='Landbrugsareal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1110.2948742854976</v>
      </c>
      <c r="I36" s="97" cm="1">
        <f t="array" ref="I36">IF($A36="Vestdanmark",IF($C36="Konventionel",IF(I$2=2019,SUMPRODUCT(($B36='Landbrugsareal - resultat'!$B$5:$B$18)*(INDEX('Landbrugsareal - resultat'!$C$5:$E$18,,MATCH($D36,'Landbrugsareal - resultat'!$C$4:$E$4,0)))),IF(I$2=2030,SUMPRODUCT(($B36='Landbrugsareal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resultat'!$I$4:$K$4,0)))))),IF(I$2=2019,SUMPRODUCT(($B36='Landbrugsareal - resultat'!$B$5:$B$18)*(INDEX('Landbrugsareal - resultat'!$L$5:$N$18,,MATCH($D36,'Landbrugsareal - resultat'!$L$4:$N$4,0)))),IF(I$2=2030,SUMPRODUCT(($B36='Landbrugsareal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resultat'!$R$4:$T$4,0))))))),IF($C36="Konventionel",IF(I$2=2019,SUMPRODUCT((C36='Landbrugsareal - resultat'!$B$32:$B$45)*(INDEX('Landbrugsareal - resultat'!$C$32:$E$45,,MATCH($D36,'Landbrugsareal - resultat'!$C$4:$E$4,0)))),IF(I$2=2030,SUMPRODUCT(($B36='Landbrugsareal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resultat'!$I$4:$K$4,0)))))),IF(I$2=2019,SUMPRODUCT(($B36='Landbrugsareal - resultat'!$B$32:$B$45)*(INDEX('Landbrugsareal - resultat'!$L$32:$N$45,,MATCH($D36,'Landbrugsareal - resultat'!$L$4:$N$4,0)))),IF(I$2=2030,SUMPRODUCT(($B36='Landbrugsareal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1058.9517587116018</v>
      </c>
    </row>
    <row r="37" spans="1:9" hidden="1" x14ac:dyDescent="0.55000000000000004">
      <c r="A37" t="s">
        <v>23</v>
      </c>
      <c r="B37" s="1" t="str">
        <f>[1]Afgrødefordeling!$C$8</f>
        <v>Roer</v>
      </c>
      <c r="C37" t="s">
        <v>7</v>
      </c>
      <c r="D37" t="str">
        <f t="shared" si="3"/>
        <v>OC12</v>
      </c>
      <c r="F37" t="str">
        <f t="shared" si="1"/>
        <v>Areal-roer</v>
      </c>
      <c r="G37" s="97" cm="1">
        <f t="array" ref="G37">IF($A37="Vestdanmark",IF($C37="Konventionel",IF(G$2=2019,SUMPRODUCT(($B37='Landbrugsareal - resultat'!$B$5:$B$18)*(INDEX('Landbrugsareal - resultat'!$C$5:$E$18,,MATCH($D37,'Landbrugsareal - resultat'!$C$4:$E$4,0)))),IF(G$2=2030,SUMPRODUCT(($B37='Landbrugsareal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resultat'!$I$4:$K$4,0)))))),IF(G$2=2019,SUMPRODUCT(($B37='Landbrugsareal - resultat'!$B$5:$B$18)*(INDEX('Landbrugsareal - resultat'!$L$5:$N$18,,MATCH($D37,'Landbrugsareal - resultat'!$L$4:$N$4,0)))),IF(G$2=2030,SUMPRODUCT(($B37='Landbrugsareal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resultat'!$R$4:$T$4,0))))))),IF($C37="Konventionel",IF(G$2=2019,SUMPRODUCT((B37='Landbrugsareal - resultat'!$B$32:$B$45)*(INDEX('Landbrugsareal - resultat'!$C$32:$E$45,,MATCH($D37,'Landbrugsareal - resultat'!$C$4:$E$4,0)))),IF(G$2=2030,SUMPRODUCT(($B37='Landbrugsareal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resultat'!$I$4:$K$4,0)))))),IF(G$2=2019,SUMPRODUCT(($B37='Landbrugsareal - resultat'!$B$32:$B$45)*(INDEX('Landbrugsareal - resultat'!$L$32:$N$45,,MATCH($D37,'Landbrugsareal - resultat'!$L$4:$N$4,0)))),IF(G$2=2030,SUMPRODUCT(($B37='Landbrugsareal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13.612059153984784</v>
      </c>
      <c r="H37" s="97" cm="1">
        <f t="array" ref="H37">IF($A37="Vestdanmark",IF($C37="Konventionel",IF(H$2=2019,SUMPRODUCT(($B37='Landbrugsareal - resultat'!$B$5:$B$18)*(INDEX('Landbrugsareal - resultat'!$C$5:$E$18,,MATCH($D37,'Landbrugsareal - resultat'!$C$4:$E$4,0)))),IF(H$2=2030,SUMPRODUCT(($B37='Landbrugsareal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resultat'!$I$4:$K$4,0)))))),IF(H$2=2019,SUMPRODUCT(($B37='Landbrugsareal - resultat'!$B$5:$B$18)*(INDEX('Landbrugsareal - resultat'!$L$5:$N$18,,MATCH($D37,'Landbrugsareal - resultat'!$L$4:$N$4,0)))),IF(H$2=2030,SUMPRODUCT(($B37='Landbrugsareal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resultat'!$R$4:$T$4,0))))))),IF($C37="Konventionel",IF(H$2=2019,SUMPRODUCT(($B37='Landbrugsareal - resultat'!$B$32:$B$45)*(INDEX('Landbrugsareal - resultat'!$C$32:$E$45,,MATCH($D37,'Landbrugsareal - resultat'!$C$4:$E$4,0)))),IF(H$2=2030,SUMPRODUCT(($B37='Landbrugsareal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resultat'!$I$4:$K$4,0)))))),IF(H$2=2019,SUMPRODUCT(($B37='Landbrugsareal - resultat'!$B$32:$B$45)*(INDEX('Landbrugsareal - resultat'!$L$32:$N$45,,MATCH($D37,'Landbrugsareal - resultat'!$L$4:$N$4,0)))),IF(H$2=2030,SUMPRODUCT(($B37='Landbrugsareal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12.006798379551526</v>
      </c>
      <c r="I37" s="97" cm="1">
        <f t="array" ref="I37">IF($A37="Vestdanmark",IF($C37="Konventionel",IF(I$2=2019,SUMPRODUCT(($B37='Landbrugsareal - resultat'!$B$5:$B$18)*(INDEX('Landbrugsareal - resultat'!$C$5:$E$18,,MATCH($D37,'Landbrugsareal - resultat'!$C$4:$E$4,0)))),IF(I$2=2030,SUMPRODUCT(($B37='Landbrugsareal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resultat'!$I$4:$K$4,0)))))),IF(I$2=2019,SUMPRODUCT(($B37='Landbrugsareal - resultat'!$B$5:$B$18)*(INDEX('Landbrugsareal - resultat'!$L$5:$N$18,,MATCH($D37,'Landbrugsareal - resultat'!$L$4:$N$4,0)))),IF(I$2=2030,SUMPRODUCT(($B37='Landbrugsareal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resultat'!$R$4:$T$4,0))))))),IF($C37="Konventionel",IF(I$2=2019,SUMPRODUCT((C37='Landbrugsareal - resultat'!$B$32:$B$45)*(INDEX('Landbrugsareal - resultat'!$C$32:$E$45,,MATCH($D37,'Landbrugsareal - resultat'!$C$4:$E$4,0)))),IF(I$2=2030,SUMPRODUCT(($B37='Landbrugsareal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resultat'!$I$4:$K$4,0)))))),IF(I$2=2019,SUMPRODUCT(($B37='Landbrugsareal - resultat'!$B$32:$B$45)*(INDEX('Landbrugsareal - resultat'!$L$32:$N$45,,MATCH($D37,'Landbrugsareal - resultat'!$L$4:$N$4,0)))),IF(I$2=2030,SUMPRODUCT(($B37='Landbrugsareal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11.451570708820819</v>
      </c>
    </row>
    <row r="38" spans="1:9" hidden="1" x14ac:dyDescent="0.55000000000000004">
      <c r="A38" t="s">
        <v>23</v>
      </c>
      <c r="B38" s="1" t="str">
        <f>[1]Afgrødefordeling!$C$9</f>
        <v>Majs</v>
      </c>
      <c r="C38" t="s">
        <v>7</v>
      </c>
      <c r="D38" t="str">
        <f t="shared" si="3"/>
        <v>OC12</v>
      </c>
      <c r="F38" t="str">
        <f t="shared" si="1"/>
        <v>Areal-majs</v>
      </c>
      <c r="G38" s="97" cm="1">
        <f t="array" ref="G38">IF($A38="Vestdanmark",IF($C38="Konventionel",IF(G$2=2019,SUMPRODUCT(($B38='Landbrugsareal - resultat'!$B$5:$B$18)*(INDEX('Landbrugsareal - resultat'!$C$5:$E$18,,MATCH($D38,'Landbrugsareal - resultat'!$C$4:$E$4,0)))),IF(G$2=2030,SUMPRODUCT(($B38='Landbrugsareal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resultat'!$I$4:$K$4,0)))))),IF(G$2=2019,SUMPRODUCT(($B38='Landbrugsareal - resultat'!$B$5:$B$18)*(INDEX('Landbrugsareal - resultat'!$L$5:$N$18,,MATCH($D38,'Landbrugsareal - resultat'!$L$4:$N$4,0)))),IF(G$2=2030,SUMPRODUCT(($B38='Landbrugsareal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resultat'!$R$4:$T$4,0))))))),IF($C38="Konventionel",IF(G$2=2019,SUMPRODUCT((B38='Landbrugsareal - resultat'!$B$32:$B$45)*(INDEX('Landbrugsareal - resultat'!$C$32:$E$45,,MATCH($D38,'Landbrugsareal - resultat'!$C$4:$E$4,0)))),IF(G$2=2030,SUMPRODUCT(($B38='Landbrugsareal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resultat'!$I$4:$K$4,0)))))),IF(G$2=2019,SUMPRODUCT(($B38='Landbrugsareal - resultat'!$B$32:$B$45)*(INDEX('Landbrugsareal - resultat'!$L$32:$N$45,,MATCH($D38,'Landbrugsareal - resultat'!$L$4:$N$4,0)))),IF(G$2=2030,SUMPRODUCT(($B38='Landbrugsareal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1692.7928122278877</v>
      </c>
      <c r="H38" s="97" cm="1">
        <f t="array" ref="H38">IF($A38="Vestdanmark",IF($C38="Konventionel",IF(H$2=2019,SUMPRODUCT(($B38='Landbrugsareal - resultat'!$B$5:$B$18)*(INDEX('Landbrugsareal - resultat'!$C$5:$E$18,,MATCH($D38,'Landbrugsareal - resultat'!$C$4:$E$4,0)))),IF(H$2=2030,SUMPRODUCT(($B38='Landbrugsareal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resultat'!$I$4:$K$4,0)))))),IF(H$2=2019,SUMPRODUCT(($B38='Landbrugsareal - resultat'!$B$5:$B$18)*(INDEX('Landbrugsareal - resultat'!$L$5:$N$18,,MATCH($D38,'Landbrugsareal - resultat'!$L$4:$N$4,0)))),IF(H$2=2030,SUMPRODUCT(($B38='Landbrugsareal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resultat'!$R$4:$T$4,0))))))),IF($C38="Konventionel",IF(H$2=2019,SUMPRODUCT(($B38='Landbrugsareal - resultat'!$B$32:$B$45)*(INDEX('Landbrugsareal - resultat'!$C$32:$E$45,,MATCH($D38,'Landbrugsareal - resultat'!$C$4:$E$4,0)))),IF(H$2=2030,SUMPRODUCT(($B38='Landbrugsareal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resultat'!$I$4:$K$4,0)))))),IF(H$2=2019,SUMPRODUCT(($B38='Landbrugsareal - resultat'!$B$32:$B$45)*(INDEX('Landbrugsareal - resultat'!$L$32:$N$45,,MATCH($D38,'Landbrugsareal - resultat'!$L$4:$N$4,0)))),IF(H$2=2030,SUMPRODUCT(($B38='Landbrugsareal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1493.1629200879825</v>
      </c>
      <c r="I38" s="97" cm="1">
        <f t="array" ref="I38">IF($A38="Vestdanmark",IF($C38="Konventionel",IF(I$2=2019,SUMPRODUCT(($B38='Landbrugsareal - resultat'!$B$5:$B$18)*(INDEX('Landbrugsareal - resultat'!$C$5:$E$18,,MATCH($D38,'Landbrugsareal - resultat'!$C$4:$E$4,0)))),IF(I$2=2030,SUMPRODUCT(($B38='Landbrugsareal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resultat'!$I$4:$K$4,0)))))),IF(I$2=2019,SUMPRODUCT(($B38='Landbrugsareal - resultat'!$B$5:$B$18)*(INDEX('Landbrugsareal - resultat'!$L$5:$N$18,,MATCH($D38,'Landbrugsareal - resultat'!$L$4:$N$4,0)))),IF(I$2=2030,SUMPRODUCT(($B38='Landbrugsareal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resultat'!$R$4:$T$4,0))))))),IF($C38="Konventionel",IF(I$2=2019,SUMPRODUCT((C38='Landbrugsareal - resultat'!$B$32:$B$45)*(INDEX('Landbrugsareal - resultat'!$C$32:$E$45,,MATCH($D38,'Landbrugsareal - resultat'!$C$4:$E$4,0)))),IF(I$2=2030,SUMPRODUCT(($B38='Landbrugsareal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resultat'!$I$4:$K$4,0)))))),IF(I$2=2019,SUMPRODUCT(($B38='Landbrugsareal - resultat'!$B$32:$B$45)*(INDEX('Landbrugsareal - resultat'!$L$32:$N$45,,MATCH($D38,'Landbrugsareal - resultat'!$L$4:$N$4,0)))),IF(I$2=2030,SUMPRODUCT(($B38='Landbrugsareal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1424.1149237833358</v>
      </c>
    </row>
    <row r="39" spans="1:9" hidden="1" x14ac:dyDescent="0.55000000000000004">
      <c r="A39" t="s">
        <v>23</v>
      </c>
      <c r="B39" s="1" t="str">
        <f>[1]Afgrødefordeling!$C$10</f>
        <v>Frugt</v>
      </c>
      <c r="C39" t="s">
        <v>7</v>
      </c>
      <c r="D39" t="str">
        <f t="shared" si="3"/>
        <v>OC12</v>
      </c>
      <c r="F39" t="str">
        <f t="shared" si="1"/>
        <v>Areal-frugt</v>
      </c>
      <c r="G39" s="97" cm="1">
        <f t="array" ref="G39">IF($A39="Vestdanmark",IF($C39="Konventionel",IF(G$2=2019,SUMPRODUCT(($B39='Landbrugsareal - resultat'!$B$5:$B$18)*(INDEX('Landbrugsareal - resultat'!$C$5:$E$18,,MATCH($D39,'Landbrugsareal - resultat'!$C$4:$E$4,0)))),IF(G$2=2030,SUMPRODUCT(($B39='Landbrugsareal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resultat'!$I$4:$K$4,0)))))),IF(G$2=2019,SUMPRODUCT(($B39='Landbrugsareal - resultat'!$B$5:$B$18)*(INDEX('Landbrugsareal - resultat'!$L$5:$N$18,,MATCH($D39,'Landbrugsareal - resultat'!$L$4:$N$4,0)))),IF(G$2=2030,SUMPRODUCT(($B39='Landbrugsareal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resultat'!$R$4:$T$4,0))))))),IF($C39="Konventionel",IF(G$2=2019,SUMPRODUCT((B39='Landbrugsareal - resultat'!$B$32:$B$45)*(INDEX('Landbrugsareal - resultat'!$C$32:$E$45,,MATCH($D39,'Landbrugsareal - resultat'!$C$4:$E$4,0)))),IF(G$2=2030,SUMPRODUCT(($B39='Landbrugsareal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resultat'!$I$4:$K$4,0)))))),IF(G$2=2019,SUMPRODUCT(($B39='Landbrugsareal - resultat'!$B$32:$B$45)*(INDEX('Landbrugsareal - resultat'!$L$32:$N$45,,MATCH($D39,'Landbrugsareal - resultat'!$L$4:$N$4,0)))),IF(G$2=2030,SUMPRODUCT(($B39='Landbrugsareal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48.510297939945318</v>
      </c>
      <c r="H39" s="97" cm="1">
        <f t="array" ref="H39">IF($A39="Vestdanmark",IF($C39="Konventionel",IF(H$2=2019,SUMPRODUCT(($B39='Landbrugsareal - resultat'!$B$5:$B$18)*(INDEX('Landbrugsareal - resultat'!$C$5:$E$18,,MATCH($D39,'Landbrugsareal - resultat'!$C$4:$E$4,0)))),IF(H$2=2030,SUMPRODUCT(($B39='Landbrugsareal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resultat'!$I$4:$K$4,0)))))),IF(H$2=2019,SUMPRODUCT(($B39='Landbrugsareal - resultat'!$B$5:$B$18)*(INDEX('Landbrugsareal - resultat'!$L$5:$N$18,,MATCH($D39,'Landbrugsareal - resultat'!$L$4:$N$4,0)))),IF(H$2=2030,SUMPRODUCT(($B39='Landbrugsareal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resultat'!$R$4:$T$4,0))))))),IF($C39="Konventionel",IF(H$2=2019,SUMPRODUCT(($B39='Landbrugsareal - resultat'!$B$32:$B$45)*(INDEX('Landbrugsareal - resultat'!$C$32:$E$45,,MATCH($D39,'Landbrugsareal - resultat'!$C$4:$E$4,0)))),IF(H$2=2030,SUMPRODUCT(($B39='Landbrugsareal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resultat'!$I$4:$K$4,0)))))),IF(H$2=2019,SUMPRODUCT(($B39='Landbrugsareal - resultat'!$B$32:$B$45)*(INDEX('Landbrugsareal - resultat'!$L$32:$N$45,,MATCH($D39,'Landbrugsareal - resultat'!$L$4:$N$4,0)))),IF(H$2=2030,SUMPRODUCT(($B39='Landbrugsareal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42.789511866497449</v>
      </c>
      <c r="I39" s="97" cm="1">
        <f t="array" ref="I39">IF($A39="Vestdanmark",IF($C39="Konventionel",IF(I$2=2019,SUMPRODUCT(($B39='Landbrugsareal - resultat'!$B$5:$B$18)*(INDEX('Landbrugsareal - resultat'!$C$5:$E$18,,MATCH($D39,'Landbrugsareal - resultat'!$C$4:$E$4,0)))),IF(I$2=2030,SUMPRODUCT(($B39='Landbrugsareal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resultat'!$I$4:$K$4,0)))))),IF(I$2=2019,SUMPRODUCT(($B39='Landbrugsareal - resultat'!$B$5:$B$18)*(INDEX('Landbrugsareal - resultat'!$L$5:$N$18,,MATCH($D39,'Landbrugsareal - resultat'!$L$4:$N$4,0)))),IF(I$2=2030,SUMPRODUCT(($B39='Landbrugsareal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resultat'!$R$4:$T$4,0))))))),IF($C39="Konventionel",IF(I$2=2019,SUMPRODUCT((C39='Landbrugsareal - resultat'!$B$32:$B$45)*(INDEX('Landbrugsareal - resultat'!$C$32:$E$45,,MATCH($D39,'Landbrugsareal - resultat'!$C$4:$E$4,0)))),IF(I$2=2030,SUMPRODUCT(($B39='Landbrugsareal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resultat'!$I$4:$K$4,0)))))),IF(I$2=2019,SUMPRODUCT(($B39='Landbrugsareal - resultat'!$B$32:$B$45)*(INDEX('Landbrugsareal - resultat'!$L$32:$N$45,,MATCH($D39,'Landbrugsareal - resultat'!$L$4:$N$4,0)))),IF(I$2=2030,SUMPRODUCT(($B39='Landbrugsareal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40.810806115445544</v>
      </c>
    </row>
    <row r="40" spans="1:9" hidden="1" x14ac:dyDescent="0.55000000000000004">
      <c r="A40" t="s">
        <v>23</v>
      </c>
      <c r="B40" s="1" t="str">
        <f>[1]Afgrødefordeling!$C$11</f>
        <v>Øvrige</v>
      </c>
      <c r="C40" t="s">
        <v>7</v>
      </c>
      <c r="D40" t="str">
        <f t="shared" si="3"/>
        <v>OC12</v>
      </c>
      <c r="F40" t="str">
        <f t="shared" si="1"/>
        <v>Areal-øvrige</v>
      </c>
      <c r="G40" s="97" cm="1">
        <f t="array" ref="G40">IF($A40="Vestdanmark",IF($C40="Konventionel",IF(G$2=2019,SUMPRODUCT(($B40='Landbrugsareal - resultat'!$B$5:$B$18)*(INDEX('Landbrugsareal - resultat'!$C$5:$E$18,,MATCH($D40,'Landbrugsareal - resultat'!$C$4:$E$4,0)))),IF(G$2=2030,SUMPRODUCT(($B40='Landbrugsareal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resultat'!$I$4:$K$4,0)))))),IF(G$2=2019,SUMPRODUCT(($B40='Landbrugsareal - resultat'!$B$5:$B$18)*(INDEX('Landbrugsareal - resultat'!$L$5:$N$18,,MATCH($D40,'Landbrugsareal - resultat'!$L$4:$N$4,0)))),IF(G$2=2030,SUMPRODUCT(($B40='Landbrugsareal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resultat'!$R$4:$T$4,0))))))),IF($C40="Konventionel",IF(G$2=2019,SUMPRODUCT((B40='Landbrugsareal - resultat'!$B$32:$B$45)*(INDEX('Landbrugsareal - resultat'!$C$32:$E$45,,MATCH($D40,'Landbrugsareal - resultat'!$C$4:$E$4,0)))),IF(G$2=2030,SUMPRODUCT(($B40='Landbrugsareal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resultat'!$I$4:$K$4,0)))))),IF(G$2=2019,SUMPRODUCT(($B40='Landbrugsareal - resultat'!$B$32:$B$45)*(INDEX('Landbrugsareal - resultat'!$L$32:$N$45,,MATCH($D40,'Landbrugsareal - resultat'!$L$4:$N$4,0)))),IF(G$2=2030,SUMPRODUCT(($B40='Landbrugsareal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857.94834593977373</v>
      </c>
      <c r="H40" s="97" cm="1">
        <f t="array" ref="H40">IF($A40="Vestdanmark",IF($C40="Konventionel",IF(H$2=2019,SUMPRODUCT(($B40='Landbrugsareal - resultat'!$B$5:$B$18)*(INDEX('Landbrugsareal - resultat'!$C$5:$E$18,,MATCH($D40,'Landbrugsareal - resultat'!$C$4:$E$4,0)))),IF(H$2=2030,SUMPRODUCT(($B40='Landbrugsareal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resultat'!$I$4:$K$4,0)))))),IF(H$2=2019,SUMPRODUCT(($B40='Landbrugsareal - resultat'!$B$5:$B$18)*(INDEX('Landbrugsareal - resultat'!$L$5:$N$18,,MATCH($D40,'Landbrugsareal - resultat'!$L$4:$N$4,0)))),IF(H$2=2030,SUMPRODUCT(($B40='Landbrugsareal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resultat'!$R$4:$T$4,0))))))),IF($C40="Konventionel",IF(H$2=2019,SUMPRODUCT(($B40='Landbrugsareal - resultat'!$B$32:$B$45)*(INDEX('Landbrugsareal - resultat'!$C$32:$E$45,,MATCH($D40,'Landbrugsareal - resultat'!$C$4:$E$4,0)))),IF(H$2=2030,SUMPRODUCT(($B40='Landbrugsareal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resultat'!$I$4:$K$4,0)))))),IF(H$2=2019,SUMPRODUCT(($B40='Landbrugsareal - resultat'!$B$32:$B$45)*(INDEX('Landbrugsareal - resultat'!$L$32:$N$45,,MATCH($D40,'Landbrugsareal - resultat'!$L$4:$N$4,0)))),IF(H$2=2030,SUMPRODUCT(($B40='Landbrugsareal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756.77108755092502</v>
      </c>
      <c r="I40" s="97" cm="1">
        <f t="array" ref="I40">IF($A40="Vestdanmark",IF($C40="Konventionel",IF(I$2=2019,SUMPRODUCT(($B40='Landbrugsareal - resultat'!$B$5:$B$18)*(INDEX('Landbrugsareal - resultat'!$C$5:$E$18,,MATCH($D40,'Landbrugsareal - resultat'!$C$4:$E$4,0)))),IF(I$2=2030,SUMPRODUCT(($B40='Landbrugsareal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resultat'!$I$4:$K$4,0)))))),IF(I$2=2019,SUMPRODUCT(($B40='Landbrugsareal - resultat'!$B$5:$B$18)*(INDEX('Landbrugsareal - resultat'!$L$5:$N$18,,MATCH($D40,'Landbrugsareal - resultat'!$L$4:$N$4,0)))),IF(I$2=2030,SUMPRODUCT(($B40='Landbrugsareal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resultat'!$R$4:$T$4,0))))))),IF($C40="Konventionel",IF(I$2=2019,SUMPRODUCT((C40='Landbrugsareal - resultat'!$B$32:$B$45)*(INDEX('Landbrugsareal - resultat'!$C$32:$E$45,,MATCH($D40,'Landbrugsareal - resultat'!$C$4:$E$4,0)))),IF(I$2=2030,SUMPRODUCT(($B40='Landbrugsareal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resultat'!$I$4:$K$4,0)))))),IF(I$2=2019,SUMPRODUCT(($B40='Landbrugsareal - resultat'!$B$32:$B$45)*(INDEX('Landbrugsareal - resultat'!$L$32:$N$45,,MATCH($D40,'Landbrugsareal - resultat'!$L$4:$N$4,0)))),IF(I$2=2030,SUMPRODUCT(($B40='Landbrugsareal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721.77589275088224</v>
      </c>
    </row>
    <row r="41" spans="1:9" hidden="1" x14ac:dyDescent="0.55000000000000004">
      <c r="A41" t="s">
        <v>23</v>
      </c>
      <c r="B41" s="1" t="str">
        <f>[1]Afgrødefordeling!$C$12</f>
        <v>Frø</v>
      </c>
      <c r="C41" t="s">
        <v>7</v>
      </c>
      <c r="D41" t="str">
        <f t="shared" si="3"/>
        <v>OC12</v>
      </c>
      <c r="F41" t="str">
        <f t="shared" si="1"/>
        <v>Areal-frøgræs</v>
      </c>
      <c r="G41" s="97" cm="1">
        <f t="array" ref="G41">IF($A41="Vestdanmark",IF($C41="Konventionel",IF(G$2=2019,SUMPRODUCT(($B41='Landbrugsareal - resultat'!$B$5:$B$18)*(INDEX('Landbrugsareal - resultat'!$C$5:$E$18,,MATCH($D41,'Landbrugsareal - resultat'!$C$4:$E$4,0)))),IF(G$2=2030,SUMPRODUCT(($B41='Landbrugsareal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resultat'!$I$4:$K$4,0)))))),IF(G$2=2019,SUMPRODUCT(($B41='Landbrugsareal - resultat'!$B$5:$B$18)*(INDEX('Landbrugsareal - resultat'!$L$5:$N$18,,MATCH($D41,'Landbrugsareal - resultat'!$L$4:$N$4,0)))),IF(G$2=2030,SUMPRODUCT(($B41='Landbrugsareal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resultat'!$R$4:$T$4,0))))))),IF($C41="Konventionel",IF(G$2=2019,SUMPRODUCT((B41='Landbrugsareal - resultat'!$B$32:$B$45)*(INDEX('Landbrugsareal - resultat'!$C$32:$E$45,,MATCH($D41,'Landbrugsareal - resultat'!$C$4:$E$4,0)))),IF(G$2=2030,SUMPRODUCT(($B41='Landbrugsareal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resultat'!$I$4:$K$4,0)))))),IF(G$2=2019,SUMPRODUCT(($B41='Landbrugsareal - resultat'!$B$32:$B$45)*(INDEX('Landbrugsareal - resultat'!$L$32:$N$45,,MATCH($D41,'Landbrugsareal - resultat'!$L$4:$N$4,0)))),IF(G$2=2030,SUMPRODUCT(($B41='Landbrugsareal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2729.7047934959128</v>
      </c>
      <c r="H41" s="97" cm="1">
        <f t="array" ref="H41">IF($A41="Vestdanmark",IF($C41="Konventionel",IF(H$2=2019,SUMPRODUCT(($B41='Landbrugsareal - resultat'!$B$5:$B$18)*(INDEX('Landbrugsareal - resultat'!$C$5:$E$18,,MATCH($D41,'Landbrugsareal - resultat'!$C$4:$E$4,0)))),IF(H$2=2030,SUMPRODUCT(($B41='Landbrugsareal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resultat'!$I$4:$K$4,0)))))),IF(H$2=2019,SUMPRODUCT(($B41='Landbrugsareal - resultat'!$B$5:$B$18)*(INDEX('Landbrugsareal - resultat'!$L$5:$N$18,,MATCH($D41,'Landbrugsareal - resultat'!$L$4:$N$4,0)))),IF(H$2=2030,SUMPRODUCT(($B41='Landbrugsareal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resultat'!$R$4:$T$4,0))))))),IF($C41="Konventionel",IF(H$2=2019,SUMPRODUCT(($B41='Landbrugsareal - resultat'!$B$32:$B$45)*(INDEX('Landbrugsareal - resultat'!$C$32:$E$45,,MATCH($D41,'Landbrugsareal - resultat'!$C$4:$E$4,0)))),IF(H$2=2030,SUMPRODUCT(($B41='Landbrugsareal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resultat'!$I$4:$K$4,0)))))),IF(H$2=2019,SUMPRODUCT(($B41='Landbrugsareal - resultat'!$B$32:$B$45)*(INDEX('Landbrugsareal - resultat'!$L$32:$N$45,,MATCH($D41,'Landbrugsareal - resultat'!$L$4:$N$4,0)))),IF(H$2=2030,SUMPRODUCT(($B41='Landbrugsareal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2407.7925845338555</v>
      </c>
      <c r="I41" s="97" cm="1">
        <f t="array" ref="I41">IF($A41="Vestdanmark",IF($C41="Konventionel",IF(I$2=2019,SUMPRODUCT(($B41='Landbrugsareal - resultat'!$B$5:$B$18)*(INDEX('Landbrugsareal - resultat'!$C$5:$E$18,,MATCH($D41,'Landbrugsareal - resultat'!$C$4:$E$4,0)))),IF(I$2=2030,SUMPRODUCT(($B41='Landbrugsareal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resultat'!$I$4:$K$4,0)))))),IF(I$2=2019,SUMPRODUCT(($B41='Landbrugsareal - resultat'!$B$5:$B$18)*(INDEX('Landbrugsareal - resultat'!$L$5:$N$18,,MATCH($D41,'Landbrugsareal - resultat'!$L$4:$N$4,0)))),IF(I$2=2030,SUMPRODUCT(($B41='Landbrugsareal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resultat'!$R$4:$T$4,0))))))),IF($C41="Konventionel",IF(I$2=2019,SUMPRODUCT((C41='Landbrugsareal - resultat'!$B$32:$B$45)*(INDEX('Landbrugsareal - resultat'!$C$32:$E$45,,MATCH($D41,'Landbrugsareal - resultat'!$C$4:$E$4,0)))),IF(I$2=2030,SUMPRODUCT(($B41='Landbrugsareal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resultat'!$I$4:$K$4,0)))))),IF(I$2=2019,SUMPRODUCT(($B41='Landbrugsareal - resultat'!$B$32:$B$45)*(INDEX('Landbrugsareal - resultat'!$L$32:$N$45,,MATCH($D41,'Landbrugsareal - resultat'!$L$4:$N$4,0)))),IF(I$2=2030,SUMPRODUCT(($B41='Landbrugsareal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2296.4495748444288</v>
      </c>
    </row>
    <row r="42" spans="1:9" hidden="1" x14ac:dyDescent="0.55000000000000004">
      <c r="A42" t="s">
        <v>23</v>
      </c>
      <c r="B42" s="1" t="str">
        <f>[1]Afgrødefordeling!$C$13</f>
        <v>Juletræer</v>
      </c>
      <c r="C42" t="s">
        <v>7</v>
      </c>
      <c r="D42" t="str">
        <f t="shared" si="3"/>
        <v>OC12</v>
      </c>
      <c r="F42" t="str">
        <f t="shared" si="1"/>
        <v>Areal-juletræer</v>
      </c>
      <c r="G42" s="97" cm="1">
        <f t="array" ref="G42">IF($A42="Vestdanmark",IF($C42="Konventionel",IF(G$2=2019,SUMPRODUCT(($B42='Landbrugsareal - resultat'!$B$5:$B$18)*(INDEX('Landbrugsareal - resultat'!$C$5:$E$18,,MATCH($D42,'Landbrugsareal - resultat'!$C$4:$E$4,0)))),IF(G$2=2030,SUMPRODUCT(($B42='Landbrugsareal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resultat'!$I$4:$K$4,0)))))),IF(G$2=2019,SUMPRODUCT(($B42='Landbrugsareal - resultat'!$B$5:$B$18)*(INDEX('Landbrugsareal - resultat'!$L$5:$N$18,,MATCH($D42,'Landbrugsareal - resultat'!$L$4:$N$4,0)))),IF(G$2=2030,SUMPRODUCT(($B42='Landbrugsareal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resultat'!$R$4:$T$4,0))))))),IF($C42="Konventionel",IF(G$2=2019,SUMPRODUCT((B42='Landbrugsareal - resultat'!$B$32:$B$45)*(INDEX('Landbrugsareal - resultat'!$C$32:$E$45,,MATCH($D42,'Landbrugsareal - resultat'!$C$4:$E$4,0)))),IF(G$2=2030,SUMPRODUCT(($B42='Landbrugsareal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resultat'!$I$4:$K$4,0)))))),IF(G$2=2019,SUMPRODUCT(($B42='Landbrugsareal - resultat'!$B$32:$B$45)*(INDEX('Landbrugsareal - resultat'!$L$32:$N$45,,MATCH($D42,'Landbrugsareal - resultat'!$L$4:$N$4,0)))),IF(G$2=2030,SUMPRODUCT(($B42='Landbrugsareal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243.3055357816946</v>
      </c>
      <c r="H42" s="97" cm="1">
        <f t="array" ref="H42">IF($A42="Vestdanmark",IF($C42="Konventionel",IF(H$2=2019,SUMPRODUCT(($B42='Landbrugsareal - resultat'!$B$5:$B$18)*(INDEX('Landbrugsareal - resultat'!$C$5:$E$18,,MATCH($D42,'Landbrugsareal - resultat'!$C$4:$E$4,0)))),IF(H$2=2030,SUMPRODUCT(($B42='Landbrugsareal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resultat'!$I$4:$K$4,0)))))),IF(H$2=2019,SUMPRODUCT(($B42='Landbrugsareal - resultat'!$B$5:$B$18)*(INDEX('Landbrugsareal - resultat'!$L$5:$N$18,,MATCH($D42,'Landbrugsareal - resultat'!$L$4:$N$4,0)))),IF(H$2=2030,SUMPRODUCT(($B42='Landbrugsareal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resultat'!$R$4:$T$4,0))))))),IF($C42="Konventionel",IF(H$2=2019,SUMPRODUCT(($B42='Landbrugsareal - resultat'!$B$32:$B$45)*(INDEX('Landbrugsareal - resultat'!$C$32:$E$45,,MATCH($D42,'Landbrugsareal - resultat'!$C$4:$E$4,0)))),IF(H$2=2030,SUMPRODUCT(($B42='Landbrugsareal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resultat'!$I$4:$K$4,0)))))),IF(H$2=2019,SUMPRODUCT(($B42='Landbrugsareal - resultat'!$B$32:$B$45)*(INDEX('Landbrugsareal - resultat'!$L$32:$N$45,,MATCH($D42,'Landbrugsareal - resultat'!$L$4:$N$4,0)))),IF(H$2=2030,SUMPRODUCT(($B42='Landbrugsareal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214.61268127859856</v>
      </c>
      <c r="I42" s="97" cm="1">
        <f t="array" ref="I42">IF($A42="Vestdanmark",IF($C42="Konventionel",IF(I$2=2019,SUMPRODUCT(($B42='Landbrugsareal - resultat'!$B$5:$B$18)*(INDEX('Landbrugsareal - resultat'!$C$5:$E$18,,MATCH($D42,'Landbrugsareal - resultat'!$C$4:$E$4,0)))),IF(I$2=2030,SUMPRODUCT(($B42='Landbrugsareal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resultat'!$I$4:$K$4,0)))))),IF(I$2=2019,SUMPRODUCT(($B42='Landbrugsareal - resultat'!$B$5:$B$18)*(INDEX('Landbrugsareal - resultat'!$L$5:$N$18,,MATCH($D42,'Landbrugsareal - resultat'!$L$4:$N$4,0)))),IF(I$2=2030,SUMPRODUCT(($B42='Landbrugsareal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resultat'!$R$4:$T$4,0))))))),IF($C42="Konventionel",IF(I$2=2019,SUMPRODUCT((C42='Landbrugsareal - resultat'!$B$32:$B$45)*(INDEX('Landbrugsareal - resultat'!$C$32:$E$45,,MATCH($D42,'Landbrugsareal - resultat'!$C$4:$E$4,0)))),IF(I$2=2030,SUMPRODUCT(($B42='Landbrugsareal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resultat'!$I$4:$K$4,0)))))),IF(I$2=2019,SUMPRODUCT(($B42='Landbrugsareal - resultat'!$B$32:$B$45)*(INDEX('Landbrugsareal - resultat'!$L$32:$N$45,,MATCH($D42,'Landbrugsareal - resultat'!$L$4:$N$4,0)))),IF(I$2=2030,SUMPRODUCT(($B42='Landbrugsareal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204.6883954391258</v>
      </c>
    </row>
    <row r="43" spans="1:9" hidden="1" x14ac:dyDescent="0.55000000000000004">
      <c r="A43" t="s">
        <v>23</v>
      </c>
      <c r="B43" s="1" t="str">
        <f>[1]Afgrødefordeling!$C$14</f>
        <v>Pil &amp; poppel</v>
      </c>
      <c r="C43" t="s">
        <v>7</v>
      </c>
      <c r="D43" t="str">
        <f t="shared" si="3"/>
        <v>OC12</v>
      </c>
      <c r="F43" t="str">
        <f t="shared" si="1"/>
        <v>Areal-pil-poppel</v>
      </c>
      <c r="G43" s="97" cm="1">
        <f t="array" ref="G43">IF($A43="Vestdanmark",IF($C43="Konventionel",IF(G$2=2019,SUMPRODUCT(($B43='Landbrugsareal - resultat'!$B$5:$B$18)*(INDEX('Landbrugsareal - resultat'!$C$5:$E$18,,MATCH($D43,'Landbrugsareal - resultat'!$C$4:$E$4,0)))),IF(G$2=2030,SUMPRODUCT(($B43='Landbrugsareal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resultat'!$I$4:$K$4,0)))))),IF(G$2=2019,SUMPRODUCT(($B43='Landbrugsareal - resultat'!$B$5:$B$18)*(INDEX('Landbrugsareal - resultat'!$L$5:$N$18,,MATCH($D43,'Landbrugsareal - resultat'!$L$4:$N$4,0)))),IF(G$2=2030,SUMPRODUCT(($B43='Landbrugsareal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resultat'!$R$4:$T$4,0))))))),IF($C43="Konventionel",IF(G$2=2019,SUMPRODUCT((B43='Landbrugsareal - resultat'!$B$32:$B$45)*(INDEX('Landbrugsareal - resultat'!$C$32:$E$45,,MATCH($D43,'Landbrugsareal - resultat'!$C$4:$E$4,0)))),IF(G$2=2030,SUMPRODUCT(($B43='Landbrugsareal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resultat'!$I$4:$K$4,0)))))),IF(G$2=2019,SUMPRODUCT(($B43='Landbrugsareal - resultat'!$B$32:$B$45)*(INDEX('Landbrugsareal - resultat'!$L$32:$N$45,,MATCH($D43,'Landbrugsareal - resultat'!$L$4:$N$4,0)))),IF(G$2=2030,SUMPRODUCT(($B43='Landbrugsareal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574.32851892788028</v>
      </c>
      <c r="H43" s="97" cm="1">
        <f t="array" ref="H43">IF($A43="Vestdanmark",IF($C43="Konventionel",IF(H$2=2019,SUMPRODUCT(($B43='Landbrugsareal - resultat'!$B$5:$B$18)*(INDEX('Landbrugsareal - resultat'!$C$5:$E$18,,MATCH($D43,'Landbrugsareal - resultat'!$C$4:$E$4,0)))),IF(H$2=2030,SUMPRODUCT(($B43='Landbrugsareal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resultat'!$I$4:$K$4,0)))))),IF(H$2=2019,SUMPRODUCT(($B43='Landbrugsareal - resultat'!$B$5:$B$18)*(INDEX('Landbrugsareal - resultat'!$L$5:$N$18,,MATCH($D43,'Landbrugsareal - resultat'!$L$4:$N$4,0)))),IF(H$2=2030,SUMPRODUCT(($B43='Landbrugsareal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resultat'!$R$4:$T$4,0))))))),IF($C43="Konventionel",IF(H$2=2019,SUMPRODUCT(($B43='Landbrugsareal - resultat'!$B$32:$B$45)*(INDEX('Landbrugsareal - resultat'!$C$32:$E$45,,MATCH($D43,'Landbrugsareal - resultat'!$C$4:$E$4,0)))),IF(H$2=2030,SUMPRODUCT(($B43='Landbrugsareal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resultat'!$I$4:$K$4,0)))))),IF(H$2=2019,SUMPRODUCT(($B43='Landbrugsareal - resultat'!$B$32:$B$45)*(INDEX('Landbrugsareal - resultat'!$L$32:$N$45,,MATCH($D43,'Landbrugsareal - resultat'!$L$4:$N$4,0)))),IF(H$2=2030,SUMPRODUCT(($B43='Landbrugsareal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506.59835168103979</v>
      </c>
      <c r="I43" s="97" cm="1">
        <f t="array" ref="I43">IF($A43="Vestdanmark",IF($C43="Konventionel",IF(I$2=2019,SUMPRODUCT(($B43='Landbrugsareal - resultat'!$B$5:$B$18)*(INDEX('Landbrugsareal - resultat'!$C$5:$E$18,,MATCH($D43,'Landbrugsareal - resultat'!$C$4:$E$4,0)))),IF(I$2=2030,SUMPRODUCT(($B43='Landbrugsareal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resultat'!$I$4:$K$4,0)))))),IF(I$2=2019,SUMPRODUCT(($B43='Landbrugsareal - resultat'!$B$5:$B$18)*(INDEX('Landbrugsareal - resultat'!$L$5:$N$18,,MATCH($D43,'Landbrugsareal - resultat'!$L$4:$N$4,0)))),IF(I$2=2030,SUMPRODUCT(($B43='Landbrugsareal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resultat'!$R$4:$T$4,0))))))),IF($C43="Konventionel",IF(I$2=2019,SUMPRODUCT((C43='Landbrugsareal - resultat'!$B$32:$B$45)*(INDEX('Landbrugsareal - resultat'!$C$32:$E$45,,MATCH($D43,'Landbrugsareal - resultat'!$C$4:$E$4,0)))),IF(I$2=2030,SUMPRODUCT(($B43='Landbrugsareal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resultat'!$I$4:$K$4,0)))))),IF(I$2=2019,SUMPRODUCT(($B43='Landbrugsareal - resultat'!$B$32:$B$45)*(INDEX('Landbrugsareal - resultat'!$L$32:$N$45,,MATCH($D43,'Landbrugsareal - resultat'!$L$4:$N$4,0)))),IF(I$2=2030,SUMPRODUCT(($B43='Landbrugsareal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483.1718383085061</v>
      </c>
    </row>
    <row r="44" spans="1:9" hidden="1" x14ac:dyDescent="0.55000000000000004">
      <c r="A44" t="s">
        <v>23</v>
      </c>
      <c r="B44" s="1" t="str">
        <f>[1]Afgrødefordeling!$C$15</f>
        <v>Permanent græs</v>
      </c>
      <c r="C44" t="s">
        <v>7</v>
      </c>
      <c r="D44" t="str">
        <f t="shared" si="3"/>
        <v>OC12</v>
      </c>
      <c r="F44" t="str">
        <f t="shared" si="1"/>
        <v>Areal-permanent græs</v>
      </c>
      <c r="G44" s="97" cm="1">
        <f t="array" ref="G44">IF($A44="Vestdanmark",IF($C44="Konventionel",IF(G$2=2019,SUMPRODUCT(($B44='Landbrugsareal - resultat'!$B$5:$B$18)*(INDEX('Landbrugsareal - resultat'!$C$5:$E$18,,MATCH($D44,'Landbrugsareal - resultat'!$C$4:$E$4,0)))),IF(G$2=2030,SUMPRODUCT(($B44='Landbrugsareal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resultat'!$I$4:$K$4,0)))))),IF(G$2=2019,SUMPRODUCT(($B44='Landbrugsareal - resultat'!$B$5:$B$18)*(INDEX('Landbrugsareal - resultat'!$L$5:$N$18,,MATCH($D44,'Landbrugsareal - resultat'!$L$4:$N$4,0)))),IF(G$2=2030,SUMPRODUCT(($B44='Landbrugsareal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resultat'!$R$4:$T$4,0))))))),IF($C44="Konventionel",IF(G$2=2019,SUMPRODUCT((B44='Landbrugsareal - resultat'!$B$32:$B$45)*(INDEX('Landbrugsareal - resultat'!$C$32:$E$45,,MATCH($D44,'Landbrugsareal - resultat'!$C$4:$E$4,0)))),IF(G$2=2030,SUMPRODUCT(($B44='Landbrugsareal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resultat'!$I$4:$K$4,0)))))),IF(G$2=2019,SUMPRODUCT(($B44='Landbrugsareal - resultat'!$B$32:$B$45)*(INDEX('Landbrugsareal - resultat'!$L$32:$N$45,,MATCH($D44,'Landbrugsareal - resultat'!$L$4:$N$4,0)))),IF(G$2=2030,SUMPRODUCT(($B44='Landbrugsareal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21241.691978712064</v>
      </c>
      <c r="H44" s="97" cm="1">
        <f t="array" ref="H44">IF($A44="Vestdanmark",IF($C44="Konventionel",IF(H$2=2019,SUMPRODUCT(($B44='Landbrugsareal - resultat'!$B$5:$B$18)*(INDEX('Landbrugsareal - resultat'!$C$5:$E$18,,MATCH($D44,'Landbrugsareal - resultat'!$C$4:$E$4,0)))),IF(H$2=2030,SUMPRODUCT(($B44='Landbrugsareal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resultat'!$I$4:$K$4,0)))))),IF(H$2=2019,SUMPRODUCT(($B44='Landbrugsareal - resultat'!$B$5:$B$18)*(INDEX('Landbrugsareal - resultat'!$L$5:$N$18,,MATCH($D44,'Landbrugsareal - resultat'!$L$4:$N$4,0)))),IF(H$2=2030,SUMPRODUCT(($B44='Landbrugsareal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resultat'!$R$4:$T$4,0))))))),IF($C44="Konventionel",IF(H$2=2019,SUMPRODUCT(($B44='Landbrugsareal - resultat'!$B$32:$B$45)*(INDEX('Landbrugsareal - resultat'!$C$32:$E$45,,MATCH($D44,'Landbrugsareal - resultat'!$C$4:$E$4,0)))),IF(H$2=2030,SUMPRODUCT(($B44='Landbrugsareal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resultat'!$I$4:$K$4,0)))))),IF(H$2=2019,SUMPRODUCT(($B44='Landbrugsareal - resultat'!$B$32:$B$45)*(INDEX('Landbrugsareal - resultat'!$L$32:$N$45,,MATCH($D44,'Landbrugsareal - resultat'!$L$4:$N$4,0)))),IF(H$2=2030,SUMPRODUCT(($B44='Landbrugsareal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18736.673852484033</v>
      </c>
      <c r="I44" s="97" cm="1">
        <f t="array" ref="I44">IF($A44="Vestdanmark",IF($C44="Konventionel",IF(I$2=2019,SUMPRODUCT(($B44='Landbrugsareal - resultat'!$B$5:$B$18)*(INDEX('Landbrugsareal - resultat'!$C$5:$E$18,,MATCH($D44,'Landbrugsareal - resultat'!$C$4:$E$4,0)))),IF(I$2=2030,SUMPRODUCT(($B44='Landbrugsareal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resultat'!$I$4:$K$4,0)))))),IF(I$2=2019,SUMPRODUCT(($B44='Landbrugsareal - resultat'!$B$5:$B$18)*(INDEX('Landbrugsareal - resultat'!$L$5:$N$18,,MATCH($D44,'Landbrugsareal - resultat'!$L$4:$N$4,0)))),IF(I$2=2030,SUMPRODUCT(($B44='Landbrugsareal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resultat'!$R$4:$T$4,0))))))),IF($C44="Konventionel",IF(I$2=2019,SUMPRODUCT((C44='Landbrugsareal - resultat'!$B$32:$B$45)*(INDEX('Landbrugsareal - resultat'!$C$32:$E$45,,MATCH($D44,'Landbrugsareal - resultat'!$C$4:$E$4,0)))),IF(I$2=2030,SUMPRODUCT(($B44='Landbrugsareal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resultat'!$I$4:$K$4,0)))))),IF(I$2=2019,SUMPRODUCT(($B44='Landbrugsareal - resultat'!$B$32:$B$45)*(INDEX('Landbrugsareal - resultat'!$L$32:$N$45,,MATCH($D44,'Landbrugsareal - resultat'!$L$4:$N$4,0)))),IF(I$2=2030,SUMPRODUCT(($B44='Landbrugsareal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17870.23806739807</v>
      </c>
    </row>
    <row r="45" spans="1:9" hidden="1" x14ac:dyDescent="0.55000000000000004">
      <c r="A45" t="s">
        <v>23</v>
      </c>
      <c r="B45" s="1" t="str">
        <f>[1]Afgrødefordeling!$C$2</f>
        <v>Korn</v>
      </c>
      <c r="C45" t="s">
        <v>8</v>
      </c>
      <c r="D45" t="str">
        <f t="shared" ref="D45:D58" si="4">Jordbund1</f>
        <v>JB1-10</v>
      </c>
      <c r="F45" t="str">
        <f t="shared" si="1"/>
        <v>Areal-korn</v>
      </c>
      <c r="G45" s="97" cm="1">
        <f t="array" ref="G45">IF($A45="Vestdanmark",IF($C45="Konventionel",IF(G$2=2019,SUMPRODUCT(($B45='Landbrugsareal - resultat'!$B$5:$B$18)*(INDEX('Landbrugsareal - resultat'!$C$5:$E$18,,MATCH($D45,'Landbrugsareal - resultat'!$C$4:$E$4,0)))),IF(G$2=2030,SUMPRODUCT(($B45='Landbrugsareal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resultat'!$I$4:$K$4,0)))))),IF(G$2=2019,SUMPRODUCT(($B45='Landbrugsareal - resultat'!$B$5:$B$18)*(INDEX('Landbrugsareal - resultat'!$L$5:$N$18,,MATCH($D45,'Landbrugsareal - resultat'!$L$4:$N$4,0)))),IF(G$2=2030,SUMPRODUCT(($B45='Landbrugsareal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resultat'!$R$4:$T$4,0))))))),IF($C45="Konventionel",IF(G$2=2019,SUMPRODUCT((B45='Landbrugsareal - resultat'!$B$32:$B$45)*(INDEX('Landbrugsareal - resultat'!$C$32:$E$45,,MATCH($D45,'Landbrugsareal - resultat'!$C$4:$E$4,0)))),IF(G$2=2030,SUMPRODUCT(($B45='Landbrugsareal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resultat'!$I$4:$K$4,0)))))),IF(G$2=2019,SUMPRODUCT(($B45='Landbrugsareal - resultat'!$B$32:$B$45)*(INDEX('Landbrugsareal - resultat'!$L$32:$N$45,,MATCH($D45,'Landbrugsareal - resultat'!$L$4:$N$4,0)))),IF(G$2=2030,SUMPRODUCT(($B45='Landbrugsareal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109074.05508995618</v>
      </c>
      <c r="H45" s="97" cm="1">
        <f t="array" ref="H45">IF($A45="Vestdanmark",IF($C45="Konventionel",IF(H$2=2019,SUMPRODUCT(($B45='Landbrugsareal - resultat'!$B$5:$B$18)*(INDEX('Landbrugsareal - resultat'!$C$5:$E$18,,MATCH($D45,'Landbrugsareal - resultat'!$C$4:$E$4,0)))),IF(H$2=2030,SUMPRODUCT(($B45='Landbrugsareal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resultat'!$I$4:$K$4,0)))))),IF(H$2=2019,SUMPRODUCT(($B45='Landbrugsareal - resultat'!$B$5:$B$18)*(INDEX('Landbrugsareal - resultat'!$L$5:$N$18,,MATCH($D45,'Landbrugsareal - resultat'!$L$4:$N$4,0)))),IF(H$2=2030,SUMPRODUCT(($B45='Landbrugsareal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resultat'!$R$4:$T$4,0))))))),IF($C45="Konventionel",IF(H$2=2019,SUMPRODUCT(($B45='Landbrugsareal - resultat'!$B$32:$B$45)*(INDEX('Landbrugsareal - resultat'!$C$32:$E$45,,MATCH($D45,'Landbrugsareal - resultat'!$C$4:$E$4,0)))),IF(H$2=2030,SUMPRODUCT(($B45='Landbrugsareal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resultat'!$I$4:$K$4,0)))))),IF(H$2=2019,SUMPRODUCT(($B45='Landbrugsareal - resultat'!$B$32:$B$45)*(INDEX('Landbrugsareal - resultat'!$L$32:$N$45,,MATCH($D45,'Landbrugsareal - resultat'!$L$4:$N$4,0)))),IF(H$2=2030,SUMPRODUCT(($B45='Landbrugsareal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138436.63182938722</v>
      </c>
      <c r="I45" s="97" cm="1">
        <f t="array" ref="I45">IF($A45="Vestdanmark",IF($C45="Konventionel",IF(I$2=2019,SUMPRODUCT(($B45='Landbrugsareal - resultat'!$B$5:$B$18)*(INDEX('Landbrugsareal - resultat'!$C$5:$E$18,,MATCH($D45,'Landbrugsareal - resultat'!$C$4:$E$4,0)))),IF(I$2=2030,SUMPRODUCT(($B45='Landbrugsareal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resultat'!$I$4:$K$4,0)))))),IF(I$2=2019,SUMPRODUCT(($B45='Landbrugsareal - resultat'!$B$5:$B$18)*(INDEX('Landbrugsareal - resultat'!$L$5:$N$18,,MATCH($D45,'Landbrugsareal - resultat'!$L$4:$N$4,0)))),IF(I$2=2030,SUMPRODUCT(($B45='Landbrugsareal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resultat'!$R$4:$T$4,0))))))),IF($C45="Konventionel",IF(I$2=2019,SUMPRODUCT((C45='Landbrugsareal - resultat'!$B$32:$B$45)*(INDEX('Landbrugsareal - resultat'!$C$32:$E$45,,MATCH($D45,'Landbrugsareal - resultat'!$C$4:$E$4,0)))),IF(I$2=2030,SUMPRODUCT(($B45='Landbrugsareal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resultat'!$I$4:$K$4,0)))))),IF(I$2=2019,SUMPRODUCT(($B45='Landbrugsareal - resultat'!$B$32:$B$45)*(INDEX('Landbrugsareal - resultat'!$L$32:$N$45,,MATCH($D45,'Landbrugsareal - resultat'!$L$4:$N$4,0)))),IF(I$2=2030,SUMPRODUCT(($B45='Landbrugsareal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163528.40889517844</v>
      </c>
    </row>
    <row r="46" spans="1:9" hidden="1" x14ac:dyDescent="0.55000000000000004">
      <c r="A46" t="s">
        <v>23</v>
      </c>
      <c r="B46" s="1" t="str">
        <f>[1]Afgrødefordeling!$C$3</f>
        <v>Bælgsæd</v>
      </c>
      <c r="C46" t="s">
        <v>8</v>
      </c>
      <c r="D46" t="str">
        <f t="shared" si="4"/>
        <v>JB1-10</v>
      </c>
      <c r="F46" t="str">
        <f t="shared" si="1"/>
        <v>Areal-bælgsæd</v>
      </c>
      <c r="G46" s="97" cm="1">
        <f t="array" ref="G46">IF($A46="Vestdanmark",IF($C46="Konventionel",IF(G$2=2019,SUMPRODUCT(($B46='Landbrugsareal - resultat'!$B$5:$B$18)*(INDEX('Landbrugsareal - resultat'!$C$5:$E$18,,MATCH($D46,'Landbrugsareal - resultat'!$C$4:$E$4,0)))),IF(G$2=2030,SUMPRODUCT(($B46='Landbrugsareal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resultat'!$I$4:$K$4,0)))))),IF(G$2=2019,SUMPRODUCT(($B46='Landbrugsareal - resultat'!$B$5:$B$18)*(INDEX('Landbrugsareal - resultat'!$L$5:$N$18,,MATCH($D46,'Landbrugsareal - resultat'!$L$4:$N$4,0)))),IF(G$2=2030,SUMPRODUCT(($B46='Landbrugsareal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resultat'!$R$4:$T$4,0))))))),IF($C46="Konventionel",IF(G$2=2019,SUMPRODUCT((B46='Landbrugsareal - resultat'!$B$32:$B$45)*(INDEX('Landbrugsareal - resultat'!$C$32:$E$45,,MATCH($D46,'Landbrugsareal - resultat'!$C$4:$E$4,0)))),IF(G$2=2030,SUMPRODUCT(($B46='Landbrugsareal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resultat'!$I$4:$K$4,0)))))),IF(G$2=2019,SUMPRODUCT(($B46='Landbrugsareal - resultat'!$B$32:$B$45)*(INDEX('Landbrugsareal - resultat'!$L$32:$N$45,,MATCH($D46,'Landbrugsareal - resultat'!$L$4:$N$4,0)))),IF(G$2=2030,SUMPRODUCT(($B46='Landbrugsareal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7536.0917457605292</v>
      </c>
      <c r="H46" s="97" cm="1">
        <f t="array" ref="H46">IF($A46="Vestdanmark",IF($C46="Konventionel",IF(H$2=2019,SUMPRODUCT(($B46='Landbrugsareal - resultat'!$B$5:$B$18)*(INDEX('Landbrugsareal - resultat'!$C$5:$E$18,,MATCH($D46,'Landbrugsareal - resultat'!$C$4:$E$4,0)))),IF(H$2=2030,SUMPRODUCT(($B46='Landbrugsareal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resultat'!$I$4:$K$4,0)))))),IF(H$2=2019,SUMPRODUCT(($B46='Landbrugsareal - resultat'!$B$5:$B$18)*(INDEX('Landbrugsareal - resultat'!$L$5:$N$18,,MATCH($D46,'Landbrugsareal - resultat'!$L$4:$N$4,0)))),IF(H$2=2030,SUMPRODUCT(($B46='Landbrugsareal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resultat'!$R$4:$T$4,0))))))),IF($C46="Konventionel",IF(H$2=2019,SUMPRODUCT(($B46='Landbrugsareal - resultat'!$B$32:$B$45)*(INDEX('Landbrugsareal - resultat'!$C$32:$E$45,,MATCH($D46,'Landbrugsareal - resultat'!$C$4:$E$4,0)))),IF(H$2=2030,SUMPRODUCT(($B46='Landbrugsareal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resultat'!$I$4:$K$4,0)))))),IF(H$2=2019,SUMPRODUCT(($B46='Landbrugsareal - resultat'!$B$32:$B$45)*(INDEX('Landbrugsareal - resultat'!$L$32:$N$45,,MATCH($D46,'Landbrugsareal - resultat'!$L$4:$N$4,0)))),IF(H$2=2030,SUMPRODUCT(($B46='Landbrugsareal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8882.5570071232869</v>
      </c>
      <c r="I46" s="97" cm="1">
        <f t="array" ref="I46">IF($A46="Vestdanmark",IF($C46="Konventionel",IF(I$2=2019,SUMPRODUCT(($B46='Landbrugsareal - resultat'!$B$5:$B$18)*(INDEX('Landbrugsareal - resultat'!$C$5:$E$18,,MATCH($D46,'Landbrugsareal - resultat'!$C$4:$E$4,0)))),IF(I$2=2030,SUMPRODUCT(($B46='Landbrugsareal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resultat'!$I$4:$K$4,0)))))),IF(I$2=2019,SUMPRODUCT(($B46='Landbrugsareal - resultat'!$B$5:$B$18)*(INDEX('Landbrugsareal - resultat'!$L$5:$N$18,,MATCH($D46,'Landbrugsareal - resultat'!$L$4:$N$4,0)))),IF(I$2=2030,SUMPRODUCT(($B46='Landbrugsareal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resultat'!$R$4:$T$4,0))))))),IF($C46="Konventionel",IF(I$2=2019,SUMPRODUCT((C46='Landbrugsareal - resultat'!$B$32:$B$45)*(INDEX('Landbrugsareal - resultat'!$C$32:$E$45,,MATCH($D46,'Landbrugsareal - resultat'!$C$4:$E$4,0)))),IF(I$2=2030,SUMPRODUCT(($B46='Landbrugsareal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resultat'!$I$4:$K$4,0)))))),IF(I$2=2019,SUMPRODUCT(($B46='Landbrugsareal - resultat'!$B$32:$B$45)*(INDEX('Landbrugsareal - resultat'!$L$32:$N$45,,MATCH($D46,'Landbrugsareal - resultat'!$L$4:$N$4,0)))),IF(I$2=2030,SUMPRODUCT(($B46='Landbrugsareal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11298.425564685787</v>
      </c>
    </row>
    <row r="47" spans="1:9" hidden="1" x14ac:dyDescent="0.55000000000000004">
      <c r="A47" t="s">
        <v>23</v>
      </c>
      <c r="B47" s="1" t="str">
        <f>[1]Afgrødefordeling!$C$4</f>
        <v>Raps</v>
      </c>
      <c r="C47" t="s">
        <v>8</v>
      </c>
      <c r="D47" t="str">
        <f t="shared" si="4"/>
        <v>JB1-10</v>
      </c>
      <c r="F47" t="str">
        <f t="shared" si="1"/>
        <v>Areal-raps</v>
      </c>
      <c r="G47" s="97" cm="1">
        <f t="array" ref="G47">IF($A47="Vestdanmark",IF($C47="Konventionel",IF(G$2=2019,SUMPRODUCT(($B47='Landbrugsareal - resultat'!$B$5:$B$18)*(INDEX('Landbrugsareal - resultat'!$C$5:$E$18,,MATCH($D47,'Landbrugsareal - resultat'!$C$4:$E$4,0)))),IF(G$2=2030,SUMPRODUCT(($B47='Landbrugsareal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resultat'!$I$4:$K$4,0)))))),IF(G$2=2019,SUMPRODUCT(($B47='Landbrugsareal - resultat'!$B$5:$B$18)*(INDEX('Landbrugsareal - resultat'!$L$5:$N$18,,MATCH($D47,'Landbrugsareal - resultat'!$L$4:$N$4,0)))),IF(G$2=2030,SUMPRODUCT(($B47='Landbrugsareal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resultat'!$R$4:$T$4,0))))))),IF($C47="Konventionel",IF(G$2=2019,SUMPRODUCT((B47='Landbrugsareal - resultat'!$B$32:$B$45)*(INDEX('Landbrugsareal - resultat'!$C$32:$E$45,,MATCH($D47,'Landbrugsareal - resultat'!$C$4:$E$4,0)))),IF(G$2=2030,SUMPRODUCT(($B47='Landbrugsareal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resultat'!$I$4:$K$4,0)))))),IF(G$2=2019,SUMPRODUCT(($B47='Landbrugsareal - resultat'!$B$32:$B$45)*(INDEX('Landbrugsareal - resultat'!$L$32:$N$45,,MATCH($D47,'Landbrugsareal - resultat'!$L$4:$N$4,0)))),IF(G$2=2030,SUMPRODUCT(($B47='Landbrugsareal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12673.001969281737</v>
      </c>
      <c r="H47" s="97" cm="1">
        <f t="array" ref="H47">IF($A47="Vestdanmark",IF($C47="Konventionel",IF(H$2=2019,SUMPRODUCT(($B47='Landbrugsareal - resultat'!$B$5:$B$18)*(INDEX('Landbrugsareal - resultat'!$C$5:$E$18,,MATCH($D47,'Landbrugsareal - resultat'!$C$4:$E$4,0)))),IF(H$2=2030,SUMPRODUCT(($B47='Landbrugsareal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resultat'!$I$4:$K$4,0)))))),IF(H$2=2019,SUMPRODUCT(($B47='Landbrugsareal - resultat'!$B$5:$B$18)*(INDEX('Landbrugsareal - resultat'!$L$5:$N$18,,MATCH($D47,'Landbrugsareal - resultat'!$L$4:$N$4,0)))),IF(H$2=2030,SUMPRODUCT(($B47='Landbrugsareal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resultat'!$R$4:$T$4,0))))))),IF($C47="Konventionel",IF(H$2=2019,SUMPRODUCT(($B47='Landbrugsareal - resultat'!$B$32:$B$45)*(INDEX('Landbrugsareal - resultat'!$C$32:$E$45,,MATCH($D47,'Landbrugsareal - resultat'!$C$4:$E$4,0)))),IF(H$2=2030,SUMPRODUCT(($B47='Landbrugsareal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resultat'!$I$4:$K$4,0)))))),IF(H$2=2019,SUMPRODUCT(($B47='Landbrugsareal - resultat'!$B$32:$B$45)*(INDEX('Landbrugsareal - resultat'!$L$32:$N$45,,MATCH($D47,'Landbrugsareal - resultat'!$L$4:$N$4,0)))),IF(H$2=2030,SUMPRODUCT(($B47='Landbrugsareal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14937.273356160618</v>
      </c>
      <c r="I47" s="97" cm="1">
        <f t="array" ref="I47">IF($A47="Vestdanmark",IF($C47="Konventionel",IF(I$2=2019,SUMPRODUCT(($B47='Landbrugsareal - resultat'!$B$5:$B$18)*(INDEX('Landbrugsareal - resultat'!$C$5:$E$18,,MATCH($D47,'Landbrugsareal - resultat'!$C$4:$E$4,0)))),IF(I$2=2030,SUMPRODUCT(($B47='Landbrugsareal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resultat'!$I$4:$K$4,0)))))),IF(I$2=2019,SUMPRODUCT(($B47='Landbrugsareal - resultat'!$B$5:$B$18)*(INDEX('Landbrugsareal - resultat'!$L$5:$N$18,,MATCH($D47,'Landbrugsareal - resultat'!$L$4:$N$4,0)))),IF(I$2=2030,SUMPRODUCT(($B47='Landbrugsareal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resultat'!$R$4:$T$4,0))))))),IF($C47="Konventionel",IF(I$2=2019,SUMPRODUCT((C47='Landbrugsareal - resultat'!$B$32:$B$45)*(INDEX('Landbrugsareal - resultat'!$C$32:$E$45,,MATCH($D47,'Landbrugsareal - resultat'!$C$4:$E$4,0)))),IF(I$2=2030,SUMPRODUCT(($B47='Landbrugsareal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resultat'!$I$4:$K$4,0)))))),IF(I$2=2019,SUMPRODUCT(($B47='Landbrugsareal - resultat'!$B$32:$B$45)*(INDEX('Landbrugsareal - resultat'!$L$32:$N$45,,MATCH($D47,'Landbrugsareal - resultat'!$L$4:$N$4,0)))),IF(I$2=2030,SUMPRODUCT(($B47='Landbrugsareal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18999.897328956435</v>
      </c>
    </row>
    <row r="48" spans="1:9" hidden="1" x14ac:dyDescent="0.55000000000000004">
      <c r="A48" t="s">
        <v>23</v>
      </c>
      <c r="B48" s="1" t="str">
        <f>[1]Afgrødefordeling!$C$5</f>
        <v>Græs</v>
      </c>
      <c r="C48" t="s">
        <v>8</v>
      </c>
      <c r="D48" t="str">
        <f t="shared" si="4"/>
        <v>JB1-10</v>
      </c>
      <c r="F48" t="str">
        <f t="shared" si="1"/>
        <v>Areal-græs</v>
      </c>
      <c r="G48" s="97" cm="1">
        <f t="array" ref="G48">IF($A48="Vestdanmark",IF($C48="Konventionel",IF(G$2=2019,SUMPRODUCT(($B48='Landbrugsareal - resultat'!$B$5:$B$18)*(INDEX('Landbrugsareal - resultat'!$C$5:$E$18,,MATCH($D48,'Landbrugsareal - resultat'!$C$4:$E$4,0)))),IF(G$2=2030,SUMPRODUCT(($B48='Landbrugsareal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resultat'!$I$4:$K$4,0)))))),IF(G$2=2019,SUMPRODUCT(($B48='Landbrugsareal - resultat'!$B$5:$B$18)*(INDEX('Landbrugsareal - resultat'!$L$5:$N$18,,MATCH($D48,'Landbrugsareal - resultat'!$L$4:$N$4,0)))),IF(G$2=2030,SUMPRODUCT(($B48='Landbrugsareal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resultat'!$R$4:$T$4,0))))))),IF($C48="Konventionel",IF(G$2=2019,SUMPRODUCT((B48='Landbrugsareal - resultat'!$B$32:$B$45)*(INDEX('Landbrugsareal - resultat'!$C$32:$E$45,,MATCH($D48,'Landbrugsareal - resultat'!$C$4:$E$4,0)))),IF(G$2=2030,SUMPRODUCT(($B48='Landbrugsareal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resultat'!$I$4:$K$4,0)))))),IF(G$2=2019,SUMPRODUCT(($B48='Landbrugsareal - resultat'!$B$32:$B$45)*(INDEX('Landbrugsareal - resultat'!$L$32:$N$45,,MATCH($D48,'Landbrugsareal - resultat'!$L$4:$N$4,0)))),IF(G$2=2030,SUMPRODUCT(($B48='Landbrugsareal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24163.428903039348</v>
      </c>
      <c r="H48" s="97" cm="1">
        <f t="array" ref="H48">IF($A48="Vestdanmark",IF($C48="Konventionel",IF(H$2=2019,SUMPRODUCT(($B48='Landbrugsareal - resultat'!$B$5:$B$18)*(INDEX('Landbrugsareal - resultat'!$C$5:$E$18,,MATCH($D48,'Landbrugsareal - resultat'!$C$4:$E$4,0)))),IF(H$2=2030,SUMPRODUCT(($B48='Landbrugsareal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resultat'!$I$4:$K$4,0)))))),IF(H$2=2019,SUMPRODUCT(($B48='Landbrugsareal - resultat'!$B$5:$B$18)*(INDEX('Landbrugsareal - resultat'!$L$5:$N$18,,MATCH($D48,'Landbrugsareal - resultat'!$L$4:$N$4,0)))),IF(H$2=2030,SUMPRODUCT(($B48='Landbrugsareal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resultat'!$R$4:$T$4,0))))))),IF($C48="Konventionel",IF(H$2=2019,SUMPRODUCT(($B48='Landbrugsareal - resultat'!$B$32:$B$45)*(INDEX('Landbrugsareal - resultat'!$C$32:$E$45,,MATCH($D48,'Landbrugsareal - resultat'!$C$4:$E$4,0)))),IF(H$2=2030,SUMPRODUCT(($B48='Landbrugsareal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resultat'!$I$4:$K$4,0)))))),IF(H$2=2019,SUMPRODUCT(($B48='Landbrugsareal - resultat'!$B$32:$B$45)*(INDEX('Landbrugsareal - resultat'!$L$32:$N$45,,MATCH($D48,'Landbrugsareal - resultat'!$L$4:$N$4,0)))),IF(H$2=2030,SUMPRODUCT(($B48='Landbrugsareal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28480.682289936361</v>
      </c>
      <c r="I48" s="97" cm="1">
        <f t="array" ref="I48">IF($A48="Vestdanmark",IF($C48="Konventionel",IF(I$2=2019,SUMPRODUCT(($B48='Landbrugsareal - resultat'!$B$5:$B$18)*(INDEX('Landbrugsareal - resultat'!$C$5:$E$18,,MATCH($D48,'Landbrugsareal - resultat'!$C$4:$E$4,0)))),IF(I$2=2030,SUMPRODUCT(($B48='Landbrugsareal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resultat'!$I$4:$K$4,0)))))),IF(I$2=2019,SUMPRODUCT(($B48='Landbrugsareal - resultat'!$B$5:$B$18)*(INDEX('Landbrugsareal - resultat'!$L$5:$N$18,,MATCH($D48,'Landbrugsareal - resultat'!$L$4:$N$4,0)))),IF(I$2=2030,SUMPRODUCT(($B48='Landbrugsareal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resultat'!$R$4:$T$4,0))))))),IF($C48="Konventionel",IF(I$2=2019,SUMPRODUCT((C48='Landbrugsareal - resultat'!$B$32:$B$45)*(INDEX('Landbrugsareal - resultat'!$C$32:$E$45,,MATCH($D48,'Landbrugsareal - resultat'!$C$4:$E$4,0)))),IF(I$2=2030,SUMPRODUCT(($B48='Landbrugsareal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resultat'!$I$4:$K$4,0)))))),IF(I$2=2019,SUMPRODUCT(($B48='Landbrugsareal - resultat'!$B$32:$B$45)*(INDEX('Landbrugsareal - resultat'!$L$32:$N$45,,MATCH($D48,'Landbrugsareal - resultat'!$L$4:$N$4,0)))),IF(I$2=2030,SUMPRODUCT(($B48='Landbrugsareal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36226.828448864071</v>
      </c>
    </row>
    <row r="49" spans="1:9" hidden="1" x14ac:dyDescent="0.55000000000000004">
      <c r="A49" t="s">
        <v>23</v>
      </c>
      <c r="B49" s="1" t="str">
        <f>[1]Afgrødefordeling!$C$6</f>
        <v>Grøntsager</v>
      </c>
      <c r="C49" t="s">
        <v>8</v>
      </c>
      <c r="D49" t="str">
        <f t="shared" si="4"/>
        <v>JB1-10</v>
      </c>
      <c r="F49" t="str">
        <f t="shared" si="1"/>
        <v>Areal-grøntsager</v>
      </c>
      <c r="G49" s="97" cm="1">
        <f t="array" ref="G49">IF($A49="Vestdanmark",IF($C49="Konventionel",IF(G$2=2019,SUMPRODUCT(($B49='Landbrugsareal - resultat'!$B$5:$B$18)*(INDEX('Landbrugsareal - resultat'!$C$5:$E$18,,MATCH($D49,'Landbrugsareal - resultat'!$C$4:$E$4,0)))),IF(G$2=2030,SUMPRODUCT(($B49='Landbrugsareal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resultat'!$I$4:$K$4,0)))))),IF(G$2=2019,SUMPRODUCT(($B49='Landbrugsareal - resultat'!$B$5:$B$18)*(INDEX('Landbrugsareal - resultat'!$L$5:$N$18,,MATCH($D49,'Landbrugsareal - resultat'!$L$4:$N$4,0)))),IF(G$2=2030,SUMPRODUCT(($B49='Landbrugsareal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resultat'!$R$4:$T$4,0))))))),IF($C49="Konventionel",IF(G$2=2019,SUMPRODUCT((B49='Landbrugsareal - resultat'!$B$32:$B$45)*(INDEX('Landbrugsareal - resultat'!$C$32:$E$45,,MATCH($D49,'Landbrugsareal - resultat'!$C$4:$E$4,0)))),IF(G$2=2030,SUMPRODUCT(($B49='Landbrugsareal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resultat'!$I$4:$K$4,0)))))),IF(G$2=2019,SUMPRODUCT(($B49='Landbrugsareal - resultat'!$B$32:$B$45)*(INDEX('Landbrugsareal - resultat'!$L$32:$N$45,,MATCH($D49,'Landbrugsareal - resultat'!$L$4:$N$4,0)))),IF(G$2=2030,SUMPRODUCT(($B49='Landbrugsareal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935.06974518991217</v>
      </c>
      <c r="H49" s="97" cm="1">
        <f t="array" ref="H49">IF($A49="Vestdanmark",IF($C49="Konventionel",IF(H$2=2019,SUMPRODUCT(($B49='Landbrugsareal - resultat'!$B$5:$B$18)*(INDEX('Landbrugsareal - resultat'!$C$5:$E$18,,MATCH($D49,'Landbrugsareal - resultat'!$C$4:$E$4,0)))),IF(H$2=2030,SUMPRODUCT(($B49='Landbrugsareal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resultat'!$I$4:$K$4,0)))))),IF(H$2=2019,SUMPRODUCT(($B49='Landbrugsareal - resultat'!$B$5:$B$18)*(INDEX('Landbrugsareal - resultat'!$L$5:$N$18,,MATCH($D49,'Landbrugsareal - resultat'!$L$4:$N$4,0)))),IF(H$2=2030,SUMPRODUCT(($B49='Landbrugsareal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resultat'!$R$4:$T$4,0))))))),IF($C49="Konventionel",IF(H$2=2019,SUMPRODUCT(($B49='Landbrugsareal - resultat'!$B$32:$B$45)*(INDEX('Landbrugsareal - resultat'!$C$32:$E$45,,MATCH($D49,'Landbrugsareal - resultat'!$C$4:$E$4,0)))),IF(H$2=2030,SUMPRODUCT(($B49='Landbrugsareal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resultat'!$I$4:$K$4,0)))))),IF(H$2=2019,SUMPRODUCT(($B49='Landbrugsareal - resultat'!$B$32:$B$45)*(INDEX('Landbrugsareal - resultat'!$L$32:$N$45,,MATCH($D49,'Landbrugsareal - resultat'!$L$4:$N$4,0)))),IF(H$2=2030,SUMPRODUCT(($B49='Landbrugsareal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1102.1376328065699</v>
      </c>
      <c r="I49" s="97" cm="1">
        <f t="array" ref="I49">IF($A49="Vestdanmark",IF($C49="Konventionel",IF(I$2=2019,SUMPRODUCT(($B49='Landbrugsareal - resultat'!$B$5:$B$18)*(INDEX('Landbrugsareal - resultat'!$C$5:$E$18,,MATCH($D49,'Landbrugsareal - resultat'!$C$4:$E$4,0)))),IF(I$2=2030,SUMPRODUCT(($B49='Landbrugsareal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resultat'!$I$4:$K$4,0)))))),IF(I$2=2019,SUMPRODUCT(($B49='Landbrugsareal - resultat'!$B$5:$B$18)*(INDEX('Landbrugsareal - resultat'!$L$5:$N$18,,MATCH($D49,'Landbrugsareal - resultat'!$L$4:$N$4,0)))),IF(I$2=2030,SUMPRODUCT(($B49='Landbrugsareal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resultat'!$R$4:$T$4,0))))))),IF($C49="Konventionel",IF(I$2=2019,SUMPRODUCT((C49='Landbrugsareal - resultat'!$B$32:$B$45)*(INDEX('Landbrugsareal - resultat'!$C$32:$E$45,,MATCH($D49,'Landbrugsareal - resultat'!$C$4:$E$4,0)))),IF(I$2=2030,SUMPRODUCT(($B49='Landbrugsareal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resultat'!$I$4:$K$4,0)))))),IF(I$2=2019,SUMPRODUCT(($B49='Landbrugsareal - resultat'!$B$32:$B$45)*(INDEX('Landbrugsareal - resultat'!$L$32:$N$45,,MATCH($D49,'Landbrugsareal - resultat'!$L$4:$N$4,0)))),IF(I$2=2030,SUMPRODUCT(($B49='Landbrugsareal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1401.8958725869049</v>
      </c>
    </row>
    <row r="50" spans="1:9" hidden="1" x14ac:dyDescent="0.55000000000000004">
      <c r="A50" t="s">
        <v>23</v>
      </c>
      <c r="B50" s="1" t="str">
        <f>[1]Afgrødefordeling!$C$7</f>
        <v>Kartofler</v>
      </c>
      <c r="C50" t="s">
        <v>8</v>
      </c>
      <c r="D50" t="str">
        <f t="shared" si="4"/>
        <v>JB1-10</v>
      </c>
      <c r="F50" t="str">
        <f t="shared" si="1"/>
        <v>Areal-kartofler</v>
      </c>
      <c r="G50" s="97" cm="1">
        <f t="array" ref="G50">IF($A50="Vestdanmark",IF($C50="Konventionel",IF(G$2=2019,SUMPRODUCT(($B50='Landbrugsareal - resultat'!$B$5:$B$18)*(INDEX('Landbrugsareal - resultat'!$C$5:$E$18,,MATCH($D50,'Landbrugsareal - resultat'!$C$4:$E$4,0)))),IF(G$2=2030,SUMPRODUCT(($B50='Landbrugsareal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resultat'!$I$4:$K$4,0)))))),IF(G$2=2019,SUMPRODUCT(($B50='Landbrugsareal - resultat'!$B$5:$B$18)*(INDEX('Landbrugsareal - resultat'!$L$5:$N$18,,MATCH($D50,'Landbrugsareal - resultat'!$L$4:$N$4,0)))),IF(G$2=2030,SUMPRODUCT(($B50='Landbrugsareal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resultat'!$R$4:$T$4,0))))))),IF($C50="Konventionel",IF(G$2=2019,SUMPRODUCT((B50='Landbrugsareal - resultat'!$B$32:$B$45)*(INDEX('Landbrugsareal - resultat'!$C$32:$E$45,,MATCH($D50,'Landbrugsareal - resultat'!$C$4:$E$4,0)))),IF(G$2=2030,SUMPRODUCT(($B50='Landbrugsareal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resultat'!$I$4:$K$4,0)))))),IF(G$2=2019,SUMPRODUCT(($B50='Landbrugsareal - resultat'!$B$32:$B$45)*(INDEX('Landbrugsareal - resultat'!$L$32:$N$45,,MATCH($D50,'Landbrugsareal - resultat'!$L$4:$N$4,0)))),IF(G$2=2030,SUMPRODUCT(($B50='Landbrugsareal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5570.3291939822529</v>
      </c>
      <c r="H50" s="97" cm="1">
        <f t="array" ref="H50">IF($A50="Vestdanmark",IF($C50="Konventionel",IF(H$2=2019,SUMPRODUCT(($B50='Landbrugsareal - resultat'!$B$5:$B$18)*(INDEX('Landbrugsareal - resultat'!$C$5:$E$18,,MATCH($D50,'Landbrugsareal - resultat'!$C$4:$E$4,0)))),IF(H$2=2030,SUMPRODUCT(($B50='Landbrugsareal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resultat'!$I$4:$K$4,0)))))),IF(H$2=2019,SUMPRODUCT(($B50='Landbrugsareal - resultat'!$B$5:$B$18)*(INDEX('Landbrugsareal - resultat'!$L$5:$N$18,,MATCH($D50,'Landbrugsareal - resultat'!$L$4:$N$4,0)))),IF(H$2=2030,SUMPRODUCT(($B50='Landbrugsareal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resultat'!$R$4:$T$4,0))))))),IF($C50="Konventionel",IF(H$2=2019,SUMPRODUCT(($B50='Landbrugsareal - resultat'!$B$32:$B$45)*(INDEX('Landbrugsareal - resultat'!$C$32:$E$45,,MATCH($D50,'Landbrugsareal - resultat'!$C$4:$E$4,0)))),IF(H$2=2030,SUMPRODUCT(($B50='Landbrugsareal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resultat'!$I$4:$K$4,0)))))),IF(H$2=2019,SUMPRODUCT(($B50='Landbrugsareal - resultat'!$B$32:$B$45)*(INDEX('Landbrugsareal - resultat'!$L$32:$N$45,,MATCH($D50,'Landbrugsareal - resultat'!$L$4:$N$4,0)))),IF(H$2=2030,SUMPRODUCT(($B50='Landbrugsareal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6565.5738124240625</v>
      </c>
      <c r="I50" s="97" cm="1">
        <f t="array" ref="I50">IF($A50="Vestdanmark",IF($C50="Konventionel",IF(I$2=2019,SUMPRODUCT(($B50='Landbrugsareal - resultat'!$B$5:$B$18)*(INDEX('Landbrugsareal - resultat'!$C$5:$E$18,,MATCH($D50,'Landbrugsareal - resultat'!$C$4:$E$4,0)))),IF(I$2=2030,SUMPRODUCT(($B50='Landbrugsareal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resultat'!$I$4:$K$4,0)))))),IF(I$2=2019,SUMPRODUCT(($B50='Landbrugsareal - resultat'!$B$5:$B$18)*(INDEX('Landbrugsareal - resultat'!$L$5:$N$18,,MATCH($D50,'Landbrugsareal - resultat'!$L$4:$N$4,0)))),IF(I$2=2030,SUMPRODUCT(($B50='Landbrugsareal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resultat'!$R$4:$T$4,0))))))),IF($C50="Konventionel",IF(I$2=2019,SUMPRODUCT((C50='Landbrugsareal - resultat'!$B$32:$B$45)*(INDEX('Landbrugsareal - resultat'!$C$32:$E$45,,MATCH($D50,'Landbrugsareal - resultat'!$C$4:$E$4,0)))),IF(I$2=2030,SUMPRODUCT(($B50='Landbrugsareal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resultat'!$I$4:$K$4,0)))))),IF(I$2=2019,SUMPRODUCT(($B50='Landbrugsareal - resultat'!$B$32:$B$45)*(INDEX('Landbrugsareal - resultat'!$L$32:$N$45,,MATCH($D50,'Landbrugsareal - resultat'!$L$4:$N$4,0)))),IF(I$2=2030,SUMPRODUCT(($B50='Landbrugsareal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8351.2717058427061</v>
      </c>
    </row>
    <row r="51" spans="1:9" hidden="1" x14ac:dyDescent="0.55000000000000004">
      <c r="A51" t="s">
        <v>23</v>
      </c>
      <c r="B51" s="1" t="str">
        <f>[1]Afgrødefordeling!$C$8</f>
        <v>Roer</v>
      </c>
      <c r="C51" t="s">
        <v>8</v>
      </c>
      <c r="D51" t="str">
        <f t="shared" si="4"/>
        <v>JB1-10</v>
      </c>
      <c r="F51" t="str">
        <f t="shared" si="1"/>
        <v>Areal-roer</v>
      </c>
      <c r="G51" s="97" cm="1">
        <f t="array" ref="G51">IF($A51="Vestdanmark",IF($C51="Konventionel",IF(G$2=2019,SUMPRODUCT(($B51='Landbrugsareal - resultat'!$B$5:$B$18)*(INDEX('Landbrugsareal - resultat'!$C$5:$E$18,,MATCH($D51,'Landbrugsareal - resultat'!$C$4:$E$4,0)))),IF(G$2=2030,SUMPRODUCT(($B51='Landbrugsareal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resultat'!$I$4:$K$4,0)))))),IF(G$2=2019,SUMPRODUCT(($B51='Landbrugsareal - resultat'!$B$5:$B$18)*(INDEX('Landbrugsareal - resultat'!$L$5:$N$18,,MATCH($D51,'Landbrugsareal - resultat'!$L$4:$N$4,0)))),IF(G$2=2030,SUMPRODUCT(($B51='Landbrugsareal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resultat'!$R$4:$T$4,0))))))),IF($C51="Konventionel",IF(G$2=2019,SUMPRODUCT((B51='Landbrugsareal - resultat'!$B$32:$B$45)*(INDEX('Landbrugsareal - resultat'!$C$32:$E$45,,MATCH($D51,'Landbrugsareal - resultat'!$C$4:$E$4,0)))),IF(G$2=2030,SUMPRODUCT(($B51='Landbrugsareal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resultat'!$I$4:$K$4,0)))))),IF(G$2=2019,SUMPRODUCT(($B51='Landbrugsareal - resultat'!$B$32:$B$45)*(INDEX('Landbrugsareal - resultat'!$L$32:$N$45,,MATCH($D51,'Landbrugsareal - resultat'!$L$4:$N$4,0)))),IF(G$2=2030,SUMPRODUCT(($B51='Landbrugsareal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543.78023238328944</v>
      </c>
      <c r="H51" s="97" cm="1">
        <f t="array" ref="H51">IF($A51="Vestdanmark",IF($C51="Konventionel",IF(H$2=2019,SUMPRODUCT(($B51='Landbrugsareal - resultat'!$B$5:$B$18)*(INDEX('Landbrugsareal - resultat'!$C$5:$E$18,,MATCH($D51,'Landbrugsareal - resultat'!$C$4:$E$4,0)))),IF(H$2=2030,SUMPRODUCT(($B51='Landbrugsareal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resultat'!$I$4:$K$4,0)))))),IF(H$2=2019,SUMPRODUCT(($B51='Landbrugsareal - resultat'!$B$5:$B$18)*(INDEX('Landbrugsareal - resultat'!$L$5:$N$18,,MATCH($D51,'Landbrugsareal - resultat'!$L$4:$N$4,0)))),IF(H$2=2030,SUMPRODUCT(($B51='Landbrugsareal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resultat'!$R$4:$T$4,0))))))),IF($C51="Konventionel",IF(H$2=2019,SUMPRODUCT(($B51='Landbrugsareal - resultat'!$B$32:$B$45)*(INDEX('Landbrugsareal - resultat'!$C$32:$E$45,,MATCH($D51,'Landbrugsareal - resultat'!$C$4:$E$4,0)))),IF(H$2=2030,SUMPRODUCT(($B51='Landbrugsareal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resultat'!$I$4:$K$4,0)))))),IF(H$2=2019,SUMPRODUCT(($B51='Landbrugsareal - resultat'!$B$32:$B$45)*(INDEX('Landbrugsareal - resultat'!$L$32:$N$45,,MATCH($D51,'Landbrugsareal - resultat'!$L$4:$N$4,0)))),IF(H$2=2030,SUMPRODUCT(($B51='Landbrugsareal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640.93685114814969</v>
      </c>
      <c r="I51" s="97" cm="1">
        <f t="array" ref="I51">IF($A51="Vestdanmark",IF($C51="Konventionel",IF(I$2=2019,SUMPRODUCT(($B51='Landbrugsareal - resultat'!$B$5:$B$18)*(INDEX('Landbrugsareal - resultat'!$C$5:$E$18,,MATCH($D51,'Landbrugsareal - resultat'!$C$4:$E$4,0)))),IF(I$2=2030,SUMPRODUCT(($B51='Landbrugsareal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resultat'!$I$4:$K$4,0)))))),IF(I$2=2019,SUMPRODUCT(($B51='Landbrugsareal - resultat'!$B$5:$B$18)*(INDEX('Landbrugsareal - resultat'!$L$5:$N$18,,MATCH($D51,'Landbrugsareal - resultat'!$L$4:$N$4,0)))),IF(I$2=2030,SUMPRODUCT(($B51='Landbrugsareal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resultat'!$R$4:$T$4,0))))))),IF($C51="Konventionel",IF(I$2=2019,SUMPRODUCT((C51='Landbrugsareal - resultat'!$B$32:$B$45)*(INDEX('Landbrugsareal - resultat'!$C$32:$E$45,,MATCH($D51,'Landbrugsareal - resultat'!$C$4:$E$4,0)))),IF(I$2=2030,SUMPRODUCT(($B51='Landbrugsareal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resultat'!$I$4:$K$4,0)))))),IF(I$2=2019,SUMPRODUCT(($B51='Landbrugsareal - resultat'!$B$32:$B$45)*(INDEX('Landbrugsareal - resultat'!$L$32:$N$45,,MATCH($D51,'Landbrugsareal - resultat'!$L$4:$N$4,0)))),IF(I$2=2030,SUMPRODUCT(($B51='Landbrugsareal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815.25818506474513</v>
      </c>
    </row>
    <row r="52" spans="1:9" hidden="1" x14ac:dyDescent="0.55000000000000004">
      <c r="A52" t="s">
        <v>23</v>
      </c>
      <c r="B52" s="1" t="str">
        <f>[1]Afgrødefordeling!$C$9</f>
        <v>Majs</v>
      </c>
      <c r="C52" t="s">
        <v>8</v>
      </c>
      <c r="D52" t="str">
        <f t="shared" si="4"/>
        <v>JB1-10</v>
      </c>
      <c r="F52" t="str">
        <f t="shared" si="1"/>
        <v>Areal-majs</v>
      </c>
      <c r="G52" s="97" cm="1">
        <f t="array" ref="G52">IF($A52="Vestdanmark",IF($C52="Konventionel",IF(G$2=2019,SUMPRODUCT(($B52='Landbrugsareal - resultat'!$B$5:$B$18)*(INDEX('Landbrugsareal - resultat'!$C$5:$E$18,,MATCH($D52,'Landbrugsareal - resultat'!$C$4:$E$4,0)))),IF(G$2=2030,SUMPRODUCT(($B52='Landbrugsareal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resultat'!$I$4:$K$4,0)))))),IF(G$2=2019,SUMPRODUCT(($B52='Landbrugsareal - resultat'!$B$5:$B$18)*(INDEX('Landbrugsareal - resultat'!$L$5:$N$18,,MATCH($D52,'Landbrugsareal - resultat'!$L$4:$N$4,0)))),IF(G$2=2030,SUMPRODUCT(($B52='Landbrugsareal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resultat'!$R$4:$T$4,0))))))),IF($C52="Konventionel",IF(G$2=2019,SUMPRODUCT((B52='Landbrugsareal - resultat'!$B$32:$B$45)*(INDEX('Landbrugsareal - resultat'!$C$32:$E$45,,MATCH($D52,'Landbrugsareal - resultat'!$C$4:$E$4,0)))),IF(G$2=2030,SUMPRODUCT(($B52='Landbrugsareal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resultat'!$I$4:$K$4,0)))))),IF(G$2=2019,SUMPRODUCT(($B52='Landbrugsareal - resultat'!$B$32:$B$45)*(INDEX('Landbrugsareal - resultat'!$L$32:$N$45,,MATCH($D52,'Landbrugsareal - resultat'!$L$4:$N$4,0)))),IF(G$2=2030,SUMPRODUCT(($B52='Landbrugsareal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18621.539490936779</v>
      </c>
      <c r="H52" s="97" cm="1">
        <f t="array" ref="H52">IF($A52="Vestdanmark",IF($C52="Konventionel",IF(H$2=2019,SUMPRODUCT(($B52='Landbrugsareal - resultat'!$B$5:$B$18)*(INDEX('Landbrugsareal - resultat'!$C$5:$E$18,,MATCH($D52,'Landbrugsareal - resultat'!$C$4:$E$4,0)))),IF(H$2=2030,SUMPRODUCT(($B52='Landbrugsareal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resultat'!$I$4:$K$4,0)))))),IF(H$2=2019,SUMPRODUCT(($B52='Landbrugsareal - resultat'!$B$5:$B$18)*(INDEX('Landbrugsareal - resultat'!$L$5:$N$18,,MATCH($D52,'Landbrugsareal - resultat'!$L$4:$N$4,0)))),IF(H$2=2030,SUMPRODUCT(($B52='Landbrugsareal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resultat'!$R$4:$T$4,0))))))),IF($C52="Konventionel",IF(H$2=2019,SUMPRODUCT(($B52='Landbrugsareal - resultat'!$B$32:$B$45)*(INDEX('Landbrugsareal - resultat'!$C$32:$E$45,,MATCH($D52,'Landbrugsareal - resultat'!$C$4:$E$4,0)))),IF(H$2=2030,SUMPRODUCT(($B52='Landbrugsareal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resultat'!$I$4:$K$4,0)))))),IF(H$2=2019,SUMPRODUCT(($B52='Landbrugsareal - resultat'!$B$32:$B$45)*(INDEX('Landbrugsareal - resultat'!$L$32:$N$45,,MATCH($D52,'Landbrugsareal - resultat'!$L$4:$N$4,0)))),IF(H$2=2030,SUMPRODUCT(($B52='Landbrugsareal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21948.629564083272</v>
      </c>
      <c r="I52" s="97" cm="1">
        <f t="array" ref="I52">IF($A52="Vestdanmark",IF($C52="Konventionel",IF(I$2=2019,SUMPRODUCT(($B52='Landbrugsareal - resultat'!$B$5:$B$18)*(INDEX('Landbrugsareal - resultat'!$C$5:$E$18,,MATCH($D52,'Landbrugsareal - resultat'!$C$4:$E$4,0)))),IF(I$2=2030,SUMPRODUCT(($B52='Landbrugsareal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resultat'!$I$4:$K$4,0)))))),IF(I$2=2019,SUMPRODUCT(($B52='Landbrugsareal - resultat'!$B$5:$B$18)*(INDEX('Landbrugsareal - resultat'!$L$5:$N$18,,MATCH($D52,'Landbrugsareal - resultat'!$L$4:$N$4,0)))),IF(I$2=2030,SUMPRODUCT(($B52='Landbrugsareal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resultat'!$R$4:$T$4,0))))))),IF($C52="Konventionel",IF(I$2=2019,SUMPRODUCT((C52='Landbrugsareal - resultat'!$B$32:$B$45)*(INDEX('Landbrugsareal - resultat'!$C$32:$E$45,,MATCH($D52,'Landbrugsareal - resultat'!$C$4:$E$4,0)))),IF(I$2=2030,SUMPRODUCT(($B52='Landbrugsareal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resultat'!$I$4:$K$4,0)))))),IF(I$2=2019,SUMPRODUCT(($B52='Landbrugsareal - resultat'!$B$32:$B$45)*(INDEX('Landbrugsareal - resultat'!$L$32:$N$45,,MATCH($D52,'Landbrugsareal - resultat'!$L$4:$N$4,0)))),IF(I$2=2030,SUMPRODUCT(($B52='Landbrugsareal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27918.194859631913</v>
      </c>
    </row>
    <row r="53" spans="1:9" hidden="1" x14ac:dyDescent="0.55000000000000004">
      <c r="A53" t="s">
        <v>23</v>
      </c>
      <c r="B53" s="1" t="str">
        <f>[1]Afgrødefordeling!$C$10</f>
        <v>Frugt</v>
      </c>
      <c r="C53" t="s">
        <v>8</v>
      </c>
      <c r="D53" t="str">
        <f t="shared" si="4"/>
        <v>JB1-10</v>
      </c>
      <c r="F53" t="str">
        <f t="shared" si="1"/>
        <v>Areal-frugt</v>
      </c>
      <c r="G53" s="97" cm="1">
        <f t="array" ref="G53">IF($A53="Vestdanmark",IF($C53="Konventionel",IF(G$2=2019,SUMPRODUCT(($B53='Landbrugsareal - resultat'!$B$5:$B$18)*(INDEX('Landbrugsareal - resultat'!$C$5:$E$18,,MATCH($D53,'Landbrugsareal - resultat'!$C$4:$E$4,0)))),IF(G$2=2030,SUMPRODUCT(($B53='Landbrugsareal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resultat'!$I$4:$K$4,0)))))),IF(G$2=2019,SUMPRODUCT(($B53='Landbrugsareal - resultat'!$B$5:$B$18)*(INDEX('Landbrugsareal - resultat'!$L$5:$N$18,,MATCH($D53,'Landbrugsareal - resultat'!$L$4:$N$4,0)))),IF(G$2=2030,SUMPRODUCT(($B53='Landbrugsareal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resultat'!$R$4:$T$4,0))))))),IF($C53="Konventionel",IF(G$2=2019,SUMPRODUCT((B53='Landbrugsareal - resultat'!$B$32:$B$45)*(INDEX('Landbrugsareal - resultat'!$C$32:$E$45,,MATCH($D53,'Landbrugsareal - resultat'!$C$4:$E$4,0)))),IF(G$2=2030,SUMPRODUCT(($B53='Landbrugsareal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resultat'!$I$4:$K$4,0)))))),IF(G$2=2019,SUMPRODUCT(($B53='Landbrugsareal - resultat'!$B$32:$B$45)*(INDEX('Landbrugsareal - resultat'!$L$32:$N$45,,MATCH($D53,'Landbrugsareal - resultat'!$L$4:$N$4,0)))),IF(G$2=2030,SUMPRODUCT(($B53='Landbrugsareal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342.17593181200988</v>
      </c>
      <c r="H53" s="97" cm="1">
        <f t="array" ref="H53">IF($A53="Vestdanmark",IF($C53="Konventionel",IF(H$2=2019,SUMPRODUCT(($B53='Landbrugsareal - resultat'!$B$5:$B$18)*(INDEX('Landbrugsareal - resultat'!$C$5:$E$18,,MATCH($D53,'Landbrugsareal - resultat'!$C$4:$E$4,0)))),IF(H$2=2030,SUMPRODUCT(($B53='Landbrugsareal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resultat'!$I$4:$K$4,0)))))),IF(H$2=2019,SUMPRODUCT(($B53='Landbrugsareal - resultat'!$B$5:$B$18)*(INDEX('Landbrugsareal - resultat'!$L$5:$N$18,,MATCH($D53,'Landbrugsareal - resultat'!$L$4:$N$4,0)))),IF(H$2=2030,SUMPRODUCT(($B53='Landbrugsareal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resultat'!$R$4:$T$4,0))))))),IF($C53="Konventionel",IF(H$2=2019,SUMPRODUCT(($B53='Landbrugsareal - resultat'!$B$32:$B$45)*(INDEX('Landbrugsareal - resultat'!$C$32:$E$45,,MATCH($D53,'Landbrugsareal - resultat'!$C$4:$E$4,0)))),IF(H$2=2030,SUMPRODUCT(($B53='Landbrugsareal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resultat'!$I$4:$K$4,0)))))),IF(H$2=2019,SUMPRODUCT(($B53='Landbrugsareal - resultat'!$B$32:$B$45)*(INDEX('Landbrugsareal - resultat'!$L$32:$N$45,,MATCH($D53,'Landbrugsareal - resultat'!$L$4:$N$4,0)))),IF(H$2=2030,SUMPRODUCT(($B53='Landbrugsareal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403.3121309192577</v>
      </c>
      <c r="I53" s="97" cm="1">
        <f t="array" ref="I53">IF($A53="Vestdanmark",IF($C53="Konventionel",IF(I$2=2019,SUMPRODUCT(($B53='Landbrugsareal - resultat'!$B$5:$B$18)*(INDEX('Landbrugsareal - resultat'!$C$5:$E$18,,MATCH($D53,'Landbrugsareal - resultat'!$C$4:$E$4,0)))),IF(I$2=2030,SUMPRODUCT(($B53='Landbrugsareal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resultat'!$I$4:$K$4,0)))))),IF(I$2=2019,SUMPRODUCT(($B53='Landbrugsareal - resultat'!$B$5:$B$18)*(INDEX('Landbrugsareal - resultat'!$L$5:$N$18,,MATCH($D53,'Landbrugsareal - resultat'!$L$4:$N$4,0)))),IF(I$2=2030,SUMPRODUCT(($B53='Landbrugsareal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resultat'!$R$4:$T$4,0))))))),IF($C53="Konventionel",IF(I$2=2019,SUMPRODUCT((C53='Landbrugsareal - resultat'!$B$32:$B$45)*(INDEX('Landbrugsareal - resultat'!$C$32:$E$45,,MATCH($D53,'Landbrugsareal - resultat'!$C$4:$E$4,0)))),IF(I$2=2030,SUMPRODUCT(($B53='Landbrugsareal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resultat'!$I$4:$K$4,0)))))),IF(I$2=2019,SUMPRODUCT(($B53='Landbrugsareal - resultat'!$B$32:$B$45)*(INDEX('Landbrugsareal - resultat'!$L$32:$N$45,,MATCH($D53,'Landbrugsareal - resultat'!$L$4:$N$4,0)))),IF(I$2=2030,SUMPRODUCT(($B53='Landbrugsareal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513.00454214611455</v>
      </c>
    </row>
    <row r="54" spans="1:9" hidden="1" x14ac:dyDescent="0.55000000000000004">
      <c r="A54" t="s">
        <v>23</v>
      </c>
      <c r="B54" s="1" t="str">
        <f>[1]Afgrødefordeling!$C$11</f>
        <v>Øvrige</v>
      </c>
      <c r="C54" t="s">
        <v>8</v>
      </c>
      <c r="D54" t="str">
        <f t="shared" si="4"/>
        <v>JB1-10</v>
      </c>
      <c r="F54" t="str">
        <f t="shared" si="1"/>
        <v>Areal-øvrige</v>
      </c>
      <c r="G54" s="97" cm="1">
        <f t="array" ref="G54">IF($A54="Vestdanmark",IF($C54="Konventionel",IF(G$2=2019,SUMPRODUCT(($B54='Landbrugsareal - resultat'!$B$5:$B$18)*(INDEX('Landbrugsareal - resultat'!$C$5:$E$18,,MATCH($D54,'Landbrugsareal - resultat'!$C$4:$E$4,0)))),IF(G$2=2030,SUMPRODUCT(($B54='Landbrugsareal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resultat'!$I$4:$K$4,0)))))),IF(G$2=2019,SUMPRODUCT(($B54='Landbrugsareal - resultat'!$B$5:$B$18)*(INDEX('Landbrugsareal - resultat'!$L$5:$N$18,,MATCH($D54,'Landbrugsareal - resultat'!$L$4:$N$4,0)))),IF(G$2=2030,SUMPRODUCT(($B54='Landbrugsareal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resultat'!$R$4:$T$4,0))))))),IF($C54="Konventionel",IF(G$2=2019,SUMPRODUCT((B54='Landbrugsareal - resultat'!$B$32:$B$45)*(INDEX('Landbrugsareal - resultat'!$C$32:$E$45,,MATCH($D54,'Landbrugsareal - resultat'!$C$4:$E$4,0)))),IF(G$2=2030,SUMPRODUCT(($B54='Landbrugsareal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resultat'!$I$4:$K$4,0)))))),IF(G$2=2019,SUMPRODUCT(($B54='Landbrugsareal - resultat'!$B$32:$B$45)*(INDEX('Landbrugsareal - resultat'!$L$32:$N$45,,MATCH($D54,'Landbrugsareal - resultat'!$L$4:$N$4,0)))),IF(G$2=2030,SUMPRODUCT(($B54='Landbrugsareal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6051.6897892885954</v>
      </c>
      <c r="H54" s="97" cm="1">
        <f t="array" ref="H54">IF($A54="Vestdanmark",IF($C54="Konventionel",IF(H$2=2019,SUMPRODUCT(($B54='Landbrugsareal - resultat'!$B$5:$B$18)*(INDEX('Landbrugsareal - resultat'!$C$5:$E$18,,MATCH($D54,'Landbrugsareal - resultat'!$C$4:$E$4,0)))),IF(H$2=2030,SUMPRODUCT(($B54='Landbrugsareal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resultat'!$I$4:$K$4,0)))))),IF(H$2=2019,SUMPRODUCT(($B54='Landbrugsareal - resultat'!$B$5:$B$18)*(INDEX('Landbrugsareal - resultat'!$L$5:$N$18,,MATCH($D54,'Landbrugsareal - resultat'!$L$4:$N$4,0)))),IF(H$2=2030,SUMPRODUCT(($B54='Landbrugsareal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resultat'!$R$4:$T$4,0))))))),IF($C54="Konventionel",IF(H$2=2019,SUMPRODUCT(($B54='Landbrugsareal - resultat'!$B$32:$B$45)*(INDEX('Landbrugsareal - resultat'!$C$32:$E$45,,MATCH($D54,'Landbrugsareal - resultat'!$C$4:$E$4,0)))),IF(H$2=2030,SUMPRODUCT(($B54='Landbrugsareal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resultat'!$I$4:$K$4,0)))))),IF(H$2=2019,SUMPRODUCT(($B54='Landbrugsareal - resultat'!$B$32:$B$45)*(INDEX('Landbrugsareal - resultat'!$L$32:$N$45,,MATCH($D54,'Landbrugsareal - resultat'!$L$4:$N$4,0)))),IF(H$2=2030,SUMPRODUCT(($B54='Landbrugsareal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7132.9385782785548</v>
      </c>
      <c r="I54" s="97" cm="1">
        <f t="array" ref="I54">IF($A54="Vestdanmark",IF($C54="Konventionel",IF(I$2=2019,SUMPRODUCT(($B54='Landbrugsareal - resultat'!$B$5:$B$18)*(INDEX('Landbrugsareal - resultat'!$C$5:$E$18,,MATCH($D54,'Landbrugsareal - resultat'!$C$4:$E$4,0)))),IF(I$2=2030,SUMPRODUCT(($B54='Landbrugsareal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resultat'!$I$4:$K$4,0)))))),IF(I$2=2019,SUMPRODUCT(($B54='Landbrugsareal - resultat'!$B$5:$B$18)*(INDEX('Landbrugsareal - resultat'!$L$5:$N$18,,MATCH($D54,'Landbrugsareal - resultat'!$L$4:$N$4,0)))),IF(I$2=2030,SUMPRODUCT(($B54='Landbrugsareal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resultat'!$R$4:$T$4,0))))))),IF($C54="Konventionel",IF(I$2=2019,SUMPRODUCT((C54='Landbrugsareal - resultat'!$B$32:$B$45)*(INDEX('Landbrugsareal - resultat'!$C$32:$E$45,,MATCH($D54,'Landbrugsareal - resultat'!$C$4:$E$4,0)))),IF(I$2=2030,SUMPRODUCT(($B54='Landbrugsareal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resultat'!$I$4:$K$4,0)))))),IF(I$2=2019,SUMPRODUCT(($B54='Landbrugsareal - resultat'!$B$32:$B$45)*(INDEX('Landbrugsareal - resultat'!$L$32:$N$45,,MATCH($D54,'Landbrugsareal - resultat'!$L$4:$N$4,0)))),IF(I$2=2030,SUMPRODUCT(($B54='Landbrugsareal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9072.9477468623863</v>
      </c>
    </row>
    <row r="55" spans="1:9" hidden="1" x14ac:dyDescent="0.55000000000000004">
      <c r="A55" t="s">
        <v>23</v>
      </c>
      <c r="B55" s="1" t="str">
        <f>[1]Afgrødefordeling!$C$12</f>
        <v>Frø</v>
      </c>
      <c r="C55" t="s">
        <v>8</v>
      </c>
      <c r="D55" t="str">
        <f t="shared" si="4"/>
        <v>JB1-10</v>
      </c>
      <c r="F55" t="str">
        <f t="shared" si="1"/>
        <v>Areal-frøgræs</v>
      </c>
      <c r="G55" s="97" cm="1">
        <f t="array" ref="G55">IF($A55="Vestdanmark",IF($C55="Konventionel",IF(G$2=2019,SUMPRODUCT(($B55='Landbrugsareal - resultat'!$B$5:$B$18)*(INDEX('Landbrugsareal - resultat'!$C$5:$E$18,,MATCH($D55,'Landbrugsareal - resultat'!$C$4:$E$4,0)))),IF(G$2=2030,SUMPRODUCT(($B55='Landbrugsareal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resultat'!$I$4:$K$4,0)))))),IF(G$2=2019,SUMPRODUCT(($B55='Landbrugsareal - resultat'!$B$5:$B$18)*(INDEX('Landbrugsareal - resultat'!$L$5:$N$18,,MATCH($D55,'Landbrugsareal - resultat'!$L$4:$N$4,0)))),IF(G$2=2030,SUMPRODUCT(($B55='Landbrugsareal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resultat'!$R$4:$T$4,0))))))),IF($C55="Konventionel",IF(G$2=2019,SUMPRODUCT((B55='Landbrugsareal - resultat'!$B$32:$B$45)*(INDEX('Landbrugsareal - resultat'!$C$32:$E$45,,MATCH($D55,'Landbrugsareal - resultat'!$C$4:$E$4,0)))),IF(G$2=2030,SUMPRODUCT(($B55='Landbrugsareal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resultat'!$I$4:$K$4,0)))))),IF(G$2=2019,SUMPRODUCT(($B55='Landbrugsareal - resultat'!$B$32:$B$45)*(INDEX('Landbrugsareal - resultat'!$L$32:$N$45,,MATCH($D55,'Landbrugsareal - resultat'!$L$4:$N$4,0)))),IF(G$2=2030,SUMPRODUCT(($B55='Landbrugsareal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6365.8454264012817</v>
      </c>
      <c r="H55" s="97" cm="1">
        <f t="array" ref="H55">IF($A55="Vestdanmark",IF($C55="Konventionel",IF(H$2=2019,SUMPRODUCT(($B55='Landbrugsareal - resultat'!$B$5:$B$18)*(INDEX('Landbrugsareal - resultat'!$C$5:$E$18,,MATCH($D55,'Landbrugsareal - resultat'!$C$4:$E$4,0)))),IF(H$2=2030,SUMPRODUCT(($B55='Landbrugsareal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resultat'!$I$4:$K$4,0)))))),IF(H$2=2019,SUMPRODUCT(($B55='Landbrugsareal - resultat'!$B$5:$B$18)*(INDEX('Landbrugsareal - resultat'!$L$5:$N$18,,MATCH($D55,'Landbrugsareal - resultat'!$L$4:$N$4,0)))),IF(H$2=2030,SUMPRODUCT(($B55='Landbrugsareal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resultat'!$R$4:$T$4,0))))))),IF($C55="Konventionel",IF(H$2=2019,SUMPRODUCT(($B55='Landbrugsareal - resultat'!$B$32:$B$45)*(INDEX('Landbrugsareal - resultat'!$C$32:$E$45,,MATCH($D55,'Landbrugsareal - resultat'!$C$4:$E$4,0)))),IF(H$2=2030,SUMPRODUCT(($B55='Landbrugsareal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resultat'!$I$4:$K$4,0)))))),IF(H$2=2019,SUMPRODUCT(($B55='Landbrugsareal - resultat'!$B$32:$B$45)*(INDEX('Landbrugsareal - resultat'!$L$32:$N$45,,MATCH($D55,'Landbrugsareal - resultat'!$L$4:$N$4,0)))),IF(H$2=2030,SUMPRODUCT(($B55='Landbrugsareal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7503.2240591224381</v>
      </c>
      <c r="I55" s="97" cm="1">
        <f t="array" ref="I55">IF($A55="Vestdanmark",IF($C55="Konventionel",IF(I$2=2019,SUMPRODUCT(($B55='Landbrugsareal - resultat'!$B$5:$B$18)*(INDEX('Landbrugsareal - resultat'!$C$5:$E$18,,MATCH($D55,'Landbrugsareal - resultat'!$C$4:$E$4,0)))),IF(I$2=2030,SUMPRODUCT(($B55='Landbrugsareal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resultat'!$I$4:$K$4,0)))))),IF(I$2=2019,SUMPRODUCT(($B55='Landbrugsareal - resultat'!$B$5:$B$18)*(INDEX('Landbrugsareal - resultat'!$L$5:$N$18,,MATCH($D55,'Landbrugsareal - resultat'!$L$4:$N$4,0)))),IF(I$2=2030,SUMPRODUCT(($B55='Landbrugsareal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resultat'!$R$4:$T$4,0))))))),IF($C55="Konventionel",IF(I$2=2019,SUMPRODUCT((C55='Landbrugsareal - resultat'!$B$32:$B$45)*(INDEX('Landbrugsareal - resultat'!$C$32:$E$45,,MATCH($D55,'Landbrugsareal - resultat'!$C$4:$E$4,0)))),IF(I$2=2030,SUMPRODUCT(($B55='Landbrugsareal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resultat'!$I$4:$K$4,0)))))),IF(I$2=2019,SUMPRODUCT(($B55='Landbrugsareal - resultat'!$B$32:$B$45)*(INDEX('Landbrugsareal - resultat'!$L$32:$N$45,,MATCH($D55,'Landbrugsareal - resultat'!$L$4:$N$4,0)))),IF(I$2=2030,SUMPRODUCT(($B55='Landbrugsareal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9543.9430852141104</v>
      </c>
    </row>
    <row r="56" spans="1:9" hidden="1" x14ac:dyDescent="0.55000000000000004">
      <c r="A56" t="s">
        <v>23</v>
      </c>
      <c r="B56" s="1" t="str">
        <f>[1]Afgrødefordeling!$C$13</f>
        <v>Juletræer</v>
      </c>
      <c r="C56" t="s">
        <v>8</v>
      </c>
      <c r="D56" t="str">
        <f t="shared" si="4"/>
        <v>JB1-10</v>
      </c>
      <c r="F56" t="str">
        <f t="shared" si="1"/>
        <v>Areal-juletræer</v>
      </c>
      <c r="G56" s="97" cm="1">
        <f t="array" ref="G56">IF($A56="Vestdanmark",IF($C56="Konventionel",IF(G$2=2019,SUMPRODUCT(($B56='Landbrugsareal - resultat'!$B$5:$B$18)*(INDEX('Landbrugsareal - resultat'!$C$5:$E$18,,MATCH($D56,'Landbrugsareal - resultat'!$C$4:$E$4,0)))),IF(G$2=2030,SUMPRODUCT(($B56='Landbrugsareal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resultat'!$I$4:$K$4,0)))))),IF(G$2=2019,SUMPRODUCT(($B56='Landbrugsareal - resultat'!$B$5:$B$18)*(INDEX('Landbrugsareal - resultat'!$L$5:$N$18,,MATCH($D56,'Landbrugsareal - resultat'!$L$4:$N$4,0)))),IF(G$2=2030,SUMPRODUCT(($B56='Landbrugsareal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resultat'!$R$4:$T$4,0))))))),IF($C56="Konventionel",IF(G$2=2019,SUMPRODUCT((B56='Landbrugsareal - resultat'!$B$32:$B$45)*(INDEX('Landbrugsareal - resultat'!$C$32:$E$45,,MATCH($D56,'Landbrugsareal - resultat'!$C$4:$E$4,0)))),IF(G$2=2030,SUMPRODUCT(($B56='Landbrugsareal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resultat'!$I$4:$K$4,0)))))),IF(G$2=2019,SUMPRODUCT(($B56='Landbrugsareal - resultat'!$B$32:$B$45)*(INDEX('Landbrugsareal - resultat'!$L$32:$N$45,,MATCH($D56,'Landbrugsareal - resultat'!$L$4:$N$4,0)))),IF(G$2=2030,SUMPRODUCT(($B56='Landbrugsareal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1716.1984559275936</v>
      </c>
      <c r="H56" s="97" cm="1">
        <f t="array" ref="H56">IF($A56="Vestdanmark",IF($C56="Konventionel",IF(H$2=2019,SUMPRODUCT(($B56='Landbrugsareal - resultat'!$B$5:$B$18)*(INDEX('Landbrugsareal - resultat'!$C$5:$E$18,,MATCH($D56,'Landbrugsareal - resultat'!$C$4:$E$4,0)))),IF(H$2=2030,SUMPRODUCT(($B56='Landbrugsareal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resultat'!$I$4:$K$4,0)))))),IF(H$2=2019,SUMPRODUCT(($B56='Landbrugsareal - resultat'!$B$5:$B$18)*(INDEX('Landbrugsareal - resultat'!$L$5:$N$18,,MATCH($D56,'Landbrugsareal - resultat'!$L$4:$N$4,0)))),IF(H$2=2030,SUMPRODUCT(($B56='Landbrugsareal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resultat'!$R$4:$T$4,0))))))),IF($C56="Konventionel",IF(H$2=2019,SUMPRODUCT(($B56='Landbrugsareal - resultat'!$B$32:$B$45)*(INDEX('Landbrugsareal - resultat'!$C$32:$E$45,,MATCH($D56,'Landbrugsareal - resultat'!$C$4:$E$4,0)))),IF(H$2=2030,SUMPRODUCT(($B56='Landbrugsareal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resultat'!$I$4:$K$4,0)))))),IF(H$2=2019,SUMPRODUCT(($B56='Landbrugsareal - resultat'!$B$32:$B$45)*(INDEX('Landbrugsareal - resultat'!$L$32:$N$45,,MATCH($D56,'Landbrugsareal - resultat'!$L$4:$N$4,0)))),IF(H$2=2030,SUMPRODUCT(($B56='Landbrugsareal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2022.8297550768989</v>
      </c>
      <c r="I56" s="97" cm="1">
        <f t="array" ref="I56">IF($A56="Vestdanmark",IF($C56="Konventionel",IF(I$2=2019,SUMPRODUCT(($B56='Landbrugsareal - resultat'!$B$5:$B$18)*(INDEX('Landbrugsareal - resultat'!$C$5:$E$18,,MATCH($D56,'Landbrugsareal - resultat'!$C$4:$E$4,0)))),IF(I$2=2030,SUMPRODUCT(($B56='Landbrugsareal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resultat'!$I$4:$K$4,0)))))),IF(I$2=2019,SUMPRODUCT(($B56='Landbrugsareal - resultat'!$B$5:$B$18)*(INDEX('Landbrugsareal - resultat'!$L$5:$N$18,,MATCH($D56,'Landbrugsareal - resultat'!$L$4:$N$4,0)))),IF(I$2=2030,SUMPRODUCT(($B56='Landbrugsareal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resultat'!$R$4:$T$4,0))))))),IF($C56="Konventionel",IF(I$2=2019,SUMPRODUCT((C56='Landbrugsareal - resultat'!$B$32:$B$45)*(INDEX('Landbrugsareal - resultat'!$C$32:$E$45,,MATCH($D56,'Landbrugsareal - resultat'!$C$4:$E$4,0)))),IF(I$2=2030,SUMPRODUCT(($B56='Landbrugsareal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resultat'!$I$4:$K$4,0)))))),IF(I$2=2019,SUMPRODUCT(($B56='Landbrugsareal - resultat'!$B$32:$B$45)*(INDEX('Landbrugsareal - resultat'!$L$32:$N$45,,MATCH($D56,'Landbrugsareal - resultat'!$L$4:$N$4,0)))),IF(I$2=2030,SUMPRODUCT(($B56='Landbrugsareal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2572.9968745981287</v>
      </c>
    </row>
    <row r="57" spans="1:9" hidden="1" x14ac:dyDescent="0.55000000000000004">
      <c r="A57" t="s">
        <v>23</v>
      </c>
      <c r="B57" s="1" t="str">
        <f>[1]Afgrødefordeling!$C$14</f>
        <v>Pil &amp; poppel</v>
      </c>
      <c r="C57" t="s">
        <v>8</v>
      </c>
      <c r="D57" t="str">
        <f t="shared" si="4"/>
        <v>JB1-10</v>
      </c>
      <c r="F57" t="str">
        <f t="shared" si="1"/>
        <v>Areal-pil-poppel</v>
      </c>
      <c r="G57" s="97" cm="1">
        <f t="array" ref="G57">IF($A57="Vestdanmark",IF($C57="Konventionel",IF(G$2=2019,SUMPRODUCT(($B57='Landbrugsareal - resultat'!$B$5:$B$18)*(INDEX('Landbrugsareal - resultat'!$C$5:$E$18,,MATCH($D57,'Landbrugsareal - resultat'!$C$4:$E$4,0)))),IF(G$2=2030,SUMPRODUCT(($B57='Landbrugsareal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resultat'!$I$4:$K$4,0)))))),IF(G$2=2019,SUMPRODUCT(($B57='Landbrugsareal - resultat'!$B$5:$B$18)*(INDEX('Landbrugsareal - resultat'!$L$5:$N$18,,MATCH($D57,'Landbrugsareal - resultat'!$L$4:$N$4,0)))),IF(G$2=2030,SUMPRODUCT(($B57='Landbrugsareal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resultat'!$R$4:$T$4,0))))))),IF($C57="Konventionel",IF(G$2=2019,SUMPRODUCT((B57='Landbrugsareal - resultat'!$B$32:$B$45)*(INDEX('Landbrugsareal - resultat'!$C$32:$E$45,,MATCH($D57,'Landbrugsareal - resultat'!$C$4:$E$4,0)))),IF(G$2=2030,SUMPRODUCT(($B57='Landbrugsareal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resultat'!$I$4:$K$4,0)))))),IF(G$2=2019,SUMPRODUCT(($B57='Landbrugsareal - resultat'!$B$32:$B$45)*(INDEX('Landbrugsareal - resultat'!$L$32:$N$45,,MATCH($D57,'Landbrugsareal - resultat'!$L$4:$N$4,0)))),IF(G$2=2030,SUMPRODUCT(($B57='Landbrugsareal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631.27285609954106</v>
      </c>
      <c r="H57" s="97" cm="1">
        <f t="array" ref="H57">IF($A57="Vestdanmark",IF($C57="Konventionel",IF(H$2=2019,SUMPRODUCT(($B57='Landbrugsareal - resultat'!$B$5:$B$18)*(INDEX('Landbrugsareal - resultat'!$C$5:$E$18,,MATCH($D57,'Landbrugsareal - resultat'!$C$4:$E$4,0)))),IF(H$2=2030,SUMPRODUCT(($B57='Landbrugsareal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resultat'!$I$4:$K$4,0)))))),IF(H$2=2019,SUMPRODUCT(($B57='Landbrugsareal - resultat'!$B$5:$B$18)*(INDEX('Landbrugsareal - resultat'!$L$5:$N$18,,MATCH($D57,'Landbrugsareal - resultat'!$L$4:$N$4,0)))),IF(H$2=2030,SUMPRODUCT(($B57='Landbrugsareal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resultat'!$R$4:$T$4,0))))))),IF($C57="Konventionel",IF(H$2=2019,SUMPRODUCT(($B57='Landbrugsareal - resultat'!$B$32:$B$45)*(INDEX('Landbrugsareal - resultat'!$C$32:$E$45,,MATCH($D57,'Landbrugsareal - resultat'!$C$4:$E$4,0)))),IF(H$2=2030,SUMPRODUCT(($B57='Landbrugsareal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resultat'!$I$4:$K$4,0)))))),IF(H$2=2019,SUMPRODUCT(($B57='Landbrugsareal - resultat'!$B$32:$B$45)*(INDEX('Landbrugsareal - resultat'!$L$32:$N$45,,MATCH($D57,'Landbrugsareal - resultat'!$L$4:$N$4,0)))),IF(H$2=2030,SUMPRODUCT(($B57='Landbrugsareal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744.06168615292358</v>
      </c>
      <c r="I57" s="97" cm="1">
        <f t="array" ref="I57">IF($A57="Vestdanmark",IF($C57="Konventionel",IF(I$2=2019,SUMPRODUCT(($B57='Landbrugsareal - resultat'!$B$5:$B$18)*(INDEX('Landbrugsareal - resultat'!$C$5:$E$18,,MATCH($D57,'Landbrugsareal - resultat'!$C$4:$E$4,0)))),IF(I$2=2030,SUMPRODUCT(($B57='Landbrugsareal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resultat'!$I$4:$K$4,0)))))),IF(I$2=2019,SUMPRODUCT(($B57='Landbrugsareal - resultat'!$B$5:$B$18)*(INDEX('Landbrugsareal - resultat'!$L$5:$N$18,,MATCH($D57,'Landbrugsareal - resultat'!$L$4:$N$4,0)))),IF(I$2=2030,SUMPRODUCT(($B57='Landbrugsareal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resultat'!$R$4:$T$4,0))))))),IF($C57="Konventionel",IF(I$2=2019,SUMPRODUCT((C57='Landbrugsareal - resultat'!$B$32:$B$45)*(INDEX('Landbrugsareal - resultat'!$C$32:$E$45,,MATCH($D57,'Landbrugsareal - resultat'!$C$4:$E$4,0)))),IF(I$2=2030,SUMPRODUCT(($B57='Landbrugsareal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resultat'!$I$4:$K$4,0)))))),IF(I$2=2019,SUMPRODUCT(($B57='Landbrugsareal - resultat'!$B$32:$B$45)*(INDEX('Landbrugsareal - resultat'!$L$32:$N$45,,MATCH($D57,'Landbrugsareal - resultat'!$L$4:$N$4,0)))),IF(I$2=2030,SUMPRODUCT(($B57='Landbrugsareal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946.43080475494912</v>
      </c>
    </row>
    <row r="58" spans="1:9" hidden="1" x14ac:dyDescent="0.55000000000000004">
      <c r="A58" t="s">
        <v>23</v>
      </c>
      <c r="B58" s="1" t="str">
        <f>[1]Afgrødefordeling!$C$15</f>
        <v>Permanent græs</v>
      </c>
      <c r="C58" t="s">
        <v>8</v>
      </c>
      <c r="D58" t="str">
        <f t="shared" si="4"/>
        <v>JB1-10</v>
      </c>
      <c r="F58" t="str">
        <f t="shared" si="1"/>
        <v>Areal-permanent græs</v>
      </c>
      <c r="G58" s="97" cm="1">
        <f t="array" ref="G58">IF($A58="Vestdanmark",IF($C58="Konventionel",IF(G$2=2019,SUMPRODUCT(($B58='Landbrugsareal - resultat'!$B$5:$B$18)*(INDEX('Landbrugsareal - resultat'!$C$5:$E$18,,MATCH($D58,'Landbrugsareal - resultat'!$C$4:$E$4,0)))),IF(G$2=2030,SUMPRODUCT(($B58='Landbrugsareal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resultat'!$I$4:$K$4,0)))))),IF(G$2=2019,SUMPRODUCT(($B58='Landbrugsareal - resultat'!$B$5:$B$18)*(INDEX('Landbrugsareal - resultat'!$L$5:$N$18,,MATCH($D58,'Landbrugsareal - resultat'!$L$4:$N$4,0)))),IF(G$2=2030,SUMPRODUCT(($B58='Landbrugsareal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resultat'!$R$4:$T$4,0))))))),IF($C58="Konventionel",IF(G$2=2019,SUMPRODUCT((B58='Landbrugsareal - resultat'!$B$32:$B$45)*(INDEX('Landbrugsareal - resultat'!$C$32:$E$45,,MATCH($D58,'Landbrugsareal - resultat'!$C$4:$E$4,0)))),IF(G$2=2030,SUMPRODUCT(($B58='Landbrugsareal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resultat'!$I$4:$K$4,0)))))),IF(G$2=2019,SUMPRODUCT(($B58='Landbrugsareal - resultat'!$B$32:$B$45)*(INDEX('Landbrugsareal - resultat'!$L$32:$N$45,,MATCH($D58,'Landbrugsareal - resultat'!$L$4:$N$4,0)))),IF(G$2=2030,SUMPRODUCT(($B58='Landbrugsareal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15215.905414073572</v>
      </c>
      <c r="H58" s="97" cm="1">
        <f t="array" ref="H58">IF($A58="Vestdanmark",IF($C58="Konventionel",IF(H$2=2019,SUMPRODUCT(($B58='Landbrugsareal - resultat'!$B$5:$B$18)*(INDEX('Landbrugsareal - resultat'!$C$5:$E$18,,MATCH($D58,'Landbrugsareal - resultat'!$C$4:$E$4,0)))),IF(H$2=2030,SUMPRODUCT(($B58='Landbrugsareal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resultat'!$I$4:$K$4,0)))))),IF(H$2=2019,SUMPRODUCT(($B58='Landbrugsareal - resultat'!$B$5:$B$18)*(INDEX('Landbrugsareal - resultat'!$L$5:$N$18,,MATCH($D58,'Landbrugsareal - resultat'!$L$4:$N$4,0)))),IF(H$2=2030,SUMPRODUCT(($B58='Landbrugsareal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resultat'!$R$4:$T$4,0))))))),IF($C58="Konventionel",IF(H$2=2019,SUMPRODUCT(($B58='Landbrugsareal - resultat'!$B$32:$B$45)*(INDEX('Landbrugsareal - resultat'!$C$32:$E$45,,MATCH($D58,'Landbrugsareal - resultat'!$C$4:$E$4,0)))),IF(H$2=2030,SUMPRODUCT(($B58='Landbrugsareal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resultat'!$I$4:$K$4,0)))))),IF(H$2=2019,SUMPRODUCT(($B58='Landbrugsareal - resultat'!$B$32:$B$45)*(INDEX('Landbrugsareal - resultat'!$L$32:$N$45,,MATCH($D58,'Landbrugsareal - resultat'!$L$4:$N$4,0)))),IF(H$2=2030,SUMPRODUCT(($B58='Landbrugsareal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17934.514575348316</v>
      </c>
      <c r="I58" s="97" cm="1">
        <f t="array" ref="I58">IF($A58="Vestdanmark",IF($C58="Konventionel",IF(I$2=2019,SUMPRODUCT(($B58='Landbrugsareal - resultat'!$B$5:$B$18)*(INDEX('Landbrugsareal - resultat'!$C$5:$E$18,,MATCH($D58,'Landbrugsareal - resultat'!$C$4:$E$4,0)))),IF(I$2=2030,SUMPRODUCT(($B58='Landbrugsareal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resultat'!$I$4:$K$4,0)))))),IF(I$2=2019,SUMPRODUCT(($B58='Landbrugsareal - resultat'!$B$5:$B$18)*(INDEX('Landbrugsareal - resultat'!$L$5:$N$18,,MATCH($D58,'Landbrugsareal - resultat'!$L$4:$N$4,0)))),IF(I$2=2030,SUMPRODUCT(($B58='Landbrugsareal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resultat'!$R$4:$T$4,0))))))),IF($C58="Konventionel",IF(I$2=2019,SUMPRODUCT((C58='Landbrugsareal - resultat'!$B$32:$B$45)*(INDEX('Landbrugsareal - resultat'!$C$32:$E$45,,MATCH($D58,'Landbrugsareal - resultat'!$C$4:$E$4,0)))),IF(I$2=2030,SUMPRODUCT(($B58='Landbrugsareal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resultat'!$I$4:$K$4,0)))))),IF(I$2=2019,SUMPRODUCT(($B58='Landbrugsareal - resultat'!$B$32:$B$45)*(INDEX('Landbrugsareal - resultat'!$L$32:$N$45,,MATCH($D58,'Landbrugsareal - resultat'!$L$4:$N$4,0)))),IF(I$2=2030,SUMPRODUCT(($B58='Landbrugsareal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22812.325077772828</v>
      </c>
    </row>
    <row r="59" spans="1:9" hidden="1" x14ac:dyDescent="0.55000000000000004">
      <c r="A59" t="s">
        <v>23</v>
      </c>
      <c r="B59" s="1" t="str">
        <f>[1]Afgrødefordeling!$C$2</f>
        <v>Korn</v>
      </c>
      <c r="C59" t="s">
        <v>8</v>
      </c>
      <c r="D59" t="str">
        <f t="shared" ref="D59:D72" si="5">Organ6</f>
        <v>OC6</v>
      </c>
      <c r="F59" t="str">
        <f t="shared" si="1"/>
        <v>Areal-korn</v>
      </c>
      <c r="G59" s="97" cm="1">
        <f t="array" ref="G59">IF($A59="Vestdanmark",IF($C59="Konventionel",IF(G$2=2019,SUMPRODUCT(($B59='Landbrugsareal - resultat'!$B$5:$B$18)*(INDEX('Landbrugsareal - resultat'!$C$5:$E$18,,MATCH($D59,'Landbrugsareal - resultat'!$C$4:$E$4,0)))),IF(G$2=2030,SUMPRODUCT(($B59='Landbrugsareal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resultat'!$I$4:$K$4,0)))))),IF(G$2=2019,SUMPRODUCT(($B59='Landbrugsareal - resultat'!$B$5:$B$18)*(INDEX('Landbrugsareal - resultat'!$L$5:$N$18,,MATCH($D59,'Landbrugsareal - resultat'!$L$4:$N$4,0)))),IF(G$2=2030,SUMPRODUCT(($B59='Landbrugsareal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resultat'!$R$4:$T$4,0))))))),IF($C59="Konventionel",IF(G$2=2019,SUMPRODUCT((B59='Landbrugsareal - resultat'!$B$32:$B$45)*(INDEX('Landbrugsareal - resultat'!$C$32:$E$45,,MATCH($D59,'Landbrugsareal - resultat'!$C$4:$E$4,0)))),IF(G$2=2030,SUMPRODUCT(($B59='Landbrugsareal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resultat'!$I$4:$K$4,0)))))),IF(G$2=2019,SUMPRODUCT(($B59='Landbrugsareal - resultat'!$B$32:$B$45)*(INDEX('Landbrugsareal - resultat'!$L$32:$N$45,,MATCH($D59,'Landbrugsareal - resultat'!$L$4:$N$4,0)))),IF(G$2=2030,SUMPRODUCT(($B59='Landbrugsareal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3009.4757390628633</v>
      </c>
      <c r="H59" s="97" cm="1">
        <f t="array" ref="H59">IF($A59="Vestdanmark",IF($C59="Konventionel",IF(H$2=2019,SUMPRODUCT(($B59='Landbrugsareal - resultat'!$B$5:$B$18)*(INDEX('Landbrugsareal - resultat'!$C$5:$E$18,,MATCH($D59,'Landbrugsareal - resultat'!$C$4:$E$4,0)))),IF(H$2=2030,SUMPRODUCT(($B59='Landbrugsareal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resultat'!$I$4:$K$4,0)))))),IF(H$2=2019,SUMPRODUCT(($B59='Landbrugsareal - resultat'!$B$5:$B$18)*(INDEX('Landbrugsareal - resultat'!$L$5:$N$18,,MATCH($D59,'Landbrugsareal - resultat'!$L$4:$N$4,0)))),IF(H$2=2030,SUMPRODUCT(($B59='Landbrugsareal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resultat'!$R$4:$T$4,0))))))),IF($C59="Konventionel",IF(H$2=2019,SUMPRODUCT(($B59='Landbrugsareal - resultat'!$B$32:$B$45)*(INDEX('Landbrugsareal - resultat'!$C$32:$E$45,,MATCH($D59,'Landbrugsareal - resultat'!$C$4:$E$4,0)))),IF(H$2=2030,SUMPRODUCT(($B59='Landbrugsareal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resultat'!$I$4:$K$4,0)))))),IF(H$2=2019,SUMPRODUCT(($B59='Landbrugsareal - resultat'!$B$32:$B$45)*(INDEX('Landbrugsareal - resultat'!$L$32:$N$45,,MATCH($D59,'Landbrugsareal - resultat'!$L$4:$N$4,0)))),IF(H$2=2030,SUMPRODUCT(($B59='Landbrugsareal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3316.333003261539</v>
      </c>
      <c r="I59" s="97" cm="1">
        <f t="array" ref="I59">IF($A59="Vestdanmark",IF($C59="Konventionel",IF(I$2=2019,SUMPRODUCT(($B59='Landbrugsareal - resultat'!$B$5:$B$18)*(INDEX('Landbrugsareal - resultat'!$C$5:$E$18,,MATCH($D59,'Landbrugsareal - resultat'!$C$4:$E$4,0)))),IF(I$2=2030,SUMPRODUCT(($B59='Landbrugsareal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resultat'!$I$4:$K$4,0)))))),IF(I$2=2019,SUMPRODUCT(($B59='Landbrugsareal - resultat'!$B$5:$B$18)*(INDEX('Landbrugsareal - resultat'!$L$5:$N$18,,MATCH($D59,'Landbrugsareal - resultat'!$L$4:$N$4,0)))),IF(I$2=2030,SUMPRODUCT(($B59='Landbrugsareal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resultat'!$R$4:$T$4,0))))))),IF($C59="Konventionel",IF(I$2=2019,SUMPRODUCT((C59='Landbrugsareal - resultat'!$B$32:$B$45)*(INDEX('Landbrugsareal - resultat'!$C$32:$E$45,,MATCH($D59,'Landbrugsareal - resultat'!$C$4:$E$4,0)))),IF(I$2=2030,SUMPRODUCT(($B59='Landbrugsareal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resultat'!$I$4:$K$4,0)))))),IF(I$2=2019,SUMPRODUCT(($B59='Landbrugsareal - resultat'!$B$32:$B$45)*(INDEX('Landbrugsareal - resultat'!$L$32:$N$45,,MATCH($D59,'Landbrugsareal - resultat'!$L$4:$N$4,0)))),IF(I$2=2030,SUMPRODUCT(($B59='Landbrugsareal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4298.9501894131054</v>
      </c>
    </row>
    <row r="60" spans="1:9" hidden="1" x14ac:dyDescent="0.55000000000000004">
      <c r="A60" t="s">
        <v>23</v>
      </c>
      <c r="B60" s="1" t="str">
        <f>[1]Afgrødefordeling!$C$3</f>
        <v>Bælgsæd</v>
      </c>
      <c r="C60" t="s">
        <v>8</v>
      </c>
      <c r="D60" t="str">
        <f t="shared" si="5"/>
        <v>OC6</v>
      </c>
      <c r="F60" t="str">
        <f t="shared" si="1"/>
        <v>Areal-bælgsæd</v>
      </c>
      <c r="G60" s="97" cm="1">
        <f t="array" ref="G60">IF($A60="Vestdanmark",IF($C60="Konventionel",IF(G$2=2019,SUMPRODUCT(($B60='Landbrugsareal - resultat'!$B$5:$B$18)*(INDEX('Landbrugsareal - resultat'!$C$5:$E$18,,MATCH($D60,'Landbrugsareal - resultat'!$C$4:$E$4,0)))),IF(G$2=2030,SUMPRODUCT(($B60='Landbrugsareal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resultat'!$I$4:$K$4,0)))))),IF(G$2=2019,SUMPRODUCT(($B60='Landbrugsareal - resultat'!$B$5:$B$18)*(INDEX('Landbrugsareal - resultat'!$L$5:$N$18,,MATCH($D60,'Landbrugsareal - resultat'!$L$4:$N$4,0)))),IF(G$2=2030,SUMPRODUCT(($B60='Landbrugsareal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resultat'!$R$4:$T$4,0))))))),IF($C60="Konventionel",IF(G$2=2019,SUMPRODUCT((B60='Landbrugsareal - resultat'!$B$32:$B$45)*(INDEX('Landbrugsareal - resultat'!$C$32:$E$45,,MATCH($D60,'Landbrugsareal - resultat'!$C$4:$E$4,0)))),IF(G$2=2030,SUMPRODUCT(($B60='Landbrugsareal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resultat'!$I$4:$K$4,0)))))),IF(G$2=2019,SUMPRODUCT(($B60='Landbrugsareal - resultat'!$B$32:$B$45)*(INDEX('Landbrugsareal - resultat'!$L$32:$N$45,,MATCH($D60,'Landbrugsareal - resultat'!$L$4:$N$4,0)))),IF(G$2=2030,SUMPRODUCT(($B60='Landbrugsareal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257.98490917114276</v>
      </c>
      <c r="H60" s="97" cm="1">
        <f t="array" ref="H60">IF($A60="Vestdanmark",IF($C60="Konventionel",IF(H$2=2019,SUMPRODUCT(($B60='Landbrugsareal - resultat'!$B$5:$B$18)*(INDEX('Landbrugsareal - resultat'!$C$5:$E$18,,MATCH($D60,'Landbrugsareal - resultat'!$C$4:$E$4,0)))),IF(H$2=2030,SUMPRODUCT(($B60='Landbrugsareal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resultat'!$I$4:$K$4,0)))))),IF(H$2=2019,SUMPRODUCT(($B60='Landbrugsareal - resultat'!$B$5:$B$18)*(INDEX('Landbrugsareal - resultat'!$L$5:$N$18,,MATCH($D60,'Landbrugsareal - resultat'!$L$4:$N$4,0)))),IF(H$2=2030,SUMPRODUCT(($B60='Landbrugsareal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resultat'!$R$4:$T$4,0))))))),IF($C60="Konventionel",IF(H$2=2019,SUMPRODUCT(($B60='Landbrugsareal - resultat'!$B$32:$B$45)*(INDEX('Landbrugsareal - resultat'!$C$32:$E$45,,MATCH($D60,'Landbrugsareal - resultat'!$C$4:$E$4,0)))),IF(H$2=2030,SUMPRODUCT(($B60='Landbrugsareal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resultat'!$I$4:$K$4,0)))))),IF(H$2=2019,SUMPRODUCT(($B60='Landbrugsareal - resultat'!$B$32:$B$45)*(INDEX('Landbrugsareal - resultat'!$L$32:$N$45,,MATCH($D60,'Landbrugsareal - resultat'!$L$4:$N$4,0)))),IF(H$2=2030,SUMPRODUCT(($B60='Landbrugsareal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284.29000357853357</v>
      </c>
      <c r="I60" s="97" cm="1">
        <f t="array" ref="I60">IF($A60="Vestdanmark",IF($C60="Konventionel",IF(I$2=2019,SUMPRODUCT(($B60='Landbrugsareal - resultat'!$B$5:$B$18)*(INDEX('Landbrugsareal - resultat'!$C$5:$E$18,,MATCH($D60,'Landbrugsareal - resultat'!$C$4:$E$4,0)))),IF(I$2=2030,SUMPRODUCT(($B60='Landbrugsareal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resultat'!$I$4:$K$4,0)))))),IF(I$2=2019,SUMPRODUCT(($B60='Landbrugsareal - resultat'!$B$5:$B$18)*(INDEX('Landbrugsareal - resultat'!$L$5:$N$18,,MATCH($D60,'Landbrugsareal - resultat'!$L$4:$N$4,0)))),IF(I$2=2030,SUMPRODUCT(($B60='Landbrugsareal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resultat'!$R$4:$T$4,0))))))),IF($C60="Konventionel",IF(I$2=2019,SUMPRODUCT((C60='Landbrugsareal - resultat'!$B$32:$B$45)*(INDEX('Landbrugsareal - resultat'!$C$32:$E$45,,MATCH($D60,'Landbrugsareal - resultat'!$C$4:$E$4,0)))),IF(I$2=2030,SUMPRODUCT(($B60='Landbrugsareal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resultat'!$I$4:$K$4,0)))))),IF(I$2=2019,SUMPRODUCT(($B60='Landbrugsareal - resultat'!$B$32:$B$45)*(INDEX('Landbrugsareal - resultat'!$L$32:$N$45,,MATCH($D60,'Landbrugsareal - resultat'!$L$4:$N$4,0)))),IF(I$2=2030,SUMPRODUCT(($B60='Landbrugsareal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368.52407871291382</v>
      </c>
    </row>
    <row r="61" spans="1:9" hidden="1" x14ac:dyDescent="0.55000000000000004">
      <c r="A61" t="s">
        <v>23</v>
      </c>
      <c r="B61" s="1" t="str">
        <f>[1]Afgrødefordeling!$C$4</f>
        <v>Raps</v>
      </c>
      <c r="C61" t="s">
        <v>8</v>
      </c>
      <c r="D61" t="str">
        <f t="shared" si="5"/>
        <v>OC6</v>
      </c>
      <c r="F61" t="str">
        <f t="shared" si="1"/>
        <v>Areal-raps</v>
      </c>
      <c r="G61" s="97" cm="1">
        <f t="array" ref="G61">IF($A61="Vestdanmark",IF($C61="Konventionel",IF(G$2=2019,SUMPRODUCT(($B61='Landbrugsareal - resultat'!$B$5:$B$18)*(INDEX('Landbrugsareal - resultat'!$C$5:$E$18,,MATCH($D61,'Landbrugsareal - resultat'!$C$4:$E$4,0)))),IF(G$2=2030,SUMPRODUCT(($B61='Landbrugsareal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resultat'!$I$4:$K$4,0)))))),IF(G$2=2019,SUMPRODUCT(($B61='Landbrugsareal - resultat'!$B$5:$B$18)*(INDEX('Landbrugsareal - resultat'!$L$5:$N$18,,MATCH($D61,'Landbrugsareal - resultat'!$L$4:$N$4,0)))),IF(G$2=2030,SUMPRODUCT(($B61='Landbrugsareal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resultat'!$R$4:$T$4,0))))))),IF($C61="Konventionel",IF(G$2=2019,SUMPRODUCT((B61='Landbrugsareal - resultat'!$B$32:$B$45)*(INDEX('Landbrugsareal - resultat'!$C$32:$E$45,,MATCH($D61,'Landbrugsareal - resultat'!$C$4:$E$4,0)))),IF(G$2=2030,SUMPRODUCT(($B61='Landbrugsareal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resultat'!$I$4:$K$4,0)))))),IF(G$2=2019,SUMPRODUCT(($B61='Landbrugsareal - resultat'!$B$32:$B$45)*(INDEX('Landbrugsareal - resultat'!$L$32:$N$45,,MATCH($D61,'Landbrugsareal - resultat'!$L$4:$N$4,0)))),IF(G$2=2030,SUMPRODUCT(($B61='Landbrugsareal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276.24585462505803</v>
      </c>
      <c r="H61" s="97" cm="1">
        <f t="array" ref="H61">IF($A61="Vestdanmark",IF($C61="Konventionel",IF(H$2=2019,SUMPRODUCT(($B61='Landbrugsareal - resultat'!$B$5:$B$18)*(INDEX('Landbrugsareal - resultat'!$C$5:$E$18,,MATCH($D61,'Landbrugsareal - resultat'!$C$4:$E$4,0)))),IF(H$2=2030,SUMPRODUCT(($B61='Landbrugsareal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resultat'!$I$4:$K$4,0)))))),IF(H$2=2019,SUMPRODUCT(($B61='Landbrugsareal - resultat'!$B$5:$B$18)*(INDEX('Landbrugsareal - resultat'!$L$5:$N$18,,MATCH($D61,'Landbrugsareal - resultat'!$L$4:$N$4,0)))),IF(H$2=2030,SUMPRODUCT(($B61='Landbrugsareal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resultat'!$R$4:$T$4,0))))))),IF($C61="Konventionel",IF(H$2=2019,SUMPRODUCT(($B61='Landbrugsareal - resultat'!$B$32:$B$45)*(INDEX('Landbrugsareal - resultat'!$C$32:$E$45,,MATCH($D61,'Landbrugsareal - resultat'!$C$4:$E$4,0)))),IF(H$2=2030,SUMPRODUCT(($B61='Landbrugsareal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resultat'!$I$4:$K$4,0)))))),IF(H$2=2019,SUMPRODUCT(($B61='Landbrugsareal - resultat'!$B$32:$B$45)*(INDEX('Landbrugsareal - resultat'!$L$32:$N$45,,MATCH($D61,'Landbrugsareal - resultat'!$L$4:$N$4,0)))),IF(H$2=2030,SUMPRODUCT(($B61='Landbrugsareal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304.4129024919622</v>
      </c>
      <c r="I61" s="97" cm="1">
        <f t="array" ref="I61">IF($A61="Vestdanmark",IF($C61="Konventionel",IF(I$2=2019,SUMPRODUCT(($B61='Landbrugsareal - resultat'!$B$5:$B$18)*(INDEX('Landbrugsareal - resultat'!$C$5:$E$18,,MATCH($D61,'Landbrugsareal - resultat'!$C$4:$E$4,0)))),IF(I$2=2030,SUMPRODUCT(($B61='Landbrugsareal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resultat'!$I$4:$K$4,0)))))),IF(I$2=2019,SUMPRODUCT(($B61='Landbrugsareal - resultat'!$B$5:$B$18)*(INDEX('Landbrugsareal - resultat'!$L$5:$N$18,,MATCH($D61,'Landbrugsareal - resultat'!$L$4:$N$4,0)))),IF(I$2=2030,SUMPRODUCT(($B61='Landbrugsareal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resultat'!$R$4:$T$4,0))))))),IF($C61="Konventionel",IF(I$2=2019,SUMPRODUCT((C61='Landbrugsareal - resultat'!$B$32:$B$45)*(INDEX('Landbrugsareal - resultat'!$C$32:$E$45,,MATCH($D61,'Landbrugsareal - resultat'!$C$4:$E$4,0)))),IF(I$2=2030,SUMPRODUCT(($B61='Landbrugsareal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resultat'!$I$4:$K$4,0)))))),IF(I$2=2019,SUMPRODUCT(($B61='Landbrugsareal - resultat'!$B$32:$B$45)*(INDEX('Landbrugsareal - resultat'!$L$32:$N$45,,MATCH($D61,'Landbrugsareal - resultat'!$L$4:$N$4,0)))),IF(I$2=2030,SUMPRODUCT(($B61='Landbrugsareal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394.60931804513621</v>
      </c>
    </row>
    <row r="62" spans="1:9" hidden="1" x14ac:dyDescent="0.55000000000000004">
      <c r="A62" t="s">
        <v>23</v>
      </c>
      <c r="B62" s="1" t="str">
        <f>[1]Afgrødefordeling!$C$5</f>
        <v>Græs</v>
      </c>
      <c r="C62" t="s">
        <v>8</v>
      </c>
      <c r="D62" t="str">
        <f t="shared" si="5"/>
        <v>OC6</v>
      </c>
      <c r="F62" t="str">
        <f t="shared" si="1"/>
        <v>Areal-græs</v>
      </c>
      <c r="G62" s="97" cm="1">
        <f t="array" ref="G62">IF($A62="Vestdanmark",IF($C62="Konventionel",IF(G$2=2019,SUMPRODUCT(($B62='Landbrugsareal - resultat'!$B$5:$B$18)*(INDEX('Landbrugsareal - resultat'!$C$5:$E$18,,MATCH($D62,'Landbrugsareal - resultat'!$C$4:$E$4,0)))),IF(G$2=2030,SUMPRODUCT(($B62='Landbrugsareal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resultat'!$I$4:$K$4,0)))))),IF(G$2=2019,SUMPRODUCT(($B62='Landbrugsareal - resultat'!$B$5:$B$18)*(INDEX('Landbrugsareal - resultat'!$L$5:$N$18,,MATCH($D62,'Landbrugsareal - resultat'!$L$4:$N$4,0)))),IF(G$2=2030,SUMPRODUCT(($B62='Landbrugsareal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resultat'!$R$4:$T$4,0))))))),IF($C62="Konventionel",IF(G$2=2019,SUMPRODUCT((B62='Landbrugsareal - resultat'!$B$32:$B$45)*(INDEX('Landbrugsareal - resultat'!$C$32:$E$45,,MATCH($D62,'Landbrugsareal - resultat'!$C$4:$E$4,0)))),IF(G$2=2030,SUMPRODUCT(($B62='Landbrugsareal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resultat'!$I$4:$K$4,0)))))),IF(G$2=2019,SUMPRODUCT(($B62='Landbrugsareal - resultat'!$B$32:$B$45)*(INDEX('Landbrugsareal - resultat'!$L$32:$N$45,,MATCH($D62,'Landbrugsareal - resultat'!$L$4:$N$4,0)))),IF(G$2=2030,SUMPRODUCT(($B62='Landbrugsareal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2549.2942553512476</v>
      </c>
      <c r="H62" s="97" cm="1">
        <f t="array" ref="H62">IF($A62="Vestdanmark",IF($C62="Konventionel",IF(H$2=2019,SUMPRODUCT(($B62='Landbrugsareal - resultat'!$B$5:$B$18)*(INDEX('Landbrugsareal - resultat'!$C$5:$E$18,,MATCH($D62,'Landbrugsareal - resultat'!$C$4:$E$4,0)))),IF(H$2=2030,SUMPRODUCT(($B62='Landbrugsareal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resultat'!$I$4:$K$4,0)))))),IF(H$2=2019,SUMPRODUCT(($B62='Landbrugsareal - resultat'!$B$5:$B$18)*(INDEX('Landbrugsareal - resultat'!$L$5:$N$18,,MATCH($D62,'Landbrugsareal - resultat'!$L$4:$N$4,0)))),IF(H$2=2030,SUMPRODUCT(($B62='Landbrugsareal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resultat'!$R$4:$T$4,0))))))),IF($C62="Konventionel",IF(H$2=2019,SUMPRODUCT(($B62='Landbrugsareal - resultat'!$B$32:$B$45)*(INDEX('Landbrugsareal - resultat'!$C$32:$E$45,,MATCH($D62,'Landbrugsareal - resultat'!$C$4:$E$4,0)))),IF(H$2=2030,SUMPRODUCT(($B62='Landbrugsareal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resultat'!$I$4:$K$4,0)))))),IF(H$2=2019,SUMPRODUCT(($B62='Landbrugsareal - resultat'!$B$32:$B$45)*(INDEX('Landbrugsareal - resultat'!$L$32:$N$45,,MATCH($D62,'Landbrugsareal - resultat'!$L$4:$N$4,0)))),IF(H$2=2030,SUMPRODUCT(($B62='Landbrugsareal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2809.229715431773</v>
      </c>
      <c r="I62" s="97" cm="1">
        <f t="array" ref="I62">IF($A62="Vestdanmark",IF($C62="Konventionel",IF(I$2=2019,SUMPRODUCT(($B62='Landbrugsareal - resultat'!$B$5:$B$18)*(INDEX('Landbrugsareal - resultat'!$C$5:$E$18,,MATCH($D62,'Landbrugsareal - resultat'!$C$4:$E$4,0)))),IF(I$2=2030,SUMPRODUCT(($B62='Landbrugsareal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resultat'!$I$4:$K$4,0)))))),IF(I$2=2019,SUMPRODUCT(($B62='Landbrugsareal - resultat'!$B$5:$B$18)*(INDEX('Landbrugsareal - resultat'!$L$5:$N$18,,MATCH($D62,'Landbrugsareal - resultat'!$L$4:$N$4,0)))),IF(I$2=2030,SUMPRODUCT(($B62='Landbrugsareal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resultat'!$R$4:$T$4,0))))))),IF($C62="Konventionel",IF(I$2=2019,SUMPRODUCT((C62='Landbrugsareal - resultat'!$B$32:$B$45)*(INDEX('Landbrugsareal - resultat'!$C$32:$E$45,,MATCH($D62,'Landbrugsareal - resultat'!$C$4:$E$4,0)))),IF(I$2=2030,SUMPRODUCT(($B62='Landbrugsareal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resultat'!$I$4:$K$4,0)))))),IF(I$2=2019,SUMPRODUCT(($B62='Landbrugsareal - resultat'!$B$32:$B$45)*(INDEX('Landbrugsareal - resultat'!$L$32:$N$45,,MATCH($D62,'Landbrugsareal - resultat'!$L$4:$N$4,0)))),IF(I$2=2030,SUMPRODUCT(($B62='Landbrugsareal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3641.5940755597057</v>
      </c>
    </row>
    <row r="63" spans="1:9" hidden="1" x14ac:dyDescent="0.55000000000000004">
      <c r="A63" t="s">
        <v>23</v>
      </c>
      <c r="B63" s="1" t="str">
        <f>[1]Afgrødefordeling!$C$6</f>
        <v>Grøntsager</v>
      </c>
      <c r="C63" t="s">
        <v>8</v>
      </c>
      <c r="D63" t="str">
        <f t="shared" si="5"/>
        <v>OC6</v>
      </c>
      <c r="F63" t="str">
        <f t="shared" si="1"/>
        <v>Areal-grøntsager</v>
      </c>
      <c r="G63" s="97" cm="1">
        <f t="array" ref="G63">IF($A63="Vestdanmark",IF($C63="Konventionel",IF(G$2=2019,SUMPRODUCT(($B63='Landbrugsareal - resultat'!$B$5:$B$18)*(INDEX('Landbrugsareal - resultat'!$C$5:$E$18,,MATCH($D63,'Landbrugsareal - resultat'!$C$4:$E$4,0)))),IF(G$2=2030,SUMPRODUCT(($B63='Landbrugsareal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resultat'!$I$4:$K$4,0)))))),IF(G$2=2019,SUMPRODUCT(($B63='Landbrugsareal - resultat'!$B$5:$B$18)*(INDEX('Landbrugsareal - resultat'!$L$5:$N$18,,MATCH($D63,'Landbrugsareal - resultat'!$L$4:$N$4,0)))),IF(G$2=2030,SUMPRODUCT(($B63='Landbrugsareal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resultat'!$R$4:$T$4,0))))))),IF($C63="Konventionel",IF(G$2=2019,SUMPRODUCT((B63='Landbrugsareal - resultat'!$B$32:$B$45)*(INDEX('Landbrugsareal - resultat'!$C$32:$E$45,,MATCH($D63,'Landbrugsareal - resultat'!$C$4:$E$4,0)))),IF(G$2=2030,SUMPRODUCT(($B63='Landbrugsareal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resultat'!$I$4:$K$4,0)))))),IF(G$2=2019,SUMPRODUCT(($B63='Landbrugsareal - resultat'!$B$32:$B$45)*(INDEX('Landbrugsareal - resultat'!$L$32:$N$45,,MATCH($D63,'Landbrugsareal - resultat'!$L$4:$N$4,0)))),IF(G$2=2030,SUMPRODUCT(($B63='Landbrugsareal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11.923145121422927</v>
      </c>
      <c r="H63" s="97" cm="1">
        <f t="array" ref="H63">IF($A63="Vestdanmark",IF($C63="Konventionel",IF(H$2=2019,SUMPRODUCT(($B63='Landbrugsareal - resultat'!$B$5:$B$18)*(INDEX('Landbrugsareal - resultat'!$C$5:$E$18,,MATCH($D63,'Landbrugsareal - resultat'!$C$4:$E$4,0)))),IF(H$2=2030,SUMPRODUCT(($B63='Landbrugsareal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resultat'!$I$4:$K$4,0)))))),IF(H$2=2019,SUMPRODUCT(($B63='Landbrugsareal - resultat'!$B$5:$B$18)*(INDEX('Landbrugsareal - resultat'!$L$5:$N$18,,MATCH($D63,'Landbrugsareal - resultat'!$L$4:$N$4,0)))),IF(H$2=2030,SUMPRODUCT(($B63='Landbrugsareal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resultat'!$R$4:$T$4,0))))))),IF($C63="Konventionel",IF(H$2=2019,SUMPRODUCT(($B63='Landbrugsareal - resultat'!$B$32:$B$45)*(INDEX('Landbrugsareal - resultat'!$C$32:$E$45,,MATCH($D63,'Landbrugsareal - resultat'!$C$4:$E$4,0)))),IF(H$2=2030,SUMPRODUCT(($B63='Landbrugsareal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resultat'!$I$4:$K$4,0)))))),IF(H$2=2019,SUMPRODUCT(($B63='Landbrugsareal - resultat'!$B$32:$B$45)*(INDEX('Landbrugsareal - resultat'!$L$32:$N$45,,MATCH($D63,'Landbrugsareal - resultat'!$L$4:$N$4,0)))),IF(H$2=2030,SUMPRODUCT(($B63='Landbrugsareal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13.138873045431023</v>
      </c>
      <c r="I63" s="97" cm="1">
        <f t="array" ref="I63">IF($A63="Vestdanmark",IF($C63="Konventionel",IF(I$2=2019,SUMPRODUCT(($B63='Landbrugsareal - resultat'!$B$5:$B$18)*(INDEX('Landbrugsareal - resultat'!$C$5:$E$18,,MATCH($D63,'Landbrugsareal - resultat'!$C$4:$E$4,0)))),IF(I$2=2030,SUMPRODUCT(($B63='Landbrugsareal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resultat'!$I$4:$K$4,0)))))),IF(I$2=2019,SUMPRODUCT(($B63='Landbrugsareal - resultat'!$B$5:$B$18)*(INDEX('Landbrugsareal - resultat'!$L$5:$N$18,,MATCH($D63,'Landbrugsareal - resultat'!$L$4:$N$4,0)))),IF(I$2=2030,SUMPRODUCT(($B63='Landbrugsareal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resultat'!$R$4:$T$4,0))))))),IF($C63="Konventionel",IF(I$2=2019,SUMPRODUCT((C63='Landbrugsareal - resultat'!$B$32:$B$45)*(INDEX('Landbrugsareal - resultat'!$C$32:$E$45,,MATCH($D63,'Landbrugsareal - resultat'!$C$4:$E$4,0)))),IF(I$2=2030,SUMPRODUCT(($B63='Landbrugsareal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resultat'!$I$4:$K$4,0)))))),IF(I$2=2019,SUMPRODUCT(($B63='Landbrugsareal - resultat'!$B$32:$B$45)*(INDEX('Landbrugsareal - resultat'!$L$32:$N$45,,MATCH($D63,'Landbrugsareal - resultat'!$L$4:$N$4,0)))),IF(I$2=2030,SUMPRODUCT(($B63='Landbrugsareal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17.031872466299472</v>
      </c>
    </row>
    <row r="64" spans="1:9" hidden="1" x14ac:dyDescent="0.55000000000000004">
      <c r="A64" t="s">
        <v>23</v>
      </c>
      <c r="B64" s="1" t="str">
        <f>[1]Afgrødefordeling!$C$7</f>
        <v>Kartofler</v>
      </c>
      <c r="C64" t="s">
        <v>8</v>
      </c>
      <c r="D64" t="str">
        <f t="shared" si="5"/>
        <v>OC6</v>
      </c>
      <c r="F64" t="str">
        <f t="shared" si="1"/>
        <v>Areal-kartofler</v>
      </c>
      <c r="G64" s="97" cm="1">
        <f t="array" ref="G64">IF($A64="Vestdanmark",IF($C64="Konventionel",IF(G$2=2019,SUMPRODUCT(($B64='Landbrugsareal - resultat'!$B$5:$B$18)*(INDEX('Landbrugsareal - resultat'!$C$5:$E$18,,MATCH($D64,'Landbrugsareal - resultat'!$C$4:$E$4,0)))),IF(G$2=2030,SUMPRODUCT(($B64='Landbrugsareal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resultat'!$I$4:$K$4,0)))))),IF(G$2=2019,SUMPRODUCT(($B64='Landbrugsareal - resultat'!$B$5:$B$18)*(INDEX('Landbrugsareal - resultat'!$L$5:$N$18,,MATCH($D64,'Landbrugsareal - resultat'!$L$4:$N$4,0)))),IF(G$2=2030,SUMPRODUCT(($B64='Landbrugsareal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resultat'!$R$4:$T$4,0))))))),IF($C64="Konventionel",IF(G$2=2019,SUMPRODUCT((B64='Landbrugsareal - resultat'!$B$32:$B$45)*(INDEX('Landbrugsareal - resultat'!$C$32:$E$45,,MATCH($D64,'Landbrugsareal - resultat'!$C$4:$E$4,0)))),IF(G$2=2030,SUMPRODUCT(($B64='Landbrugsareal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resultat'!$I$4:$K$4,0)))))),IF(G$2=2019,SUMPRODUCT(($B64='Landbrugsareal - resultat'!$B$32:$B$45)*(INDEX('Landbrugsareal - resultat'!$L$32:$N$45,,MATCH($D64,'Landbrugsareal - resultat'!$L$4:$N$4,0)))),IF(G$2=2030,SUMPRODUCT(($B64='Landbrugsareal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188.23555780104221</v>
      </c>
      <c r="H64" s="97" cm="1">
        <f t="array" ref="H64">IF($A64="Vestdanmark",IF($C64="Konventionel",IF(H$2=2019,SUMPRODUCT(($B64='Landbrugsareal - resultat'!$B$5:$B$18)*(INDEX('Landbrugsareal - resultat'!$C$5:$E$18,,MATCH($D64,'Landbrugsareal - resultat'!$C$4:$E$4,0)))),IF(H$2=2030,SUMPRODUCT(($B64='Landbrugsareal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resultat'!$I$4:$K$4,0)))))),IF(H$2=2019,SUMPRODUCT(($B64='Landbrugsareal - resultat'!$B$5:$B$18)*(INDEX('Landbrugsareal - resultat'!$L$5:$N$18,,MATCH($D64,'Landbrugsareal - resultat'!$L$4:$N$4,0)))),IF(H$2=2030,SUMPRODUCT(($B64='Landbrugsareal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resultat'!$R$4:$T$4,0))))))),IF($C64="Konventionel",IF(H$2=2019,SUMPRODUCT(($B64='Landbrugsareal - resultat'!$B$32:$B$45)*(INDEX('Landbrugsareal - resultat'!$C$32:$E$45,,MATCH($D64,'Landbrugsareal - resultat'!$C$4:$E$4,0)))),IF(H$2=2030,SUMPRODUCT(($B64='Landbrugsareal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resultat'!$I$4:$K$4,0)))))),IF(H$2=2019,SUMPRODUCT(($B64='Landbrugsareal - resultat'!$B$32:$B$45)*(INDEX('Landbrugsareal - resultat'!$L$32:$N$45,,MATCH($D64,'Landbrugsareal - resultat'!$L$4:$N$4,0)))),IF(H$2=2030,SUMPRODUCT(($B64='Landbrugsareal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207.42875066915491</v>
      </c>
      <c r="I64" s="97" cm="1">
        <f t="array" ref="I64">IF($A64="Vestdanmark",IF($C64="Konventionel",IF(I$2=2019,SUMPRODUCT(($B64='Landbrugsareal - resultat'!$B$5:$B$18)*(INDEX('Landbrugsareal - resultat'!$C$5:$E$18,,MATCH($D64,'Landbrugsareal - resultat'!$C$4:$E$4,0)))),IF(I$2=2030,SUMPRODUCT(($B64='Landbrugsareal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resultat'!$I$4:$K$4,0)))))),IF(I$2=2019,SUMPRODUCT(($B64='Landbrugsareal - resultat'!$B$5:$B$18)*(INDEX('Landbrugsareal - resultat'!$L$5:$N$18,,MATCH($D64,'Landbrugsareal - resultat'!$L$4:$N$4,0)))),IF(I$2=2030,SUMPRODUCT(($B64='Landbrugsareal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resultat'!$R$4:$T$4,0))))))),IF($C64="Konventionel",IF(I$2=2019,SUMPRODUCT((C64='Landbrugsareal - resultat'!$B$32:$B$45)*(INDEX('Landbrugsareal - resultat'!$C$32:$E$45,,MATCH($D64,'Landbrugsareal - resultat'!$C$4:$E$4,0)))),IF(I$2=2030,SUMPRODUCT(($B64='Landbrugsareal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resultat'!$I$4:$K$4,0)))))),IF(I$2=2019,SUMPRODUCT(($B64='Landbrugsareal - resultat'!$B$32:$B$45)*(INDEX('Landbrugsareal - resultat'!$L$32:$N$45,,MATCH($D64,'Landbrugsareal - resultat'!$L$4:$N$4,0)))),IF(I$2=2030,SUMPRODUCT(($B64='Landbrugsareal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268.88912123779335</v>
      </c>
    </row>
    <row r="65" spans="1:9" hidden="1" x14ac:dyDescent="0.55000000000000004">
      <c r="A65" t="s">
        <v>23</v>
      </c>
      <c r="B65" s="1" t="str">
        <f>[1]Afgrødefordeling!$C$8</f>
        <v>Roer</v>
      </c>
      <c r="C65" t="s">
        <v>8</v>
      </c>
      <c r="D65" t="str">
        <f t="shared" si="5"/>
        <v>OC6</v>
      </c>
      <c r="F65" t="str">
        <f t="shared" si="1"/>
        <v>Areal-roer</v>
      </c>
      <c r="G65" s="97" cm="1">
        <f t="array" ref="G65">IF($A65="Vestdanmark",IF($C65="Konventionel",IF(G$2=2019,SUMPRODUCT(($B65='Landbrugsareal - resultat'!$B$5:$B$18)*(INDEX('Landbrugsareal - resultat'!$C$5:$E$18,,MATCH($D65,'Landbrugsareal - resultat'!$C$4:$E$4,0)))),IF(G$2=2030,SUMPRODUCT(($B65='Landbrugsareal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resultat'!$I$4:$K$4,0)))))),IF(G$2=2019,SUMPRODUCT(($B65='Landbrugsareal - resultat'!$B$5:$B$18)*(INDEX('Landbrugsareal - resultat'!$L$5:$N$18,,MATCH($D65,'Landbrugsareal - resultat'!$L$4:$N$4,0)))),IF(G$2=2030,SUMPRODUCT(($B65='Landbrugsareal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resultat'!$R$4:$T$4,0))))))),IF($C65="Konventionel",IF(G$2=2019,SUMPRODUCT((B65='Landbrugsareal - resultat'!$B$32:$B$45)*(INDEX('Landbrugsareal - resultat'!$C$32:$E$45,,MATCH($D65,'Landbrugsareal - resultat'!$C$4:$E$4,0)))),IF(G$2=2030,SUMPRODUCT(($B65='Landbrugsareal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resultat'!$I$4:$K$4,0)))))),IF(G$2=2019,SUMPRODUCT(($B65='Landbrugsareal - resultat'!$B$32:$B$45)*(INDEX('Landbrugsareal - resultat'!$L$32:$N$45,,MATCH($D65,'Landbrugsareal - resultat'!$L$4:$N$4,0)))),IF(G$2=2030,SUMPRODUCT(($B65='Landbrugsareal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4.9384199851650941</v>
      </c>
      <c r="H65" s="97" cm="1">
        <f t="array" ref="H65">IF($A65="Vestdanmark",IF($C65="Konventionel",IF(H$2=2019,SUMPRODUCT(($B65='Landbrugsareal - resultat'!$B$5:$B$18)*(INDEX('Landbrugsareal - resultat'!$C$5:$E$18,,MATCH($D65,'Landbrugsareal - resultat'!$C$4:$E$4,0)))),IF(H$2=2030,SUMPRODUCT(($B65='Landbrugsareal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resultat'!$I$4:$K$4,0)))))),IF(H$2=2019,SUMPRODUCT(($B65='Landbrugsareal - resultat'!$B$5:$B$18)*(INDEX('Landbrugsareal - resultat'!$L$5:$N$18,,MATCH($D65,'Landbrugsareal - resultat'!$L$4:$N$4,0)))),IF(H$2=2030,SUMPRODUCT(($B65='Landbrugsareal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resultat'!$R$4:$T$4,0))))))),IF($C65="Konventionel",IF(H$2=2019,SUMPRODUCT(($B65='Landbrugsareal - resultat'!$B$32:$B$45)*(INDEX('Landbrugsareal - resultat'!$C$32:$E$45,,MATCH($D65,'Landbrugsareal - resultat'!$C$4:$E$4,0)))),IF(H$2=2030,SUMPRODUCT(($B65='Landbrugsareal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resultat'!$I$4:$K$4,0)))))),IF(H$2=2019,SUMPRODUCT(($B65='Landbrugsareal - resultat'!$B$32:$B$45)*(INDEX('Landbrugsareal - resultat'!$L$32:$N$45,,MATCH($D65,'Landbrugsareal - resultat'!$L$4:$N$4,0)))),IF(H$2=2030,SUMPRODUCT(($B65='Landbrugsareal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5.4419595307550885</v>
      </c>
      <c r="I65" s="97" cm="1">
        <f t="array" ref="I65">IF($A65="Vestdanmark",IF($C65="Konventionel",IF(I$2=2019,SUMPRODUCT(($B65='Landbrugsareal - resultat'!$B$5:$B$18)*(INDEX('Landbrugsareal - resultat'!$C$5:$E$18,,MATCH($D65,'Landbrugsareal - resultat'!$C$4:$E$4,0)))),IF(I$2=2030,SUMPRODUCT(($B65='Landbrugsareal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resultat'!$I$4:$K$4,0)))))),IF(I$2=2019,SUMPRODUCT(($B65='Landbrugsareal - resultat'!$B$5:$B$18)*(INDEX('Landbrugsareal - resultat'!$L$5:$N$18,,MATCH($D65,'Landbrugsareal - resultat'!$L$4:$N$4,0)))),IF(I$2=2030,SUMPRODUCT(($B65='Landbrugsareal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resultat'!$R$4:$T$4,0))))))),IF($C65="Konventionel",IF(I$2=2019,SUMPRODUCT((C65='Landbrugsareal - resultat'!$B$32:$B$45)*(INDEX('Landbrugsareal - resultat'!$C$32:$E$45,,MATCH($D65,'Landbrugsareal - resultat'!$C$4:$E$4,0)))),IF(I$2=2030,SUMPRODUCT(($B65='Landbrugsareal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resultat'!$I$4:$K$4,0)))))),IF(I$2=2019,SUMPRODUCT(($B65='Landbrugsareal - resultat'!$B$32:$B$45)*(INDEX('Landbrugsareal - resultat'!$L$32:$N$45,,MATCH($D65,'Landbrugsareal - resultat'!$L$4:$N$4,0)))),IF(I$2=2030,SUMPRODUCT(($B65='Landbrugsareal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7.0543919843121516</v>
      </c>
    </row>
    <row r="66" spans="1:9" hidden="1" x14ac:dyDescent="0.55000000000000004">
      <c r="A66" t="s">
        <v>23</v>
      </c>
      <c r="B66" s="1" t="str">
        <f>[1]Afgrødefordeling!$C$9</f>
        <v>Majs</v>
      </c>
      <c r="C66" t="s">
        <v>8</v>
      </c>
      <c r="D66" t="str">
        <f t="shared" si="5"/>
        <v>OC6</v>
      </c>
      <c r="F66" t="str">
        <f t="shared" si="1"/>
        <v>Areal-majs</v>
      </c>
      <c r="G66" s="97" cm="1">
        <f t="array" ref="G66">IF($A66="Vestdanmark",IF($C66="Konventionel",IF(G$2=2019,SUMPRODUCT(($B66='Landbrugsareal - resultat'!$B$5:$B$18)*(INDEX('Landbrugsareal - resultat'!$C$5:$E$18,,MATCH($D66,'Landbrugsareal - resultat'!$C$4:$E$4,0)))),IF(G$2=2030,SUMPRODUCT(($B66='Landbrugsareal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resultat'!$I$4:$K$4,0)))))),IF(G$2=2019,SUMPRODUCT(($B66='Landbrugsareal - resultat'!$B$5:$B$18)*(INDEX('Landbrugsareal - resultat'!$L$5:$N$18,,MATCH($D66,'Landbrugsareal - resultat'!$L$4:$N$4,0)))),IF(G$2=2030,SUMPRODUCT(($B66='Landbrugsareal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resultat'!$R$4:$T$4,0))))))),IF($C66="Konventionel",IF(G$2=2019,SUMPRODUCT((B66='Landbrugsareal - resultat'!$B$32:$B$45)*(INDEX('Landbrugsareal - resultat'!$C$32:$E$45,,MATCH($D66,'Landbrugsareal - resultat'!$C$4:$E$4,0)))),IF(G$2=2030,SUMPRODUCT(($B66='Landbrugsareal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resultat'!$I$4:$K$4,0)))))),IF(G$2=2019,SUMPRODUCT(($B66='Landbrugsareal - resultat'!$B$32:$B$45)*(INDEX('Landbrugsareal - resultat'!$L$32:$N$45,,MATCH($D66,'Landbrugsareal - resultat'!$L$4:$N$4,0)))),IF(G$2=2030,SUMPRODUCT(($B66='Landbrugsareal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637.47580792109272</v>
      </c>
      <c r="H66" s="97" cm="1">
        <f t="array" ref="H66">IF($A66="Vestdanmark",IF($C66="Konventionel",IF(H$2=2019,SUMPRODUCT(($B66='Landbrugsareal - resultat'!$B$5:$B$18)*(INDEX('Landbrugsareal - resultat'!$C$5:$E$18,,MATCH($D66,'Landbrugsareal - resultat'!$C$4:$E$4,0)))),IF(H$2=2030,SUMPRODUCT(($B66='Landbrugsareal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resultat'!$I$4:$K$4,0)))))),IF(H$2=2019,SUMPRODUCT(($B66='Landbrugsareal - resultat'!$B$5:$B$18)*(INDEX('Landbrugsareal - resultat'!$L$5:$N$18,,MATCH($D66,'Landbrugsareal - resultat'!$L$4:$N$4,0)))),IF(H$2=2030,SUMPRODUCT(($B66='Landbrugsareal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resultat'!$R$4:$T$4,0))))))),IF($C66="Konventionel",IF(H$2=2019,SUMPRODUCT(($B66='Landbrugsareal - resultat'!$B$32:$B$45)*(INDEX('Landbrugsareal - resultat'!$C$32:$E$45,,MATCH($D66,'Landbrugsareal - resultat'!$C$4:$E$4,0)))),IF(H$2=2030,SUMPRODUCT(($B66='Landbrugsareal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resultat'!$I$4:$K$4,0)))))),IF(H$2=2019,SUMPRODUCT(($B66='Landbrugsareal - resultat'!$B$32:$B$45)*(INDEX('Landbrugsareal - resultat'!$L$32:$N$45,,MATCH($D66,'Landbrugsareal - resultat'!$L$4:$N$4,0)))),IF(H$2=2030,SUMPRODUCT(($B66='Landbrugsareal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702.47519631038767</v>
      </c>
      <c r="I66" s="97" cm="1">
        <f t="array" ref="I66">IF($A66="Vestdanmark",IF($C66="Konventionel",IF(I$2=2019,SUMPRODUCT(($B66='Landbrugsareal - resultat'!$B$5:$B$18)*(INDEX('Landbrugsareal - resultat'!$C$5:$E$18,,MATCH($D66,'Landbrugsareal - resultat'!$C$4:$E$4,0)))),IF(I$2=2030,SUMPRODUCT(($B66='Landbrugsareal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resultat'!$I$4:$K$4,0)))))),IF(I$2=2019,SUMPRODUCT(($B66='Landbrugsareal - resultat'!$B$5:$B$18)*(INDEX('Landbrugsareal - resultat'!$L$5:$N$18,,MATCH($D66,'Landbrugsareal - resultat'!$L$4:$N$4,0)))),IF(I$2=2030,SUMPRODUCT(($B66='Landbrugsareal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resultat'!$R$4:$T$4,0))))))),IF($C66="Konventionel",IF(I$2=2019,SUMPRODUCT((C66='Landbrugsareal - resultat'!$B$32:$B$45)*(INDEX('Landbrugsareal - resultat'!$C$32:$E$45,,MATCH($D66,'Landbrugsareal - resultat'!$C$4:$E$4,0)))),IF(I$2=2030,SUMPRODUCT(($B66='Landbrugsareal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resultat'!$I$4:$K$4,0)))))),IF(I$2=2019,SUMPRODUCT(($B66='Landbrugsareal - resultat'!$B$32:$B$45)*(INDEX('Landbrugsareal - resultat'!$L$32:$N$45,,MATCH($D66,'Landbrugsareal - resultat'!$L$4:$N$4,0)))),IF(I$2=2030,SUMPRODUCT(($B66='Landbrugsareal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910.61599521716903</v>
      </c>
    </row>
    <row r="67" spans="1:9" hidden="1" x14ac:dyDescent="0.55000000000000004">
      <c r="A67" t="s">
        <v>23</v>
      </c>
      <c r="B67" s="1" t="str">
        <f>[1]Afgrødefordeling!$C$10</f>
        <v>Frugt</v>
      </c>
      <c r="C67" t="s">
        <v>8</v>
      </c>
      <c r="D67" t="str">
        <f t="shared" si="5"/>
        <v>OC6</v>
      </c>
      <c r="F67" t="str">
        <f t="shared" si="1"/>
        <v>Areal-frugt</v>
      </c>
      <c r="G67" s="97" cm="1">
        <f t="array" ref="G67">IF($A67="Vestdanmark",IF($C67="Konventionel",IF(G$2=2019,SUMPRODUCT(($B67='Landbrugsareal - resultat'!$B$5:$B$18)*(INDEX('Landbrugsareal - resultat'!$C$5:$E$18,,MATCH($D67,'Landbrugsareal - resultat'!$C$4:$E$4,0)))),IF(G$2=2030,SUMPRODUCT(($B67='Landbrugsareal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resultat'!$I$4:$K$4,0)))))),IF(G$2=2019,SUMPRODUCT(($B67='Landbrugsareal - resultat'!$B$5:$B$18)*(INDEX('Landbrugsareal - resultat'!$L$5:$N$18,,MATCH($D67,'Landbrugsareal - resultat'!$L$4:$N$4,0)))),IF(G$2=2030,SUMPRODUCT(($B67='Landbrugsareal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resultat'!$R$4:$T$4,0))))))),IF($C67="Konventionel",IF(G$2=2019,SUMPRODUCT((B67='Landbrugsareal - resultat'!$B$32:$B$45)*(INDEX('Landbrugsareal - resultat'!$C$32:$E$45,,MATCH($D67,'Landbrugsareal - resultat'!$C$4:$E$4,0)))),IF(G$2=2030,SUMPRODUCT(($B67='Landbrugsareal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resultat'!$I$4:$K$4,0)))))),IF(G$2=2019,SUMPRODUCT(($B67='Landbrugsareal - resultat'!$B$32:$B$45)*(INDEX('Landbrugsareal - resultat'!$L$32:$N$45,,MATCH($D67,'Landbrugsareal - resultat'!$L$4:$N$4,0)))),IF(G$2=2030,SUMPRODUCT(($B67='Landbrugsareal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10.859948397188985</v>
      </c>
      <c r="H67" s="97" cm="1">
        <f t="array" ref="H67">IF($A67="Vestdanmark",IF($C67="Konventionel",IF(H$2=2019,SUMPRODUCT(($B67='Landbrugsareal - resultat'!$B$5:$B$18)*(INDEX('Landbrugsareal - resultat'!$C$5:$E$18,,MATCH($D67,'Landbrugsareal - resultat'!$C$4:$E$4,0)))),IF(H$2=2030,SUMPRODUCT(($B67='Landbrugsareal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resultat'!$I$4:$K$4,0)))))),IF(H$2=2019,SUMPRODUCT(($B67='Landbrugsareal - resultat'!$B$5:$B$18)*(INDEX('Landbrugsareal - resultat'!$L$5:$N$18,,MATCH($D67,'Landbrugsareal - resultat'!$L$4:$N$4,0)))),IF(H$2=2030,SUMPRODUCT(($B67='Landbrugsareal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resultat'!$R$4:$T$4,0))))))),IF($C67="Konventionel",IF(H$2=2019,SUMPRODUCT(($B67='Landbrugsareal - resultat'!$B$32:$B$45)*(INDEX('Landbrugsareal - resultat'!$C$32:$E$45,,MATCH($D67,'Landbrugsareal - resultat'!$C$4:$E$4,0)))),IF(H$2=2030,SUMPRODUCT(($B67='Landbrugsareal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resultat'!$I$4:$K$4,0)))))),IF(H$2=2019,SUMPRODUCT(($B67='Landbrugsareal - resultat'!$B$32:$B$45)*(INDEX('Landbrugsareal - resultat'!$L$32:$N$45,,MATCH($D67,'Landbrugsareal - resultat'!$L$4:$N$4,0)))),IF(H$2=2030,SUMPRODUCT(($B67='Landbrugsareal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11.967268855448575</v>
      </c>
      <c r="I67" s="97" cm="1">
        <f t="array" ref="I67">IF($A67="Vestdanmark",IF($C67="Konventionel",IF(I$2=2019,SUMPRODUCT(($B67='Landbrugsareal - resultat'!$B$5:$B$18)*(INDEX('Landbrugsareal - resultat'!$C$5:$E$18,,MATCH($D67,'Landbrugsareal - resultat'!$C$4:$E$4,0)))),IF(I$2=2030,SUMPRODUCT(($B67='Landbrugsareal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resultat'!$I$4:$K$4,0)))))),IF(I$2=2019,SUMPRODUCT(($B67='Landbrugsareal - resultat'!$B$5:$B$18)*(INDEX('Landbrugsareal - resultat'!$L$5:$N$18,,MATCH($D67,'Landbrugsareal - resultat'!$L$4:$N$4,0)))),IF(I$2=2030,SUMPRODUCT(($B67='Landbrugsareal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resultat'!$R$4:$T$4,0))))))),IF($C67="Konventionel",IF(I$2=2019,SUMPRODUCT((C67='Landbrugsareal - resultat'!$B$32:$B$45)*(INDEX('Landbrugsareal - resultat'!$C$32:$E$45,,MATCH($D67,'Landbrugsareal - resultat'!$C$4:$E$4,0)))),IF(I$2=2030,SUMPRODUCT(($B67='Landbrugsareal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resultat'!$I$4:$K$4,0)))))),IF(I$2=2019,SUMPRODUCT(($B67='Landbrugsareal - resultat'!$B$32:$B$45)*(INDEX('Landbrugsareal - resultat'!$L$32:$N$45,,MATCH($D67,'Landbrugsareal - resultat'!$L$4:$N$4,0)))),IF(I$2=2030,SUMPRODUCT(($B67='Landbrugsareal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15.513126294100001</v>
      </c>
    </row>
    <row r="68" spans="1:9" hidden="1" x14ac:dyDescent="0.55000000000000004">
      <c r="A68" t="s">
        <v>23</v>
      </c>
      <c r="B68" s="1" t="str">
        <f>[1]Afgrødefordeling!$C$11</f>
        <v>Øvrige</v>
      </c>
      <c r="C68" t="s">
        <v>8</v>
      </c>
      <c r="D68" t="str">
        <f t="shared" si="5"/>
        <v>OC6</v>
      </c>
      <c r="F68" t="str">
        <f t="shared" ref="F68:F131" si="6">CONCATENATE("Areal-",IF(LEFT(B68,3)&lt;&gt;"Pil",IF(LEFT(B68,3)&lt;&gt;"Frø",LOWER(B68),"frøgræs"),"pil-poppel"))</f>
        <v>Areal-øvrige</v>
      </c>
      <c r="G68" s="97" cm="1">
        <f t="array" ref="G68">IF($A68="Vestdanmark",IF($C68="Konventionel",IF(G$2=2019,SUMPRODUCT(($B68='Landbrugsareal - resultat'!$B$5:$B$18)*(INDEX('Landbrugsareal - resultat'!$C$5:$E$18,,MATCH($D68,'Landbrugsareal - resultat'!$C$4:$E$4,0)))),IF(G$2=2030,SUMPRODUCT(($B68='Landbrugsareal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resultat'!$I$4:$K$4,0)))))),IF(G$2=2019,SUMPRODUCT(($B68='Landbrugsareal - resultat'!$B$5:$B$18)*(INDEX('Landbrugsareal - resultat'!$L$5:$N$18,,MATCH($D68,'Landbrugsareal - resultat'!$L$4:$N$4,0)))),IF(G$2=2030,SUMPRODUCT(($B68='Landbrugsareal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resultat'!$R$4:$T$4,0))))))),IF($C68="Konventionel",IF(G$2=2019,SUMPRODUCT((B68='Landbrugsareal - resultat'!$B$32:$B$45)*(INDEX('Landbrugsareal - resultat'!$C$32:$E$45,,MATCH($D68,'Landbrugsareal - resultat'!$C$4:$E$4,0)))),IF(G$2=2030,SUMPRODUCT(($B68='Landbrugsareal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resultat'!$I$4:$K$4,0)))))),IF(G$2=2019,SUMPRODUCT(($B68='Landbrugsareal - resultat'!$B$32:$B$45)*(INDEX('Landbrugsareal - resultat'!$L$32:$N$45,,MATCH($D68,'Landbrugsareal - resultat'!$L$4:$N$4,0)))),IF(G$2=2030,SUMPRODUCT(($B68='Landbrugsareal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192.06797649221136</v>
      </c>
      <c r="H68" s="97" cm="1">
        <f t="array" ref="H68">IF($A68="Vestdanmark",IF($C68="Konventionel",IF(H$2=2019,SUMPRODUCT(($B68='Landbrugsareal - resultat'!$B$5:$B$18)*(INDEX('Landbrugsareal - resultat'!$C$5:$E$18,,MATCH($D68,'Landbrugsareal - resultat'!$C$4:$E$4,0)))),IF(H$2=2030,SUMPRODUCT(($B68='Landbrugsareal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resultat'!$I$4:$K$4,0)))))),IF(H$2=2019,SUMPRODUCT(($B68='Landbrugsareal - resultat'!$B$5:$B$18)*(INDEX('Landbrugsareal - resultat'!$L$5:$N$18,,MATCH($D68,'Landbrugsareal - resultat'!$L$4:$N$4,0)))),IF(H$2=2030,SUMPRODUCT(($B68='Landbrugsareal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resultat'!$R$4:$T$4,0))))))),IF($C68="Konventionel",IF(H$2=2019,SUMPRODUCT(($B68='Landbrugsareal - resultat'!$B$32:$B$45)*(INDEX('Landbrugsareal - resultat'!$C$32:$E$45,,MATCH($D68,'Landbrugsareal - resultat'!$C$4:$E$4,0)))),IF(H$2=2030,SUMPRODUCT(($B68='Landbrugsareal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resultat'!$I$4:$K$4,0)))))),IF(H$2=2019,SUMPRODUCT(($B68='Landbrugsareal - resultat'!$B$32:$B$45)*(INDEX('Landbrugsareal - resultat'!$L$32:$N$45,,MATCH($D68,'Landbrugsareal - resultat'!$L$4:$N$4,0)))),IF(H$2=2030,SUMPRODUCT(($B68='Landbrugsareal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211.65193692810058</v>
      </c>
      <c r="I68" s="97" cm="1">
        <f t="array" ref="I68">IF($A68="Vestdanmark",IF($C68="Konventionel",IF(I$2=2019,SUMPRODUCT(($B68='Landbrugsareal - resultat'!$B$5:$B$18)*(INDEX('Landbrugsareal - resultat'!$C$5:$E$18,,MATCH($D68,'Landbrugsareal - resultat'!$C$4:$E$4,0)))),IF(I$2=2030,SUMPRODUCT(($B68='Landbrugsareal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resultat'!$I$4:$K$4,0)))))),IF(I$2=2019,SUMPRODUCT(($B68='Landbrugsareal - resultat'!$B$5:$B$18)*(INDEX('Landbrugsareal - resultat'!$L$5:$N$18,,MATCH($D68,'Landbrugsareal - resultat'!$L$4:$N$4,0)))),IF(I$2=2030,SUMPRODUCT(($B68='Landbrugsareal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resultat'!$R$4:$T$4,0))))))),IF($C68="Konventionel",IF(I$2=2019,SUMPRODUCT((C68='Landbrugsareal - resultat'!$B$32:$B$45)*(INDEX('Landbrugsareal - resultat'!$C$32:$E$45,,MATCH($D68,'Landbrugsareal - resultat'!$C$4:$E$4,0)))),IF(I$2=2030,SUMPRODUCT(($B68='Landbrugsareal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resultat'!$I$4:$K$4,0)))))),IF(I$2=2019,SUMPRODUCT(($B68='Landbrugsareal - resultat'!$B$32:$B$45)*(INDEX('Landbrugsareal - resultat'!$L$32:$N$45,,MATCH($D68,'Landbrugsareal - resultat'!$L$4:$N$4,0)))),IF(I$2=2030,SUMPRODUCT(($B68='Landbrugsareal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274.36362194383406</v>
      </c>
    </row>
    <row r="69" spans="1:9" hidden="1" x14ac:dyDescent="0.55000000000000004">
      <c r="A69" t="s">
        <v>23</v>
      </c>
      <c r="B69" s="1" t="str">
        <f>[1]Afgrødefordeling!$C$12</f>
        <v>Frø</v>
      </c>
      <c r="C69" t="s">
        <v>8</v>
      </c>
      <c r="D69" t="str">
        <f t="shared" si="5"/>
        <v>OC6</v>
      </c>
      <c r="F69" t="str">
        <f t="shared" si="6"/>
        <v>Areal-frøgræs</v>
      </c>
      <c r="G69" s="97" cm="1">
        <f t="array" ref="G69">IF($A69="Vestdanmark",IF($C69="Konventionel",IF(G$2=2019,SUMPRODUCT(($B69='Landbrugsareal - resultat'!$B$5:$B$18)*(INDEX('Landbrugsareal - resultat'!$C$5:$E$18,,MATCH($D69,'Landbrugsareal - resultat'!$C$4:$E$4,0)))),IF(G$2=2030,SUMPRODUCT(($B69='Landbrugsareal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resultat'!$I$4:$K$4,0)))))),IF(G$2=2019,SUMPRODUCT(($B69='Landbrugsareal - resultat'!$B$5:$B$18)*(INDEX('Landbrugsareal - resultat'!$L$5:$N$18,,MATCH($D69,'Landbrugsareal - resultat'!$L$4:$N$4,0)))),IF(G$2=2030,SUMPRODUCT(($B69='Landbrugsareal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resultat'!$R$4:$T$4,0))))))),IF($C69="Konventionel",IF(G$2=2019,SUMPRODUCT((B69='Landbrugsareal - resultat'!$B$32:$B$45)*(INDEX('Landbrugsareal - resultat'!$C$32:$E$45,,MATCH($D69,'Landbrugsareal - resultat'!$C$4:$E$4,0)))),IF(G$2=2030,SUMPRODUCT(($B69='Landbrugsareal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resultat'!$I$4:$K$4,0)))))),IF(G$2=2019,SUMPRODUCT(($B69='Landbrugsareal - resultat'!$B$32:$B$45)*(INDEX('Landbrugsareal - resultat'!$L$32:$N$45,,MATCH($D69,'Landbrugsareal - resultat'!$L$4:$N$4,0)))),IF(G$2=2030,SUMPRODUCT(($B69='Landbrugsareal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474.0804066690265</v>
      </c>
      <c r="H69" s="97" cm="1">
        <f t="array" ref="H69">IF($A69="Vestdanmark",IF($C69="Konventionel",IF(H$2=2019,SUMPRODUCT(($B69='Landbrugsareal - resultat'!$B$5:$B$18)*(INDEX('Landbrugsareal - resultat'!$C$5:$E$18,,MATCH($D69,'Landbrugsareal - resultat'!$C$4:$E$4,0)))),IF(H$2=2030,SUMPRODUCT(($B69='Landbrugsareal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resultat'!$I$4:$K$4,0)))))),IF(H$2=2019,SUMPRODUCT(($B69='Landbrugsareal - resultat'!$B$5:$B$18)*(INDEX('Landbrugsareal - resultat'!$L$5:$N$18,,MATCH($D69,'Landbrugsareal - resultat'!$L$4:$N$4,0)))),IF(H$2=2030,SUMPRODUCT(($B69='Landbrugsareal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resultat'!$R$4:$T$4,0))))))),IF($C69="Konventionel",IF(H$2=2019,SUMPRODUCT(($B69='Landbrugsareal - resultat'!$B$32:$B$45)*(INDEX('Landbrugsareal - resultat'!$C$32:$E$45,,MATCH($D69,'Landbrugsareal - resultat'!$C$4:$E$4,0)))),IF(H$2=2030,SUMPRODUCT(($B69='Landbrugsareal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resultat'!$I$4:$K$4,0)))))),IF(H$2=2019,SUMPRODUCT(($B69='Landbrugsareal - resultat'!$B$32:$B$45)*(INDEX('Landbrugsareal - resultat'!$L$32:$N$45,,MATCH($D69,'Landbrugsareal - resultat'!$L$4:$N$4,0)))),IF(H$2=2030,SUMPRODUCT(($B69='Landbrugsareal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522.41939631841763</v>
      </c>
      <c r="I69" s="97" cm="1">
        <f t="array" ref="I69">IF($A69="Vestdanmark",IF($C69="Konventionel",IF(I$2=2019,SUMPRODUCT(($B69='Landbrugsareal - resultat'!$B$5:$B$18)*(INDEX('Landbrugsareal - resultat'!$C$5:$E$18,,MATCH($D69,'Landbrugsareal - resultat'!$C$4:$E$4,0)))),IF(I$2=2030,SUMPRODUCT(($B69='Landbrugsareal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resultat'!$I$4:$K$4,0)))))),IF(I$2=2019,SUMPRODUCT(($B69='Landbrugsareal - resultat'!$B$5:$B$18)*(INDEX('Landbrugsareal - resultat'!$L$5:$N$18,,MATCH($D69,'Landbrugsareal - resultat'!$L$4:$N$4,0)))),IF(I$2=2030,SUMPRODUCT(($B69='Landbrugsareal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resultat'!$R$4:$T$4,0))))))),IF($C69="Konventionel",IF(I$2=2019,SUMPRODUCT((C69='Landbrugsareal - resultat'!$B$32:$B$45)*(INDEX('Landbrugsareal - resultat'!$C$32:$E$45,,MATCH($D69,'Landbrugsareal - resultat'!$C$4:$E$4,0)))),IF(I$2=2030,SUMPRODUCT(($B69='Landbrugsareal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resultat'!$I$4:$K$4,0)))))),IF(I$2=2019,SUMPRODUCT(($B69='Landbrugsareal - resultat'!$B$32:$B$45)*(INDEX('Landbrugsareal - resultat'!$L$32:$N$45,,MATCH($D69,'Landbrugsareal - resultat'!$L$4:$N$4,0)))),IF(I$2=2030,SUMPRODUCT(($B69='Landbrugsareal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677.21032856091165</v>
      </c>
    </row>
    <row r="70" spans="1:9" hidden="1" x14ac:dyDescent="0.55000000000000004">
      <c r="A70" t="s">
        <v>23</v>
      </c>
      <c r="B70" s="1" t="str">
        <f>[1]Afgrødefordeling!$C$13</f>
        <v>Juletræer</v>
      </c>
      <c r="C70" t="s">
        <v>8</v>
      </c>
      <c r="D70" t="str">
        <f t="shared" si="5"/>
        <v>OC6</v>
      </c>
      <c r="F70" t="str">
        <f t="shared" si="6"/>
        <v>Areal-juletræer</v>
      </c>
      <c r="G70" s="97" cm="1">
        <f t="array" ref="G70">IF($A70="Vestdanmark",IF($C70="Konventionel",IF(G$2=2019,SUMPRODUCT(($B70='Landbrugsareal - resultat'!$B$5:$B$18)*(INDEX('Landbrugsareal - resultat'!$C$5:$E$18,,MATCH($D70,'Landbrugsareal - resultat'!$C$4:$E$4,0)))),IF(G$2=2030,SUMPRODUCT(($B70='Landbrugsareal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resultat'!$I$4:$K$4,0)))))),IF(G$2=2019,SUMPRODUCT(($B70='Landbrugsareal - resultat'!$B$5:$B$18)*(INDEX('Landbrugsareal - resultat'!$L$5:$N$18,,MATCH($D70,'Landbrugsareal - resultat'!$L$4:$N$4,0)))),IF(G$2=2030,SUMPRODUCT(($B70='Landbrugsareal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resultat'!$R$4:$T$4,0))))))),IF($C70="Konventionel",IF(G$2=2019,SUMPRODUCT((B70='Landbrugsareal - resultat'!$B$32:$B$45)*(INDEX('Landbrugsareal - resultat'!$C$32:$E$45,,MATCH($D70,'Landbrugsareal - resultat'!$C$4:$E$4,0)))),IF(G$2=2030,SUMPRODUCT(($B70='Landbrugsareal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resultat'!$I$4:$K$4,0)))))),IF(G$2=2019,SUMPRODUCT(($B70='Landbrugsareal - resultat'!$B$32:$B$45)*(INDEX('Landbrugsareal - resultat'!$L$32:$N$45,,MATCH($D70,'Landbrugsareal - resultat'!$L$4:$N$4,0)))),IF(G$2=2030,SUMPRODUCT(($B70='Landbrugsareal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54.468549473984133</v>
      </c>
      <c r="H70" s="97" cm="1">
        <f t="array" ref="H70">IF($A70="Vestdanmark",IF($C70="Konventionel",IF(H$2=2019,SUMPRODUCT(($B70='Landbrugsareal - resultat'!$B$5:$B$18)*(INDEX('Landbrugsareal - resultat'!$C$5:$E$18,,MATCH($D70,'Landbrugsareal - resultat'!$C$4:$E$4,0)))),IF(H$2=2030,SUMPRODUCT(($B70='Landbrugsareal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resultat'!$I$4:$K$4,0)))))),IF(H$2=2019,SUMPRODUCT(($B70='Landbrugsareal - resultat'!$B$5:$B$18)*(INDEX('Landbrugsareal - resultat'!$L$5:$N$18,,MATCH($D70,'Landbrugsareal - resultat'!$L$4:$N$4,0)))),IF(H$2=2030,SUMPRODUCT(($B70='Landbrugsareal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resultat'!$R$4:$T$4,0))))))),IF($C70="Konventionel",IF(H$2=2019,SUMPRODUCT(($B70='Landbrugsareal - resultat'!$B$32:$B$45)*(INDEX('Landbrugsareal - resultat'!$C$32:$E$45,,MATCH($D70,'Landbrugsareal - resultat'!$C$4:$E$4,0)))),IF(H$2=2030,SUMPRODUCT(($B70='Landbrugsareal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resultat'!$I$4:$K$4,0)))))),IF(H$2=2019,SUMPRODUCT(($B70='Landbrugsareal - resultat'!$B$32:$B$45)*(INDEX('Landbrugsareal - resultat'!$L$32:$N$45,,MATCH($D70,'Landbrugsareal - resultat'!$L$4:$N$4,0)))),IF(H$2=2030,SUMPRODUCT(($B70='Landbrugsareal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60.022364000384563</v>
      </c>
      <c r="I70" s="97" cm="1">
        <f t="array" ref="I70">IF($A70="Vestdanmark",IF($C70="Konventionel",IF(I$2=2019,SUMPRODUCT(($B70='Landbrugsareal - resultat'!$B$5:$B$18)*(INDEX('Landbrugsareal - resultat'!$C$5:$E$18,,MATCH($D70,'Landbrugsareal - resultat'!$C$4:$E$4,0)))),IF(I$2=2030,SUMPRODUCT(($B70='Landbrugsareal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resultat'!$I$4:$K$4,0)))))),IF(I$2=2019,SUMPRODUCT(($B70='Landbrugsareal - resultat'!$B$5:$B$18)*(INDEX('Landbrugsareal - resultat'!$L$5:$N$18,,MATCH($D70,'Landbrugsareal - resultat'!$L$4:$N$4,0)))),IF(I$2=2030,SUMPRODUCT(($B70='Landbrugsareal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resultat'!$R$4:$T$4,0))))))),IF($C70="Konventionel",IF(I$2=2019,SUMPRODUCT((C70='Landbrugsareal - resultat'!$B$32:$B$45)*(INDEX('Landbrugsareal - resultat'!$C$32:$E$45,,MATCH($D70,'Landbrugsareal - resultat'!$C$4:$E$4,0)))),IF(I$2=2030,SUMPRODUCT(($B70='Landbrugsareal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resultat'!$I$4:$K$4,0)))))),IF(I$2=2019,SUMPRODUCT(($B70='Landbrugsareal - resultat'!$B$32:$B$45)*(INDEX('Landbrugsareal - resultat'!$L$32:$N$45,,MATCH($D70,'Landbrugsareal - resultat'!$L$4:$N$4,0)))),IF(I$2=2030,SUMPRODUCT(($B70='Landbrugsareal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77.80676814864664</v>
      </c>
    </row>
    <row r="71" spans="1:9" hidden="1" x14ac:dyDescent="0.55000000000000004">
      <c r="A71" t="s">
        <v>23</v>
      </c>
      <c r="B71" s="1" t="str">
        <f>[1]Afgrødefordeling!$C$14</f>
        <v>Pil &amp; poppel</v>
      </c>
      <c r="C71" t="s">
        <v>8</v>
      </c>
      <c r="D71" t="str">
        <f t="shared" si="5"/>
        <v>OC6</v>
      </c>
      <c r="F71" t="str">
        <f t="shared" si="6"/>
        <v>Areal-pil-poppel</v>
      </c>
      <c r="G71" s="97" cm="1">
        <f t="array" ref="G71">IF($A71="Vestdanmark",IF($C71="Konventionel",IF(G$2=2019,SUMPRODUCT(($B71='Landbrugsareal - resultat'!$B$5:$B$18)*(INDEX('Landbrugsareal - resultat'!$C$5:$E$18,,MATCH($D71,'Landbrugsareal - resultat'!$C$4:$E$4,0)))),IF(G$2=2030,SUMPRODUCT(($B71='Landbrugsareal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resultat'!$I$4:$K$4,0)))))),IF(G$2=2019,SUMPRODUCT(($B71='Landbrugsareal - resultat'!$B$5:$B$18)*(INDEX('Landbrugsareal - resultat'!$L$5:$N$18,,MATCH($D71,'Landbrugsareal - resultat'!$L$4:$N$4,0)))),IF(G$2=2030,SUMPRODUCT(($B71='Landbrugsareal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resultat'!$R$4:$T$4,0))))))),IF($C71="Konventionel",IF(G$2=2019,SUMPRODUCT((B71='Landbrugsareal - resultat'!$B$32:$B$45)*(INDEX('Landbrugsareal - resultat'!$C$32:$E$45,,MATCH($D71,'Landbrugsareal - resultat'!$C$4:$E$4,0)))),IF(G$2=2030,SUMPRODUCT(($B71='Landbrugsareal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resultat'!$I$4:$K$4,0)))))),IF(G$2=2019,SUMPRODUCT(($B71='Landbrugsareal - resultat'!$B$32:$B$45)*(INDEX('Landbrugsareal - resultat'!$L$32:$N$45,,MATCH($D71,'Landbrugsareal - resultat'!$L$4:$N$4,0)))),IF(G$2=2030,SUMPRODUCT(($B71='Landbrugsareal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89.457443063950791</v>
      </c>
      <c r="H71" s="97" cm="1">
        <f t="array" ref="H71">IF($A71="Vestdanmark",IF($C71="Konventionel",IF(H$2=2019,SUMPRODUCT(($B71='Landbrugsareal - resultat'!$B$5:$B$18)*(INDEX('Landbrugsareal - resultat'!$C$5:$E$18,,MATCH($D71,'Landbrugsareal - resultat'!$C$4:$E$4,0)))),IF(H$2=2030,SUMPRODUCT(($B71='Landbrugsareal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resultat'!$I$4:$K$4,0)))))),IF(H$2=2019,SUMPRODUCT(($B71='Landbrugsareal - resultat'!$B$5:$B$18)*(INDEX('Landbrugsareal - resultat'!$L$5:$N$18,,MATCH($D71,'Landbrugsareal - resultat'!$L$4:$N$4,0)))),IF(H$2=2030,SUMPRODUCT(($B71='Landbrugsareal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resultat'!$R$4:$T$4,0))))))),IF($C71="Konventionel",IF(H$2=2019,SUMPRODUCT(($B71='Landbrugsareal - resultat'!$B$32:$B$45)*(INDEX('Landbrugsareal - resultat'!$C$32:$E$45,,MATCH($D71,'Landbrugsareal - resultat'!$C$4:$E$4,0)))),IF(H$2=2030,SUMPRODUCT(($B71='Landbrugsareal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resultat'!$I$4:$K$4,0)))))),IF(H$2=2019,SUMPRODUCT(($B71='Landbrugsareal - resultat'!$B$32:$B$45)*(INDEX('Landbrugsareal - resultat'!$L$32:$N$45,,MATCH($D71,'Landbrugsareal - resultat'!$L$4:$N$4,0)))),IF(H$2=2030,SUMPRODUCT(($B71='Landbrugsareal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98.578854439528371</v>
      </c>
      <c r="I71" s="97" cm="1">
        <f t="array" ref="I71">IF($A71="Vestdanmark",IF($C71="Konventionel",IF(I$2=2019,SUMPRODUCT(($B71='Landbrugsareal - resultat'!$B$5:$B$18)*(INDEX('Landbrugsareal - resultat'!$C$5:$E$18,,MATCH($D71,'Landbrugsareal - resultat'!$C$4:$E$4,0)))),IF(I$2=2030,SUMPRODUCT(($B71='Landbrugsareal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resultat'!$I$4:$K$4,0)))))),IF(I$2=2019,SUMPRODUCT(($B71='Landbrugsareal - resultat'!$B$5:$B$18)*(INDEX('Landbrugsareal - resultat'!$L$5:$N$18,,MATCH($D71,'Landbrugsareal - resultat'!$L$4:$N$4,0)))),IF(I$2=2030,SUMPRODUCT(($B71='Landbrugsareal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resultat'!$R$4:$T$4,0))))))),IF($C71="Konventionel",IF(I$2=2019,SUMPRODUCT((C71='Landbrugsareal - resultat'!$B$32:$B$45)*(INDEX('Landbrugsareal - resultat'!$C$32:$E$45,,MATCH($D71,'Landbrugsareal - resultat'!$C$4:$E$4,0)))),IF(I$2=2030,SUMPRODUCT(($B71='Landbrugsareal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resultat'!$I$4:$K$4,0)))))),IF(I$2=2019,SUMPRODUCT(($B71='Landbrugsareal - resultat'!$B$32:$B$45)*(INDEX('Landbrugsareal - resultat'!$L$32:$N$45,,MATCH($D71,'Landbrugsareal - resultat'!$L$4:$N$4,0)))),IF(I$2=2030,SUMPRODUCT(($B71='Landbrugsareal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127.78740390309231</v>
      </c>
    </row>
    <row r="72" spans="1:9" hidden="1" x14ac:dyDescent="0.55000000000000004">
      <c r="A72" t="s">
        <v>23</v>
      </c>
      <c r="B72" s="1" t="str">
        <f>[1]Afgrødefordeling!$C$15</f>
        <v>Permanent græs</v>
      </c>
      <c r="C72" t="s">
        <v>8</v>
      </c>
      <c r="D72" t="str">
        <f t="shared" si="5"/>
        <v>OC6</v>
      </c>
      <c r="F72" t="str">
        <f t="shared" si="6"/>
        <v>Areal-permanent græs</v>
      </c>
      <c r="G72" s="97" cm="1">
        <f t="array" ref="G72">IF($A72="Vestdanmark",IF($C72="Konventionel",IF(G$2=2019,SUMPRODUCT(($B72='Landbrugsareal - resultat'!$B$5:$B$18)*(INDEX('Landbrugsareal - resultat'!$C$5:$E$18,,MATCH($D72,'Landbrugsareal - resultat'!$C$4:$E$4,0)))),IF(G$2=2030,SUMPRODUCT(($B72='Landbrugsareal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resultat'!$I$4:$K$4,0)))))),IF(G$2=2019,SUMPRODUCT(($B72='Landbrugsareal - resultat'!$B$5:$B$18)*(INDEX('Landbrugsareal - resultat'!$L$5:$N$18,,MATCH($D72,'Landbrugsareal - resultat'!$L$4:$N$4,0)))),IF(G$2=2030,SUMPRODUCT(($B72='Landbrugsareal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resultat'!$R$4:$T$4,0))))))),IF($C72="Konventionel",IF(G$2=2019,SUMPRODUCT((B72='Landbrugsareal - resultat'!$B$32:$B$45)*(INDEX('Landbrugsareal - resultat'!$C$32:$E$45,,MATCH($D72,'Landbrugsareal - resultat'!$C$4:$E$4,0)))),IF(G$2=2030,SUMPRODUCT(($B72='Landbrugsareal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resultat'!$I$4:$K$4,0)))))),IF(G$2=2019,SUMPRODUCT(($B72='Landbrugsareal - resultat'!$B$32:$B$45)*(INDEX('Landbrugsareal - resultat'!$L$32:$N$45,,MATCH($D72,'Landbrugsareal - resultat'!$L$4:$N$4,0)))),IF(G$2=2030,SUMPRODUCT(($B72='Landbrugsareal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2528.5204441559808</v>
      </c>
      <c r="H72" s="97" cm="1">
        <f t="array" ref="H72">IF($A72="Vestdanmark",IF($C72="Konventionel",IF(H$2=2019,SUMPRODUCT(($B72='Landbrugsareal - resultat'!$B$5:$B$18)*(INDEX('Landbrugsareal - resultat'!$C$5:$E$18,,MATCH($D72,'Landbrugsareal - resultat'!$C$4:$E$4,0)))),IF(H$2=2030,SUMPRODUCT(($B72='Landbrugsareal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resultat'!$I$4:$K$4,0)))))),IF(H$2=2019,SUMPRODUCT(($B72='Landbrugsareal - resultat'!$B$5:$B$18)*(INDEX('Landbrugsareal - resultat'!$L$5:$N$18,,MATCH($D72,'Landbrugsareal - resultat'!$L$4:$N$4,0)))),IF(H$2=2030,SUMPRODUCT(($B72='Landbrugsareal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resultat'!$R$4:$T$4,0))))))),IF($C72="Konventionel",IF(H$2=2019,SUMPRODUCT(($B72='Landbrugsareal - resultat'!$B$32:$B$45)*(INDEX('Landbrugsareal - resultat'!$C$32:$E$45,,MATCH($D72,'Landbrugsareal - resultat'!$C$4:$E$4,0)))),IF(H$2=2030,SUMPRODUCT(($B72='Landbrugsareal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resultat'!$I$4:$K$4,0)))))),IF(H$2=2019,SUMPRODUCT(($B72='Landbrugsareal - resultat'!$B$32:$B$45)*(INDEX('Landbrugsareal - resultat'!$L$32:$N$45,,MATCH($D72,'Landbrugsareal - resultat'!$L$4:$N$4,0)))),IF(H$2=2030,SUMPRODUCT(($B72='Landbrugsareal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2786.3377297027769</v>
      </c>
      <c r="I72" s="97" cm="1">
        <f t="array" ref="I72">IF($A72="Vestdanmark",IF($C72="Konventionel",IF(I$2=2019,SUMPRODUCT(($B72='Landbrugsareal - resultat'!$B$5:$B$18)*(INDEX('Landbrugsareal - resultat'!$C$5:$E$18,,MATCH($D72,'Landbrugsareal - resultat'!$C$4:$E$4,0)))),IF(I$2=2030,SUMPRODUCT(($B72='Landbrugsareal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resultat'!$I$4:$K$4,0)))))),IF(I$2=2019,SUMPRODUCT(($B72='Landbrugsareal - resultat'!$B$5:$B$18)*(INDEX('Landbrugsareal - resultat'!$L$5:$N$18,,MATCH($D72,'Landbrugsareal - resultat'!$L$4:$N$4,0)))),IF(I$2=2030,SUMPRODUCT(($B72='Landbrugsareal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resultat'!$R$4:$T$4,0))))))),IF($C72="Konventionel",IF(I$2=2019,SUMPRODUCT((C72='Landbrugsareal - resultat'!$B$32:$B$45)*(INDEX('Landbrugsareal - resultat'!$C$32:$E$45,,MATCH($D72,'Landbrugsareal - resultat'!$C$4:$E$4,0)))),IF(I$2=2030,SUMPRODUCT(($B72='Landbrugsareal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resultat'!$I$4:$K$4,0)))))),IF(I$2=2019,SUMPRODUCT(($B72='Landbrugsareal - resultat'!$B$32:$B$45)*(INDEX('Landbrugsareal - resultat'!$L$32:$N$45,,MATCH($D72,'Landbrugsareal - resultat'!$L$4:$N$4,0)))),IF(I$2=2030,SUMPRODUCT(($B72='Landbrugsareal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3611.9192792443396</v>
      </c>
    </row>
    <row r="73" spans="1:9" hidden="1" x14ac:dyDescent="0.55000000000000004">
      <c r="A73" t="s">
        <v>23</v>
      </c>
      <c r="B73" s="1" t="str">
        <f>[1]Afgrødefordeling!$C$2</f>
        <v>Korn</v>
      </c>
      <c r="C73" t="s">
        <v>8</v>
      </c>
      <c r="D73" t="str">
        <f t="shared" ref="D73:D86" si="7">Organ12</f>
        <v>OC12</v>
      </c>
      <c r="F73" t="str">
        <f t="shared" si="6"/>
        <v>Areal-korn</v>
      </c>
      <c r="G73" s="97" cm="1">
        <f t="array" ref="G73">IF($A73="Vestdanmark",IF($C73="Konventionel",IF(G$2=2019,SUMPRODUCT(($B73='Landbrugsareal - resultat'!$B$5:$B$18)*(INDEX('Landbrugsareal - resultat'!$C$5:$E$18,,MATCH($D73,'Landbrugsareal - resultat'!$C$4:$E$4,0)))),IF(G$2=2030,SUMPRODUCT(($B73='Landbrugsareal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resultat'!$I$4:$K$4,0)))))),IF(G$2=2019,SUMPRODUCT(($B73='Landbrugsareal - resultat'!$B$5:$B$18)*(INDEX('Landbrugsareal - resultat'!$L$5:$N$18,,MATCH($D73,'Landbrugsareal - resultat'!$L$4:$N$4,0)))),IF(G$2=2030,SUMPRODUCT(($B73='Landbrugsareal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resultat'!$R$4:$T$4,0))))))),IF($C73="Konventionel",IF(G$2=2019,SUMPRODUCT((B73='Landbrugsareal - resultat'!$B$32:$B$45)*(INDEX('Landbrugsareal - resultat'!$C$32:$E$45,,MATCH($D73,'Landbrugsareal - resultat'!$C$4:$E$4,0)))),IF(G$2=2030,SUMPRODUCT(($B73='Landbrugsareal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resultat'!$I$4:$K$4,0)))))),IF(G$2=2019,SUMPRODUCT(($B73='Landbrugsareal - resultat'!$B$32:$B$45)*(INDEX('Landbrugsareal - resultat'!$L$32:$N$45,,MATCH($D73,'Landbrugsareal - resultat'!$L$4:$N$4,0)))),IF(G$2=2030,SUMPRODUCT(($B73='Landbrugsareal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1521.2775270361781</v>
      </c>
      <c r="H73" s="97" cm="1">
        <f t="array" ref="H73">IF($A73="Vestdanmark",IF($C73="Konventionel",IF(H$2=2019,SUMPRODUCT(($B73='Landbrugsareal - resultat'!$B$5:$B$18)*(INDEX('Landbrugsareal - resultat'!$C$5:$E$18,,MATCH($D73,'Landbrugsareal - resultat'!$C$4:$E$4,0)))),IF(H$2=2030,SUMPRODUCT(($B73='Landbrugsareal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resultat'!$I$4:$K$4,0)))))),IF(H$2=2019,SUMPRODUCT(($B73='Landbrugsareal - resultat'!$B$5:$B$18)*(INDEX('Landbrugsareal - resultat'!$L$5:$N$18,,MATCH($D73,'Landbrugsareal - resultat'!$L$4:$N$4,0)))),IF(H$2=2030,SUMPRODUCT(($B73='Landbrugsareal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resultat'!$R$4:$T$4,0))))))),IF($C73="Konventionel",IF(H$2=2019,SUMPRODUCT(($B73='Landbrugsareal - resultat'!$B$32:$B$45)*(INDEX('Landbrugsareal - resultat'!$C$32:$E$45,,MATCH($D73,'Landbrugsareal - resultat'!$C$4:$E$4,0)))),IF(H$2=2030,SUMPRODUCT(($B73='Landbrugsareal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resultat'!$I$4:$K$4,0)))))),IF(H$2=2019,SUMPRODUCT(($B73='Landbrugsareal - resultat'!$B$32:$B$45)*(INDEX('Landbrugsareal - resultat'!$L$32:$N$45,,MATCH($D73,'Landbrugsareal - resultat'!$L$4:$N$4,0)))),IF(H$2=2030,SUMPRODUCT(($B73='Landbrugsareal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1637.9085780848618</v>
      </c>
      <c r="I73" s="97" cm="1">
        <f t="array" ref="I73">IF($A73="Vestdanmark",IF($C73="Konventionel",IF(I$2=2019,SUMPRODUCT(($B73='Landbrugsareal - resultat'!$B$5:$B$18)*(INDEX('Landbrugsareal - resultat'!$C$5:$E$18,,MATCH($D73,'Landbrugsareal - resultat'!$C$4:$E$4,0)))),IF(I$2=2030,SUMPRODUCT(($B73='Landbrugsareal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resultat'!$I$4:$K$4,0)))))),IF(I$2=2019,SUMPRODUCT(($B73='Landbrugsareal - resultat'!$B$5:$B$18)*(INDEX('Landbrugsareal - resultat'!$L$5:$N$18,,MATCH($D73,'Landbrugsareal - resultat'!$L$4:$N$4,0)))),IF(I$2=2030,SUMPRODUCT(($B73='Landbrugsareal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resultat'!$R$4:$T$4,0))))))),IF($C73="Konventionel",IF(I$2=2019,SUMPRODUCT((C73='Landbrugsareal - resultat'!$B$32:$B$45)*(INDEX('Landbrugsareal - resultat'!$C$32:$E$45,,MATCH($D73,'Landbrugsareal - resultat'!$C$4:$E$4,0)))),IF(I$2=2030,SUMPRODUCT(($B73='Landbrugsareal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resultat'!$I$4:$K$4,0)))))),IF(I$2=2019,SUMPRODUCT(($B73='Landbrugsareal - resultat'!$B$32:$B$45)*(INDEX('Landbrugsareal - resultat'!$L$32:$N$45,,MATCH($D73,'Landbrugsareal - resultat'!$L$4:$N$4,0)))),IF(I$2=2030,SUMPRODUCT(($B73='Landbrugsareal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2123.2148234433389</v>
      </c>
    </row>
    <row r="74" spans="1:9" hidden="1" x14ac:dyDescent="0.55000000000000004">
      <c r="A74" t="s">
        <v>23</v>
      </c>
      <c r="B74" s="1" t="str">
        <f>[1]Afgrødefordeling!$C$3</f>
        <v>Bælgsæd</v>
      </c>
      <c r="C74" t="s">
        <v>8</v>
      </c>
      <c r="D74" t="str">
        <f t="shared" si="7"/>
        <v>OC12</v>
      </c>
      <c r="F74" t="str">
        <f t="shared" si="6"/>
        <v>Areal-bælgsæd</v>
      </c>
      <c r="G74" s="97" cm="1">
        <f t="array" ref="G74">IF($A74="Vestdanmark",IF($C74="Konventionel",IF(G$2=2019,SUMPRODUCT(($B74='Landbrugsareal - resultat'!$B$5:$B$18)*(INDEX('Landbrugsareal - resultat'!$C$5:$E$18,,MATCH($D74,'Landbrugsareal - resultat'!$C$4:$E$4,0)))),IF(G$2=2030,SUMPRODUCT(($B74='Landbrugsareal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resultat'!$I$4:$K$4,0)))))),IF(G$2=2019,SUMPRODUCT(($B74='Landbrugsareal - resultat'!$B$5:$B$18)*(INDEX('Landbrugsareal - resultat'!$L$5:$N$18,,MATCH($D74,'Landbrugsareal - resultat'!$L$4:$N$4,0)))),IF(G$2=2030,SUMPRODUCT(($B74='Landbrugsareal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resultat'!$R$4:$T$4,0))))))),IF($C74="Konventionel",IF(G$2=2019,SUMPRODUCT((B74='Landbrugsareal - resultat'!$B$32:$B$45)*(INDEX('Landbrugsareal - resultat'!$C$32:$E$45,,MATCH($D74,'Landbrugsareal - resultat'!$C$4:$E$4,0)))),IF(G$2=2030,SUMPRODUCT(($B74='Landbrugsareal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resultat'!$I$4:$K$4,0)))))),IF(G$2=2019,SUMPRODUCT(($B74='Landbrugsareal - resultat'!$B$32:$B$45)*(INDEX('Landbrugsareal - resultat'!$L$32:$N$45,,MATCH($D74,'Landbrugsareal - resultat'!$L$4:$N$4,0)))),IF(G$2=2030,SUMPRODUCT(($B74='Landbrugsareal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87.593976908399355</v>
      </c>
      <c r="H74" s="97" cm="1">
        <f t="array" ref="H74">IF($A74="Vestdanmark",IF($C74="Konventionel",IF(H$2=2019,SUMPRODUCT(($B74='Landbrugsareal - resultat'!$B$5:$B$18)*(INDEX('Landbrugsareal - resultat'!$C$5:$E$18,,MATCH($D74,'Landbrugsareal - resultat'!$C$4:$E$4,0)))),IF(H$2=2030,SUMPRODUCT(($B74='Landbrugsareal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resultat'!$I$4:$K$4,0)))))),IF(H$2=2019,SUMPRODUCT(($B74='Landbrugsareal - resultat'!$B$5:$B$18)*(INDEX('Landbrugsareal - resultat'!$L$5:$N$18,,MATCH($D74,'Landbrugsareal - resultat'!$L$4:$N$4,0)))),IF(H$2=2030,SUMPRODUCT(($B74='Landbrugsareal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resultat'!$R$4:$T$4,0))))))),IF($C74="Konventionel",IF(H$2=2019,SUMPRODUCT(($B74='Landbrugsareal - resultat'!$B$32:$B$45)*(INDEX('Landbrugsareal - resultat'!$C$32:$E$45,,MATCH($D74,'Landbrugsareal - resultat'!$C$4:$E$4,0)))),IF(H$2=2030,SUMPRODUCT(($B74='Landbrugsareal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resultat'!$I$4:$K$4,0)))))),IF(H$2=2019,SUMPRODUCT(($B74='Landbrugsareal - resultat'!$B$32:$B$45)*(INDEX('Landbrugsareal - resultat'!$L$32:$N$45,,MATCH($D74,'Landbrugsareal - resultat'!$L$4:$N$4,0)))),IF(H$2=2030,SUMPRODUCT(($B74='Landbrugsareal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94.309502123751969</v>
      </c>
      <c r="I74" s="97" cm="1">
        <f t="array" ref="I74">IF($A74="Vestdanmark",IF($C74="Konventionel",IF(I$2=2019,SUMPRODUCT(($B74='Landbrugsareal - resultat'!$B$5:$B$18)*(INDEX('Landbrugsareal - resultat'!$C$5:$E$18,,MATCH($D74,'Landbrugsareal - resultat'!$C$4:$E$4,0)))),IF(I$2=2030,SUMPRODUCT(($B74='Landbrugsareal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resultat'!$I$4:$K$4,0)))))),IF(I$2=2019,SUMPRODUCT(($B74='Landbrugsareal - resultat'!$B$5:$B$18)*(INDEX('Landbrugsareal - resultat'!$L$5:$N$18,,MATCH($D74,'Landbrugsareal - resultat'!$L$4:$N$4,0)))),IF(I$2=2030,SUMPRODUCT(($B74='Landbrugsareal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resultat'!$R$4:$T$4,0))))))),IF($C74="Konventionel",IF(I$2=2019,SUMPRODUCT((C74='Landbrugsareal - resultat'!$B$32:$B$45)*(INDEX('Landbrugsareal - resultat'!$C$32:$E$45,,MATCH($D74,'Landbrugsareal - resultat'!$C$4:$E$4,0)))),IF(I$2=2030,SUMPRODUCT(($B74='Landbrugsareal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resultat'!$I$4:$K$4,0)))))),IF(I$2=2019,SUMPRODUCT(($B74='Landbrugsareal - resultat'!$B$32:$B$45)*(INDEX('Landbrugsareal - resultat'!$L$32:$N$45,,MATCH($D74,'Landbrugsareal - resultat'!$L$4:$N$4,0)))),IF(I$2=2030,SUMPRODUCT(($B74='Landbrugsareal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122.25305830856736</v>
      </c>
    </row>
    <row r="75" spans="1:9" hidden="1" x14ac:dyDescent="0.55000000000000004">
      <c r="A75" t="s">
        <v>23</v>
      </c>
      <c r="B75" s="1" t="str">
        <f>[1]Afgrødefordeling!$C$4</f>
        <v>Raps</v>
      </c>
      <c r="C75" t="s">
        <v>8</v>
      </c>
      <c r="D75" t="str">
        <f t="shared" si="7"/>
        <v>OC12</v>
      </c>
      <c r="F75" t="str">
        <f t="shared" si="6"/>
        <v>Areal-raps</v>
      </c>
      <c r="G75" s="97" cm="1">
        <f t="array" ref="G75">IF($A75="Vestdanmark",IF($C75="Konventionel",IF(G$2=2019,SUMPRODUCT(($B75='Landbrugsareal - resultat'!$B$5:$B$18)*(INDEX('Landbrugsareal - resultat'!$C$5:$E$18,,MATCH($D75,'Landbrugsareal - resultat'!$C$4:$E$4,0)))),IF(G$2=2030,SUMPRODUCT(($B75='Landbrugsareal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resultat'!$I$4:$K$4,0)))))),IF(G$2=2019,SUMPRODUCT(($B75='Landbrugsareal - resultat'!$B$5:$B$18)*(INDEX('Landbrugsareal - resultat'!$L$5:$N$18,,MATCH($D75,'Landbrugsareal - resultat'!$L$4:$N$4,0)))),IF(G$2=2030,SUMPRODUCT(($B75='Landbrugsareal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resultat'!$R$4:$T$4,0))))))),IF($C75="Konventionel",IF(G$2=2019,SUMPRODUCT((B75='Landbrugsareal - resultat'!$B$32:$B$45)*(INDEX('Landbrugsareal - resultat'!$C$32:$E$45,,MATCH($D75,'Landbrugsareal - resultat'!$C$4:$E$4,0)))),IF(G$2=2030,SUMPRODUCT(($B75='Landbrugsareal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resultat'!$I$4:$K$4,0)))))),IF(G$2=2019,SUMPRODUCT(($B75='Landbrugsareal - resultat'!$B$32:$B$45)*(INDEX('Landbrugsareal - resultat'!$L$32:$N$45,,MATCH($D75,'Landbrugsareal - resultat'!$L$4:$N$4,0)))),IF(G$2=2030,SUMPRODUCT(($B75='Landbrugsareal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113.43023364094317</v>
      </c>
      <c r="H75" s="97" cm="1">
        <f t="array" ref="H75">IF($A75="Vestdanmark",IF($C75="Konventionel",IF(H$2=2019,SUMPRODUCT(($B75='Landbrugsareal - resultat'!$B$5:$B$18)*(INDEX('Landbrugsareal - resultat'!$C$5:$E$18,,MATCH($D75,'Landbrugsareal - resultat'!$C$4:$E$4,0)))),IF(H$2=2030,SUMPRODUCT(($B75='Landbrugsareal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resultat'!$I$4:$K$4,0)))))),IF(H$2=2019,SUMPRODUCT(($B75='Landbrugsareal - resultat'!$B$5:$B$18)*(INDEX('Landbrugsareal - resultat'!$L$5:$N$18,,MATCH($D75,'Landbrugsareal - resultat'!$L$4:$N$4,0)))),IF(H$2=2030,SUMPRODUCT(($B75='Landbrugsareal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resultat'!$R$4:$T$4,0))))))),IF($C75="Konventionel",IF(H$2=2019,SUMPRODUCT(($B75='Landbrugsareal - resultat'!$B$32:$B$45)*(INDEX('Landbrugsareal - resultat'!$C$32:$E$45,,MATCH($D75,'Landbrugsareal - resultat'!$C$4:$E$4,0)))),IF(H$2=2030,SUMPRODUCT(($B75='Landbrugsareal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resultat'!$I$4:$K$4,0)))))),IF(H$2=2019,SUMPRODUCT(($B75='Landbrugsareal - resultat'!$B$32:$B$45)*(INDEX('Landbrugsareal - resultat'!$L$32:$N$45,,MATCH($D75,'Landbrugsareal - resultat'!$L$4:$N$4,0)))),IF(H$2=2030,SUMPRODUCT(($B75='Landbrugsareal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122.12653470049754</v>
      </c>
      <c r="I75" s="97" cm="1">
        <f t="array" ref="I75">IF($A75="Vestdanmark",IF($C75="Konventionel",IF(I$2=2019,SUMPRODUCT(($B75='Landbrugsareal - resultat'!$B$5:$B$18)*(INDEX('Landbrugsareal - resultat'!$C$5:$E$18,,MATCH($D75,'Landbrugsareal - resultat'!$C$4:$E$4,0)))),IF(I$2=2030,SUMPRODUCT(($B75='Landbrugsareal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resultat'!$I$4:$K$4,0)))))),IF(I$2=2019,SUMPRODUCT(($B75='Landbrugsareal - resultat'!$B$5:$B$18)*(INDEX('Landbrugsareal - resultat'!$L$5:$N$18,,MATCH($D75,'Landbrugsareal - resultat'!$L$4:$N$4,0)))),IF(I$2=2030,SUMPRODUCT(($B75='Landbrugsareal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resultat'!$R$4:$T$4,0))))))),IF($C75="Konventionel",IF(I$2=2019,SUMPRODUCT((C75='Landbrugsareal - resultat'!$B$32:$B$45)*(INDEX('Landbrugsareal - resultat'!$C$32:$E$45,,MATCH($D75,'Landbrugsareal - resultat'!$C$4:$E$4,0)))),IF(I$2=2030,SUMPRODUCT(($B75='Landbrugsareal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resultat'!$I$4:$K$4,0)))))),IF(I$2=2019,SUMPRODUCT(($B75='Landbrugsareal - resultat'!$B$32:$B$45)*(INDEX('Landbrugsareal - resultat'!$L$32:$N$45,,MATCH($D75,'Landbrugsareal - resultat'!$L$4:$N$4,0)))),IF(I$2=2030,SUMPRODUCT(($B75='Landbrugsareal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158.31217461175603</v>
      </c>
    </row>
    <row r="76" spans="1:9" hidden="1" x14ac:dyDescent="0.55000000000000004">
      <c r="A76" t="s">
        <v>23</v>
      </c>
      <c r="B76" s="1" t="str">
        <f>[1]Afgrødefordeling!$C$5</f>
        <v>Græs</v>
      </c>
      <c r="C76" t="s">
        <v>8</v>
      </c>
      <c r="D76" t="str">
        <f t="shared" si="7"/>
        <v>OC12</v>
      </c>
      <c r="F76" t="str">
        <f t="shared" si="6"/>
        <v>Areal-græs</v>
      </c>
      <c r="G76" s="97" cm="1">
        <f t="array" ref="G76">IF($A76="Vestdanmark",IF($C76="Konventionel",IF(G$2=2019,SUMPRODUCT(($B76='Landbrugsareal - resultat'!$B$5:$B$18)*(INDEX('Landbrugsareal - resultat'!$C$5:$E$18,,MATCH($D76,'Landbrugsareal - resultat'!$C$4:$E$4,0)))),IF(G$2=2030,SUMPRODUCT(($B76='Landbrugsareal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resultat'!$I$4:$K$4,0)))))),IF(G$2=2019,SUMPRODUCT(($B76='Landbrugsareal - resultat'!$B$5:$B$18)*(INDEX('Landbrugsareal - resultat'!$L$5:$N$18,,MATCH($D76,'Landbrugsareal - resultat'!$L$4:$N$4,0)))),IF(G$2=2030,SUMPRODUCT(($B76='Landbrugsareal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resultat'!$R$4:$T$4,0))))))),IF($C76="Konventionel",IF(G$2=2019,SUMPRODUCT((B76='Landbrugsareal - resultat'!$B$32:$B$45)*(INDEX('Landbrugsareal - resultat'!$C$32:$E$45,,MATCH($D76,'Landbrugsareal - resultat'!$C$4:$E$4,0)))),IF(G$2=2030,SUMPRODUCT(($B76='Landbrugsareal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resultat'!$I$4:$K$4,0)))))),IF(G$2=2019,SUMPRODUCT(($B76='Landbrugsareal - resultat'!$B$32:$B$45)*(INDEX('Landbrugsareal - resultat'!$L$32:$N$45,,MATCH($D76,'Landbrugsareal - resultat'!$L$4:$N$4,0)))),IF(G$2=2030,SUMPRODUCT(($B76='Landbrugsareal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2616.0592560989035</v>
      </c>
      <c r="H76" s="97" cm="1">
        <f t="array" ref="H76">IF($A76="Vestdanmark",IF($C76="Konventionel",IF(H$2=2019,SUMPRODUCT(($B76='Landbrugsareal - resultat'!$B$5:$B$18)*(INDEX('Landbrugsareal - resultat'!$C$5:$E$18,,MATCH($D76,'Landbrugsareal - resultat'!$C$4:$E$4,0)))),IF(H$2=2030,SUMPRODUCT(($B76='Landbrugsareal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resultat'!$I$4:$K$4,0)))))),IF(H$2=2019,SUMPRODUCT(($B76='Landbrugsareal - resultat'!$B$5:$B$18)*(INDEX('Landbrugsareal - resultat'!$L$5:$N$18,,MATCH($D76,'Landbrugsareal - resultat'!$L$4:$N$4,0)))),IF(H$2=2030,SUMPRODUCT(($B76='Landbrugsareal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resultat'!$R$4:$T$4,0))))))),IF($C76="Konventionel",IF(H$2=2019,SUMPRODUCT(($B76='Landbrugsareal - resultat'!$B$32:$B$45)*(INDEX('Landbrugsareal - resultat'!$C$32:$E$45,,MATCH($D76,'Landbrugsareal - resultat'!$C$4:$E$4,0)))),IF(H$2=2030,SUMPRODUCT(($B76='Landbrugsareal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resultat'!$I$4:$K$4,0)))))),IF(H$2=2019,SUMPRODUCT(($B76='Landbrugsareal - resultat'!$B$32:$B$45)*(INDEX('Landbrugsareal - resultat'!$L$32:$N$45,,MATCH($D76,'Landbrugsareal - resultat'!$L$4:$N$4,0)))),IF(H$2=2030,SUMPRODUCT(($B76='Landbrugsareal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2816.6234103849979</v>
      </c>
      <c r="I76" s="97" cm="1">
        <f t="array" ref="I76">IF($A76="Vestdanmark",IF($C76="Konventionel",IF(I$2=2019,SUMPRODUCT(($B76='Landbrugsareal - resultat'!$B$5:$B$18)*(INDEX('Landbrugsareal - resultat'!$C$5:$E$18,,MATCH($D76,'Landbrugsareal - resultat'!$C$4:$E$4,0)))),IF(I$2=2030,SUMPRODUCT(($B76='Landbrugsareal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resultat'!$I$4:$K$4,0)))))),IF(I$2=2019,SUMPRODUCT(($B76='Landbrugsareal - resultat'!$B$5:$B$18)*(INDEX('Landbrugsareal - resultat'!$L$5:$N$18,,MATCH($D76,'Landbrugsareal - resultat'!$L$4:$N$4,0)))),IF(I$2=2030,SUMPRODUCT(($B76='Landbrugsareal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resultat'!$R$4:$T$4,0))))))),IF($C76="Konventionel",IF(I$2=2019,SUMPRODUCT((C76='Landbrugsareal - resultat'!$B$32:$B$45)*(INDEX('Landbrugsareal - resultat'!$C$32:$E$45,,MATCH($D76,'Landbrugsareal - resultat'!$C$4:$E$4,0)))),IF(I$2=2030,SUMPRODUCT(($B76='Landbrugsareal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resultat'!$I$4:$K$4,0)))))),IF(I$2=2019,SUMPRODUCT(($B76='Landbrugsareal - resultat'!$B$32:$B$45)*(INDEX('Landbrugsareal - resultat'!$L$32:$N$45,,MATCH($D76,'Landbrugsareal - resultat'!$L$4:$N$4,0)))),IF(I$2=2030,SUMPRODUCT(($B76='Landbrugsareal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3651.178494943515</v>
      </c>
    </row>
    <row r="77" spans="1:9" hidden="1" x14ac:dyDescent="0.55000000000000004">
      <c r="A77" t="s">
        <v>23</v>
      </c>
      <c r="B77" s="1" t="str">
        <f>[1]Afgrødefordeling!$C$6</f>
        <v>Grøntsager</v>
      </c>
      <c r="C77" t="s">
        <v>8</v>
      </c>
      <c r="D77" t="str">
        <f t="shared" si="7"/>
        <v>OC12</v>
      </c>
      <c r="F77" t="str">
        <f t="shared" si="6"/>
        <v>Areal-grøntsager</v>
      </c>
      <c r="G77" s="97" cm="1">
        <f t="array" ref="G77">IF($A77="Vestdanmark",IF($C77="Konventionel",IF(G$2=2019,SUMPRODUCT(($B77='Landbrugsareal - resultat'!$B$5:$B$18)*(INDEX('Landbrugsareal - resultat'!$C$5:$E$18,,MATCH($D77,'Landbrugsareal - resultat'!$C$4:$E$4,0)))),IF(G$2=2030,SUMPRODUCT(($B77='Landbrugsareal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resultat'!$I$4:$K$4,0)))))),IF(G$2=2019,SUMPRODUCT(($B77='Landbrugsareal - resultat'!$B$5:$B$18)*(INDEX('Landbrugsareal - resultat'!$L$5:$N$18,,MATCH($D77,'Landbrugsareal - resultat'!$L$4:$N$4,0)))),IF(G$2=2030,SUMPRODUCT(($B77='Landbrugsareal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resultat'!$R$4:$T$4,0))))))),IF($C77="Konventionel",IF(G$2=2019,SUMPRODUCT((B77='Landbrugsareal - resultat'!$B$32:$B$45)*(INDEX('Landbrugsareal - resultat'!$C$32:$E$45,,MATCH($D77,'Landbrugsareal - resultat'!$C$4:$E$4,0)))),IF(G$2=2030,SUMPRODUCT(($B77='Landbrugsareal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resultat'!$I$4:$K$4,0)))))),IF(G$2=2019,SUMPRODUCT(($B77='Landbrugsareal - resultat'!$B$32:$B$45)*(INDEX('Landbrugsareal - resultat'!$L$32:$N$45,,MATCH($D77,'Landbrugsareal - resultat'!$L$4:$N$4,0)))),IF(G$2=2030,SUMPRODUCT(($B77='Landbrugsareal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3.0406783938354529</v>
      </c>
      <c r="H77" s="97" cm="1">
        <f t="array" ref="H77">IF($A77="Vestdanmark",IF($C77="Konventionel",IF(H$2=2019,SUMPRODUCT(($B77='Landbrugsareal - resultat'!$B$5:$B$18)*(INDEX('Landbrugsareal - resultat'!$C$5:$E$18,,MATCH($D77,'Landbrugsareal - resultat'!$C$4:$E$4,0)))),IF(H$2=2030,SUMPRODUCT(($B77='Landbrugsareal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resultat'!$I$4:$K$4,0)))))),IF(H$2=2019,SUMPRODUCT(($B77='Landbrugsareal - resultat'!$B$5:$B$18)*(INDEX('Landbrugsareal - resultat'!$L$5:$N$18,,MATCH($D77,'Landbrugsareal - resultat'!$L$4:$N$4,0)))),IF(H$2=2030,SUMPRODUCT(($B77='Landbrugsareal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resultat'!$R$4:$T$4,0))))))),IF($C77="Konventionel",IF(H$2=2019,SUMPRODUCT(($B77='Landbrugsareal - resultat'!$B$32:$B$45)*(INDEX('Landbrugsareal - resultat'!$C$32:$E$45,,MATCH($D77,'Landbrugsareal - resultat'!$C$4:$E$4,0)))),IF(H$2=2030,SUMPRODUCT(($B77='Landbrugsareal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resultat'!$I$4:$K$4,0)))))),IF(H$2=2019,SUMPRODUCT(($B77='Landbrugsareal - resultat'!$B$32:$B$45)*(INDEX('Landbrugsareal - resultat'!$L$32:$N$45,,MATCH($D77,'Landbrugsareal - resultat'!$L$4:$N$4,0)))),IF(H$2=2030,SUMPRODUCT(($B77='Landbrugsareal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3.2737966189268159</v>
      </c>
      <c r="I77" s="97" cm="1">
        <f t="array" ref="I77">IF($A77="Vestdanmark",IF($C77="Konventionel",IF(I$2=2019,SUMPRODUCT(($B77='Landbrugsareal - resultat'!$B$5:$B$18)*(INDEX('Landbrugsareal - resultat'!$C$5:$E$18,,MATCH($D77,'Landbrugsareal - resultat'!$C$4:$E$4,0)))),IF(I$2=2030,SUMPRODUCT(($B77='Landbrugsareal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resultat'!$I$4:$K$4,0)))))),IF(I$2=2019,SUMPRODUCT(($B77='Landbrugsareal - resultat'!$B$5:$B$18)*(INDEX('Landbrugsareal - resultat'!$L$5:$N$18,,MATCH($D77,'Landbrugsareal - resultat'!$L$4:$N$4,0)))),IF(I$2=2030,SUMPRODUCT(($B77='Landbrugsareal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resultat'!$R$4:$T$4,0))))))),IF($C77="Konventionel",IF(I$2=2019,SUMPRODUCT((C77='Landbrugsareal - resultat'!$B$32:$B$45)*(INDEX('Landbrugsareal - resultat'!$C$32:$E$45,,MATCH($D77,'Landbrugsareal - resultat'!$C$4:$E$4,0)))),IF(I$2=2030,SUMPRODUCT(($B77='Landbrugsareal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resultat'!$I$4:$K$4,0)))))),IF(I$2=2019,SUMPRODUCT(($B77='Landbrugsareal - resultat'!$B$32:$B$45)*(INDEX('Landbrugsareal - resultat'!$L$32:$N$45,,MATCH($D77,'Landbrugsareal - resultat'!$L$4:$N$4,0)))),IF(I$2=2030,SUMPRODUCT(($B77='Landbrugsareal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4.2438104319421681</v>
      </c>
    </row>
    <row r="78" spans="1:9" hidden="1" x14ac:dyDescent="0.55000000000000004">
      <c r="A78" t="s">
        <v>23</v>
      </c>
      <c r="B78" s="1" t="str">
        <f>[1]Afgrødefordeling!$C$7</f>
        <v>Kartofler</v>
      </c>
      <c r="C78" t="s">
        <v>8</v>
      </c>
      <c r="D78" t="str">
        <f t="shared" si="7"/>
        <v>OC12</v>
      </c>
      <c r="F78" t="str">
        <f t="shared" si="6"/>
        <v>Areal-kartofler</v>
      </c>
      <c r="G78" s="97" cm="1">
        <f t="array" ref="G78">IF($A78="Vestdanmark",IF($C78="Konventionel",IF(G$2=2019,SUMPRODUCT(($B78='Landbrugsareal - resultat'!$B$5:$B$18)*(INDEX('Landbrugsareal - resultat'!$C$5:$E$18,,MATCH($D78,'Landbrugsareal - resultat'!$C$4:$E$4,0)))),IF(G$2=2030,SUMPRODUCT(($B78='Landbrugsareal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resultat'!$I$4:$K$4,0)))))),IF(G$2=2019,SUMPRODUCT(($B78='Landbrugsareal - resultat'!$B$5:$B$18)*(INDEX('Landbrugsareal - resultat'!$L$5:$N$18,,MATCH($D78,'Landbrugsareal - resultat'!$L$4:$N$4,0)))),IF(G$2=2030,SUMPRODUCT(($B78='Landbrugsareal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resultat'!$R$4:$T$4,0))))))),IF($C78="Konventionel",IF(G$2=2019,SUMPRODUCT((B78='Landbrugsareal - resultat'!$B$32:$B$45)*(INDEX('Landbrugsareal - resultat'!$C$32:$E$45,,MATCH($D78,'Landbrugsareal - resultat'!$C$4:$E$4,0)))),IF(G$2=2030,SUMPRODUCT(($B78='Landbrugsareal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resultat'!$I$4:$K$4,0)))))),IF(G$2=2019,SUMPRODUCT(($B78='Landbrugsareal - resultat'!$B$32:$B$45)*(INDEX('Landbrugsareal - resultat'!$L$32:$N$45,,MATCH($D78,'Landbrugsareal - resultat'!$L$4:$N$4,0)))),IF(G$2=2030,SUMPRODUCT(($B78='Landbrugsareal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160.94399904722869</v>
      </c>
      <c r="H78" s="97" cm="1">
        <f t="array" ref="H78">IF($A78="Vestdanmark",IF($C78="Konventionel",IF(H$2=2019,SUMPRODUCT(($B78='Landbrugsareal - resultat'!$B$5:$B$18)*(INDEX('Landbrugsareal - resultat'!$C$5:$E$18,,MATCH($D78,'Landbrugsareal - resultat'!$C$4:$E$4,0)))),IF(H$2=2030,SUMPRODUCT(($B78='Landbrugsareal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resultat'!$I$4:$K$4,0)))))),IF(H$2=2019,SUMPRODUCT(($B78='Landbrugsareal - resultat'!$B$5:$B$18)*(INDEX('Landbrugsareal - resultat'!$L$5:$N$18,,MATCH($D78,'Landbrugsareal - resultat'!$L$4:$N$4,0)))),IF(H$2=2030,SUMPRODUCT(($B78='Landbrugsareal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resultat'!$R$4:$T$4,0))))))),IF($C78="Konventionel",IF(H$2=2019,SUMPRODUCT(($B78='Landbrugsareal - resultat'!$B$32:$B$45)*(INDEX('Landbrugsareal - resultat'!$C$32:$E$45,,MATCH($D78,'Landbrugsareal - resultat'!$C$4:$E$4,0)))),IF(H$2=2030,SUMPRODUCT(($B78='Landbrugsareal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resultat'!$I$4:$K$4,0)))))),IF(H$2=2019,SUMPRODUCT(($B78='Landbrugsareal - resultat'!$B$32:$B$45)*(INDEX('Landbrugsareal - resultat'!$L$32:$N$45,,MATCH($D78,'Landbrugsareal - resultat'!$L$4:$N$4,0)))),IF(H$2=2030,SUMPRODUCT(($B78='Landbrugsareal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173.28301506189848</v>
      </c>
      <c r="I78" s="97" cm="1">
        <f t="array" ref="I78">IF($A78="Vestdanmark",IF($C78="Konventionel",IF(I$2=2019,SUMPRODUCT(($B78='Landbrugsareal - resultat'!$B$5:$B$18)*(INDEX('Landbrugsareal - resultat'!$C$5:$E$18,,MATCH($D78,'Landbrugsareal - resultat'!$C$4:$E$4,0)))),IF(I$2=2030,SUMPRODUCT(($B78='Landbrugsareal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resultat'!$I$4:$K$4,0)))))),IF(I$2=2019,SUMPRODUCT(($B78='Landbrugsareal - resultat'!$B$5:$B$18)*(INDEX('Landbrugsareal - resultat'!$L$5:$N$18,,MATCH($D78,'Landbrugsareal - resultat'!$L$4:$N$4,0)))),IF(I$2=2030,SUMPRODUCT(($B78='Landbrugsareal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resultat'!$R$4:$T$4,0))))))),IF($C78="Konventionel",IF(I$2=2019,SUMPRODUCT((C78='Landbrugsareal - resultat'!$B$32:$B$45)*(INDEX('Landbrugsareal - resultat'!$C$32:$E$45,,MATCH($D78,'Landbrugsareal - resultat'!$C$4:$E$4,0)))),IF(I$2=2030,SUMPRODUCT(($B78='Landbrugsareal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resultat'!$I$4:$K$4,0)))))),IF(I$2=2019,SUMPRODUCT(($B78='Landbrugsareal - resultat'!$B$32:$B$45)*(INDEX('Landbrugsareal - resultat'!$L$32:$N$45,,MATCH($D78,'Landbrugsareal - resultat'!$L$4:$N$4,0)))),IF(I$2=2030,SUMPRODUCT(($B78='Landbrugsareal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224.62613063579431</v>
      </c>
    </row>
    <row r="79" spans="1:9" hidden="1" x14ac:dyDescent="0.55000000000000004">
      <c r="A79" t="s">
        <v>23</v>
      </c>
      <c r="B79" s="1" t="str">
        <f>[1]Afgrødefordeling!$C$8</f>
        <v>Roer</v>
      </c>
      <c r="C79" t="s">
        <v>8</v>
      </c>
      <c r="D79" t="str">
        <f t="shared" si="7"/>
        <v>OC12</v>
      </c>
      <c r="F79" t="str">
        <f t="shared" si="6"/>
        <v>Areal-roer</v>
      </c>
      <c r="G79" s="97" cm="1">
        <f t="array" ref="G79">IF($A79="Vestdanmark",IF($C79="Konventionel",IF(G$2=2019,SUMPRODUCT(($B79='Landbrugsareal - resultat'!$B$5:$B$18)*(INDEX('Landbrugsareal - resultat'!$C$5:$E$18,,MATCH($D79,'Landbrugsareal - resultat'!$C$4:$E$4,0)))),IF(G$2=2030,SUMPRODUCT(($B79='Landbrugsareal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resultat'!$I$4:$K$4,0)))))),IF(G$2=2019,SUMPRODUCT(($B79='Landbrugsareal - resultat'!$B$5:$B$18)*(INDEX('Landbrugsareal - resultat'!$L$5:$N$18,,MATCH($D79,'Landbrugsareal - resultat'!$L$4:$N$4,0)))),IF(G$2=2030,SUMPRODUCT(($B79='Landbrugsareal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resultat'!$R$4:$T$4,0))))))),IF($C79="Konventionel",IF(G$2=2019,SUMPRODUCT((B79='Landbrugsareal - resultat'!$B$32:$B$45)*(INDEX('Landbrugsareal - resultat'!$C$32:$E$45,,MATCH($D79,'Landbrugsareal - resultat'!$C$4:$E$4,0)))),IF(G$2=2030,SUMPRODUCT(($B79='Landbrugsareal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resultat'!$I$4:$K$4,0)))))),IF(G$2=2019,SUMPRODUCT(($B79='Landbrugsareal - resultat'!$B$32:$B$45)*(INDEX('Landbrugsareal - resultat'!$L$32:$N$45,,MATCH($D79,'Landbrugsareal - resultat'!$L$4:$N$4,0)))),IF(G$2=2030,SUMPRODUCT(($B79='Landbrugsareal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1.7404584959489884</v>
      </c>
      <c r="H79" s="97" cm="1">
        <f t="array" ref="H79">IF($A79="Vestdanmark",IF($C79="Konventionel",IF(H$2=2019,SUMPRODUCT(($B79='Landbrugsareal - resultat'!$B$5:$B$18)*(INDEX('Landbrugsareal - resultat'!$C$5:$E$18,,MATCH($D79,'Landbrugsareal - resultat'!$C$4:$E$4,0)))),IF(H$2=2030,SUMPRODUCT(($B79='Landbrugsareal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resultat'!$I$4:$K$4,0)))))),IF(H$2=2019,SUMPRODUCT(($B79='Landbrugsareal - resultat'!$B$5:$B$18)*(INDEX('Landbrugsareal - resultat'!$L$5:$N$18,,MATCH($D79,'Landbrugsareal - resultat'!$L$4:$N$4,0)))),IF(H$2=2030,SUMPRODUCT(($B79='Landbrugsareal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resultat'!$R$4:$T$4,0))))))),IF($C79="Konventionel",IF(H$2=2019,SUMPRODUCT(($B79='Landbrugsareal - resultat'!$B$32:$B$45)*(INDEX('Landbrugsareal - resultat'!$C$32:$E$45,,MATCH($D79,'Landbrugsareal - resultat'!$C$4:$E$4,0)))),IF(H$2=2030,SUMPRODUCT(($B79='Landbrugsareal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resultat'!$I$4:$K$4,0)))))),IF(H$2=2019,SUMPRODUCT(($B79='Landbrugsareal - resultat'!$B$32:$B$45)*(INDEX('Landbrugsareal - resultat'!$L$32:$N$45,,MATCH($D79,'Landbrugsareal - resultat'!$L$4:$N$4,0)))),IF(H$2=2030,SUMPRODUCT(($B79='Landbrugsareal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1.8738933887161342</v>
      </c>
      <c r="I79" s="97" cm="1">
        <f t="array" ref="I79">IF($A79="Vestdanmark",IF($C79="Konventionel",IF(I$2=2019,SUMPRODUCT(($B79='Landbrugsareal - resultat'!$B$5:$B$18)*(INDEX('Landbrugsareal - resultat'!$C$5:$E$18,,MATCH($D79,'Landbrugsareal - resultat'!$C$4:$E$4,0)))),IF(I$2=2030,SUMPRODUCT(($B79='Landbrugsareal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resultat'!$I$4:$K$4,0)))))),IF(I$2=2019,SUMPRODUCT(($B79='Landbrugsareal - resultat'!$B$5:$B$18)*(INDEX('Landbrugsareal - resultat'!$L$5:$N$18,,MATCH($D79,'Landbrugsareal - resultat'!$L$4:$N$4,0)))),IF(I$2=2030,SUMPRODUCT(($B79='Landbrugsareal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resultat'!$R$4:$T$4,0))))))),IF($C79="Konventionel",IF(I$2=2019,SUMPRODUCT((C79='Landbrugsareal - resultat'!$B$32:$B$45)*(INDEX('Landbrugsareal - resultat'!$C$32:$E$45,,MATCH($D79,'Landbrugsareal - resultat'!$C$4:$E$4,0)))),IF(I$2=2030,SUMPRODUCT(($B79='Landbrugsareal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resultat'!$I$4:$K$4,0)))))),IF(I$2=2019,SUMPRODUCT(($B79='Landbrugsareal - resultat'!$B$32:$B$45)*(INDEX('Landbrugsareal - resultat'!$L$32:$N$45,,MATCH($D79,'Landbrugsareal - resultat'!$L$4:$N$4,0)))),IF(I$2=2030,SUMPRODUCT(($B79='Landbrugsareal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2.4291210594468406</v>
      </c>
    </row>
    <row r="80" spans="1:9" hidden="1" x14ac:dyDescent="0.55000000000000004">
      <c r="A80" t="s">
        <v>23</v>
      </c>
      <c r="B80" s="1" t="str">
        <f>[1]Afgrødefordeling!$C$9</f>
        <v>Majs</v>
      </c>
      <c r="C80" t="s">
        <v>8</v>
      </c>
      <c r="D80" t="str">
        <f t="shared" si="7"/>
        <v>OC12</v>
      </c>
      <c r="F80" t="str">
        <f t="shared" si="6"/>
        <v>Areal-majs</v>
      </c>
      <c r="G80" s="97" cm="1">
        <f t="array" ref="G80">IF($A80="Vestdanmark",IF($C80="Konventionel",IF(G$2=2019,SUMPRODUCT(($B80='Landbrugsareal - resultat'!$B$5:$B$18)*(INDEX('Landbrugsareal - resultat'!$C$5:$E$18,,MATCH($D80,'Landbrugsareal - resultat'!$C$4:$E$4,0)))),IF(G$2=2030,SUMPRODUCT(($B80='Landbrugsareal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resultat'!$I$4:$K$4,0)))))),IF(G$2=2019,SUMPRODUCT(($B80='Landbrugsareal - resultat'!$B$5:$B$18)*(INDEX('Landbrugsareal - resultat'!$L$5:$N$18,,MATCH($D80,'Landbrugsareal - resultat'!$L$4:$N$4,0)))),IF(G$2=2030,SUMPRODUCT(($B80='Landbrugsareal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resultat'!$R$4:$T$4,0))))))),IF($C80="Konventionel",IF(G$2=2019,SUMPRODUCT((B80='Landbrugsareal - resultat'!$B$32:$B$45)*(INDEX('Landbrugsareal - resultat'!$C$32:$E$45,,MATCH($D80,'Landbrugsareal - resultat'!$C$4:$E$4,0)))),IF(G$2=2030,SUMPRODUCT(($B80='Landbrugsareal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resultat'!$I$4:$K$4,0)))))),IF(G$2=2019,SUMPRODUCT(($B80='Landbrugsareal - resultat'!$B$32:$B$45)*(INDEX('Landbrugsareal - resultat'!$L$32:$N$45,,MATCH($D80,'Landbrugsareal - resultat'!$L$4:$N$4,0)))),IF(G$2=2030,SUMPRODUCT(($B80='Landbrugsareal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216.44305234016915</v>
      </c>
      <c r="H80" s="97" cm="1">
        <f t="array" ref="H80">IF($A80="Vestdanmark",IF($C80="Konventionel",IF(H$2=2019,SUMPRODUCT(($B80='Landbrugsareal - resultat'!$B$5:$B$18)*(INDEX('Landbrugsareal - resultat'!$C$5:$E$18,,MATCH($D80,'Landbrugsareal - resultat'!$C$4:$E$4,0)))),IF(H$2=2030,SUMPRODUCT(($B80='Landbrugsareal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resultat'!$I$4:$K$4,0)))))),IF(H$2=2019,SUMPRODUCT(($B80='Landbrugsareal - resultat'!$B$5:$B$18)*(INDEX('Landbrugsareal - resultat'!$L$5:$N$18,,MATCH($D80,'Landbrugsareal - resultat'!$L$4:$N$4,0)))),IF(H$2=2030,SUMPRODUCT(($B80='Landbrugsareal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resultat'!$R$4:$T$4,0))))))),IF($C80="Konventionel",IF(H$2=2019,SUMPRODUCT(($B80='Landbrugsareal - resultat'!$B$32:$B$45)*(INDEX('Landbrugsareal - resultat'!$C$32:$E$45,,MATCH($D80,'Landbrugsareal - resultat'!$C$4:$E$4,0)))),IF(H$2=2030,SUMPRODUCT(($B80='Landbrugsareal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resultat'!$I$4:$K$4,0)))))),IF(H$2=2019,SUMPRODUCT(($B80='Landbrugsareal - resultat'!$B$32:$B$45)*(INDEX('Landbrugsareal - resultat'!$L$32:$N$45,,MATCH($D80,'Landbrugsareal - resultat'!$L$4:$N$4,0)))),IF(H$2=2030,SUMPRODUCT(($B80='Landbrugsareal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233.03698752818224</v>
      </c>
      <c r="I80" s="97" cm="1">
        <f t="array" ref="I80">IF($A80="Vestdanmark",IF($C80="Konventionel",IF(I$2=2019,SUMPRODUCT(($B80='Landbrugsareal - resultat'!$B$5:$B$18)*(INDEX('Landbrugsareal - resultat'!$C$5:$E$18,,MATCH($D80,'Landbrugsareal - resultat'!$C$4:$E$4,0)))),IF(I$2=2030,SUMPRODUCT(($B80='Landbrugsareal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resultat'!$I$4:$K$4,0)))))),IF(I$2=2019,SUMPRODUCT(($B80='Landbrugsareal - resultat'!$B$5:$B$18)*(INDEX('Landbrugsareal - resultat'!$L$5:$N$18,,MATCH($D80,'Landbrugsareal - resultat'!$L$4:$N$4,0)))),IF(I$2=2030,SUMPRODUCT(($B80='Landbrugsareal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resultat'!$R$4:$T$4,0))))))),IF($C80="Konventionel",IF(I$2=2019,SUMPRODUCT((C80='Landbrugsareal - resultat'!$B$32:$B$45)*(INDEX('Landbrugsareal - resultat'!$C$32:$E$45,,MATCH($D80,'Landbrugsareal - resultat'!$C$4:$E$4,0)))),IF(I$2=2030,SUMPRODUCT(($B80='Landbrugsareal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resultat'!$I$4:$K$4,0)))))),IF(I$2=2019,SUMPRODUCT(($B80='Landbrugsareal - resultat'!$B$32:$B$45)*(INDEX('Landbrugsareal - resultat'!$L$32:$N$45,,MATCH($D80,'Landbrugsareal - resultat'!$L$4:$N$4,0)))),IF(I$2=2030,SUMPRODUCT(($B80='Landbrugsareal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302.08498383282881</v>
      </c>
    </row>
    <row r="81" spans="1:9" hidden="1" x14ac:dyDescent="0.55000000000000004">
      <c r="A81" t="s">
        <v>23</v>
      </c>
      <c r="B81" s="1" t="str">
        <f>[1]Afgrødefordeling!$C$10</f>
        <v>Frugt</v>
      </c>
      <c r="C81" t="s">
        <v>8</v>
      </c>
      <c r="D81" t="str">
        <f t="shared" si="7"/>
        <v>OC12</v>
      </c>
      <c r="F81" t="str">
        <f t="shared" si="6"/>
        <v>Areal-frugt</v>
      </c>
      <c r="G81" s="97" cm="1">
        <f t="array" ref="G81">IF($A81="Vestdanmark",IF($C81="Konventionel",IF(G$2=2019,SUMPRODUCT(($B81='Landbrugsareal - resultat'!$B$5:$B$18)*(INDEX('Landbrugsareal - resultat'!$C$5:$E$18,,MATCH($D81,'Landbrugsareal - resultat'!$C$4:$E$4,0)))),IF(G$2=2030,SUMPRODUCT(($B81='Landbrugsareal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resultat'!$I$4:$K$4,0)))))),IF(G$2=2019,SUMPRODUCT(($B81='Landbrugsareal - resultat'!$B$5:$B$18)*(INDEX('Landbrugsareal - resultat'!$L$5:$N$18,,MATCH($D81,'Landbrugsareal - resultat'!$L$4:$N$4,0)))),IF(G$2=2030,SUMPRODUCT(($B81='Landbrugsareal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resultat'!$R$4:$T$4,0))))))),IF($C81="Konventionel",IF(G$2=2019,SUMPRODUCT((B81='Landbrugsareal - resultat'!$B$32:$B$45)*(INDEX('Landbrugsareal - resultat'!$C$32:$E$45,,MATCH($D81,'Landbrugsareal - resultat'!$C$4:$E$4,0)))),IF(G$2=2030,SUMPRODUCT(($B81='Landbrugsareal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resultat'!$I$4:$K$4,0)))))),IF(G$2=2019,SUMPRODUCT(($B81='Landbrugsareal - resultat'!$B$32:$B$45)*(INDEX('Landbrugsareal - resultat'!$L$32:$N$45,,MATCH($D81,'Landbrugsareal - resultat'!$L$4:$N$4,0)))),IF(G$2=2030,SUMPRODUCT(($B81='Landbrugsareal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6.2026001529591133</v>
      </c>
      <c r="H81" s="97" cm="1">
        <f t="array" ref="H81">IF($A81="Vestdanmark",IF($C81="Konventionel",IF(H$2=2019,SUMPRODUCT(($B81='Landbrugsareal - resultat'!$B$5:$B$18)*(INDEX('Landbrugsareal - resultat'!$C$5:$E$18,,MATCH($D81,'Landbrugsareal - resultat'!$C$4:$E$4,0)))),IF(H$2=2030,SUMPRODUCT(($B81='Landbrugsareal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resultat'!$I$4:$K$4,0)))))),IF(H$2=2019,SUMPRODUCT(($B81='Landbrugsareal - resultat'!$B$5:$B$18)*(INDEX('Landbrugsareal - resultat'!$L$5:$N$18,,MATCH($D81,'Landbrugsareal - resultat'!$L$4:$N$4,0)))),IF(H$2=2030,SUMPRODUCT(($B81='Landbrugsareal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resultat'!$R$4:$T$4,0))))))),IF($C81="Konventionel",IF(H$2=2019,SUMPRODUCT(($B81='Landbrugsareal - resultat'!$B$32:$B$45)*(INDEX('Landbrugsareal - resultat'!$C$32:$E$45,,MATCH($D81,'Landbrugsareal - resultat'!$C$4:$E$4,0)))),IF(H$2=2030,SUMPRODUCT(($B81='Landbrugsareal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resultat'!$I$4:$K$4,0)))))),IF(H$2=2019,SUMPRODUCT(($B81='Landbrugsareal - resultat'!$B$32:$B$45)*(INDEX('Landbrugsareal - resultat'!$L$32:$N$45,,MATCH($D81,'Landbrugsareal - resultat'!$L$4:$N$4,0)))),IF(H$2=2030,SUMPRODUCT(($B81='Landbrugsareal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6.6781319098001797</v>
      </c>
      <c r="I81" s="97" cm="1">
        <f t="array" ref="I81">IF($A81="Vestdanmark",IF($C81="Konventionel",IF(I$2=2019,SUMPRODUCT(($B81='Landbrugsareal - resultat'!$B$5:$B$18)*(INDEX('Landbrugsareal - resultat'!$C$5:$E$18,,MATCH($D81,'Landbrugsareal - resultat'!$C$4:$E$4,0)))),IF(I$2=2030,SUMPRODUCT(($B81='Landbrugsareal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resultat'!$I$4:$K$4,0)))))),IF(I$2=2019,SUMPRODUCT(($B81='Landbrugsareal - resultat'!$B$5:$B$18)*(INDEX('Landbrugsareal - resultat'!$L$5:$N$18,,MATCH($D81,'Landbrugsareal - resultat'!$L$4:$N$4,0)))),IF(I$2=2030,SUMPRODUCT(($B81='Landbrugsareal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resultat'!$R$4:$T$4,0))))))),IF($C81="Konventionel",IF(I$2=2019,SUMPRODUCT((C81='Landbrugsareal - resultat'!$B$32:$B$45)*(INDEX('Landbrugsareal - resultat'!$C$32:$E$45,,MATCH($D81,'Landbrugsareal - resultat'!$C$4:$E$4,0)))),IF(I$2=2030,SUMPRODUCT(($B81='Landbrugsareal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resultat'!$I$4:$K$4,0)))))),IF(I$2=2019,SUMPRODUCT(($B81='Landbrugsareal - resultat'!$B$32:$B$45)*(INDEX('Landbrugsareal - resultat'!$L$32:$N$45,,MATCH($D81,'Landbrugsareal - resultat'!$L$4:$N$4,0)))),IF(I$2=2030,SUMPRODUCT(($B81='Landbrugsareal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8.6568376608520836</v>
      </c>
    </row>
    <row r="82" spans="1:9" hidden="1" x14ac:dyDescent="0.55000000000000004">
      <c r="A82" t="s">
        <v>23</v>
      </c>
      <c r="B82" s="1" t="str">
        <f>[1]Afgrødefordeling!$C$11</f>
        <v>Øvrige</v>
      </c>
      <c r="C82" t="s">
        <v>8</v>
      </c>
      <c r="D82" t="str">
        <f t="shared" si="7"/>
        <v>OC12</v>
      </c>
      <c r="F82" t="str">
        <f t="shared" si="6"/>
        <v>Areal-øvrige</v>
      </c>
      <c r="G82" s="97" cm="1">
        <f t="array" ref="G82">IF($A82="Vestdanmark",IF($C82="Konventionel",IF(G$2=2019,SUMPRODUCT(($B82='Landbrugsareal - resultat'!$B$5:$B$18)*(INDEX('Landbrugsareal - resultat'!$C$5:$E$18,,MATCH($D82,'Landbrugsareal - resultat'!$C$4:$E$4,0)))),IF(G$2=2030,SUMPRODUCT(($B82='Landbrugsareal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resultat'!$I$4:$K$4,0)))))),IF(G$2=2019,SUMPRODUCT(($B82='Landbrugsareal - resultat'!$B$5:$B$18)*(INDEX('Landbrugsareal - resultat'!$L$5:$N$18,,MATCH($D82,'Landbrugsareal - resultat'!$L$4:$N$4,0)))),IF(G$2=2030,SUMPRODUCT(($B82='Landbrugsareal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resultat'!$R$4:$T$4,0))))))),IF($C82="Konventionel",IF(G$2=2019,SUMPRODUCT((B82='Landbrugsareal - resultat'!$B$32:$B$45)*(INDEX('Landbrugsareal - resultat'!$C$32:$E$45,,MATCH($D82,'Landbrugsareal - resultat'!$C$4:$E$4,0)))),IF(G$2=2030,SUMPRODUCT(($B82='Landbrugsareal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resultat'!$I$4:$K$4,0)))))),IF(G$2=2019,SUMPRODUCT(($B82='Landbrugsareal - resultat'!$B$32:$B$45)*(INDEX('Landbrugsareal - resultat'!$L$32:$N$45,,MATCH($D82,'Landbrugsareal - resultat'!$L$4:$N$4,0)))),IF(G$2=2030,SUMPRODUCT(($B82='Landbrugsareal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109.69857468913038</v>
      </c>
      <c r="H82" s="97" cm="1">
        <f t="array" ref="H82">IF($A82="Vestdanmark",IF($C82="Konventionel",IF(H$2=2019,SUMPRODUCT(($B82='Landbrugsareal - resultat'!$B$5:$B$18)*(INDEX('Landbrugsareal - resultat'!$C$5:$E$18,,MATCH($D82,'Landbrugsareal - resultat'!$C$4:$E$4,0)))),IF(H$2=2030,SUMPRODUCT(($B82='Landbrugsareal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resultat'!$I$4:$K$4,0)))))),IF(H$2=2019,SUMPRODUCT(($B82='Landbrugsareal - resultat'!$B$5:$B$18)*(INDEX('Landbrugsareal - resultat'!$L$5:$N$18,,MATCH($D82,'Landbrugsareal - resultat'!$L$4:$N$4,0)))),IF(H$2=2030,SUMPRODUCT(($B82='Landbrugsareal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resultat'!$R$4:$T$4,0))))))),IF($C82="Konventionel",IF(H$2=2019,SUMPRODUCT(($B82='Landbrugsareal - resultat'!$B$32:$B$45)*(INDEX('Landbrugsareal - resultat'!$C$32:$E$45,,MATCH($D82,'Landbrugsareal - resultat'!$C$4:$E$4,0)))),IF(H$2=2030,SUMPRODUCT(($B82='Landbrugsareal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resultat'!$I$4:$K$4,0)))))),IF(H$2=2019,SUMPRODUCT(($B82='Landbrugsareal - resultat'!$B$32:$B$45)*(INDEX('Landbrugsareal - resultat'!$L$32:$N$45,,MATCH($D82,'Landbrugsareal - resultat'!$L$4:$N$4,0)))),IF(H$2=2030,SUMPRODUCT(($B82='Landbrugsareal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118.10878245014437</v>
      </c>
      <c r="I82" s="97" cm="1">
        <f t="array" ref="I82">IF($A82="Vestdanmark",IF($C82="Konventionel",IF(I$2=2019,SUMPRODUCT(($B82='Landbrugsareal - resultat'!$B$5:$B$18)*(INDEX('Landbrugsareal - resultat'!$C$5:$E$18,,MATCH($D82,'Landbrugsareal - resultat'!$C$4:$E$4,0)))),IF(I$2=2030,SUMPRODUCT(($B82='Landbrugsareal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resultat'!$I$4:$K$4,0)))))),IF(I$2=2019,SUMPRODUCT(($B82='Landbrugsareal - resultat'!$B$5:$B$18)*(INDEX('Landbrugsareal - resultat'!$L$5:$N$18,,MATCH($D82,'Landbrugsareal - resultat'!$L$4:$N$4,0)))),IF(I$2=2030,SUMPRODUCT(($B82='Landbrugsareal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resultat'!$R$4:$T$4,0))))))),IF($C82="Konventionel",IF(I$2=2019,SUMPRODUCT((C82='Landbrugsareal - resultat'!$B$32:$B$45)*(INDEX('Landbrugsareal - resultat'!$C$32:$E$45,,MATCH($D82,'Landbrugsareal - resultat'!$C$4:$E$4,0)))),IF(I$2=2030,SUMPRODUCT(($B82='Landbrugsareal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resultat'!$I$4:$K$4,0)))))),IF(I$2=2019,SUMPRODUCT(($B82='Landbrugsareal - resultat'!$B$32:$B$45)*(INDEX('Landbrugsareal - resultat'!$L$32:$N$45,,MATCH($D82,'Landbrugsareal - resultat'!$L$4:$N$4,0)))),IF(I$2=2030,SUMPRODUCT(($B82='Landbrugsareal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153.10397725018711</v>
      </c>
    </row>
    <row r="83" spans="1:9" hidden="1" x14ac:dyDescent="0.55000000000000004">
      <c r="A83" t="s">
        <v>23</v>
      </c>
      <c r="B83" s="1" t="str">
        <f>[1]Afgrødefordeling!$C$12</f>
        <v>Frø</v>
      </c>
      <c r="C83" t="s">
        <v>8</v>
      </c>
      <c r="D83" t="str">
        <f t="shared" si="7"/>
        <v>OC12</v>
      </c>
      <c r="F83" t="str">
        <f t="shared" si="6"/>
        <v>Areal-frøgræs</v>
      </c>
      <c r="G83" s="97" cm="1">
        <f t="array" ref="G83">IF($A83="Vestdanmark",IF($C83="Konventionel",IF(G$2=2019,SUMPRODUCT(($B83='Landbrugsareal - resultat'!$B$5:$B$18)*(INDEX('Landbrugsareal - resultat'!$C$5:$E$18,,MATCH($D83,'Landbrugsareal - resultat'!$C$4:$E$4,0)))),IF(G$2=2030,SUMPRODUCT(($B83='Landbrugsareal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resultat'!$I$4:$K$4,0)))))),IF(G$2=2019,SUMPRODUCT(($B83='Landbrugsareal - resultat'!$B$5:$B$18)*(INDEX('Landbrugsareal - resultat'!$L$5:$N$18,,MATCH($D83,'Landbrugsareal - resultat'!$L$4:$N$4,0)))),IF(G$2=2030,SUMPRODUCT(($B83='Landbrugsareal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resultat'!$R$4:$T$4,0))))))),IF($C83="Konventionel",IF(G$2=2019,SUMPRODUCT((B83='Landbrugsareal - resultat'!$B$32:$B$45)*(INDEX('Landbrugsareal - resultat'!$C$32:$E$45,,MATCH($D83,'Landbrugsareal - resultat'!$C$4:$E$4,0)))),IF(G$2=2030,SUMPRODUCT(($B83='Landbrugsareal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resultat'!$I$4:$K$4,0)))))),IF(G$2=2019,SUMPRODUCT(($B83='Landbrugsareal - resultat'!$B$32:$B$45)*(INDEX('Landbrugsareal - resultat'!$L$32:$N$45,,MATCH($D83,'Landbrugsareal - resultat'!$L$4:$N$4,0)))),IF(G$2=2030,SUMPRODUCT(($B83='Landbrugsareal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349.0241884441013</v>
      </c>
      <c r="H83" s="97" cm="1">
        <f t="array" ref="H83">IF($A83="Vestdanmark",IF($C83="Konventionel",IF(H$2=2019,SUMPRODUCT(($B83='Landbrugsareal - resultat'!$B$5:$B$18)*(INDEX('Landbrugsareal - resultat'!$C$5:$E$18,,MATCH($D83,'Landbrugsareal - resultat'!$C$4:$E$4,0)))),IF(H$2=2030,SUMPRODUCT(($B83='Landbrugsareal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resultat'!$I$4:$K$4,0)))))),IF(H$2=2019,SUMPRODUCT(($B83='Landbrugsareal - resultat'!$B$5:$B$18)*(INDEX('Landbrugsareal - resultat'!$L$5:$N$18,,MATCH($D83,'Landbrugsareal - resultat'!$L$4:$N$4,0)))),IF(H$2=2030,SUMPRODUCT(($B83='Landbrugsareal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resultat'!$R$4:$T$4,0))))))),IF($C83="Konventionel",IF(H$2=2019,SUMPRODUCT(($B83='Landbrugsareal - resultat'!$B$32:$B$45)*(INDEX('Landbrugsareal - resultat'!$C$32:$E$45,,MATCH($D83,'Landbrugsareal - resultat'!$C$4:$E$4,0)))),IF(H$2=2030,SUMPRODUCT(($B83='Landbrugsareal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resultat'!$I$4:$K$4,0)))))),IF(H$2=2019,SUMPRODUCT(($B83='Landbrugsareal - resultat'!$B$32:$B$45)*(INDEX('Landbrugsareal - resultat'!$L$32:$N$45,,MATCH($D83,'Landbrugsareal - resultat'!$L$4:$N$4,0)))),IF(H$2=2030,SUMPRODUCT(($B83='Landbrugsareal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375.78265770181565</v>
      </c>
      <c r="I83" s="97" cm="1">
        <f t="array" ref="I83">IF($A83="Vestdanmark",IF($C83="Konventionel",IF(I$2=2019,SUMPRODUCT(($B83='Landbrugsareal - resultat'!$B$5:$B$18)*(INDEX('Landbrugsareal - resultat'!$C$5:$E$18,,MATCH($D83,'Landbrugsareal - resultat'!$C$4:$E$4,0)))),IF(I$2=2030,SUMPRODUCT(($B83='Landbrugsareal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resultat'!$I$4:$K$4,0)))))),IF(I$2=2019,SUMPRODUCT(($B83='Landbrugsareal - resultat'!$B$5:$B$18)*(INDEX('Landbrugsareal - resultat'!$L$5:$N$18,,MATCH($D83,'Landbrugsareal - resultat'!$L$4:$N$4,0)))),IF(I$2=2030,SUMPRODUCT(($B83='Landbrugsareal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resultat'!$R$4:$T$4,0))))))),IF($C83="Konventionel",IF(I$2=2019,SUMPRODUCT((C83='Landbrugsareal - resultat'!$B$32:$B$45)*(INDEX('Landbrugsareal - resultat'!$C$32:$E$45,,MATCH($D83,'Landbrugsareal - resultat'!$C$4:$E$4,0)))),IF(I$2=2030,SUMPRODUCT(($B83='Landbrugsareal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resultat'!$I$4:$K$4,0)))))),IF(I$2=2019,SUMPRODUCT(($B83='Landbrugsareal - resultat'!$B$32:$B$45)*(INDEX('Landbrugsareal - resultat'!$L$32:$N$45,,MATCH($D83,'Landbrugsareal - resultat'!$L$4:$N$4,0)))),IF(I$2=2030,SUMPRODUCT(($B83='Landbrugsareal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487.12566739124247</v>
      </c>
    </row>
    <row r="84" spans="1:9" hidden="1" x14ac:dyDescent="0.55000000000000004">
      <c r="A84" t="s">
        <v>23</v>
      </c>
      <c r="B84" s="1" t="str">
        <f>[1]Afgrødefordeling!$C$13</f>
        <v>Juletræer</v>
      </c>
      <c r="C84" t="s">
        <v>8</v>
      </c>
      <c r="D84" t="str">
        <f t="shared" si="7"/>
        <v>OC12</v>
      </c>
      <c r="F84" t="str">
        <f t="shared" si="6"/>
        <v>Areal-juletræer</v>
      </c>
      <c r="G84" s="97" cm="1">
        <f t="array" ref="G84">IF($A84="Vestdanmark",IF($C84="Konventionel",IF(G$2=2019,SUMPRODUCT(($B84='Landbrugsareal - resultat'!$B$5:$B$18)*(INDEX('Landbrugsareal - resultat'!$C$5:$E$18,,MATCH($D84,'Landbrugsareal - resultat'!$C$4:$E$4,0)))),IF(G$2=2030,SUMPRODUCT(($B84='Landbrugsareal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resultat'!$I$4:$K$4,0)))))),IF(G$2=2019,SUMPRODUCT(($B84='Landbrugsareal - resultat'!$B$5:$B$18)*(INDEX('Landbrugsareal - resultat'!$L$5:$N$18,,MATCH($D84,'Landbrugsareal - resultat'!$L$4:$N$4,0)))),IF(G$2=2030,SUMPRODUCT(($B84='Landbrugsareal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resultat'!$R$4:$T$4,0))))))),IF($C84="Konventionel",IF(G$2=2019,SUMPRODUCT((B84='Landbrugsareal - resultat'!$B$32:$B$45)*(INDEX('Landbrugsareal - resultat'!$C$32:$E$45,,MATCH($D84,'Landbrugsareal - resultat'!$C$4:$E$4,0)))),IF(G$2=2030,SUMPRODUCT(($B84='Landbrugsareal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resultat'!$I$4:$K$4,0)))))),IF(G$2=2019,SUMPRODUCT(($B84='Landbrugsareal - resultat'!$B$32:$B$45)*(INDEX('Landbrugsareal - resultat'!$L$32:$N$45,,MATCH($D84,'Landbrugsareal - resultat'!$L$4:$N$4,0)))),IF(G$2=2030,SUMPRODUCT(($B84='Landbrugsareal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31.109414238675758</v>
      </c>
      <c r="H84" s="97" cm="1">
        <f t="array" ref="H84">IF($A84="Vestdanmark",IF($C84="Konventionel",IF(H$2=2019,SUMPRODUCT(($B84='Landbrugsareal - resultat'!$B$5:$B$18)*(INDEX('Landbrugsareal - resultat'!$C$5:$E$18,,MATCH($D84,'Landbrugsareal - resultat'!$C$4:$E$4,0)))),IF(H$2=2030,SUMPRODUCT(($B84='Landbrugsareal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resultat'!$I$4:$K$4,0)))))),IF(H$2=2019,SUMPRODUCT(($B84='Landbrugsareal - resultat'!$B$5:$B$18)*(INDEX('Landbrugsareal - resultat'!$L$5:$N$18,,MATCH($D84,'Landbrugsareal - resultat'!$L$4:$N$4,0)))),IF(H$2=2030,SUMPRODUCT(($B84='Landbrugsareal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resultat'!$R$4:$T$4,0))))))),IF($C84="Konventionel",IF(H$2=2019,SUMPRODUCT(($B84='Landbrugsareal - resultat'!$B$32:$B$45)*(INDEX('Landbrugsareal - resultat'!$C$32:$E$45,,MATCH($D84,'Landbrugsareal - resultat'!$C$4:$E$4,0)))),IF(H$2=2030,SUMPRODUCT(($B84='Landbrugsareal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resultat'!$I$4:$K$4,0)))))),IF(H$2=2019,SUMPRODUCT(($B84='Landbrugsareal - resultat'!$B$32:$B$45)*(INDEX('Landbrugsareal - resultat'!$L$32:$N$45,,MATCH($D84,'Landbrugsareal - resultat'!$L$4:$N$4,0)))),IF(H$2=2030,SUMPRODUCT(($B84='Landbrugsareal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33.494464708220583</v>
      </c>
      <c r="I84" s="97" cm="1">
        <f t="array" ref="I84">IF($A84="Vestdanmark",IF($C84="Konventionel",IF(I$2=2019,SUMPRODUCT(($B84='Landbrugsareal - resultat'!$B$5:$B$18)*(INDEX('Landbrugsareal - resultat'!$C$5:$E$18,,MATCH($D84,'Landbrugsareal - resultat'!$C$4:$E$4,0)))),IF(I$2=2030,SUMPRODUCT(($B84='Landbrugsareal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resultat'!$I$4:$K$4,0)))))),IF(I$2=2019,SUMPRODUCT(($B84='Landbrugsareal - resultat'!$B$5:$B$18)*(INDEX('Landbrugsareal - resultat'!$L$5:$N$18,,MATCH($D84,'Landbrugsareal - resultat'!$L$4:$N$4,0)))),IF(I$2=2030,SUMPRODUCT(($B84='Landbrugsareal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resultat'!$R$4:$T$4,0))))))),IF($C84="Konventionel",IF(I$2=2019,SUMPRODUCT((C84='Landbrugsareal - resultat'!$B$32:$B$45)*(INDEX('Landbrugsareal - resultat'!$C$32:$E$45,,MATCH($D84,'Landbrugsareal - resultat'!$C$4:$E$4,0)))),IF(I$2=2030,SUMPRODUCT(($B84='Landbrugsareal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resultat'!$I$4:$K$4,0)))))),IF(I$2=2019,SUMPRODUCT(($B84='Landbrugsareal - resultat'!$B$32:$B$45)*(INDEX('Landbrugsareal - resultat'!$L$32:$N$45,,MATCH($D84,'Landbrugsareal - resultat'!$L$4:$N$4,0)))),IF(I$2=2030,SUMPRODUCT(($B84='Landbrugsareal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43.41875054769335</v>
      </c>
    </row>
    <row r="85" spans="1:9" hidden="1" x14ac:dyDescent="0.55000000000000004">
      <c r="A85" t="s">
        <v>23</v>
      </c>
      <c r="B85" s="1" t="str">
        <f>[1]Afgrødefordeling!$C$14</f>
        <v>Pil &amp; poppel</v>
      </c>
      <c r="C85" t="s">
        <v>8</v>
      </c>
      <c r="D85" t="str">
        <f t="shared" si="7"/>
        <v>OC12</v>
      </c>
      <c r="F85" t="str">
        <f t="shared" si="6"/>
        <v>Areal-pil-poppel</v>
      </c>
      <c r="G85" s="97" cm="1">
        <f t="array" ref="G85">IF($A85="Vestdanmark",IF($C85="Konventionel",IF(G$2=2019,SUMPRODUCT(($B85='Landbrugsareal - resultat'!$B$5:$B$18)*(INDEX('Landbrugsareal - resultat'!$C$5:$E$18,,MATCH($D85,'Landbrugsareal - resultat'!$C$4:$E$4,0)))),IF(G$2=2030,SUMPRODUCT(($B85='Landbrugsareal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resultat'!$I$4:$K$4,0)))))),IF(G$2=2019,SUMPRODUCT(($B85='Landbrugsareal - resultat'!$B$5:$B$18)*(INDEX('Landbrugsareal - resultat'!$L$5:$N$18,,MATCH($D85,'Landbrugsareal - resultat'!$L$4:$N$4,0)))),IF(G$2=2030,SUMPRODUCT(($B85='Landbrugsareal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resultat'!$R$4:$T$4,0))))))),IF($C85="Konventionel",IF(G$2=2019,SUMPRODUCT((B85='Landbrugsareal - resultat'!$B$32:$B$45)*(INDEX('Landbrugsareal - resultat'!$C$32:$E$45,,MATCH($D85,'Landbrugsareal - resultat'!$C$4:$E$4,0)))),IF(G$2=2030,SUMPRODUCT(($B85='Landbrugsareal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resultat'!$I$4:$K$4,0)))))),IF(G$2=2019,SUMPRODUCT(($B85='Landbrugsareal - resultat'!$B$32:$B$45)*(INDEX('Landbrugsareal - resultat'!$L$32:$N$45,,MATCH($D85,'Landbrugsareal - resultat'!$L$4:$N$4,0)))),IF(G$2=2030,SUMPRODUCT(($B85='Landbrugsareal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73.434514126483776</v>
      </c>
      <c r="H85" s="97" cm="1">
        <f t="array" ref="H85">IF($A85="Vestdanmark",IF($C85="Konventionel",IF(H$2=2019,SUMPRODUCT(($B85='Landbrugsareal - resultat'!$B$5:$B$18)*(INDEX('Landbrugsareal - resultat'!$C$5:$E$18,,MATCH($D85,'Landbrugsareal - resultat'!$C$4:$E$4,0)))),IF(H$2=2030,SUMPRODUCT(($B85='Landbrugsareal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resultat'!$I$4:$K$4,0)))))),IF(H$2=2019,SUMPRODUCT(($B85='Landbrugsareal - resultat'!$B$5:$B$18)*(INDEX('Landbrugsareal - resultat'!$L$5:$N$18,,MATCH($D85,'Landbrugsareal - resultat'!$L$4:$N$4,0)))),IF(H$2=2030,SUMPRODUCT(($B85='Landbrugsareal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resultat'!$R$4:$T$4,0))))))),IF($C85="Konventionel",IF(H$2=2019,SUMPRODUCT(($B85='Landbrugsareal - resultat'!$B$32:$B$45)*(INDEX('Landbrugsareal - resultat'!$C$32:$E$45,,MATCH($D85,'Landbrugsareal - resultat'!$C$4:$E$4,0)))),IF(H$2=2030,SUMPRODUCT(($B85='Landbrugsareal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resultat'!$I$4:$K$4,0)))))),IF(H$2=2019,SUMPRODUCT(($B85='Landbrugsareal - resultat'!$B$32:$B$45)*(INDEX('Landbrugsareal - resultat'!$L$32:$N$45,,MATCH($D85,'Landbrugsareal - resultat'!$L$4:$N$4,0)))),IF(H$2=2030,SUMPRODUCT(($B85='Landbrugsareal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79.064482632301008</v>
      </c>
      <c r="I85" s="97" cm="1">
        <f t="array" ref="I85">IF($A85="Vestdanmark",IF($C85="Konventionel",IF(I$2=2019,SUMPRODUCT(($B85='Landbrugsareal - resultat'!$B$5:$B$18)*(INDEX('Landbrugsareal - resultat'!$C$5:$E$18,,MATCH($D85,'Landbrugsareal - resultat'!$C$4:$E$4,0)))),IF(I$2=2030,SUMPRODUCT(($B85='Landbrugsareal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resultat'!$I$4:$K$4,0)))))),IF(I$2=2019,SUMPRODUCT(($B85='Landbrugsareal - resultat'!$B$5:$B$18)*(INDEX('Landbrugsareal - resultat'!$L$5:$N$18,,MATCH($D85,'Landbrugsareal - resultat'!$L$4:$N$4,0)))),IF(I$2=2030,SUMPRODUCT(($B85='Landbrugsareal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resultat'!$R$4:$T$4,0))))))),IF($C85="Konventionel",IF(I$2=2019,SUMPRODUCT((C85='Landbrugsareal - resultat'!$B$32:$B$45)*(INDEX('Landbrugsareal - resultat'!$C$32:$E$45,,MATCH($D85,'Landbrugsareal - resultat'!$C$4:$E$4,0)))),IF(I$2=2030,SUMPRODUCT(($B85='Landbrugsareal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resultat'!$I$4:$K$4,0)))))),IF(I$2=2019,SUMPRODUCT(($B85='Landbrugsareal - resultat'!$B$32:$B$45)*(INDEX('Landbrugsareal - resultat'!$L$32:$N$45,,MATCH($D85,'Landbrugsareal - resultat'!$L$4:$N$4,0)))),IF(I$2=2030,SUMPRODUCT(($B85='Landbrugsareal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102.49099600483463</v>
      </c>
    </row>
    <row r="86" spans="1:9" hidden="1" x14ac:dyDescent="0.55000000000000004">
      <c r="A86" t="s">
        <v>23</v>
      </c>
      <c r="B86" s="1" t="str">
        <f>[1]Afgrødefordeling!$C$15</f>
        <v>Permanent græs</v>
      </c>
      <c r="C86" t="s">
        <v>8</v>
      </c>
      <c r="D86" t="str">
        <f t="shared" si="7"/>
        <v>OC12</v>
      </c>
      <c r="F86" t="str">
        <f t="shared" si="6"/>
        <v>Areal-permanent græs</v>
      </c>
      <c r="G86" s="97" cm="1">
        <f t="array" ref="G86">IF($A86="Vestdanmark",IF($C86="Konventionel",IF(G$2=2019,SUMPRODUCT(($B86='Landbrugsareal - resultat'!$B$5:$B$18)*(INDEX('Landbrugsareal - resultat'!$C$5:$E$18,,MATCH($D86,'Landbrugsareal - resultat'!$C$4:$E$4,0)))),IF(G$2=2030,SUMPRODUCT(($B86='Landbrugsareal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resultat'!$I$4:$K$4,0)))))),IF(G$2=2019,SUMPRODUCT(($B86='Landbrugsareal - resultat'!$B$5:$B$18)*(INDEX('Landbrugsareal - resultat'!$L$5:$N$18,,MATCH($D86,'Landbrugsareal - resultat'!$L$4:$N$4,0)))),IF(G$2=2030,SUMPRODUCT(($B86='Landbrugsareal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resultat'!$R$4:$T$4,0))))))),IF($C86="Konventionel",IF(G$2=2019,SUMPRODUCT((B86='Landbrugsareal - resultat'!$B$32:$B$45)*(INDEX('Landbrugsareal - resultat'!$C$32:$E$45,,MATCH($D86,'Landbrugsareal - resultat'!$C$4:$E$4,0)))),IF(G$2=2030,SUMPRODUCT(($B86='Landbrugsareal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resultat'!$I$4:$K$4,0)))))),IF(G$2=2019,SUMPRODUCT(($B86='Landbrugsareal - resultat'!$B$32:$B$45)*(INDEX('Landbrugsareal - resultat'!$L$32:$N$45,,MATCH($D86,'Landbrugsareal - resultat'!$L$4:$N$4,0)))),IF(G$2=2030,SUMPRODUCT(($B86='Landbrugsareal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2715.9949023479103</v>
      </c>
      <c r="H86" s="97" cm="1">
        <f t="array" ref="H86">IF($A86="Vestdanmark",IF($C86="Konventionel",IF(H$2=2019,SUMPRODUCT(($B86='Landbrugsareal - resultat'!$B$5:$B$18)*(INDEX('Landbrugsareal - resultat'!$C$5:$E$18,,MATCH($D86,'Landbrugsareal - resultat'!$C$4:$E$4,0)))),IF(H$2=2030,SUMPRODUCT(($B86='Landbrugsareal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resultat'!$I$4:$K$4,0)))))),IF(H$2=2019,SUMPRODUCT(($B86='Landbrugsareal - resultat'!$B$5:$B$18)*(INDEX('Landbrugsareal - resultat'!$L$5:$N$18,,MATCH($D86,'Landbrugsareal - resultat'!$L$4:$N$4,0)))),IF(H$2=2030,SUMPRODUCT(($B86='Landbrugsareal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resultat'!$R$4:$T$4,0))))))),IF($C86="Konventionel",IF(H$2=2019,SUMPRODUCT(($B86='Landbrugsareal - resultat'!$B$32:$B$45)*(INDEX('Landbrugsareal - resultat'!$C$32:$E$45,,MATCH($D86,'Landbrugsareal - resultat'!$C$4:$E$4,0)))),IF(H$2=2030,SUMPRODUCT(($B86='Landbrugsareal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resultat'!$I$4:$K$4,0)))))),IF(H$2=2019,SUMPRODUCT(($B86='Landbrugsareal - resultat'!$B$32:$B$45)*(INDEX('Landbrugsareal - resultat'!$L$32:$N$45,,MATCH($D86,'Landbrugsareal - resultat'!$L$4:$N$4,0)))),IF(H$2=2030,SUMPRODUCT(($B86='Landbrugsareal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2924.2207746651384</v>
      </c>
      <c r="I86" s="97" cm="1">
        <f t="array" ref="I86">IF($A86="Vestdanmark",IF($C86="Konventionel",IF(I$2=2019,SUMPRODUCT(($B86='Landbrugsareal - resultat'!$B$5:$B$18)*(INDEX('Landbrugsareal - resultat'!$C$5:$E$18,,MATCH($D86,'Landbrugsareal - resultat'!$C$4:$E$4,0)))),IF(I$2=2030,SUMPRODUCT(($B86='Landbrugsareal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resultat'!$I$4:$K$4,0)))))),IF(I$2=2019,SUMPRODUCT(($B86='Landbrugsareal - resultat'!$B$5:$B$18)*(INDEX('Landbrugsareal - resultat'!$L$5:$N$18,,MATCH($D86,'Landbrugsareal - resultat'!$L$4:$N$4,0)))),IF(I$2=2030,SUMPRODUCT(($B86='Landbrugsareal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resultat'!$R$4:$T$4,0))))))),IF($C86="Konventionel",IF(I$2=2019,SUMPRODUCT((C86='Landbrugsareal - resultat'!$B$32:$B$45)*(INDEX('Landbrugsareal - resultat'!$C$32:$E$45,,MATCH($D86,'Landbrugsareal - resultat'!$C$4:$E$4,0)))),IF(I$2=2030,SUMPRODUCT(($B86='Landbrugsareal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resultat'!$I$4:$K$4,0)))))),IF(I$2=2019,SUMPRODUCT(($B86='Landbrugsareal - resultat'!$B$32:$B$45)*(INDEX('Landbrugsareal - resultat'!$L$32:$N$45,,MATCH($D86,'Landbrugsareal - resultat'!$L$4:$N$4,0)))),IF(I$2=2030,SUMPRODUCT(($B86='Landbrugsareal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3790.6565597511053</v>
      </c>
    </row>
    <row r="87" spans="1:9" hidden="1" x14ac:dyDescent="0.55000000000000004">
      <c r="A87" t="s">
        <v>24</v>
      </c>
      <c r="B87" s="1" t="str">
        <f>[1]Afgrødefordeling!$C$2</f>
        <v>Korn</v>
      </c>
      <c r="C87" t="s">
        <v>7</v>
      </c>
      <c r="D87" t="str">
        <f t="shared" ref="D87:D100" si="8">Jordbund1</f>
        <v>JB1-10</v>
      </c>
      <c r="F87" t="str">
        <f t="shared" si="6"/>
        <v>Areal-korn</v>
      </c>
      <c r="G87" s="97" cm="1">
        <f t="array" ref="G87">IF($A87="Vestdanmark",IF($C87="Konventionel",IF(G$2=2019,SUMPRODUCT(($B87='Landbrugsareal - resultat'!$B$5:$B$18)*(INDEX('Landbrugsareal - resultat'!$C$5:$E$18,,MATCH($D87,'Landbrugsareal - resultat'!$C$4:$E$4,0)))),IF(G$2=2030,SUMPRODUCT(($B87='Landbrugsareal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resultat'!$I$4:$K$4,0)))))),IF(G$2=2019,SUMPRODUCT(($B87='Landbrugsareal - resultat'!$B$5:$B$18)*(INDEX('Landbrugsareal - resultat'!$L$5:$N$18,,MATCH($D87,'Landbrugsareal - resultat'!$L$4:$N$4,0)))),IF(G$2=2030,SUMPRODUCT(($B87='Landbrugsareal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resultat'!$R$4:$T$4,0))))))),IF($C87="Konventionel",IF(G$2=2019,SUMPRODUCT((B87='Landbrugsareal - resultat'!$B$32:$B$45)*(INDEX('Landbrugsareal - resultat'!$C$32:$E$45,,MATCH($D87,'Landbrugsareal - resultat'!$C$4:$E$4,0)))),IF(G$2=2030,SUMPRODUCT(($B87='Landbrugsareal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resultat'!$I$4:$K$4,0)))))),IF(G$2=2019,SUMPRODUCT(($B87='Landbrugsareal - resultat'!$B$32:$B$45)*(INDEX('Landbrugsareal - resultat'!$L$32:$N$45,,MATCH($D87,'Landbrugsareal - resultat'!$L$4:$N$4,0)))),IF(G$2=2030,SUMPRODUCT(($B87='Landbrugsareal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292562.01681062597</v>
      </c>
      <c r="H87" s="97" cm="1">
        <f t="array" ref="H87">IF($A87="Vestdanmark",IF($C87="Konventionel",IF(H$2=2019,SUMPRODUCT(($B87='Landbrugsareal - resultat'!$B$5:$B$18)*(INDEX('Landbrugsareal - resultat'!$C$5:$E$18,,MATCH($D87,'Landbrugsareal - resultat'!$C$4:$E$4,0)))),IF(H$2=2030,SUMPRODUCT(($B87='Landbrugsareal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resultat'!$I$4:$K$4,0)))))),IF(H$2=2019,SUMPRODUCT(($B87='Landbrugsareal - resultat'!$B$5:$B$18)*(INDEX('Landbrugsareal - resultat'!$L$5:$N$18,,MATCH($D87,'Landbrugsareal - resultat'!$L$4:$N$4,0)))),IF(H$2=2030,SUMPRODUCT(($B87='Landbrugsareal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resultat'!$R$4:$T$4,0))))))),IF($C87="Konventionel",IF(H$2=2019,SUMPRODUCT(($B87='Landbrugsareal - resultat'!$B$32:$B$45)*(INDEX('Landbrugsareal - resultat'!$C$32:$E$45,,MATCH($D87,'Landbrugsareal - resultat'!$C$4:$E$4,0)))),IF(H$2=2030,SUMPRODUCT(($B87='Landbrugsareal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resultat'!$I$4:$K$4,0)))))),IF(H$2=2019,SUMPRODUCT(($B87='Landbrugsareal - resultat'!$B$32:$B$45)*(INDEX('Landbrugsareal - resultat'!$L$32:$N$45,,MATCH($D87,'Landbrugsareal - resultat'!$L$4:$N$4,0)))),IF(H$2=2030,SUMPRODUCT(($B87='Landbrugsareal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284372.46181096468</v>
      </c>
      <c r="I87" s="97" cm="1">
        <f t="array" ref="I87">IF($A87="Vestdanmark",IF($C87="Konventionel",IF(I$2=2019,SUMPRODUCT(($B87='Landbrugsareal - resultat'!$B$5:$B$18)*(INDEX('Landbrugsareal - resultat'!$C$5:$E$18,,MATCH($D87,'Landbrugsareal - resultat'!$C$4:$E$4,0)))),IF(I$2=2030,SUMPRODUCT(($B87='Landbrugsareal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resultat'!$I$4:$K$4,0)))))),IF(I$2=2019,SUMPRODUCT(($B87='Landbrugsareal - resultat'!$B$5:$B$18)*(INDEX('Landbrugsareal - resultat'!$L$5:$N$18,,MATCH($D87,'Landbrugsareal - resultat'!$L$4:$N$4,0)))),IF(I$2=2030,SUMPRODUCT(($B87='Landbrugsareal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resultat'!$R$4:$T$4,0))))))),IF($C87="Konventionel",IF(I$2=2019,SUMPRODUCT((C87='Landbrugsareal - resultat'!$B$32:$B$45)*(INDEX('Landbrugsareal - resultat'!$C$32:$E$45,,MATCH($D87,'Landbrugsareal - resultat'!$C$4:$E$4,0)))),IF(I$2=2030,SUMPRODUCT(($B87='Landbrugsareal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resultat'!$I$4:$K$4,0)))))),IF(I$2=2019,SUMPRODUCT(($B87='Landbrugsareal - resultat'!$B$32:$B$45)*(INDEX('Landbrugsareal - resultat'!$L$32:$N$45,,MATCH($D87,'Landbrugsareal - resultat'!$L$4:$N$4,0)))),IF(I$2=2030,SUMPRODUCT(($B87='Landbrugsareal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269399.56788001256</v>
      </c>
    </row>
    <row r="88" spans="1:9" hidden="1" x14ac:dyDescent="0.55000000000000004">
      <c r="A88" t="s">
        <v>24</v>
      </c>
      <c r="B88" s="1" t="str">
        <f>[1]Afgrødefordeling!$C$3</f>
        <v>Bælgsæd</v>
      </c>
      <c r="C88" t="s">
        <v>7</v>
      </c>
      <c r="D88" t="str">
        <f t="shared" si="8"/>
        <v>JB1-10</v>
      </c>
      <c r="F88" t="str">
        <f t="shared" si="6"/>
        <v>Areal-bælgsæd</v>
      </c>
      <c r="G88" s="97" cm="1">
        <f t="array" ref="G88">IF($A88="Vestdanmark",IF($C88="Konventionel",IF(G$2=2019,SUMPRODUCT(($B88='Landbrugsareal - resultat'!$B$5:$B$18)*(INDEX('Landbrugsareal - resultat'!$C$5:$E$18,,MATCH($D88,'Landbrugsareal - resultat'!$C$4:$E$4,0)))),IF(G$2=2030,SUMPRODUCT(($B88='Landbrugsareal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resultat'!$I$4:$K$4,0)))))),IF(G$2=2019,SUMPRODUCT(($B88='Landbrugsareal - resultat'!$B$5:$B$18)*(INDEX('Landbrugsareal - resultat'!$L$5:$N$18,,MATCH($D88,'Landbrugsareal - resultat'!$L$4:$N$4,0)))),IF(G$2=2030,SUMPRODUCT(($B88='Landbrugsareal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resultat'!$R$4:$T$4,0))))))),IF($C88="Konventionel",IF(G$2=2019,SUMPRODUCT((B88='Landbrugsareal - resultat'!$B$32:$B$45)*(INDEX('Landbrugsareal - resultat'!$C$32:$E$45,,MATCH($D88,'Landbrugsareal - resultat'!$C$4:$E$4,0)))),IF(G$2=2030,SUMPRODUCT(($B88='Landbrugsareal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resultat'!$I$4:$K$4,0)))))),IF(G$2=2019,SUMPRODUCT(($B88='Landbrugsareal - resultat'!$B$32:$B$45)*(INDEX('Landbrugsareal - resultat'!$L$32:$N$45,,MATCH($D88,'Landbrugsareal - resultat'!$L$4:$N$4,0)))),IF(G$2=2030,SUMPRODUCT(($B88='Landbrugsareal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6376.3414137528825</v>
      </c>
      <c r="H88" s="97" cm="1">
        <f t="array" ref="H88">IF($A88="Vestdanmark",IF($C88="Konventionel",IF(H$2=2019,SUMPRODUCT(($B88='Landbrugsareal - resultat'!$B$5:$B$18)*(INDEX('Landbrugsareal - resultat'!$C$5:$E$18,,MATCH($D88,'Landbrugsareal - resultat'!$C$4:$E$4,0)))),IF(H$2=2030,SUMPRODUCT(($B88='Landbrugsareal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resultat'!$I$4:$K$4,0)))))),IF(H$2=2019,SUMPRODUCT(($B88='Landbrugsareal - resultat'!$B$5:$B$18)*(INDEX('Landbrugsareal - resultat'!$L$5:$N$18,,MATCH($D88,'Landbrugsareal - resultat'!$L$4:$N$4,0)))),IF(H$2=2030,SUMPRODUCT(($B88='Landbrugsareal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resultat'!$R$4:$T$4,0))))))),IF($C88="Konventionel",IF(H$2=2019,SUMPRODUCT(($B88='Landbrugsareal - resultat'!$B$32:$B$45)*(INDEX('Landbrugsareal - resultat'!$C$32:$E$45,,MATCH($D88,'Landbrugsareal - resultat'!$C$4:$E$4,0)))),IF(H$2=2030,SUMPRODUCT(($B88='Landbrugsareal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resultat'!$I$4:$K$4,0)))))),IF(H$2=2019,SUMPRODUCT(($B88='Landbrugsareal - resultat'!$B$32:$B$45)*(INDEX('Landbrugsareal - resultat'!$L$32:$N$45,,MATCH($D88,'Landbrugsareal - resultat'!$L$4:$N$4,0)))),IF(H$2=2030,SUMPRODUCT(($B88='Landbrugsareal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6197.8513989730473</v>
      </c>
      <c r="I88" s="97" cm="1">
        <f t="array" ref="I88">IF($A88="Vestdanmark",IF($C88="Konventionel",IF(I$2=2019,SUMPRODUCT(($B88='Landbrugsareal - resultat'!$B$5:$B$18)*(INDEX('Landbrugsareal - resultat'!$C$5:$E$18,,MATCH($D88,'Landbrugsareal - resultat'!$C$4:$E$4,0)))),IF(I$2=2030,SUMPRODUCT(($B88='Landbrugsareal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resultat'!$I$4:$K$4,0)))))),IF(I$2=2019,SUMPRODUCT(($B88='Landbrugsareal - resultat'!$B$5:$B$18)*(INDEX('Landbrugsareal - resultat'!$L$5:$N$18,,MATCH($D88,'Landbrugsareal - resultat'!$L$4:$N$4,0)))),IF(I$2=2030,SUMPRODUCT(($B88='Landbrugsareal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resultat'!$R$4:$T$4,0))))))),IF($C88="Konventionel",IF(I$2=2019,SUMPRODUCT((C88='Landbrugsareal - resultat'!$B$32:$B$45)*(INDEX('Landbrugsareal - resultat'!$C$32:$E$45,,MATCH($D88,'Landbrugsareal - resultat'!$C$4:$E$4,0)))),IF(I$2=2030,SUMPRODUCT(($B88='Landbrugsareal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resultat'!$I$4:$K$4,0)))))),IF(I$2=2019,SUMPRODUCT(($B88='Landbrugsareal - resultat'!$B$32:$B$45)*(INDEX('Landbrugsareal - resultat'!$L$32:$N$45,,MATCH($D88,'Landbrugsareal - resultat'!$L$4:$N$4,0)))),IF(I$2=2030,SUMPRODUCT(($B88='Landbrugsareal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5871.5196191458026</v>
      </c>
    </row>
    <row r="89" spans="1:9" hidden="1" x14ac:dyDescent="0.55000000000000004">
      <c r="A89" t="s">
        <v>24</v>
      </c>
      <c r="B89" s="1" t="str">
        <f>[1]Afgrødefordeling!$C$4</f>
        <v>Raps</v>
      </c>
      <c r="C89" t="s">
        <v>7</v>
      </c>
      <c r="D89" t="str">
        <f t="shared" si="8"/>
        <v>JB1-10</v>
      </c>
      <c r="F89" t="str">
        <f t="shared" si="6"/>
        <v>Areal-raps</v>
      </c>
      <c r="G89" s="97" cm="1">
        <f t="array" ref="G89">IF($A89="Vestdanmark",IF($C89="Konventionel",IF(G$2=2019,SUMPRODUCT(($B89='Landbrugsareal - resultat'!$B$5:$B$18)*(INDEX('Landbrugsareal - resultat'!$C$5:$E$18,,MATCH($D89,'Landbrugsareal - resultat'!$C$4:$E$4,0)))),IF(G$2=2030,SUMPRODUCT(($B89='Landbrugsareal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resultat'!$I$4:$K$4,0)))))),IF(G$2=2019,SUMPRODUCT(($B89='Landbrugsareal - resultat'!$B$5:$B$18)*(INDEX('Landbrugsareal - resultat'!$L$5:$N$18,,MATCH($D89,'Landbrugsareal - resultat'!$L$4:$N$4,0)))),IF(G$2=2030,SUMPRODUCT(($B89='Landbrugsareal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resultat'!$R$4:$T$4,0))))))),IF($C89="Konventionel",IF(G$2=2019,SUMPRODUCT((B89='Landbrugsareal - resultat'!$B$32:$B$45)*(INDEX('Landbrugsareal - resultat'!$C$32:$E$45,,MATCH($D89,'Landbrugsareal - resultat'!$C$4:$E$4,0)))),IF(G$2=2030,SUMPRODUCT(($B89='Landbrugsareal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resultat'!$I$4:$K$4,0)))))),IF(G$2=2019,SUMPRODUCT(($B89='Landbrugsareal - resultat'!$B$32:$B$45)*(INDEX('Landbrugsareal - resultat'!$L$32:$N$45,,MATCH($D89,'Landbrugsareal - resultat'!$L$4:$N$4,0)))),IF(G$2=2030,SUMPRODUCT(($B89='Landbrugsareal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40447.722327584328</v>
      </c>
      <c r="H89" s="97" cm="1">
        <f t="array" ref="H89">IF($A89="Vestdanmark",IF($C89="Konventionel",IF(H$2=2019,SUMPRODUCT(($B89='Landbrugsareal - resultat'!$B$5:$B$18)*(INDEX('Landbrugsareal - resultat'!$C$5:$E$18,,MATCH($D89,'Landbrugsareal - resultat'!$C$4:$E$4,0)))),IF(H$2=2030,SUMPRODUCT(($B89='Landbrugsareal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resultat'!$I$4:$K$4,0)))))),IF(H$2=2019,SUMPRODUCT(($B89='Landbrugsareal - resultat'!$B$5:$B$18)*(INDEX('Landbrugsareal - resultat'!$L$5:$N$18,,MATCH($D89,'Landbrugsareal - resultat'!$L$4:$N$4,0)))),IF(H$2=2030,SUMPRODUCT(($B89='Landbrugsareal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resultat'!$R$4:$T$4,0))))))),IF($C89="Konventionel",IF(H$2=2019,SUMPRODUCT(($B89='Landbrugsareal - resultat'!$B$32:$B$45)*(INDEX('Landbrugsareal - resultat'!$C$32:$E$45,,MATCH($D89,'Landbrugsareal - resultat'!$C$4:$E$4,0)))),IF(H$2=2030,SUMPRODUCT(($B89='Landbrugsareal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resultat'!$I$4:$K$4,0)))))),IF(H$2=2019,SUMPRODUCT(($B89='Landbrugsareal - resultat'!$B$32:$B$45)*(INDEX('Landbrugsareal - resultat'!$L$32:$N$45,,MATCH($D89,'Landbrugsareal - resultat'!$L$4:$N$4,0)))),IF(H$2=2030,SUMPRODUCT(($B89='Landbrugsareal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39315.487698414414</v>
      </c>
      <c r="I89" s="97" cm="1">
        <f t="array" ref="I89">IF($A89="Vestdanmark",IF($C89="Konventionel",IF(I$2=2019,SUMPRODUCT(($B89='Landbrugsareal - resultat'!$B$5:$B$18)*(INDEX('Landbrugsareal - resultat'!$C$5:$E$18,,MATCH($D89,'Landbrugsareal - resultat'!$C$4:$E$4,0)))),IF(I$2=2030,SUMPRODUCT(($B89='Landbrugsareal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resultat'!$I$4:$K$4,0)))))),IF(I$2=2019,SUMPRODUCT(($B89='Landbrugsareal - resultat'!$B$5:$B$18)*(INDEX('Landbrugsareal - resultat'!$L$5:$N$18,,MATCH($D89,'Landbrugsareal - resultat'!$L$4:$N$4,0)))),IF(I$2=2030,SUMPRODUCT(($B89='Landbrugsareal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resultat'!$R$4:$T$4,0))))))),IF($C89="Konventionel",IF(I$2=2019,SUMPRODUCT((C89='Landbrugsareal - resultat'!$B$32:$B$45)*(INDEX('Landbrugsareal - resultat'!$C$32:$E$45,,MATCH($D89,'Landbrugsareal - resultat'!$C$4:$E$4,0)))),IF(I$2=2030,SUMPRODUCT(($B89='Landbrugsareal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resultat'!$I$4:$K$4,0)))))),IF(I$2=2019,SUMPRODUCT(($B89='Landbrugsareal - resultat'!$B$32:$B$45)*(INDEX('Landbrugsareal - resultat'!$L$32:$N$45,,MATCH($D89,'Landbrugsareal - resultat'!$L$4:$N$4,0)))),IF(I$2=2030,SUMPRODUCT(($B89='Landbrugsareal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37245.432731055007</v>
      </c>
    </row>
    <row r="90" spans="1:9" hidden="1" x14ac:dyDescent="0.55000000000000004">
      <c r="A90" t="s">
        <v>24</v>
      </c>
      <c r="B90" s="1" t="str">
        <f>[1]Afgrødefordeling!$C$5</f>
        <v>Græs</v>
      </c>
      <c r="C90" t="s">
        <v>7</v>
      </c>
      <c r="D90" t="str">
        <f t="shared" si="8"/>
        <v>JB1-10</v>
      </c>
      <c r="F90" t="str">
        <f t="shared" si="6"/>
        <v>Areal-græs</v>
      </c>
      <c r="G90" s="97" cm="1">
        <f t="array" ref="G90">IF($A90="Vestdanmark",IF($C90="Konventionel",IF(G$2=2019,SUMPRODUCT(($B90='Landbrugsareal - resultat'!$B$5:$B$18)*(INDEX('Landbrugsareal - resultat'!$C$5:$E$18,,MATCH($D90,'Landbrugsareal - resultat'!$C$4:$E$4,0)))),IF(G$2=2030,SUMPRODUCT(($B90='Landbrugsareal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resultat'!$I$4:$K$4,0)))))),IF(G$2=2019,SUMPRODUCT(($B90='Landbrugsareal - resultat'!$B$5:$B$18)*(INDEX('Landbrugsareal - resultat'!$L$5:$N$18,,MATCH($D90,'Landbrugsareal - resultat'!$L$4:$N$4,0)))),IF(G$2=2030,SUMPRODUCT(($B90='Landbrugsareal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resultat'!$R$4:$T$4,0))))))),IF($C90="Konventionel",IF(G$2=2019,SUMPRODUCT((B90='Landbrugsareal - resultat'!$B$32:$B$45)*(INDEX('Landbrugsareal - resultat'!$C$32:$E$45,,MATCH($D90,'Landbrugsareal - resultat'!$C$4:$E$4,0)))),IF(G$2=2030,SUMPRODUCT(($B90='Landbrugsareal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resultat'!$I$4:$K$4,0)))))),IF(G$2=2019,SUMPRODUCT(($B90='Landbrugsareal - resultat'!$B$32:$B$45)*(INDEX('Landbrugsareal - resultat'!$L$32:$N$45,,MATCH($D90,'Landbrugsareal - resultat'!$L$4:$N$4,0)))),IF(G$2=2030,SUMPRODUCT(($B90='Landbrugsareal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24572.998517620537</v>
      </c>
      <c r="H90" s="97" cm="1">
        <f t="array" ref="H90">IF($A90="Vestdanmark",IF($C90="Konventionel",IF(H$2=2019,SUMPRODUCT(($B90='Landbrugsareal - resultat'!$B$5:$B$18)*(INDEX('Landbrugsareal - resultat'!$C$5:$E$18,,MATCH($D90,'Landbrugsareal - resultat'!$C$4:$E$4,0)))),IF(H$2=2030,SUMPRODUCT(($B90='Landbrugsareal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resultat'!$I$4:$K$4,0)))))),IF(H$2=2019,SUMPRODUCT(($B90='Landbrugsareal - resultat'!$B$5:$B$18)*(INDEX('Landbrugsareal - resultat'!$L$5:$N$18,,MATCH($D90,'Landbrugsareal - resultat'!$L$4:$N$4,0)))),IF(H$2=2030,SUMPRODUCT(($B90='Landbrugsareal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resultat'!$R$4:$T$4,0))))))),IF($C90="Konventionel",IF(H$2=2019,SUMPRODUCT(($B90='Landbrugsareal - resultat'!$B$32:$B$45)*(INDEX('Landbrugsareal - resultat'!$C$32:$E$45,,MATCH($D90,'Landbrugsareal - resultat'!$C$4:$E$4,0)))),IF(H$2=2030,SUMPRODUCT(($B90='Landbrugsareal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resultat'!$I$4:$K$4,0)))))),IF(H$2=2019,SUMPRODUCT(($B90='Landbrugsareal - resultat'!$B$32:$B$45)*(INDEX('Landbrugsareal - resultat'!$L$32:$N$45,,MATCH($D90,'Landbrugsareal - resultat'!$L$4:$N$4,0)))),IF(H$2=2030,SUMPRODUCT(($B90='Landbrugsareal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23885.137786208805</v>
      </c>
      <c r="I90" s="97" cm="1">
        <f t="array" ref="I90">IF($A90="Vestdanmark",IF($C90="Konventionel",IF(I$2=2019,SUMPRODUCT(($B90='Landbrugsareal - resultat'!$B$5:$B$18)*(INDEX('Landbrugsareal - resultat'!$C$5:$E$18,,MATCH($D90,'Landbrugsareal - resultat'!$C$4:$E$4,0)))),IF(I$2=2030,SUMPRODUCT(($B90='Landbrugsareal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resultat'!$I$4:$K$4,0)))))),IF(I$2=2019,SUMPRODUCT(($B90='Landbrugsareal - resultat'!$B$5:$B$18)*(INDEX('Landbrugsareal - resultat'!$L$5:$N$18,,MATCH($D90,'Landbrugsareal - resultat'!$L$4:$N$4,0)))),IF(I$2=2030,SUMPRODUCT(($B90='Landbrugsareal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resultat'!$R$4:$T$4,0))))))),IF($C90="Konventionel",IF(I$2=2019,SUMPRODUCT((C90='Landbrugsareal - resultat'!$B$32:$B$45)*(INDEX('Landbrugsareal - resultat'!$C$32:$E$45,,MATCH($D90,'Landbrugsareal - resultat'!$C$4:$E$4,0)))),IF(I$2=2030,SUMPRODUCT(($B90='Landbrugsareal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resultat'!$I$4:$K$4,0)))))),IF(I$2=2019,SUMPRODUCT(($B90='Landbrugsareal - resultat'!$B$32:$B$45)*(INDEX('Landbrugsareal - resultat'!$L$32:$N$45,,MATCH($D90,'Landbrugsareal - resultat'!$L$4:$N$4,0)))),IF(I$2=2030,SUMPRODUCT(($B90='Landbrugsareal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22627.527846337711</v>
      </c>
    </row>
    <row r="91" spans="1:9" hidden="1" x14ac:dyDescent="0.55000000000000004">
      <c r="A91" t="s">
        <v>24</v>
      </c>
      <c r="B91" s="1" t="str">
        <f>[1]Afgrødefordeling!$C$6</f>
        <v>Grøntsager</v>
      </c>
      <c r="C91" t="s">
        <v>7</v>
      </c>
      <c r="D91" t="str">
        <f t="shared" si="8"/>
        <v>JB1-10</v>
      </c>
      <c r="F91" t="str">
        <f t="shared" si="6"/>
        <v>Areal-grøntsager</v>
      </c>
      <c r="G91" s="97" cm="1">
        <f t="array" ref="G91">IF($A91="Vestdanmark",IF($C91="Konventionel",IF(G$2=2019,SUMPRODUCT(($B91='Landbrugsareal - resultat'!$B$5:$B$18)*(INDEX('Landbrugsareal - resultat'!$C$5:$E$18,,MATCH($D91,'Landbrugsareal - resultat'!$C$4:$E$4,0)))),IF(G$2=2030,SUMPRODUCT(($B91='Landbrugsareal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resultat'!$I$4:$K$4,0)))))),IF(G$2=2019,SUMPRODUCT(($B91='Landbrugsareal - resultat'!$B$5:$B$18)*(INDEX('Landbrugsareal - resultat'!$L$5:$N$18,,MATCH($D91,'Landbrugsareal - resultat'!$L$4:$N$4,0)))),IF(G$2=2030,SUMPRODUCT(($B91='Landbrugsareal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resultat'!$R$4:$T$4,0))))))),IF($C91="Konventionel",IF(G$2=2019,SUMPRODUCT((B91='Landbrugsareal - resultat'!$B$32:$B$45)*(INDEX('Landbrugsareal - resultat'!$C$32:$E$45,,MATCH($D91,'Landbrugsareal - resultat'!$C$4:$E$4,0)))),IF(G$2=2030,SUMPRODUCT(($B91='Landbrugsareal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resultat'!$I$4:$K$4,0)))))),IF(G$2=2019,SUMPRODUCT(($B91='Landbrugsareal - resultat'!$B$32:$B$45)*(INDEX('Landbrugsareal - resultat'!$L$32:$N$45,,MATCH($D91,'Landbrugsareal - resultat'!$L$4:$N$4,0)))),IF(G$2=2030,SUMPRODUCT(($B91='Landbrugsareal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3850.5952952805674</v>
      </c>
      <c r="H91" s="97" cm="1">
        <f t="array" ref="H91">IF($A91="Vestdanmark",IF($C91="Konventionel",IF(H$2=2019,SUMPRODUCT(($B91='Landbrugsareal - resultat'!$B$5:$B$18)*(INDEX('Landbrugsareal - resultat'!$C$5:$E$18,,MATCH($D91,'Landbrugsareal - resultat'!$C$4:$E$4,0)))),IF(H$2=2030,SUMPRODUCT(($B91='Landbrugsareal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resultat'!$I$4:$K$4,0)))))),IF(H$2=2019,SUMPRODUCT(($B91='Landbrugsareal - resultat'!$B$5:$B$18)*(INDEX('Landbrugsareal - resultat'!$L$5:$N$18,,MATCH($D91,'Landbrugsareal - resultat'!$L$4:$N$4,0)))),IF(H$2=2030,SUMPRODUCT(($B91='Landbrugsareal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resultat'!$R$4:$T$4,0))))))),IF($C91="Konventionel",IF(H$2=2019,SUMPRODUCT(($B91='Landbrugsareal - resultat'!$B$32:$B$45)*(INDEX('Landbrugsareal - resultat'!$C$32:$E$45,,MATCH($D91,'Landbrugsareal - resultat'!$C$4:$E$4,0)))),IF(H$2=2030,SUMPRODUCT(($B91='Landbrugsareal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resultat'!$I$4:$K$4,0)))))),IF(H$2=2019,SUMPRODUCT(($B91='Landbrugsareal - resultat'!$B$32:$B$45)*(INDEX('Landbrugsareal - resultat'!$L$32:$N$45,,MATCH($D91,'Landbrugsareal - resultat'!$L$4:$N$4,0)))),IF(H$2=2030,SUMPRODUCT(($B91='Landbrugsareal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3742.8073387443319</v>
      </c>
      <c r="I91" s="97" cm="1">
        <f t="array" ref="I91">IF($A91="Vestdanmark",IF($C91="Konventionel",IF(I$2=2019,SUMPRODUCT(($B91='Landbrugsareal - resultat'!$B$5:$B$18)*(INDEX('Landbrugsareal - resultat'!$C$5:$E$18,,MATCH($D91,'Landbrugsareal - resultat'!$C$4:$E$4,0)))),IF(I$2=2030,SUMPRODUCT(($B91='Landbrugsareal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resultat'!$I$4:$K$4,0)))))),IF(I$2=2019,SUMPRODUCT(($B91='Landbrugsareal - resultat'!$B$5:$B$18)*(INDEX('Landbrugsareal - resultat'!$L$5:$N$18,,MATCH($D91,'Landbrugsareal - resultat'!$L$4:$N$4,0)))),IF(I$2=2030,SUMPRODUCT(($B91='Landbrugsareal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resultat'!$R$4:$T$4,0))))))),IF($C91="Konventionel",IF(I$2=2019,SUMPRODUCT((C91='Landbrugsareal - resultat'!$B$32:$B$45)*(INDEX('Landbrugsareal - resultat'!$C$32:$E$45,,MATCH($D91,'Landbrugsareal - resultat'!$C$4:$E$4,0)))),IF(I$2=2030,SUMPRODUCT(($B91='Landbrugsareal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resultat'!$I$4:$K$4,0)))))),IF(I$2=2019,SUMPRODUCT(($B91='Landbrugsareal - resultat'!$B$32:$B$45)*(INDEX('Landbrugsareal - resultat'!$L$32:$N$45,,MATCH($D91,'Landbrugsareal - resultat'!$L$4:$N$4,0)))),IF(I$2=2030,SUMPRODUCT(($B91='Landbrugsareal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3545.7395322129769</v>
      </c>
    </row>
    <row r="92" spans="1:9" hidden="1" x14ac:dyDescent="0.55000000000000004">
      <c r="A92" t="s">
        <v>24</v>
      </c>
      <c r="B92" s="1" t="str">
        <f>[1]Afgrødefordeling!$C$7</f>
        <v>Kartofler</v>
      </c>
      <c r="C92" t="s">
        <v>7</v>
      </c>
      <c r="D92" t="str">
        <f t="shared" si="8"/>
        <v>JB1-10</v>
      </c>
      <c r="F92" t="str">
        <f t="shared" si="6"/>
        <v>Areal-kartofler</v>
      </c>
      <c r="G92" s="97" cm="1">
        <f t="array" ref="G92">IF($A92="Vestdanmark",IF($C92="Konventionel",IF(G$2=2019,SUMPRODUCT(($B92='Landbrugsareal - resultat'!$B$5:$B$18)*(INDEX('Landbrugsareal - resultat'!$C$5:$E$18,,MATCH($D92,'Landbrugsareal - resultat'!$C$4:$E$4,0)))),IF(G$2=2030,SUMPRODUCT(($B92='Landbrugsareal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resultat'!$I$4:$K$4,0)))))),IF(G$2=2019,SUMPRODUCT(($B92='Landbrugsareal - resultat'!$B$5:$B$18)*(INDEX('Landbrugsareal - resultat'!$L$5:$N$18,,MATCH($D92,'Landbrugsareal - resultat'!$L$4:$N$4,0)))),IF(G$2=2030,SUMPRODUCT(($B92='Landbrugsareal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resultat'!$R$4:$T$4,0))))))),IF($C92="Konventionel",IF(G$2=2019,SUMPRODUCT((B92='Landbrugsareal - resultat'!$B$32:$B$45)*(INDEX('Landbrugsareal - resultat'!$C$32:$E$45,,MATCH($D92,'Landbrugsareal - resultat'!$C$4:$E$4,0)))),IF(G$2=2030,SUMPRODUCT(($B92='Landbrugsareal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resultat'!$I$4:$K$4,0)))))),IF(G$2=2019,SUMPRODUCT(($B92='Landbrugsareal - resultat'!$B$32:$B$45)*(INDEX('Landbrugsareal - resultat'!$L$32:$N$45,,MATCH($D92,'Landbrugsareal - resultat'!$L$4:$N$4,0)))),IF(G$2=2030,SUMPRODUCT(($B92='Landbrugsareal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2470.1663355738019</v>
      </c>
      <c r="H92" s="97" cm="1">
        <f t="array" ref="H92">IF($A92="Vestdanmark",IF($C92="Konventionel",IF(H$2=2019,SUMPRODUCT(($B92='Landbrugsareal - resultat'!$B$5:$B$18)*(INDEX('Landbrugsareal - resultat'!$C$5:$E$18,,MATCH($D92,'Landbrugsareal - resultat'!$C$4:$E$4,0)))),IF(H$2=2030,SUMPRODUCT(($B92='Landbrugsareal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resultat'!$I$4:$K$4,0)))))),IF(H$2=2019,SUMPRODUCT(($B92='Landbrugsareal - resultat'!$B$5:$B$18)*(INDEX('Landbrugsareal - resultat'!$L$5:$N$18,,MATCH($D92,'Landbrugsareal - resultat'!$L$4:$N$4,0)))),IF(H$2=2030,SUMPRODUCT(($B92='Landbrugsareal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resultat'!$R$4:$T$4,0))))))),IF($C92="Konventionel",IF(H$2=2019,SUMPRODUCT(($B92='Landbrugsareal - resultat'!$B$32:$B$45)*(INDEX('Landbrugsareal - resultat'!$C$32:$E$45,,MATCH($D92,'Landbrugsareal - resultat'!$C$4:$E$4,0)))),IF(H$2=2030,SUMPRODUCT(($B92='Landbrugsareal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resultat'!$I$4:$K$4,0)))))),IF(H$2=2019,SUMPRODUCT(($B92='Landbrugsareal - resultat'!$B$32:$B$45)*(INDEX('Landbrugsareal - resultat'!$L$32:$N$45,,MATCH($D92,'Landbrugsareal - resultat'!$L$4:$N$4,0)))),IF(H$2=2030,SUMPRODUCT(($B92='Landbrugsareal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2401.0200968240606</v>
      </c>
      <c r="I92" s="97" cm="1">
        <f t="array" ref="I92">IF($A92="Vestdanmark",IF($C92="Konventionel",IF(I$2=2019,SUMPRODUCT(($B92='Landbrugsareal - resultat'!$B$5:$B$18)*(INDEX('Landbrugsareal - resultat'!$C$5:$E$18,,MATCH($D92,'Landbrugsareal - resultat'!$C$4:$E$4,0)))),IF(I$2=2030,SUMPRODUCT(($B92='Landbrugsareal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resultat'!$I$4:$K$4,0)))))),IF(I$2=2019,SUMPRODUCT(($B92='Landbrugsareal - resultat'!$B$5:$B$18)*(INDEX('Landbrugsareal - resultat'!$L$5:$N$18,,MATCH($D92,'Landbrugsareal - resultat'!$L$4:$N$4,0)))),IF(I$2=2030,SUMPRODUCT(($B92='Landbrugsareal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resultat'!$R$4:$T$4,0))))))),IF($C92="Konventionel",IF(I$2=2019,SUMPRODUCT((C92='Landbrugsareal - resultat'!$B$32:$B$45)*(INDEX('Landbrugsareal - resultat'!$C$32:$E$45,,MATCH($D92,'Landbrugsareal - resultat'!$C$4:$E$4,0)))),IF(I$2=2030,SUMPRODUCT(($B92='Landbrugsareal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resultat'!$I$4:$K$4,0)))))),IF(I$2=2019,SUMPRODUCT(($B92='Landbrugsareal - resultat'!$B$32:$B$45)*(INDEX('Landbrugsareal - resultat'!$L$32:$N$45,,MATCH($D92,'Landbrugsareal - resultat'!$L$4:$N$4,0)))),IF(I$2=2030,SUMPRODUCT(($B92='Landbrugsareal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2274.6006151102201</v>
      </c>
    </row>
    <row r="93" spans="1:9" hidden="1" x14ac:dyDescent="0.55000000000000004">
      <c r="A93" t="s">
        <v>24</v>
      </c>
      <c r="B93" s="1" t="str">
        <f>[1]Afgrødefordeling!$C$8</f>
        <v>Roer</v>
      </c>
      <c r="C93" t="s">
        <v>7</v>
      </c>
      <c r="D93" t="str">
        <f t="shared" si="8"/>
        <v>JB1-10</v>
      </c>
      <c r="F93" t="str">
        <f t="shared" si="6"/>
        <v>Areal-roer</v>
      </c>
      <c r="G93" s="97" cm="1">
        <f t="array" ref="G93">IF($A93="Vestdanmark",IF($C93="Konventionel",IF(G$2=2019,SUMPRODUCT(($B93='Landbrugsareal - resultat'!$B$5:$B$18)*(INDEX('Landbrugsareal - resultat'!$C$5:$E$18,,MATCH($D93,'Landbrugsareal - resultat'!$C$4:$E$4,0)))),IF(G$2=2030,SUMPRODUCT(($B93='Landbrugsareal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resultat'!$I$4:$K$4,0)))))),IF(G$2=2019,SUMPRODUCT(($B93='Landbrugsareal - resultat'!$B$5:$B$18)*(INDEX('Landbrugsareal - resultat'!$L$5:$N$18,,MATCH($D93,'Landbrugsareal - resultat'!$L$4:$N$4,0)))),IF(G$2=2030,SUMPRODUCT(($B93='Landbrugsareal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resultat'!$R$4:$T$4,0))))))),IF($C93="Konventionel",IF(G$2=2019,SUMPRODUCT((B93='Landbrugsareal - resultat'!$B$32:$B$45)*(INDEX('Landbrugsareal - resultat'!$C$32:$E$45,,MATCH($D93,'Landbrugsareal - resultat'!$C$4:$E$4,0)))),IF(G$2=2030,SUMPRODUCT(($B93='Landbrugsareal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resultat'!$I$4:$K$4,0)))))),IF(G$2=2019,SUMPRODUCT(($B93='Landbrugsareal - resultat'!$B$32:$B$45)*(INDEX('Landbrugsareal - resultat'!$L$32:$N$45,,MATCH($D93,'Landbrugsareal - resultat'!$L$4:$N$4,0)))),IF(G$2=2030,SUMPRODUCT(($B93='Landbrugsareal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25678.880997566026</v>
      </c>
      <c r="H93" s="97" cm="1">
        <f t="array" ref="H93">IF($A93="Vestdanmark",IF($C93="Konventionel",IF(H$2=2019,SUMPRODUCT(($B93='Landbrugsareal - resultat'!$B$5:$B$18)*(INDEX('Landbrugsareal - resultat'!$C$5:$E$18,,MATCH($D93,'Landbrugsareal - resultat'!$C$4:$E$4,0)))),IF(H$2=2030,SUMPRODUCT(($B93='Landbrugsareal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resultat'!$I$4:$K$4,0)))))),IF(H$2=2019,SUMPRODUCT(($B93='Landbrugsareal - resultat'!$B$5:$B$18)*(INDEX('Landbrugsareal - resultat'!$L$5:$N$18,,MATCH($D93,'Landbrugsareal - resultat'!$L$4:$N$4,0)))),IF(H$2=2030,SUMPRODUCT(($B93='Landbrugsareal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resultat'!$R$4:$T$4,0))))))),IF($C93="Konventionel",IF(H$2=2019,SUMPRODUCT(($B93='Landbrugsareal - resultat'!$B$32:$B$45)*(INDEX('Landbrugsareal - resultat'!$C$32:$E$45,,MATCH($D93,'Landbrugsareal - resultat'!$C$4:$E$4,0)))),IF(H$2=2030,SUMPRODUCT(($B93='Landbrugsareal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resultat'!$I$4:$K$4,0)))))),IF(H$2=2019,SUMPRODUCT(($B93='Landbrugsareal - resultat'!$B$32:$B$45)*(INDEX('Landbrugsareal - resultat'!$L$32:$N$45,,MATCH($D93,'Landbrugsareal - resultat'!$L$4:$N$4,0)))),IF(H$2=2030,SUMPRODUCT(($B93='Landbrugsareal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24960.063802661847</v>
      </c>
      <c r="I93" s="97" cm="1">
        <f t="array" ref="I93">IF($A93="Vestdanmark",IF($C93="Konventionel",IF(I$2=2019,SUMPRODUCT(($B93='Landbrugsareal - resultat'!$B$5:$B$18)*(INDEX('Landbrugsareal - resultat'!$C$5:$E$18,,MATCH($D93,'Landbrugsareal - resultat'!$C$4:$E$4,0)))),IF(I$2=2030,SUMPRODUCT(($B93='Landbrugsareal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resultat'!$I$4:$K$4,0)))))),IF(I$2=2019,SUMPRODUCT(($B93='Landbrugsareal - resultat'!$B$5:$B$18)*(INDEX('Landbrugsareal - resultat'!$L$5:$N$18,,MATCH($D93,'Landbrugsareal - resultat'!$L$4:$N$4,0)))),IF(I$2=2030,SUMPRODUCT(($B93='Landbrugsareal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resultat'!$R$4:$T$4,0))))))),IF($C93="Konventionel",IF(I$2=2019,SUMPRODUCT((C93='Landbrugsareal - resultat'!$B$32:$B$45)*(INDEX('Landbrugsareal - resultat'!$C$32:$E$45,,MATCH($D93,'Landbrugsareal - resultat'!$C$4:$E$4,0)))),IF(I$2=2030,SUMPRODUCT(($B93='Landbrugsareal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resultat'!$I$4:$K$4,0)))))),IF(I$2=2019,SUMPRODUCT(($B93='Landbrugsareal - resultat'!$B$32:$B$45)*(INDEX('Landbrugsareal - resultat'!$L$32:$N$45,,MATCH($D93,'Landbrugsareal - resultat'!$L$4:$N$4,0)))),IF(I$2=2030,SUMPRODUCT(($B93='Landbrugsareal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23645.856423202276</v>
      </c>
    </row>
    <row r="94" spans="1:9" hidden="1" x14ac:dyDescent="0.55000000000000004">
      <c r="A94" t="s">
        <v>24</v>
      </c>
      <c r="B94" s="1" t="str">
        <f>[1]Afgrødefordeling!$C$9</f>
        <v>Majs</v>
      </c>
      <c r="C94" t="s">
        <v>7</v>
      </c>
      <c r="D94" t="str">
        <f t="shared" si="8"/>
        <v>JB1-10</v>
      </c>
      <c r="F94" t="str">
        <f t="shared" si="6"/>
        <v>Areal-majs</v>
      </c>
      <c r="G94" s="97" cm="1">
        <f t="array" ref="G94">IF($A94="Vestdanmark",IF($C94="Konventionel",IF(G$2=2019,SUMPRODUCT(($B94='Landbrugsareal - resultat'!$B$5:$B$18)*(INDEX('Landbrugsareal - resultat'!$C$5:$E$18,,MATCH($D94,'Landbrugsareal - resultat'!$C$4:$E$4,0)))),IF(G$2=2030,SUMPRODUCT(($B94='Landbrugsareal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resultat'!$I$4:$K$4,0)))))),IF(G$2=2019,SUMPRODUCT(($B94='Landbrugsareal - resultat'!$B$5:$B$18)*(INDEX('Landbrugsareal - resultat'!$L$5:$N$18,,MATCH($D94,'Landbrugsareal - resultat'!$L$4:$N$4,0)))),IF(G$2=2030,SUMPRODUCT(($B94='Landbrugsareal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resultat'!$R$4:$T$4,0))))))),IF($C94="Konventionel",IF(G$2=2019,SUMPRODUCT((B94='Landbrugsareal - resultat'!$B$32:$B$45)*(INDEX('Landbrugsareal - resultat'!$C$32:$E$45,,MATCH($D94,'Landbrugsareal - resultat'!$C$4:$E$4,0)))),IF(G$2=2030,SUMPRODUCT(($B94='Landbrugsareal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resultat'!$I$4:$K$4,0)))))),IF(G$2=2019,SUMPRODUCT(($B94='Landbrugsareal - resultat'!$B$32:$B$45)*(INDEX('Landbrugsareal - resultat'!$L$32:$N$45,,MATCH($D94,'Landbrugsareal - resultat'!$L$4:$N$4,0)))),IF(G$2=2030,SUMPRODUCT(($B94='Landbrugsareal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7262.9431424427694</v>
      </c>
      <c r="H94" s="97" cm="1">
        <f t="array" ref="H94">IF($A94="Vestdanmark",IF($C94="Konventionel",IF(H$2=2019,SUMPRODUCT(($B94='Landbrugsareal - resultat'!$B$5:$B$18)*(INDEX('Landbrugsareal - resultat'!$C$5:$E$18,,MATCH($D94,'Landbrugsareal - resultat'!$C$4:$E$4,0)))),IF(H$2=2030,SUMPRODUCT(($B94='Landbrugsareal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resultat'!$I$4:$K$4,0)))))),IF(H$2=2019,SUMPRODUCT(($B94='Landbrugsareal - resultat'!$B$5:$B$18)*(INDEX('Landbrugsareal - resultat'!$L$5:$N$18,,MATCH($D94,'Landbrugsareal - resultat'!$L$4:$N$4,0)))),IF(H$2=2030,SUMPRODUCT(($B94='Landbrugsareal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resultat'!$R$4:$T$4,0))))))),IF($C94="Konventionel",IF(H$2=2019,SUMPRODUCT(($B94='Landbrugsareal - resultat'!$B$32:$B$45)*(INDEX('Landbrugsareal - resultat'!$C$32:$E$45,,MATCH($D94,'Landbrugsareal - resultat'!$C$4:$E$4,0)))),IF(H$2=2030,SUMPRODUCT(($B94='Landbrugsareal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resultat'!$I$4:$K$4,0)))))),IF(H$2=2019,SUMPRODUCT(($B94='Landbrugsareal - resultat'!$B$32:$B$45)*(INDEX('Landbrugsareal - resultat'!$L$32:$N$45,,MATCH($D94,'Landbrugsareal - resultat'!$L$4:$N$4,0)))),IF(H$2=2030,SUMPRODUCT(($B94='Landbrugsareal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7059.6348901519423</v>
      </c>
      <c r="I94" s="97" cm="1">
        <f t="array" ref="I94">IF($A94="Vestdanmark",IF($C94="Konventionel",IF(I$2=2019,SUMPRODUCT(($B94='Landbrugsareal - resultat'!$B$5:$B$18)*(INDEX('Landbrugsareal - resultat'!$C$5:$E$18,,MATCH($D94,'Landbrugsareal - resultat'!$C$4:$E$4,0)))),IF(I$2=2030,SUMPRODUCT(($B94='Landbrugsareal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resultat'!$I$4:$K$4,0)))))),IF(I$2=2019,SUMPRODUCT(($B94='Landbrugsareal - resultat'!$B$5:$B$18)*(INDEX('Landbrugsareal - resultat'!$L$5:$N$18,,MATCH($D94,'Landbrugsareal - resultat'!$L$4:$N$4,0)))),IF(I$2=2030,SUMPRODUCT(($B94='Landbrugsareal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resultat'!$R$4:$T$4,0))))))),IF($C94="Konventionel",IF(I$2=2019,SUMPRODUCT((C94='Landbrugsareal - resultat'!$B$32:$B$45)*(INDEX('Landbrugsareal - resultat'!$C$32:$E$45,,MATCH($D94,'Landbrugsareal - resultat'!$C$4:$E$4,0)))),IF(I$2=2030,SUMPRODUCT(($B94='Landbrugsareal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resultat'!$I$4:$K$4,0)))))),IF(I$2=2019,SUMPRODUCT(($B94='Landbrugsareal - resultat'!$B$32:$B$45)*(INDEX('Landbrugsareal - resultat'!$L$32:$N$45,,MATCH($D94,'Landbrugsareal - resultat'!$L$4:$N$4,0)))),IF(I$2=2030,SUMPRODUCT(($B94='Landbrugsareal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6687.9281372253527</v>
      </c>
    </row>
    <row r="95" spans="1:9" hidden="1" x14ac:dyDescent="0.55000000000000004">
      <c r="A95" t="s">
        <v>24</v>
      </c>
      <c r="B95" s="1" t="str">
        <f>[1]Afgrødefordeling!$C$10</f>
        <v>Frugt</v>
      </c>
      <c r="C95" t="s">
        <v>7</v>
      </c>
      <c r="D95" t="str">
        <f t="shared" si="8"/>
        <v>JB1-10</v>
      </c>
      <c r="F95" t="str">
        <f t="shared" si="6"/>
        <v>Areal-frugt</v>
      </c>
      <c r="G95" s="97" cm="1">
        <f t="array" ref="G95">IF($A95="Vestdanmark",IF($C95="Konventionel",IF(G$2=2019,SUMPRODUCT(($B95='Landbrugsareal - resultat'!$B$5:$B$18)*(INDEX('Landbrugsareal - resultat'!$C$5:$E$18,,MATCH($D95,'Landbrugsareal - resultat'!$C$4:$E$4,0)))),IF(G$2=2030,SUMPRODUCT(($B95='Landbrugsareal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resultat'!$I$4:$K$4,0)))))),IF(G$2=2019,SUMPRODUCT(($B95='Landbrugsareal - resultat'!$B$5:$B$18)*(INDEX('Landbrugsareal - resultat'!$L$5:$N$18,,MATCH($D95,'Landbrugsareal - resultat'!$L$4:$N$4,0)))),IF(G$2=2030,SUMPRODUCT(($B95='Landbrugsareal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resultat'!$R$4:$T$4,0))))))),IF($C95="Konventionel",IF(G$2=2019,SUMPRODUCT((B95='Landbrugsareal - resultat'!$B$32:$B$45)*(INDEX('Landbrugsareal - resultat'!$C$32:$E$45,,MATCH($D95,'Landbrugsareal - resultat'!$C$4:$E$4,0)))),IF(G$2=2030,SUMPRODUCT(($B95='Landbrugsareal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resultat'!$I$4:$K$4,0)))))),IF(G$2=2019,SUMPRODUCT(($B95='Landbrugsareal - resultat'!$B$32:$B$45)*(INDEX('Landbrugsareal - resultat'!$L$32:$N$45,,MATCH($D95,'Landbrugsareal - resultat'!$L$4:$N$4,0)))),IF(G$2=2030,SUMPRODUCT(($B95='Landbrugsareal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1689.9505584470551</v>
      </c>
      <c r="H95" s="97" cm="1">
        <f t="array" ref="H95">IF($A95="Vestdanmark",IF($C95="Konventionel",IF(H$2=2019,SUMPRODUCT(($B95='Landbrugsareal - resultat'!$B$5:$B$18)*(INDEX('Landbrugsareal - resultat'!$C$5:$E$18,,MATCH($D95,'Landbrugsareal - resultat'!$C$4:$E$4,0)))),IF(H$2=2030,SUMPRODUCT(($B95='Landbrugsareal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resultat'!$I$4:$K$4,0)))))),IF(H$2=2019,SUMPRODUCT(($B95='Landbrugsareal - resultat'!$B$5:$B$18)*(INDEX('Landbrugsareal - resultat'!$L$5:$N$18,,MATCH($D95,'Landbrugsareal - resultat'!$L$4:$N$4,0)))),IF(H$2=2030,SUMPRODUCT(($B95='Landbrugsareal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resultat'!$R$4:$T$4,0))))))),IF($C95="Konventionel",IF(H$2=2019,SUMPRODUCT(($B95='Landbrugsareal - resultat'!$B$32:$B$45)*(INDEX('Landbrugsareal - resultat'!$C$32:$E$45,,MATCH($D95,'Landbrugsareal - resultat'!$C$4:$E$4,0)))),IF(H$2=2030,SUMPRODUCT(($B95='Landbrugsareal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resultat'!$I$4:$K$4,0)))))),IF(H$2=2019,SUMPRODUCT(($B95='Landbrugsareal - resultat'!$B$32:$B$45)*(INDEX('Landbrugsareal - resultat'!$L$32:$N$45,,MATCH($D95,'Landbrugsareal - resultat'!$L$4:$N$4,0)))),IF(H$2=2030,SUMPRODUCT(($B95='Landbrugsareal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1642.6445438249691</v>
      </c>
      <c r="I95" s="97" cm="1">
        <f t="array" ref="I95">IF($A95="Vestdanmark",IF($C95="Konventionel",IF(I$2=2019,SUMPRODUCT(($B95='Landbrugsareal - resultat'!$B$5:$B$18)*(INDEX('Landbrugsareal - resultat'!$C$5:$E$18,,MATCH($D95,'Landbrugsareal - resultat'!$C$4:$E$4,0)))),IF(I$2=2030,SUMPRODUCT(($B95='Landbrugsareal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resultat'!$I$4:$K$4,0)))))),IF(I$2=2019,SUMPRODUCT(($B95='Landbrugsareal - resultat'!$B$5:$B$18)*(INDEX('Landbrugsareal - resultat'!$L$5:$N$18,,MATCH($D95,'Landbrugsareal - resultat'!$L$4:$N$4,0)))),IF(I$2=2030,SUMPRODUCT(($B95='Landbrugsareal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resultat'!$R$4:$T$4,0))))))),IF($C95="Konventionel",IF(I$2=2019,SUMPRODUCT((C95='Landbrugsareal - resultat'!$B$32:$B$45)*(INDEX('Landbrugsareal - resultat'!$C$32:$E$45,,MATCH($D95,'Landbrugsareal - resultat'!$C$4:$E$4,0)))),IF(I$2=2030,SUMPRODUCT(($B95='Landbrugsareal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resultat'!$I$4:$K$4,0)))))),IF(I$2=2019,SUMPRODUCT(($B95='Landbrugsareal - resultat'!$B$32:$B$45)*(INDEX('Landbrugsareal - resultat'!$L$32:$N$45,,MATCH($D95,'Landbrugsareal - resultat'!$L$4:$N$4,0)))),IF(I$2=2030,SUMPRODUCT(($B95='Landbrugsareal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1556.1553586052762</v>
      </c>
    </row>
    <row r="96" spans="1:9" hidden="1" x14ac:dyDescent="0.55000000000000004">
      <c r="A96" t="s">
        <v>24</v>
      </c>
      <c r="B96" s="1" t="str">
        <f>[1]Afgrødefordeling!$C$11</f>
        <v>Øvrige</v>
      </c>
      <c r="C96" t="s">
        <v>7</v>
      </c>
      <c r="D96" t="str">
        <f t="shared" si="8"/>
        <v>JB1-10</v>
      </c>
      <c r="F96" t="str">
        <f t="shared" si="6"/>
        <v>Areal-øvrige</v>
      </c>
      <c r="G96" s="97" cm="1">
        <f t="array" ref="G96">IF($A96="Vestdanmark",IF($C96="Konventionel",IF(G$2=2019,SUMPRODUCT(($B96='Landbrugsareal - resultat'!$B$5:$B$18)*(INDEX('Landbrugsareal - resultat'!$C$5:$E$18,,MATCH($D96,'Landbrugsareal - resultat'!$C$4:$E$4,0)))),IF(G$2=2030,SUMPRODUCT(($B96='Landbrugsareal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resultat'!$I$4:$K$4,0)))))),IF(G$2=2019,SUMPRODUCT(($B96='Landbrugsareal - resultat'!$B$5:$B$18)*(INDEX('Landbrugsareal - resultat'!$L$5:$N$18,,MATCH($D96,'Landbrugsareal - resultat'!$L$4:$N$4,0)))),IF(G$2=2030,SUMPRODUCT(($B96='Landbrugsareal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resultat'!$R$4:$T$4,0))))))),IF($C96="Konventionel",IF(G$2=2019,SUMPRODUCT((B96='Landbrugsareal - resultat'!$B$32:$B$45)*(INDEX('Landbrugsareal - resultat'!$C$32:$E$45,,MATCH($D96,'Landbrugsareal - resultat'!$C$4:$E$4,0)))),IF(G$2=2030,SUMPRODUCT(($B96='Landbrugsareal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resultat'!$I$4:$K$4,0)))))),IF(G$2=2019,SUMPRODUCT(($B96='Landbrugsareal - resultat'!$B$32:$B$45)*(INDEX('Landbrugsareal - resultat'!$L$32:$N$45,,MATCH($D96,'Landbrugsareal - resultat'!$L$4:$N$4,0)))),IF(G$2=2030,SUMPRODUCT(($B96='Landbrugsareal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12067.066633104925</v>
      </c>
      <c r="H96" s="97" cm="1">
        <f t="array" ref="H96">IF($A96="Vestdanmark",IF($C96="Konventionel",IF(H$2=2019,SUMPRODUCT(($B96='Landbrugsareal - resultat'!$B$5:$B$18)*(INDEX('Landbrugsareal - resultat'!$C$5:$E$18,,MATCH($D96,'Landbrugsareal - resultat'!$C$4:$E$4,0)))),IF(H$2=2030,SUMPRODUCT(($B96='Landbrugsareal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resultat'!$I$4:$K$4,0)))))),IF(H$2=2019,SUMPRODUCT(($B96='Landbrugsareal - resultat'!$B$5:$B$18)*(INDEX('Landbrugsareal - resultat'!$L$5:$N$18,,MATCH($D96,'Landbrugsareal - resultat'!$L$4:$N$4,0)))),IF(H$2=2030,SUMPRODUCT(($B96='Landbrugsareal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resultat'!$R$4:$T$4,0))))))),IF($C96="Konventionel",IF(H$2=2019,SUMPRODUCT(($B96='Landbrugsareal - resultat'!$B$32:$B$45)*(INDEX('Landbrugsareal - resultat'!$C$32:$E$45,,MATCH($D96,'Landbrugsareal - resultat'!$C$4:$E$4,0)))),IF(H$2=2030,SUMPRODUCT(($B96='Landbrugsareal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resultat'!$I$4:$K$4,0)))))),IF(H$2=2019,SUMPRODUCT(($B96='Landbrugsareal - resultat'!$B$32:$B$45)*(INDEX('Landbrugsareal - resultat'!$L$32:$N$45,,MATCH($D96,'Landbrugsareal - resultat'!$L$4:$N$4,0)))),IF(H$2=2030,SUMPRODUCT(($B96='Landbrugsareal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11729.278744732668</v>
      </c>
      <c r="I96" s="97" cm="1">
        <f t="array" ref="I96">IF($A96="Vestdanmark",IF($C96="Konventionel",IF(I$2=2019,SUMPRODUCT(($B96='Landbrugsareal - resultat'!$B$5:$B$18)*(INDEX('Landbrugsareal - resultat'!$C$5:$E$18,,MATCH($D96,'Landbrugsareal - resultat'!$C$4:$E$4,0)))),IF(I$2=2030,SUMPRODUCT(($B96='Landbrugsareal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resultat'!$I$4:$K$4,0)))))),IF(I$2=2019,SUMPRODUCT(($B96='Landbrugsareal - resultat'!$B$5:$B$18)*(INDEX('Landbrugsareal - resultat'!$L$5:$N$18,,MATCH($D96,'Landbrugsareal - resultat'!$L$4:$N$4,0)))),IF(I$2=2030,SUMPRODUCT(($B96='Landbrugsareal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resultat'!$R$4:$T$4,0))))))),IF($C96="Konventionel",IF(I$2=2019,SUMPRODUCT((C96='Landbrugsareal - resultat'!$B$32:$B$45)*(INDEX('Landbrugsareal - resultat'!$C$32:$E$45,,MATCH($D96,'Landbrugsareal - resultat'!$C$4:$E$4,0)))),IF(I$2=2030,SUMPRODUCT(($B96='Landbrugsareal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resultat'!$I$4:$K$4,0)))))),IF(I$2=2019,SUMPRODUCT(($B96='Landbrugsareal - resultat'!$B$32:$B$45)*(INDEX('Landbrugsareal - resultat'!$L$32:$N$45,,MATCH($D96,'Landbrugsareal - resultat'!$L$4:$N$4,0)))),IF(I$2=2030,SUMPRODUCT(($B96='Landbrugsareal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11111.704013997321</v>
      </c>
    </row>
    <row r="97" spans="1:9" hidden="1" x14ac:dyDescent="0.55000000000000004">
      <c r="A97" t="s">
        <v>24</v>
      </c>
      <c r="B97" s="1" t="str">
        <f>[1]Afgrødefordeling!$C$12</f>
        <v>Frø</v>
      </c>
      <c r="C97" t="s">
        <v>7</v>
      </c>
      <c r="D97" t="str">
        <f t="shared" si="8"/>
        <v>JB1-10</v>
      </c>
      <c r="F97" t="str">
        <f t="shared" si="6"/>
        <v>Areal-frøgræs</v>
      </c>
      <c r="G97" s="97" cm="1">
        <f t="array" ref="G97">IF($A97="Vestdanmark",IF($C97="Konventionel",IF(G$2=2019,SUMPRODUCT(($B97='Landbrugsareal - resultat'!$B$5:$B$18)*(INDEX('Landbrugsareal - resultat'!$C$5:$E$18,,MATCH($D97,'Landbrugsareal - resultat'!$C$4:$E$4,0)))),IF(G$2=2030,SUMPRODUCT(($B97='Landbrugsareal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resultat'!$I$4:$K$4,0)))))),IF(G$2=2019,SUMPRODUCT(($B97='Landbrugsareal - resultat'!$B$5:$B$18)*(INDEX('Landbrugsareal - resultat'!$L$5:$N$18,,MATCH($D97,'Landbrugsareal - resultat'!$L$4:$N$4,0)))),IF(G$2=2030,SUMPRODUCT(($B97='Landbrugsareal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resultat'!$R$4:$T$4,0))))))),IF($C97="Konventionel",IF(G$2=2019,SUMPRODUCT((B97='Landbrugsareal - resultat'!$B$32:$B$45)*(INDEX('Landbrugsareal - resultat'!$C$32:$E$45,,MATCH($D97,'Landbrugsareal - resultat'!$C$4:$E$4,0)))),IF(G$2=2030,SUMPRODUCT(($B97='Landbrugsareal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resultat'!$I$4:$K$4,0)))))),IF(G$2=2019,SUMPRODUCT(($B97='Landbrugsareal - resultat'!$B$32:$B$45)*(INDEX('Landbrugsareal - resultat'!$L$32:$N$45,,MATCH($D97,'Landbrugsareal - resultat'!$L$4:$N$4,0)))),IF(G$2=2030,SUMPRODUCT(($B97='Landbrugsareal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37335.148248827281</v>
      </c>
      <c r="H97" s="97" cm="1">
        <f t="array" ref="H97">IF($A97="Vestdanmark",IF($C97="Konventionel",IF(H$2=2019,SUMPRODUCT(($B97='Landbrugsareal - resultat'!$B$5:$B$18)*(INDEX('Landbrugsareal - resultat'!$C$5:$E$18,,MATCH($D97,'Landbrugsareal - resultat'!$C$4:$E$4,0)))),IF(H$2=2030,SUMPRODUCT(($B97='Landbrugsareal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resultat'!$I$4:$K$4,0)))))),IF(H$2=2019,SUMPRODUCT(($B97='Landbrugsareal - resultat'!$B$5:$B$18)*(INDEX('Landbrugsareal - resultat'!$L$5:$N$18,,MATCH($D97,'Landbrugsareal - resultat'!$L$4:$N$4,0)))),IF(H$2=2030,SUMPRODUCT(($B97='Landbrugsareal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resultat'!$R$4:$T$4,0))))))),IF($C97="Konventionel",IF(H$2=2019,SUMPRODUCT(($B97='Landbrugsareal - resultat'!$B$32:$B$45)*(INDEX('Landbrugsareal - resultat'!$C$32:$E$45,,MATCH($D97,'Landbrugsareal - resultat'!$C$4:$E$4,0)))),IF(H$2=2030,SUMPRODUCT(($B97='Landbrugsareal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resultat'!$I$4:$K$4,0)))))),IF(H$2=2019,SUMPRODUCT(($B97='Landbrugsareal - resultat'!$B$32:$B$45)*(INDEX('Landbrugsareal - resultat'!$L$32:$N$45,,MATCH($D97,'Landbrugsareal - resultat'!$L$4:$N$4,0)))),IF(H$2=2030,SUMPRODUCT(($B97='Landbrugsareal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36290.042485141646</v>
      </c>
      <c r="I97" s="97" cm="1">
        <f t="array" ref="I97">IF($A97="Vestdanmark",IF($C97="Konventionel",IF(I$2=2019,SUMPRODUCT(($B97='Landbrugsareal - resultat'!$B$5:$B$18)*(INDEX('Landbrugsareal - resultat'!$C$5:$E$18,,MATCH($D97,'Landbrugsareal - resultat'!$C$4:$E$4,0)))),IF(I$2=2030,SUMPRODUCT(($B97='Landbrugsareal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resultat'!$I$4:$K$4,0)))))),IF(I$2=2019,SUMPRODUCT(($B97='Landbrugsareal - resultat'!$B$5:$B$18)*(INDEX('Landbrugsareal - resultat'!$L$5:$N$18,,MATCH($D97,'Landbrugsareal - resultat'!$L$4:$N$4,0)))),IF(I$2=2030,SUMPRODUCT(($B97='Landbrugsareal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resultat'!$R$4:$T$4,0))))))),IF($C97="Konventionel",IF(I$2=2019,SUMPRODUCT((C97='Landbrugsareal - resultat'!$B$32:$B$45)*(INDEX('Landbrugsareal - resultat'!$C$32:$E$45,,MATCH($D97,'Landbrugsareal - resultat'!$C$4:$E$4,0)))),IF(I$2=2030,SUMPRODUCT(($B97='Landbrugsareal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resultat'!$I$4:$K$4,0)))))),IF(I$2=2019,SUMPRODUCT(($B97='Landbrugsareal - resultat'!$B$32:$B$45)*(INDEX('Landbrugsareal - resultat'!$L$32:$N$45,,MATCH($D97,'Landbrugsareal - resultat'!$L$4:$N$4,0)))),IF(I$2=2030,SUMPRODUCT(($B97='Landbrugsareal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34379.284483401752</v>
      </c>
    </row>
    <row r="98" spans="1:9" hidden="1" x14ac:dyDescent="0.55000000000000004">
      <c r="A98" t="s">
        <v>24</v>
      </c>
      <c r="B98" s="1" t="str">
        <f>[1]Afgrødefordeling!$C$13</f>
        <v>Juletræer</v>
      </c>
      <c r="C98" t="s">
        <v>7</v>
      </c>
      <c r="D98" t="str">
        <f t="shared" si="8"/>
        <v>JB1-10</v>
      </c>
      <c r="F98" t="str">
        <f t="shared" si="6"/>
        <v>Areal-juletræer</v>
      </c>
      <c r="G98" s="97" cm="1">
        <f t="array" ref="G98">IF($A98="Vestdanmark",IF($C98="Konventionel",IF(G$2=2019,SUMPRODUCT(($B98='Landbrugsareal - resultat'!$B$5:$B$18)*(INDEX('Landbrugsareal - resultat'!$C$5:$E$18,,MATCH($D98,'Landbrugsareal - resultat'!$C$4:$E$4,0)))),IF(G$2=2030,SUMPRODUCT(($B98='Landbrugsareal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resultat'!$I$4:$K$4,0)))))),IF(G$2=2019,SUMPRODUCT(($B98='Landbrugsareal - resultat'!$B$5:$B$18)*(INDEX('Landbrugsareal - resultat'!$L$5:$N$18,,MATCH($D98,'Landbrugsareal - resultat'!$L$4:$N$4,0)))),IF(G$2=2030,SUMPRODUCT(($B98='Landbrugsareal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resultat'!$R$4:$T$4,0))))))),IF($C98="Konventionel",IF(G$2=2019,SUMPRODUCT((B98='Landbrugsareal - resultat'!$B$32:$B$45)*(INDEX('Landbrugsareal - resultat'!$C$32:$E$45,,MATCH($D98,'Landbrugsareal - resultat'!$C$4:$E$4,0)))),IF(G$2=2030,SUMPRODUCT(($B98='Landbrugsareal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resultat'!$I$4:$K$4,0)))))),IF(G$2=2019,SUMPRODUCT(($B98='Landbrugsareal - resultat'!$B$32:$B$45)*(INDEX('Landbrugsareal - resultat'!$L$32:$N$45,,MATCH($D98,'Landbrugsareal - resultat'!$L$4:$N$4,0)))),IF(G$2=2030,SUMPRODUCT(($B98='Landbrugsareal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2648.1429081925139</v>
      </c>
      <c r="H98" s="97" cm="1">
        <f t="array" ref="H98">IF($A98="Vestdanmark",IF($C98="Konventionel",IF(H$2=2019,SUMPRODUCT(($B98='Landbrugsareal - resultat'!$B$5:$B$18)*(INDEX('Landbrugsareal - resultat'!$C$5:$E$18,,MATCH($D98,'Landbrugsareal - resultat'!$C$4:$E$4,0)))),IF(H$2=2030,SUMPRODUCT(($B98='Landbrugsareal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resultat'!$I$4:$K$4,0)))))),IF(H$2=2019,SUMPRODUCT(($B98='Landbrugsareal - resultat'!$B$5:$B$18)*(INDEX('Landbrugsareal - resultat'!$L$5:$N$18,,MATCH($D98,'Landbrugsareal - resultat'!$L$4:$N$4,0)))),IF(H$2=2030,SUMPRODUCT(($B98='Landbrugsareal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resultat'!$R$4:$T$4,0))))))),IF($C98="Konventionel",IF(H$2=2019,SUMPRODUCT(($B98='Landbrugsareal - resultat'!$B$32:$B$45)*(INDEX('Landbrugsareal - resultat'!$C$32:$E$45,,MATCH($D98,'Landbrugsareal - resultat'!$C$4:$E$4,0)))),IF(H$2=2030,SUMPRODUCT(($B98='Landbrugsareal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resultat'!$I$4:$K$4,0)))))),IF(H$2=2019,SUMPRODUCT(($B98='Landbrugsareal - resultat'!$B$32:$B$45)*(INDEX('Landbrugsareal - resultat'!$L$32:$N$45,,MATCH($D98,'Landbrugsareal - resultat'!$L$4:$N$4,0)))),IF(H$2=2030,SUMPRODUCT(($B98='Landbrugsareal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2574.0146524810302</v>
      </c>
      <c r="I98" s="97" cm="1">
        <f t="array" ref="I98">IF($A98="Vestdanmark",IF($C98="Konventionel",IF(I$2=2019,SUMPRODUCT(($B98='Landbrugsareal - resultat'!$B$5:$B$18)*(INDEX('Landbrugsareal - resultat'!$C$5:$E$18,,MATCH($D98,'Landbrugsareal - resultat'!$C$4:$E$4,0)))),IF(I$2=2030,SUMPRODUCT(($B98='Landbrugsareal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resultat'!$I$4:$K$4,0)))))),IF(I$2=2019,SUMPRODUCT(($B98='Landbrugsareal - resultat'!$B$5:$B$18)*(INDEX('Landbrugsareal - resultat'!$L$5:$N$18,,MATCH($D98,'Landbrugsareal - resultat'!$L$4:$N$4,0)))),IF(I$2=2030,SUMPRODUCT(($B98='Landbrugsareal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resultat'!$R$4:$T$4,0))))))),IF($C98="Konventionel",IF(I$2=2019,SUMPRODUCT((C98='Landbrugsareal - resultat'!$B$32:$B$45)*(INDEX('Landbrugsareal - resultat'!$C$32:$E$45,,MATCH($D98,'Landbrugsareal - resultat'!$C$4:$E$4,0)))),IF(I$2=2030,SUMPRODUCT(($B98='Landbrugsareal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resultat'!$I$4:$K$4,0)))))),IF(I$2=2019,SUMPRODUCT(($B98='Landbrugsareal - resultat'!$B$32:$B$45)*(INDEX('Landbrugsareal - resultat'!$L$32:$N$45,,MATCH($D98,'Landbrugsareal - resultat'!$L$4:$N$4,0)))),IF(I$2=2030,SUMPRODUCT(($B98='Landbrugsareal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2438.4865914202696</v>
      </c>
    </row>
    <row r="99" spans="1:9" hidden="1" x14ac:dyDescent="0.55000000000000004">
      <c r="A99" t="s">
        <v>24</v>
      </c>
      <c r="B99" s="1" t="str">
        <f>[1]Afgrødefordeling!$C$14</f>
        <v>Pil &amp; poppel</v>
      </c>
      <c r="C99" t="s">
        <v>7</v>
      </c>
      <c r="D99" t="str">
        <f t="shared" si="8"/>
        <v>JB1-10</v>
      </c>
      <c r="F99" t="str">
        <f t="shared" si="6"/>
        <v>Areal-pil-poppel</v>
      </c>
      <c r="G99" s="97" cm="1">
        <f t="array" ref="G99">IF($A99="Vestdanmark",IF($C99="Konventionel",IF(G$2=2019,SUMPRODUCT(($B99='Landbrugsareal - resultat'!$B$5:$B$18)*(INDEX('Landbrugsareal - resultat'!$C$5:$E$18,,MATCH($D99,'Landbrugsareal - resultat'!$C$4:$E$4,0)))),IF(G$2=2030,SUMPRODUCT(($B99='Landbrugsareal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resultat'!$I$4:$K$4,0)))))),IF(G$2=2019,SUMPRODUCT(($B99='Landbrugsareal - resultat'!$B$5:$B$18)*(INDEX('Landbrugsareal - resultat'!$L$5:$N$18,,MATCH($D99,'Landbrugsareal - resultat'!$L$4:$N$4,0)))),IF(G$2=2030,SUMPRODUCT(($B99='Landbrugsareal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resultat'!$R$4:$T$4,0))))))),IF($C99="Konventionel",IF(G$2=2019,SUMPRODUCT((B99='Landbrugsareal - resultat'!$B$32:$B$45)*(INDEX('Landbrugsareal - resultat'!$C$32:$E$45,,MATCH($D99,'Landbrugsareal - resultat'!$C$4:$E$4,0)))),IF(G$2=2030,SUMPRODUCT(($B99='Landbrugsareal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resultat'!$I$4:$K$4,0)))))),IF(G$2=2019,SUMPRODUCT(($B99='Landbrugsareal - resultat'!$B$32:$B$45)*(INDEX('Landbrugsareal - resultat'!$L$32:$N$45,,MATCH($D99,'Landbrugsareal - resultat'!$L$4:$N$4,0)))),IF(G$2=2030,SUMPRODUCT(($B99='Landbrugsareal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1258.7577822820135</v>
      </c>
      <c r="H99" s="97" cm="1">
        <f t="array" ref="H99">IF($A99="Vestdanmark",IF($C99="Konventionel",IF(H$2=2019,SUMPRODUCT(($B99='Landbrugsareal - resultat'!$B$5:$B$18)*(INDEX('Landbrugsareal - resultat'!$C$5:$E$18,,MATCH($D99,'Landbrugsareal - resultat'!$C$4:$E$4,0)))),IF(H$2=2030,SUMPRODUCT(($B99='Landbrugsareal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resultat'!$I$4:$K$4,0)))))),IF(H$2=2019,SUMPRODUCT(($B99='Landbrugsareal - resultat'!$B$5:$B$18)*(INDEX('Landbrugsareal - resultat'!$L$5:$N$18,,MATCH($D99,'Landbrugsareal - resultat'!$L$4:$N$4,0)))),IF(H$2=2030,SUMPRODUCT(($B99='Landbrugsareal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resultat'!$R$4:$T$4,0))))))),IF($C99="Konventionel",IF(H$2=2019,SUMPRODUCT(($B99='Landbrugsareal - resultat'!$B$32:$B$45)*(INDEX('Landbrugsareal - resultat'!$C$32:$E$45,,MATCH($D99,'Landbrugsareal - resultat'!$C$4:$E$4,0)))),IF(H$2=2030,SUMPRODUCT(($B99='Landbrugsareal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resultat'!$I$4:$K$4,0)))))),IF(H$2=2019,SUMPRODUCT(($B99='Landbrugsareal - resultat'!$B$32:$B$45)*(INDEX('Landbrugsareal - resultat'!$L$32:$N$45,,MATCH($D99,'Landbrugsareal - resultat'!$L$4:$N$4,0)))),IF(H$2=2030,SUMPRODUCT(($B99='Landbrugsareal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1223.5219502296152</v>
      </c>
      <c r="I99" s="97" cm="1">
        <f t="array" ref="I99">IF($A99="Vestdanmark",IF($C99="Konventionel",IF(I$2=2019,SUMPRODUCT(($B99='Landbrugsareal - resultat'!$B$5:$B$18)*(INDEX('Landbrugsareal - resultat'!$C$5:$E$18,,MATCH($D99,'Landbrugsareal - resultat'!$C$4:$E$4,0)))),IF(I$2=2030,SUMPRODUCT(($B99='Landbrugsareal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resultat'!$I$4:$K$4,0)))))),IF(I$2=2019,SUMPRODUCT(($B99='Landbrugsareal - resultat'!$B$5:$B$18)*(INDEX('Landbrugsareal - resultat'!$L$5:$N$18,,MATCH($D99,'Landbrugsareal - resultat'!$L$4:$N$4,0)))),IF(I$2=2030,SUMPRODUCT(($B99='Landbrugsareal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resultat'!$R$4:$T$4,0))))))),IF($C99="Konventionel",IF(I$2=2019,SUMPRODUCT((C99='Landbrugsareal - resultat'!$B$32:$B$45)*(INDEX('Landbrugsareal - resultat'!$C$32:$E$45,,MATCH($D99,'Landbrugsareal - resultat'!$C$4:$E$4,0)))),IF(I$2=2030,SUMPRODUCT(($B99='Landbrugsareal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resultat'!$I$4:$K$4,0)))))),IF(I$2=2019,SUMPRODUCT(($B99='Landbrugsareal - resultat'!$B$32:$B$45)*(INDEX('Landbrugsareal - resultat'!$L$32:$N$45,,MATCH($D99,'Landbrugsareal - resultat'!$L$4:$N$4,0)))),IF(I$2=2030,SUMPRODUCT(($B99='Landbrugsareal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1159.1005774063997</v>
      </c>
    </row>
    <row r="100" spans="1:9" hidden="1" x14ac:dyDescent="0.55000000000000004">
      <c r="A100" t="s">
        <v>24</v>
      </c>
      <c r="B100" s="1" t="str">
        <f>[1]Afgrødefordeling!$C$15</f>
        <v>Permanent græs</v>
      </c>
      <c r="C100" t="s">
        <v>7</v>
      </c>
      <c r="D100" t="str">
        <f t="shared" si="8"/>
        <v>JB1-10</v>
      </c>
      <c r="F100" t="str">
        <f t="shared" si="6"/>
        <v>Areal-permanent græs</v>
      </c>
      <c r="G100" s="97" cm="1">
        <f t="array" ref="G100">IF($A100="Vestdanmark",IF($C100="Konventionel",IF(G$2=2019,SUMPRODUCT(($B100='Landbrugsareal - resultat'!$B$5:$B$18)*(INDEX('Landbrugsareal - resultat'!$C$5:$E$18,,MATCH($D100,'Landbrugsareal - resultat'!$C$4:$E$4,0)))),IF(G$2=2030,SUMPRODUCT(($B100='Landbrugsareal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resultat'!$I$4:$K$4,0)))))),IF(G$2=2019,SUMPRODUCT(($B100='Landbrugsareal - resultat'!$B$5:$B$18)*(INDEX('Landbrugsareal - resultat'!$L$5:$N$18,,MATCH($D100,'Landbrugsareal - resultat'!$L$4:$N$4,0)))),IF(G$2=2030,SUMPRODUCT(($B100='Landbrugsareal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resultat'!$R$4:$T$4,0))))))),IF($C100="Konventionel",IF(G$2=2019,SUMPRODUCT((B100='Landbrugsareal - resultat'!$B$32:$B$45)*(INDEX('Landbrugsareal - resultat'!$C$32:$E$45,,MATCH($D100,'Landbrugsareal - resultat'!$C$4:$E$4,0)))),IF(G$2=2030,SUMPRODUCT(($B100='Landbrugsareal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resultat'!$I$4:$K$4,0)))))),IF(G$2=2019,SUMPRODUCT(($B100='Landbrugsareal - resultat'!$B$32:$B$45)*(INDEX('Landbrugsareal - resultat'!$L$32:$N$45,,MATCH($D100,'Landbrugsareal - resultat'!$L$4:$N$4,0)))),IF(G$2=2030,SUMPRODUCT(($B100='Landbrugsareal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31352.142273239417</v>
      </c>
      <c r="H100" s="97" cm="1">
        <f t="array" ref="H100">IF($A100="Vestdanmark",IF($C100="Konventionel",IF(H$2=2019,SUMPRODUCT(($B100='Landbrugsareal - resultat'!$B$5:$B$18)*(INDEX('Landbrugsareal - resultat'!$C$5:$E$18,,MATCH($D100,'Landbrugsareal - resultat'!$C$4:$E$4,0)))),IF(H$2=2030,SUMPRODUCT(($B100='Landbrugsareal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resultat'!$I$4:$K$4,0)))))),IF(H$2=2019,SUMPRODUCT(($B100='Landbrugsareal - resultat'!$B$5:$B$18)*(INDEX('Landbrugsareal - resultat'!$L$5:$N$18,,MATCH($D100,'Landbrugsareal - resultat'!$L$4:$N$4,0)))),IF(H$2=2030,SUMPRODUCT(($B100='Landbrugsareal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resultat'!$R$4:$T$4,0))))))),IF($C100="Konventionel",IF(H$2=2019,SUMPRODUCT(($B100='Landbrugsareal - resultat'!$B$32:$B$45)*(INDEX('Landbrugsareal - resultat'!$C$32:$E$45,,MATCH($D100,'Landbrugsareal - resultat'!$C$4:$E$4,0)))),IF(H$2=2030,SUMPRODUCT(($B100='Landbrugsareal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resultat'!$I$4:$K$4,0)))))),IF(H$2=2019,SUMPRODUCT(($B100='Landbrugsareal - resultat'!$B$32:$B$45)*(INDEX('Landbrugsareal - resultat'!$L$32:$N$45,,MATCH($D100,'Landbrugsareal - resultat'!$L$4:$N$4,0)))),IF(H$2=2030,SUMPRODUCT(($B100='Landbrugsareal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30474.516064946976</v>
      </c>
      <c r="I100" s="97" cm="1">
        <f t="array" ref="I100">IF($A100="Vestdanmark",IF($C100="Konventionel",IF(I$2=2019,SUMPRODUCT(($B100='Landbrugsareal - resultat'!$B$5:$B$18)*(INDEX('Landbrugsareal - resultat'!$C$5:$E$18,,MATCH($D100,'Landbrugsareal - resultat'!$C$4:$E$4,0)))),IF(I$2=2030,SUMPRODUCT(($B100='Landbrugsareal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resultat'!$I$4:$K$4,0)))))),IF(I$2=2019,SUMPRODUCT(($B100='Landbrugsareal - resultat'!$B$5:$B$18)*(INDEX('Landbrugsareal - resultat'!$L$5:$N$18,,MATCH($D100,'Landbrugsareal - resultat'!$L$4:$N$4,0)))),IF(I$2=2030,SUMPRODUCT(($B100='Landbrugsareal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resultat'!$R$4:$T$4,0))))))),IF($C100="Konventionel",IF(I$2=2019,SUMPRODUCT((C100='Landbrugsareal - resultat'!$B$32:$B$45)*(INDEX('Landbrugsareal - resultat'!$C$32:$E$45,,MATCH($D100,'Landbrugsareal - resultat'!$C$4:$E$4,0)))),IF(I$2=2030,SUMPRODUCT(($B100='Landbrugsareal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resultat'!$I$4:$K$4,0)))))),IF(I$2=2019,SUMPRODUCT(($B100='Landbrugsareal - resultat'!$B$32:$B$45)*(INDEX('Landbrugsareal - resultat'!$L$32:$N$45,,MATCH($D100,'Landbrugsareal - resultat'!$L$4:$N$4,0)))),IF(I$2=2030,SUMPRODUCT(($B100='Landbrugsareal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28869.959513543392</v>
      </c>
    </row>
    <row r="101" spans="1:9" hidden="1" x14ac:dyDescent="0.55000000000000004">
      <c r="A101" t="s">
        <v>24</v>
      </c>
      <c r="B101" s="1" t="str">
        <f>[1]Afgrødefordeling!$C$2</f>
        <v>Korn</v>
      </c>
      <c r="C101" t="s">
        <v>7</v>
      </c>
      <c r="D101" t="str">
        <f t="shared" ref="D101:D114" si="9">Organ6</f>
        <v>OC6</v>
      </c>
      <c r="F101" t="str">
        <f t="shared" si="6"/>
        <v>Areal-korn</v>
      </c>
      <c r="G101" s="97" cm="1">
        <f t="array" ref="G101">IF($A101="Vestdanmark",IF($C101="Konventionel",IF(G$2=2019,SUMPRODUCT(($B101='Landbrugsareal - resultat'!$B$5:$B$18)*(INDEX('Landbrugsareal - resultat'!$C$5:$E$18,,MATCH($D101,'Landbrugsareal - resultat'!$C$4:$E$4,0)))),IF(G$2=2030,SUMPRODUCT(($B101='Landbrugsareal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resultat'!$I$4:$K$4,0)))))),IF(G$2=2019,SUMPRODUCT(($B101='Landbrugsareal - resultat'!$B$5:$B$18)*(INDEX('Landbrugsareal - resultat'!$L$5:$N$18,,MATCH($D101,'Landbrugsareal - resultat'!$L$4:$N$4,0)))),IF(G$2=2030,SUMPRODUCT(($B101='Landbrugsareal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resultat'!$R$4:$T$4,0))))))),IF($C101="Konventionel",IF(G$2=2019,SUMPRODUCT((B101='Landbrugsareal - resultat'!$B$32:$B$45)*(INDEX('Landbrugsareal - resultat'!$C$32:$E$45,,MATCH($D101,'Landbrugsareal - resultat'!$C$4:$E$4,0)))),IF(G$2=2030,SUMPRODUCT(($B101='Landbrugsareal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resultat'!$I$4:$K$4,0)))))),IF(G$2=2019,SUMPRODUCT(($B101='Landbrugsareal - resultat'!$B$32:$B$45)*(INDEX('Landbrugsareal - resultat'!$L$32:$N$45,,MATCH($D101,'Landbrugsareal - resultat'!$L$4:$N$4,0)))),IF(G$2=2030,SUMPRODUCT(($B101='Landbrugsareal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3321.6653666372972</v>
      </c>
      <c r="H101" s="97" cm="1">
        <f t="array" ref="H101">IF($A101="Vestdanmark",IF($C101="Konventionel",IF(H$2=2019,SUMPRODUCT(($B101='Landbrugsareal - resultat'!$B$5:$B$18)*(INDEX('Landbrugsareal - resultat'!$C$5:$E$18,,MATCH($D101,'Landbrugsareal - resultat'!$C$4:$E$4,0)))),IF(H$2=2030,SUMPRODUCT(($B101='Landbrugsareal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resultat'!$I$4:$K$4,0)))))),IF(H$2=2019,SUMPRODUCT(($B101='Landbrugsareal - resultat'!$B$5:$B$18)*(INDEX('Landbrugsareal - resultat'!$L$5:$N$18,,MATCH($D101,'Landbrugsareal - resultat'!$L$4:$N$4,0)))),IF(H$2=2030,SUMPRODUCT(($B101='Landbrugsareal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resultat'!$R$4:$T$4,0))))))),IF($C101="Konventionel",IF(H$2=2019,SUMPRODUCT(($B101='Landbrugsareal - resultat'!$B$32:$B$45)*(INDEX('Landbrugsareal - resultat'!$C$32:$E$45,,MATCH($D101,'Landbrugsareal - resultat'!$C$4:$E$4,0)))),IF(H$2=2030,SUMPRODUCT(($B101='Landbrugsareal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resultat'!$I$4:$K$4,0)))))),IF(H$2=2019,SUMPRODUCT(($B101='Landbrugsareal - resultat'!$B$32:$B$45)*(INDEX('Landbrugsareal - resultat'!$L$32:$N$45,,MATCH($D101,'Landbrugsareal - resultat'!$L$4:$N$4,0)))),IF(H$2=2030,SUMPRODUCT(($B101='Landbrugsareal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3004.5351617033111</v>
      </c>
      <c r="I101" s="97" cm="1">
        <f t="array" ref="I101">IF($A101="Vestdanmark",IF($C101="Konventionel",IF(I$2=2019,SUMPRODUCT(($B101='Landbrugsareal - resultat'!$B$5:$B$18)*(INDEX('Landbrugsareal - resultat'!$C$5:$E$18,,MATCH($D101,'Landbrugsareal - resultat'!$C$4:$E$4,0)))),IF(I$2=2030,SUMPRODUCT(($B101='Landbrugsareal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resultat'!$I$4:$K$4,0)))))),IF(I$2=2019,SUMPRODUCT(($B101='Landbrugsareal - resultat'!$B$5:$B$18)*(INDEX('Landbrugsareal - resultat'!$L$5:$N$18,,MATCH($D101,'Landbrugsareal - resultat'!$L$4:$N$4,0)))),IF(I$2=2030,SUMPRODUCT(($B101='Landbrugsareal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resultat'!$R$4:$T$4,0))))))),IF($C101="Konventionel",IF(I$2=2019,SUMPRODUCT((C101='Landbrugsareal - resultat'!$B$32:$B$45)*(INDEX('Landbrugsareal - resultat'!$C$32:$E$45,,MATCH($D101,'Landbrugsareal - resultat'!$C$4:$E$4,0)))),IF(I$2=2030,SUMPRODUCT(($B101='Landbrugsareal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resultat'!$I$4:$K$4,0)))))),IF(I$2=2019,SUMPRODUCT(($B101='Landbrugsareal - resultat'!$B$32:$B$45)*(INDEX('Landbrugsareal - resultat'!$L$32:$N$45,,MATCH($D101,'Landbrugsareal - resultat'!$L$4:$N$4,0)))),IF(I$2=2030,SUMPRODUCT(($B101='Landbrugsareal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2865.5971195436209</v>
      </c>
    </row>
    <row r="102" spans="1:9" hidden="1" x14ac:dyDescent="0.55000000000000004">
      <c r="A102" t="s">
        <v>24</v>
      </c>
      <c r="B102" s="1" t="str">
        <f>[1]Afgrødefordeling!$C$3</f>
        <v>Bælgsæd</v>
      </c>
      <c r="C102" t="s">
        <v>7</v>
      </c>
      <c r="D102" t="str">
        <f t="shared" si="9"/>
        <v>OC6</v>
      </c>
      <c r="F102" t="str">
        <f t="shared" si="6"/>
        <v>Areal-bælgsæd</v>
      </c>
      <c r="G102" s="97" cm="1">
        <f t="array" ref="G102">IF($A102="Vestdanmark",IF($C102="Konventionel",IF(G$2=2019,SUMPRODUCT(($B102='Landbrugsareal - resultat'!$B$5:$B$18)*(INDEX('Landbrugsareal - resultat'!$C$5:$E$18,,MATCH($D102,'Landbrugsareal - resultat'!$C$4:$E$4,0)))),IF(G$2=2030,SUMPRODUCT(($B102='Landbrugsareal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resultat'!$I$4:$K$4,0)))))),IF(G$2=2019,SUMPRODUCT(($B102='Landbrugsareal - resultat'!$B$5:$B$18)*(INDEX('Landbrugsareal - resultat'!$L$5:$N$18,,MATCH($D102,'Landbrugsareal - resultat'!$L$4:$N$4,0)))),IF(G$2=2030,SUMPRODUCT(($B102='Landbrugsareal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resultat'!$R$4:$T$4,0))))))),IF($C102="Konventionel",IF(G$2=2019,SUMPRODUCT((B102='Landbrugsareal - resultat'!$B$32:$B$45)*(INDEX('Landbrugsareal - resultat'!$C$32:$E$45,,MATCH($D102,'Landbrugsareal - resultat'!$C$4:$E$4,0)))),IF(G$2=2030,SUMPRODUCT(($B102='Landbrugsareal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resultat'!$I$4:$K$4,0)))))),IF(G$2=2019,SUMPRODUCT(($B102='Landbrugsareal - resultat'!$B$32:$B$45)*(INDEX('Landbrugsareal - resultat'!$L$32:$N$45,,MATCH($D102,'Landbrugsareal - resultat'!$L$4:$N$4,0)))),IF(G$2=2030,SUMPRODUCT(($B102='Landbrugsareal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89.823141135380936</v>
      </c>
      <c r="H102" s="97" cm="1">
        <f t="array" ref="H102">IF($A102="Vestdanmark",IF($C102="Konventionel",IF(H$2=2019,SUMPRODUCT(($B102='Landbrugsareal - resultat'!$B$5:$B$18)*(INDEX('Landbrugsareal - resultat'!$C$5:$E$18,,MATCH($D102,'Landbrugsareal - resultat'!$C$4:$E$4,0)))),IF(H$2=2030,SUMPRODUCT(($B102='Landbrugsareal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resultat'!$I$4:$K$4,0)))))),IF(H$2=2019,SUMPRODUCT(($B102='Landbrugsareal - resultat'!$B$5:$B$18)*(INDEX('Landbrugsareal - resultat'!$L$5:$N$18,,MATCH($D102,'Landbrugsareal - resultat'!$L$4:$N$4,0)))),IF(H$2=2030,SUMPRODUCT(($B102='Landbrugsareal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resultat'!$R$4:$T$4,0))))))),IF($C102="Konventionel",IF(H$2=2019,SUMPRODUCT(($B102='Landbrugsareal - resultat'!$B$32:$B$45)*(INDEX('Landbrugsareal - resultat'!$C$32:$E$45,,MATCH($D102,'Landbrugsareal - resultat'!$C$4:$E$4,0)))),IF(H$2=2030,SUMPRODUCT(($B102='Landbrugsareal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resultat'!$I$4:$K$4,0)))))),IF(H$2=2019,SUMPRODUCT(($B102='Landbrugsareal - resultat'!$B$32:$B$45)*(INDEX('Landbrugsareal - resultat'!$L$32:$N$45,,MATCH($D102,'Landbrugsareal - resultat'!$L$4:$N$4,0)))),IF(H$2=2030,SUMPRODUCT(($B102='Landbrugsareal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81.247433467117162</v>
      </c>
      <c r="I102" s="97" cm="1">
        <f t="array" ref="I102">IF($A102="Vestdanmark",IF($C102="Konventionel",IF(I$2=2019,SUMPRODUCT(($B102='Landbrugsareal - resultat'!$B$5:$B$18)*(INDEX('Landbrugsareal - resultat'!$C$5:$E$18,,MATCH($D102,'Landbrugsareal - resultat'!$C$4:$E$4,0)))),IF(I$2=2030,SUMPRODUCT(($B102='Landbrugsareal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resultat'!$I$4:$K$4,0)))))),IF(I$2=2019,SUMPRODUCT(($B102='Landbrugsareal - resultat'!$B$5:$B$18)*(INDEX('Landbrugsareal - resultat'!$L$5:$N$18,,MATCH($D102,'Landbrugsareal - resultat'!$L$4:$N$4,0)))),IF(I$2=2030,SUMPRODUCT(($B102='Landbrugsareal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resultat'!$R$4:$T$4,0))))))),IF($C102="Konventionel",IF(I$2=2019,SUMPRODUCT((C102='Landbrugsareal - resultat'!$B$32:$B$45)*(INDEX('Landbrugsareal - resultat'!$C$32:$E$45,,MATCH($D102,'Landbrugsareal - resultat'!$C$4:$E$4,0)))),IF(I$2=2030,SUMPRODUCT(($B102='Landbrugsareal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resultat'!$I$4:$K$4,0)))))),IF(I$2=2019,SUMPRODUCT(($B102='Landbrugsareal - resultat'!$B$32:$B$45)*(INDEX('Landbrugsareal - resultat'!$L$32:$N$45,,MATCH($D102,'Landbrugsareal - resultat'!$L$4:$N$4,0)))),IF(I$2=2030,SUMPRODUCT(($B102='Landbrugsareal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77.490326717192659</v>
      </c>
    </row>
    <row r="103" spans="1:9" hidden="1" x14ac:dyDescent="0.55000000000000004">
      <c r="A103" t="s">
        <v>24</v>
      </c>
      <c r="B103" s="1" t="str">
        <f>[1]Afgrødefordeling!$C$4</f>
        <v>Raps</v>
      </c>
      <c r="C103" t="s">
        <v>7</v>
      </c>
      <c r="D103" t="str">
        <f t="shared" si="9"/>
        <v>OC6</v>
      </c>
      <c r="F103" t="str">
        <f t="shared" si="6"/>
        <v>Areal-raps</v>
      </c>
      <c r="G103" s="97" cm="1">
        <f t="array" ref="G103">IF($A103="Vestdanmark",IF($C103="Konventionel",IF(G$2=2019,SUMPRODUCT(($B103='Landbrugsareal - resultat'!$B$5:$B$18)*(INDEX('Landbrugsareal - resultat'!$C$5:$E$18,,MATCH($D103,'Landbrugsareal - resultat'!$C$4:$E$4,0)))),IF(G$2=2030,SUMPRODUCT(($B103='Landbrugsareal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resultat'!$I$4:$K$4,0)))))),IF(G$2=2019,SUMPRODUCT(($B103='Landbrugsareal - resultat'!$B$5:$B$18)*(INDEX('Landbrugsareal - resultat'!$L$5:$N$18,,MATCH($D103,'Landbrugsareal - resultat'!$L$4:$N$4,0)))),IF(G$2=2030,SUMPRODUCT(($B103='Landbrugsareal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resultat'!$R$4:$T$4,0))))))),IF($C103="Konventionel",IF(G$2=2019,SUMPRODUCT((B103='Landbrugsareal - resultat'!$B$32:$B$45)*(INDEX('Landbrugsareal - resultat'!$C$32:$E$45,,MATCH($D103,'Landbrugsareal - resultat'!$C$4:$E$4,0)))),IF(G$2=2030,SUMPRODUCT(($B103='Landbrugsareal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resultat'!$I$4:$K$4,0)))))),IF(G$2=2019,SUMPRODUCT(($B103='Landbrugsareal - resultat'!$B$32:$B$45)*(INDEX('Landbrugsareal - resultat'!$L$32:$N$45,,MATCH($D103,'Landbrugsareal - resultat'!$L$4:$N$4,0)))),IF(G$2=2030,SUMPRODUCT(($B103='Landbrugsareal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362.80969861856295</v>
      </c>
      <c r="H103" s="97" cm="1">
        <f t="array" ref="H103">IF($A103="Vestdanmark",IF($C103="Konventionel",IF(H$2=2019,SUMPRODUCT(($B103='Landbrugsareal - resultat'!$B$5:$B$18)*(INDEX('Landbrugsareal - resultat'!$C$5:$E$18,,MATCH($D103,'Landbrugsareal - resultat'!$C$4:$E$4,0)))),IF(H$2=2030,SUMPRODUCT(($B103='Landbrugsareal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resultat'!$I$4:$K$4,0)))))),IF(H$2=2019,SUMPRODUCT(($B103='Landbrugsareal - resultat'!$B$5:$B$18)*(INDEX('Landbrugsareal - resultat'!$L$5:$N$18,,MATCH($D103,'Landbrugsareal - resultat'!$L$4:$N$4,0)))),IF(H$2=2030,SUMPRODUCT(($B103='Landbrugsareal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resultat'!$R$4:$T$4,0))))))),IF($C103="Konventionel",IF(H$2=2019,SUMPRODUCT(($B103='Landbrugsareal - resultat'!$B$32:$B$45)*(INDEX('Landbrugsareal - resultat'!$C$32:$E$45,,MATCH($D103,'Landbrugsareal - resultat'!$C$4:$E$4,0)))),IF(H$2=2030,SUMPRODUCT(($B103='Landbrugsareal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resultat'!$I$4:$K$4,0)))))),IF(H$2=2019,SUMPRODUCT(($B103='Landbrugsareal - resultat'!$B$32:$B$45)*(INDEX('Landbrugsareal - resultat'!$L$32:$N$45,,MATCH($D103,'Landbrugsareal - resultat'!$L$4:$N$4,0)))),IF(H$2=2030,SUMPRODUCT(($B103='Landbrugsareal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328.17107570651984</v>
      </c>
      <c r="I103" s="97" cm="1">
        <f t="array" ref="I103">IF($A103="Vestdanmark",IF($C103="Konventionel",IF(I$2=2019,SUMPRODUCT(($B103='Landbrugsareal - resultat'!$B$5:$B$18)*(INDEX('Landbrugsareal - resultat'!$C$5:$E$18,,MATCH($D103,'Landbrugsareal - resultat'!$C$4:$E$4,0)))),IF(I$2=2030,SUMPRODUCT(($B103='Landbrugsareal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resultat'!$I$4:$K$4,0)))))),IF(I$2=2019,SUMPRODUCT(($B103='Landbrugsareal - resultat'!$B$5:$B$18)*(INDEX('Landbrugsareal - resultat'!$L$5:$N$18,,MATCH($D103,'Landbrugsareal - resultat'!$L$4:$N$4,0)))),IF(I$2=2030,SUMPRODUCT(($B103='Landbrugsareal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resultat'!$R$4:$T$4,0))))))),IF($C103="Konventionel",IF(I$2=2019,SUMPRODUCT((C103='Landbrugsareal - resultat'!$B$32:$B$45)*(INDEX('Landbrugsareal - resultat'!$C$32:$E$45,,MATCH($D103,'Landbrugsareal - resultat'!$C$4:$E$4,0)))),IF(I$2=2030,SUMPRODUCT(($B103='Landbrugsareal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resultat'!$I$4:$K$4,0)))))),IF(I$2=2019,SUMPRODUCT(($B103='Landbrugsareal - resultat'!$B$32:$B$45)*(INDEX('Landbrugsareal - resultat'!$L$32:$N$45,,MATCH($D103,'Landbrugsareal - resultat'!$L$4:$N$4,0)))),IF(I$2=2030,SUMPRODUCT(($B103='Landbrugsareal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312.99553463338594</v>
      </c>
    </row>
    <row r="104" spans="1:9" hidden="1" x14ac:dyDescent="0.55000000000000004">
      <c r="A104" t="s">
        <v>24</v>
      </c>
      <c r="B104" s="1" t="str">
        <f>[1]Afgrødefordeling!$C$5</f>
        <v>Græs</v>
      </c>
      <c r="C104" t="s">
        <v>7</v>
      </c>
      <c r="D104" t="str">
        <f t="shared" si="9"/>
        <v>OC6</v>
      </c>
      <c r="F104" t="str">
        <f t="shared" si="6"/>
        <v>Areal-græs</v>
      </c>
      <c r="G104" s="97" cm="1">
        <f t="array" ref="G104">IF($A104="Vestdanmark",IF($C104="Konventionel",IF(G$2=2019,SUMPRODUCT(($B104='Landbrugsareal - resultat'!$B$5:$B$18)*(INDEX('Landbrugsareal - resultat'!$C$5:$E$18,,MATCH($D104,'Landbrugsareal - resultat'!$C$4:$E$4,0)))),IF(G$2=2030,SUMPRODUCT(($B104='Landbrugsareal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resultat'!$I$4:$K$4,0)))))),IF(G$2=2019,SUMPRODUCT(($B104='Landbrugsareal - resultat'!$B$5:$B$18)*(INDEX('Landbrugsareal - resultat'!$L$5:$N$18,,MATCH($D104,'Landbrugsareal - resultat'!$L$4:$N$4,0)))),IF(G$2=2030,SUMPRODUCT(($B104='Landbrugsareal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resultat'!$R$4:$T$4,0))))))),IF($C104="Konventionel",IF(G$2=2019,SUMPRODUCT((B104='Landbrugsareal - resultat'!$B$32:$B$45)*(INDEX('Landbrugsareal - resultat'!$C$32:$E$45,,MATCH($D104,'Landbrugsareal - resultat'!$C$4:$E$4,0)))),IF(G$2=2030,SUMPRODUCT(($B104='Landbrugsareal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resultat'!$I$4:$K$4,0)))))),IF(G$2=2019,SUMPRODUCT(($B104='Landbrugsareal - resultat'!$B$32:$B$45)*(INDEX('Landbrugsareal - resultat'!$L$32:$N$45,,MATCH($D104,'Landbrugsareal - resultat'!$L$4:$N$4,0)))),IF(G$2=2030,SUMPRODUCT(($B104='Landbrugsareal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1066.8125324809869</v>
      </c>
      <c r="H104" s="97" cm="1">
        <f t="array" ref="H104">IF($A104="Vestdanmark",IF($C104="Konventionel",IF(H$2=2019,SUMPRODUCT(($B104='Landbrugsareal - resultat'!$B$5:$B$18)*(INDEX('Landbrugsareal - resultat'!$C$5:$E$18,,MATCH($D104,'Landbrugsareal - resultat'!$C$4:$E$4,0)))),IF(H$2=2030,SUMPRODUCT(($B104='Landbrugsareal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resultat'!$I$4:$K$4,0)))))),IF(H$2=2019,SUMPRODUCT(($B104='Landbrugsareal - resultat'!$B$5:$B$18)*(INDEX('Landbrugsareal - resultat'!$L$5:$N$18,,MATCH($D104,'Landbrugsareal - resultat'!$L$4:$N$4,0)))),IF(H$2=2030,SUMPRODUCT(($B104='Landbrugsareal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resultat'!$R$4:$T$4,0))))))),IF($C104="Konventionel",IF(H$2=2019,SUMPRODUCT(($B104='Landbrugsareal - resultat'!$B$32:$B$45)*(INDEX('Landbrugsareal - resultat'!$C$32:$E$45,,MATCH($D104,'Landbrugsareal - resultat'!$C$4:$E$4,0)))),IF(H$2=2030,SUMPRODUCT(($B104='Landbrugsareal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resultat'!$I$4:$K$4,0)))))),IF(H$2=2019,SUMPRODUCT(($B104='Landbrugsareal - resultat'!$B$32:$B$45)*(INDEX('Landbrugsareal - resultat'!$L$32:$N$45,,MATCH($D104,'Landbrugsareal - resultat'!$L$4:$N$4,0)))),IF(H$2=2030,SUMPRODUCT(($B104='Landbrugsareal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964.96046741449936</v>
      </c>
      <c r="I104" s="97" cm="1">
        <f t="array" ref="I104">IF($A104="Vestdanmark",IF($C104="Konventionel",IF(I$2=2019,SUMPRODUCT(($B104='Landbrugsareal - resultat'!$B$5:$B$18)*(INDEX('Landbrugsareal - resultat'!$C$5:$E$18,,MATCH($D104,'Landbrugsareal - resultat'!$C$4:$E$4,0)))),IF(I$2=2030,SUMPRODUCT(($B104='Landbrugsareal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resultat'!$I$4:$K$4,0)))))),IF(I$2=2019,SUMPRODUCT(($B104='Landbrugsareal - resultat'!$B$5:$B$18)*(INDEX('Landbrugsareal - resultat'!$L$5:$N$18,,MATCH($D104,'Landbrugsareal - resultat'!$L$4:$N$4,0)))),IF(I$2=2030,SUMPRODUCT(($B104='Landbrugsareal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resultat'!$R$4:$T$4,0))))))),IF($C104="Konventionel",IF(I$2=2019,SUMPRODUCT((C104='Landbrugsareal - resultat'!$B$32:$B$45)*(INDEX('Landbrugsareal - resultat'!$C$32:$E$45,,MATCH($D104,'Landbrugsareal - resultat'!$C$4:$E$4,0)))),IF(I$2=2030,SUMPRODUCT(($B104='Landbrugsareal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resultat'!$I$4:$K$4,0)))))),IF(I$2=2019,SUMPRODUCT(($B104='Landbrugsareal - resultat'!$B$32:$B$45)*(INDEX('Landbrugsareal - resultat'!$L$32:$N$45,,MATCH($D104,'Landbrugsareal - resultat'!$L$4:$N$4,0)))),IF(I$2=2030,SUMPRODUCT(($B104='Landbrugsareal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920.3380180542913</v>
      </c>
    </row>
    <row r="105" spans="1:9" hidden="1" x14ac:dyDescent="0.55000000000000004">
      <c r="A105" t="s">
        <v>24</v>
      </c>
      <c r="B105" s="1" t="str">
        <f>[1]Afgrødefordeling!$C$6</f>
        <v>Grøntsager</v>
      </c>
      <c r="C105" t="s">
        <v>7</v>
      </c>
      <c r="D105" t="str">
        <f t="shared" si="9"/>
        <v>OC6</v>
      </c>
      <c r="F105" t="str">
        <f t="shared" si="6"/>
        <v>Areal-grøntsager</v>
      </c>
      <c r="G105" s="97" cm="1">
        <f t="array" ref="G105">IF($A105="Vestdanmark",IF($C105="Konventionel",IF(G$2=2019,SUMPRODUCT(($B105='Landbrugsareal - resultat'!$B$5:$B$18)*(INDEX('Landbrugsareal - resultat'!$C$5:$E$18,,MATCH($D105,'Landbrugsareal - resultat'!$C$4:$E$4,0)))),IF(G$2=2030,SUMPRODUCT(($B105='Landbrugsareal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resultat'!$I$4:$K$4,0)))))),IF(G$2=2019,SUMPRODUCT(($B105='Landbrugsareal - resultat'!$B$5:$B$18)*(INDEX('Landbrugsareal - resultat'!$L$5:$N$18,,MATCH($D105,'Landbrugsareal - resultat'!$L$4:$N$4,0)))),IF(G$2=2030,SUMPRODUCT(($B105='Landbrugsareal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resultat'!$R$4:$T$4,0))))))),IF($C105="Konventionel",IF(G$2=2019,SUMPRODUCT((B105='Landbrugsareal - resultat'!$B$32:$B$45)*(INDEX('Landbrugsareal - resultat'!$C$32:$E$45,,MATCH($D105,'Landbrugsareal - resultat'!$C$4:$E$4,0)))),IF(G$2=2030,SUMPRODUCT(($B105='Landbrugsareal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resultat'!$I$4:$K$4,0)))))),IF(G$2=2019,SUMPRODUCT(($B105='Landbrugsareal - resultat'!$B$32:$B$45)*(INDEX('Landbrugsareal - resultat'!$L$32:$N$45,,MATCH($D105,'Landbrugsareal - resultat'!$L$4:$N$4,0)))),IF(G$2=2030,SUMPRODUCT(($B105='Landbrugsareal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20.204274039436456</v>
      </c>
      <c r="H105" s="97" cm="1">
        <f t="array" ref="H105">IF($A105="Vestdanmark",IF($C105="Konventionel",IF(H$2=2019,SUMPRODUCT(($B105='Landbrugsareal - resultat'!$B$5:$B$18)*(INDEX('Landbrugsareal - resultat'!$C$5:$E$18,,MATCH($D105,'Landbrugsareal - resultat'!$C$4:$E$4,0)))),IF(H$2=2030,SUMPRODUCT(($B105='Landbrugsareal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resultat'!$I$4:$K$4,0)))))),IF(H$2=2019,SUMPRODUCT(($B105='Landbrugsareal - resultat'!$B$5:$B$18)*(INDEX('Landbrugsareal - resultat'!$L$5:$N$18,,MATCH($D105,'Landbrugsareal - resultat'!$L$4:$N$4,0)))),IF(H$2=2030,SUMPRODUCT(($B105='Landbrugsareal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resultat'!$R$4:$T$4,0))))))),IF($C105="Konventionel",IF(H$2=2019,SUMPRODUCT(($B105='Landbrugsareal - resultat'!$B$32:$B$45)*(INDEX('Landbrugsareal - resultat'!$C$32:$E$45,,MATCH($D105,'Landbrugsareal - resultat'!$C$4:$E$4,0)))),IF(H$2=2030,SUMPRODUCT(($B105='Landbrugsareal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resultat'!$I$4:$K$4,0)))))),IF(H$2=2019,SUMPRODUCT(($B105='Landbrugsareal - resultat'!$B$32:$B$45)*(INDEX('Landbrugsareal - resultat'!$L$32:$N$45,,MATCH($D105,'Landbrugsareal - resultat'!$L$4:$N$4,0)))),IF(H$2=2030,SUMPRODUCT(($B105='Landbrugsareal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18.275306229787574</v>
      </c>
      <c r="I105" s="97" cm="1">
        <f t="array" ref="I105">IF($A105="Vestdanmark",IF($C105="Konventionel",IF(I$2=2019,SUMPRODUCT(($B105='Landbrugsareal - resultat'!$B$5:$B$18)*(INDEX('Landbrugsareal - resultat'!$C$5:$E$18,,MATCH($D105,'Landbrugsareal - resultat'!$C$4:$E$4,0)))),IF(I$2=2030,SUMPRODUCT(($B105='Landbrugsareal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resultat'!$I$4:$K$4,0)))))),IF(I$2=2019,SUMPRODUCT(($B105='Landbrugsareal - resultat'!$B$5:$B$18)*(INDEX('Landbrugsareal - resultat'!$L$5:$N$18,,MATCH($D105,'Landbrugsareal - resultat'!$L$4:$N$4,0)))),IF(I$2=2030,SUMPRODUCT(($B105='Landbrugsareal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resultat'!$R$4:$T$4,0))))))),IF($C105="Konventionel",IF(I$2=2019,SUMPRODUCT((C105='Landbrugsareal - resultat'!$B$32:$B$45)*(INDEX('Landbrugsareal - resultat'!$C$32:$E$45,,MATCH($D105,'Landbrugsareal - resultat'!$C$4:$E$4,0)))),IF(I$2=2030,SUMPRODUCT(($B105='Landbrugsareal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resultat'!$I$4:$K$4,0)))))),IF(I$2=2019,SUMPRODUCT(($B105='Landbrugsareal - resultat'!$B$32:$B$45)*(INDEX('Landbrugsareal - resultat'!$L$32:$N$45,,MATCH($D105,'Landbrugsareal - resultat'!$L$4:$N$4,0)))),IF(I$2=2030,SUMPRODUCT(($B105='Landbrugsareal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17.430205363670229</v>
      </c>
    </row>
    <row r="106" spans="1:9" hidden="1" x14ac:dyDescent="0.55000000000000004">
      <c r="A106" t="s">
        <v>24</v>
      </c>
      <c r="B106" s="1" t="str">
        <f>[1]Afgrødefordeling!$C$7</f>
        <v>Kartofler</v>
      </c>
      <c r="C106" t="s">
        <v>7</v>
      </c>
      <c r="D106" t="str">
        <f t="shared" si="9"/>
        <v>OC6</v>
      </c>
      <c r="F106" t="str">
        <f t="shared" si="6"/>
        <v>Areal-kartofler</v>
      </c>
      <c r="G106" s="97" cm="1">
        <f t="array" ref="G106">IF($A106="Vestdanmark",IF($C106="Konventionel",IF(G$2=2019,SUMPRODUCT(($B106='Landbrugsareal - resultat'!$B$5:$B$18)*(INDEX('Landbrugsareal - resultat'!$C$5:$E$18,,MATCH($D106,'Landbrugsareal - resultat'!$C$4:$E$4,0)))),IF(G$2=2030,SUMPRODUCT(($B106='Landbrugsareal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resultat'!$I$4:$K$4,0)))))),IF(G$2=2019,SUMPRODUCT(($B106='Landbrugsareal - resultat'!$B$5:$B$18)*(INDEX('Landbrugsareal - resultat'!$L$5:$N$18,,MATCH($D106,'Landbrugsareal - resultat'!$L$4:$N$4,0)))),IF(G$2=2030,SUMPRODUCT(($B106='Landbrugsareal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resultat'!$R$4:$T$4,0))))))),IF($C106="Konventionel",IF(G$2=2019,SUMPRODUCT((B106='Landbrugsareal - resultat'!$B$32:$B$45)*(INDEX('Landbrugsareal - resultat'!$C$32:$E$45,,MATCH($D106,'Landbrugsareal - resultat'!$C$4:$E$4,0)))),IF(G$2=2030,SUMPRODUCT(($B106='Landbrugsareal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resultat'!$I$4:$K$4,0)))))),IF(G$2=2019,SUMPRODUCT(($B106='Landbrugsareal - resultat'!$B$32:$B$45)*(INDEX('Landbrugsareal - resultat'!$L$32:$N$45,,MATCH($D106,'Landbrugsareal - resultat'!$L$4:$N$4,0)))),IF(G$2=2030,SUMPRODUCT(($B106='Landbrugsareal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34.349115010819808</v>
      </c>
      <c r="H106" s="97" cm="1">
        <f t="array" ref="H106">IF($A106="Vestdanmark",IF($C106="Konventionel",IF(H$2=2019,SUMPRODUCT(($B106='Landbrugsareal - resultat'!$B$5:$B$18)*(INDEX('Landbrugsareal - resultat'!$C$5:$E$18,,MATCH($D106,'Landbrugsareal - resultat'!$C$4:$E$4,0)))),IF(H$2=2030,SUMPRODUCT(($B106='Landbrugsareal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resultat'!$I$4:$K$4,0)))))),IF(H$2=2019,SUMPRODUCT(($B106='Landbrugsareal - resultat'!$B$5:$B$18)*(INDEX('Landbrugsareal - resultat'!$L$5:$N$18,,MATCH($D106,'Landbrugsareal - resultat'!$L$4:$N$4,0)))),IF(H$2=2030,SUMPRODUCT(($B106='Landbrugsareal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resultat'!$R$4:$T$4,0))))))),IF($C106="Konventionel",IF(H$2=2019,SUMPRODUCT(($B106='Landbrugsareal - resultat'!$B$32:$B$45)*(INDEX('Landbrugsareal - resultat'!$C$32:$E$45,,MATCH($D106,'Landbrugsareal - resultat'!$C$4:$E$4,0)))),IF(H$2=2030,SUMPRODUCT(($B106='Landbrugsareal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resultat'!$I$4:$K$4,0)))))),IF(H$2=2019,SUMPRODUCT(($B106='Landbrugsareal - resultat'!$B$32:$B$45)*(INDEX('Landbrugsareal - resultat'!$L$32:$N$45,,MATCH($D106,'Landbrugsareal - resultat'!$L$4:$N$4,0)))),IF(H$2=2030,SUMPRODUCT(($B106='Landbrugsareal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31.069693190641079</v>
      </c>
      <c r="I106" s="97" cm="1">
        <f t="array" ref="I106">IF($A106="Vestdanmark",IF($C106="Konventionel",IF(I$2=2019,SUMPRODUCT(($B106='Landbrugsareal - resultat'!$B$5:$B$18)*(INDEX('Landbrugsareal - resultat'!$C$5:$E$18,,MATCH($D106,'Landbrugsareal - resultat'!$C$4:$E$4,0)))),IF(I$2=2030,SUMPRODUCT(($B106='Landbrugsareal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resultat'!$I$4:$K$4,0)))))),IF(I$2=2019,SUMPRODUCT(($B106='Landbrugsareal - resultat'!$B$5:$B$18)*(INDEX('Landbrugsareal - resultat'!$L$5:$N$18,,MATCH($D106,'Landbrugsareal - resultat'!$L$4:$N$4,0)))),IF(I$2=2030,SUMPRODUCT(($B106='Landbrugsareal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resultat'!$R$4:$T$4,0))))))),IF($C106="Konventionel",IF(I$2=2019,SUMPRODUCT((C106='Landbrugsareal - resultat'!$B$32:$B$45)*(INDEX('Landbrugsareal - resultat'!$C$32:$E$45,,MATCH($D106,'Landbrugsareal - resultat'!$C$4:$E$4,0)))),IF(I$2=2030,SUMPRODUCT(($B106='Landbrugsareal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resultat'!$I$4:$K$4,0)))))),IF(I$2=2019,SUMPRODUCT(($B106='Landbrugsareal - resultat'!$B$32:$B$45)*(INDEX('Landbrugsareal - resultat'!$L$32:$N$45,,MATCH($D106,'Landbrugsareal - resultat'!$L$4:$N$4,0)))),IF(I$2=2030,SUMPRODUCT(($B106='Landbrugsareal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29.632944372576752</v>
      </c>
    </row>
    <row r="107" spans="1:9" hidden="1" x14ac:dyDescent="0.55000000000000004">
      <c r="A107" t="s">
        <v>24</v>
      </c>
      <c r="B107" s="1" t="str">
        <f>[1]Afgrødefordeling!$C$8</f>
        <v>Roer</v>
      </c>
      <c r="C107" t="s">
        <v>7</v>
      </c>
      <c r="D107" t="str">
        <f t="shared" si="9"/>
        <v>OC6</v>
      </c>
      <c r="F107" t="str">
        <f t="shared" si="6"/>
        <v>Areal-roer</v>
      </c>
      <c r="G107" s="97" cm="1">
        <f t="array" ref="G107">IF($A107="Vestdanmark",IF($C107="Konventionel",IF(G$2=2019,SUMPRODUCT(($B107='Landbrugsareal - resultat'!$B$5:$B$18)*(INDEX('Landbrugsareal - resultat'!$C$5:$E$18,,MATCH($D107,'Landbrugsareal - resultat'!$C$4:$E$4,0)))),IF(G$2=2030,SUMPRODUCT(($B107='Landbrugsareal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resultat'!$I$4:$K$4,0)))))),IF(G$2=2019,SUMPRODUCT(($B107='Landbrugsareal - resultat'!$B$5:$B$18)*(INDEX('Landbrugsareal - resultat'!$L$5:$N$18,,MATCH($D107,'Landbrugsareal - resultat'!$L$4:$N$4,0)))),IF(G$2=2030,SUMPRODUCT(($B107='Landbrugsareal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resultat'!$R$4:$T$4,0))))))),IF($C107="Konventionel",IF(G$2=2019,SUMPRODUCT((B107='Landbrugsareal - resultat'!$B$32:$B$45)*(INDEX('Landbrugsareal - resultat'!$C$32:$E$45,,MATCH($D107,'Landbrugsareal - resultat'!$C$4:$E$4,0)))),IF(G$2=2030,SUMPRODUCT(($B107='Landbrugsareal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resultat'!$I$4:$K$4,0)))))),IF(G$2=2019,SUMPRODUCT(($B107='Landbrugsareal - resultat'!$B$32:$B$45)*(INDEX('Landbrugsareal - resultat'!$L$32:$N$45,,MATCH($D107,'Landbrugsareal - resultat'!$L$4:$N$4,0)))),IF(G$2=2030,SUMPRODUCT(($B107='Landbrugsareal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95.964200645574223</v>
      </c>
      <c r="H107" s="97" cm="1">
        <f t="array" ref="H107">IF($A107="Vestdanmark",IF($C107="Konventionel",IF(H$2=2019,SUMPRODUCT(($B107='Landbrugsareal - resultat'!$B$5:$B$18)*(INDEX('Landbrugsareal - resultat'!$C$5:$E$18,,MATCH($D107,'Landbrugsareal - resultat'!$C$4:$E$4,0)))),IF(H$2=2030,SUMPRODUCT(($B107='Landbrugsareal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resultat'!$I$4:$K$4,0)))))),IF(H$2=2019,SUMPRODUCT(($B107='Landbrugsareal - resultat'!$B$5:$B$18)*(INDEX('Landbrugsareal - resultat'!$L$5:$N$18,,MATCH($D107,'Landbrugsareal - resultat'!$L$4:$N$4,0)))),IF(H$2=2030,SUMPRODUCT(($B107='Landbrugsareal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resultat'!$R$4:$T$4,0))))))),IF($C107="Konventionel",IF(H$2=2019,SUMPRODUCT(($B107='Landbrugsareal - resultat'!$B$32:$B$45)*(INDEX('Landbrugsareal - resultat'!$C$32:$E$45,,MATCH($D107,'Landbrugsareal - resultat'!$C$4:$E$4,0)))),IF(H$2=2030,SUMPRODUCT(($B107='Landbrugsareal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resultat'!$I$4:$K$4,0)))))),IF(H$2=2019,SUMPRODUCT(($B107='Landbrugsareal - resultat'!$B$32:$B$45)*(INDEX('Landbrugsareal - resultat'!$L$32:$N$45,,MATCH($D107,'Landbrugsareal - resultat'!$L$4:$N$4,0)))),IF(H$2=2030,SUMPRODUCT(($B107='Landbrugsareal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86.80218603605735</v>
      </c>
      <c r="I107" s="97" cm="1">
        <f t="array" ref="I107">IF($A107="Vestdanmark",IF($C107="Konventionel",IF(I$2=2019,SUMPRODUCT(($B107='Landbrugsareal - resultat'!$B$5:$B$18)*(INDEX('Landbrugsareal - resultat'!$C$5:$E$18,,MATCH($D107,'Landbrugsareal - resultat'!$C$4:$E$4,0)))),IF(I$2=2030,SUMPRODUCT(($B107='Landbrugsareal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resultat'!$I$4:$K$4,0)))))),IF(I$2=2019,SUMPRODUCT(($B107='Landbrugsareal - resultat'!$B$5:$B$18)*(INDEX('Landbrugsareal - resultat'!$L$5:$N$18,,MATCH($D107,'Landbrugsareal - resultat'!$L$4:$N$4,0)))),IF(I$2=2030,SUMPRODUCT(($B107='Landbrugsareal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resultat'!$R$4:$T$4,0))))))),IF($C107="Konventionel",IF(I$2=2019,SUMPRODUCT((C107='Landbrugsareal - resultat'!$B$32:$B$45)*(INDEX('Landbrugsareal - resultat'!$C$32:$E$45,,MATCH($D107,'Landbrugsareal - resultat'!$C$4:$E$4,0)))),IF(I$2=2030,SUMPRODUCT(($B107='Landbrugsareal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resultat'!$I$4:$K$4,0)))))),IF(I$2=2019,SUMPRODUCT(($B107='Landbrugsareal - resultat'!$B$32:$B$45)*(INDEX('Landbrugsareal - resultat'!$L$32:$N$45,,MATCH($D107,'Landbrugsareal - resultat'!$L$4:$N$4,0)))),IF(I$2=2030,SUMPRODUCT(($B107='Landbrugsareal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82.788212115314806</v>
      </c>
    </row>
    <row r="108" spans="1:9" hidden="1" x14ac:dyDescent="0.55000000000000004">
      <c r="A108" t="s">
        <v>24</v>
      </c>
      <c r="B108" s="1" t="str">
        <f>[1]Afgrødefordeling!$C$9</f>
        <v>Majs</v>
      </c>
      <c r="C108" t="s">
        <v>7</v>
      </c>
      <c r="D108" t="str">
        <f t="shared" si="9"/>
        <v>OC6</v>
      </c>
      <c r="F108" t="str">
        <f t="shared" si="6"/>
        <v>Areal-majs</v>
      </c>
      <c r="G108" s="97" cm="1">
        <f t="array" ref="G108">IF($A108="Vestdanmark",IF($C108="Konventionel",IF(G$2=2019,SUMPRODUCT(($B108='Landbrugsareal - resultat'!$B$5:$B$18)*(INDEX('Landbrugsareal - resultat'!$C$5:$E$18,,MATCH($D108,'Landbrugsareal - resultat'!$C$4:$E$4,0)))),IF(G$2=2030,SUMPRODUCT(($B108='Landbrugsareal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resultat'!$I$4:$K$4,0)))))),IF(G$2=2019,SUMPRODUCT(($B108='Landbrugsareal - resultat'!$B$5:$B$18)*(INDEX('Landbrugsareal - resultat'!$L$5:$N$18,,MATCH($D108,'Landbrugsareal - resultat'!$L$4:$N$4,0)))),IF(G$2=2030,SUMPRODUCT(($B108='Landbrugsareal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resultat'!$R$4:$T$4,0))))))),IF($C108="Konventionel",IF(G$2=2019,SUMPRODUCT((B108='Landbrugsareal - resultat'!$B$32:$B$45)*(INDEX('Landbrugsareal - resultat'!$C$32:$E$45,,MATCH($D108,'Landbrugsareal - resultat'!$C$4:$E$4,0)))),IF(G$2=2030,SUMPRODUCT(($B108='Landbrugsareal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resultat'!$I$4:$K$4,0)))))),IF(G$2=2019,SUMPRODUCT(($B108='Landbrugsareal - resultat'!$B$32:$B$45)*(INDEX('Landbrugsareal - resultat'!$L$32:$N$45,,MATCH($D108,'Landbrugsareal - resultat'!$L$4:$N$4,0)))),IF(G$2=2030,SUMPRODUCT(($B108='Landbrugsareal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102.31264680005847</v>
      </c>
      <c r="H108" s="97" cm="1">
        <f t="array" ref="H108">IF($A108="Vestdanmark",IF($C108="Konventionel",IF(H$2=2019,SUMPRODUCT(($B108='Landbrugsareal - resultat'!$B$5:$B$18)*(INDEX('Landbrugsareal - resultat'!$C$5:$E$18,,MATCH($D108,'Landbrugsareal - resultat'!$C$4:$E$4,0)))),IF(H$2=2030,SUMPRODUCT(($B108='Landbrugsareal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resultat'!$I$4:$K$4,0)))))),IF(H$2=2019,SUMPRODUCT(($B108='Landbrugsareal - resultat'!$B$5:$B$18)*(INDEX('Landbrugsareal - resultat'!$L$5:$N$18,,MATCH($D108,'Landbrugsareal - resultat'!$L$4:$N$4,0)))),IF(H$2=2030,SUMPRODUCT(($B108='Landbrugsareal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resultat'!$R$4:$T$4,0))))))),IF($C108="Konventionel",IF(H$2=2019,SUMPRODUCT(($B108='Landbrugsareal - resultat'!$B$32:$B$45)*(INDEX('Landbrugsareal - resultat'!$C$32:$E$45,,MATCH($D108,'Landbrugsareal - resultat'!$C$4:$E$4,0)))),IF(H$2=2030,SUMPRODUCT(($B108='Landbrugsareal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resultat'!$I$4:$K$4,0)))))),IF(H$2=2019,SUMPRODUCT(($B108='Landbrugsareal - resultat'!$B$32:$B$45)*(INDEX('Landbrugsareal - resultat'!$L$32:$N$45,,MATCH($D108,'Landbrugsareal - resultat'!$L$4:$N$4,0)))),IF(H$2=2030,SUMPRODUCT(($B108='Landbrugsareal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92.544525371292039</v>
      </c>
      <c r="I108" s="97" cm="1">
        <f t="array" ref="I108">IF($A108="Vestdanmark",IF($C108="Konventionel",IF(I$2=2019,SUMPRODUCT(($B108='Landbrugsareal - resultat'!$B$5:$B$18)*(INDEX('Landbrugsareal - resultat'!$C$5:$E$18,,MATCH($D108,'Landbrugsareal - resultat'!$C$4:$E$4,0)))),IF(I$2=2030,SUMPRODUCT(($B108='Landbrugsareal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resultat'!$I$4:$K$4,0)))))),IF(I$2=2019,SUMPRODUCT(($B108='Landbrugsareal - resultat'!$B$5:$B$18)*(INDEX('Landbrugsareal - resultat'!$L$5:$N$18,,MATCH($D108,'Landbrugsareal - resultat'!$L$4:$N$4,0)))),IF(I$2=2030,SUMPRODUCT(($B108='Landbrugsareal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resultat'!$R$4:$T$4,0))))))),IF($C108="Konventionel",IF(I$2=2019,SUMPRODUCT((C108='Landbrugsareal - resultat'!$B$32:$B$45)*(INDEX('Landbrugsareal - resultat'!$C$32:$E$45,,MATCH($D108,'Landbrugsareal - resultat'!$C$4:$E$4,0)))),IF(I$2=2030,SUMPRODUCT(($B108='Landbrugsareal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resultat'!$I$4:$K$4,0)))))),IF(I$2=2019,SUMPRODUCT(($B108='Landbrugsareal - resultat'!$B$32:$B$45)*(INDEX('Landbrugsareal - resultat'!$L$32:$N$45,,MATCH($D108,'Landbrugsareal - resultat'!$L$4:$N$4,0)))),IF(I$2=2030,SUMPRODUCT(($B108='Landbrugsareal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88.265009747186056</v>
      </c>
    </row>
    <row r="109" spans="1:9" hidden="1" x14ac:dyDescent="0.55000000000000004">
      <c r="A109" t="s">
        <v>24</v>
      </c>
      <c r="B109" s="1" t="str">
        <f>[1]Afgrødefordeling!$C$10</f>
        <v>Frugt</v>
      </c>
      <c r="C109" t="s">
        <v>7</v>
      </c>
      <c r="D109" t="str">
        <f t="shared" si="9"/>
        <v>OC6</v>
      </c>
      <c r="F109" t="str">
        <f t="shared" si="6"/>
        <v>Areal-frugt</v>
      </c>
      <c r="G109" s="97" cm="1">
        <f t="array" ref="G109">IF($A109="Vestdanmark",IF($C109="Konventionel",IF(G$2=2019,SUMPRODUCT(($B109='Landbrugsareal - resultat'!$B$5:$B$18)*(INDEX('Landbrugsareal - resultat'!$C$5:$E$18,,MATCH($D109,'Landbrugsareal - resultat'!$C$4:$E$4,0)))),IF(G$2=2030,SUMPRODUCT(($B109='Landbrugsareal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resultat'!$I$4:$K$4,0)))))),IF(G$2=2019,SUMPRODUCT(($B109='Landbrugsareal - resultat'!$B$5:$B$18)*(INDEX('Landbrugsareal - resultat'!$L$5:$N$18,,MATCH($D109,'Landbrugsareal - resultat'!$L$4:$N$4,0)))),IF(G$2=2030,SUMPRODUCT(($B109='Landbrugsareal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resultat'!$R$4:$T$4,0))))))),IF($C109="Konventionel",IF(G$2=2019,SUMPRODUCT((B109='Landbrugsareal - resultat'!$B$32:$B$45)*(INDEX('Landbrugsareal - resultat'!$C$32:$E$45,,MATCH($D109,'Landbrugsareal - resultat'!$C$4:$E$4,0)))),IF(G$2=2030,SUMPRODUCT(($B109='Landbrugsareal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resultat'!$I$4:$K$4,0)))))),IF(G$2=2019,SUMPRODUCT(($B109='Landbrugsareal - resultat'!$B$32:$B$45)*(INDEX('Landbrugsareal - resultat'!$L$32:$N$45,,MATCH($D109,'Landbrugsareal - resultat'!$L$4:$N$4,0)))),IF(G$2=2030,SUMPRODUCT(($B109='Landbrugsareal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22.070941108444988</v>
      </c>
      <c r="H109" s="97" cm="1">
        <f t="array" ref="H109">IF($A109="Vestdanmark",IF($C109="Konventionel",IF(H$2=2019,SUMPRODUCT(($B109='Landbrugsareal - resultat'!$B$5:$B$18)*(INDEX('Landbrugsareal - resultat'!$C$5:$E$18,,MATCH($D109,'Landbrugsareal - resultat'!$C$4:$E$4,0)))),IF(H$2=2030,SUMPRODUCT(($B109='Landbrugsareal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resultat'!$I$4:$K$4,0)))))),IF(H$2=2019,SUMPRODUCT(($B109='Landbrugsareal - resultat'!$B$5:$B$18)*(INDEX('Landbrugsareal - resultat'!$L$5:$N$18,,MATCH($D109,'Landbrugsareal - resultat'!$L$4:$N$4,0)))),IF(H$2=2030,SUMPRODUCT(($B109='Landbrugsareal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resultat'!$R$4:$T$4,0))))))),IF($C109="Konventionel",IF(H$2=2019,SUMPRODUCT(($B109='Landbrugsareal - resultat'!$B$32:$B$45)*(INDEX('Landbrugsareal - resultat'!$C$32:$E$45,,MATCH($D109,'Landbrugsareal - resultat'!$C$4:$E$4,0)))),IF(H$2=2030,SUMPRODUCT(($B109='Landbrugsareal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resultat'!$I$4:$K$4,0)))))),IF(H$2=2019,SUMPRODUCT(($B109='Landbrugsareal - resultat'!$B$32:$B$45)*(INDEX('Landbrugsareal - resultat'!$L$32:$N$45,,MATCH($D109,'Landbrugsareal - resultat'!$L$4:$N$4,0)))),IF(H$2=2030,SUMPRODUCT(($B109='Landbrugsareal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19.963756517514042</v>
      </c>
      <c r="I109" s="97" cm="1">
        <f t="array" ref="I109">IF($A109="Vestdanmark",IF($C109="Konventionel",IF(I$2=2019,SUMPRODUCT(($B109='Landbrugsareal - resultat'!$B$5:$B$18)*(INDEX('Landbrugsareal - resultat'!$C$5:$E$18,,MATCH($D109,'Landbrugsareal - resultat'!$C$4:$E$4,0)))),IF(I$2=2030,SUMPRODUCT(($B109='Landbrugsareal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resultat'!$I$4:$K$4,0)))))),IF(I$2=2019,SUMPRODUCT(($B109='Landbrugsareal - resultat'!$B$5:$B$18)*(INDEX('Landbrugsareal - resultat'!$L$5:$N$18,,MATCH($D109,'Landbrugsareal - resultat'!$L$4:$N$4,0)))),IF(I$2=2030,SUMPRODUCT(($B109='Landbrugsareal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resultat'!$R$4:$T$4,0))))))),IF($C109="Konventionel",IF(I$2=2019,SUMPRODUCT((C109='Landbrugsareal - resultat'!$B$32:$B$45)*(INDEX('Landbrugsareal - resultat'!$C$32:$E$45,,MATCH($D109,'Landbrugsareal - resultat'!$C$4:$E$4,0)))),IF(I$2=2030,SUMPRODUCT(($B109='Landbrugsareal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resultat'!$I$4:$K$4,0)))))),IF(I$2=2019,SUMPRODUCT(($B109='Landbrugsareal - resultat'!$B$32:$B$45)*(INDEX('Landbrugsareal - resultat'!$L$32:$N$45,,MATCH($D109,'Landbrugsareal - resultat'!$L$4:$N$4,0)))),IF(I$2=2030,SUMPRODUCT(($B109='Landbrugsareal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19.040577025374667</v>
      </c>
    </row>
    <row r="110" spans="1:9" hidden="1" x14ac:dyDescent="0.55000000000000004">
      <c r="A110" t="s">
        <v>24</v>
      </c>
      <c r="B110" s="1" t="str">
        <f>[1]Afgrødefordeling!$C$11</f>
        <v>Øvrige</v>
      </c>
      <c r="C110" t="s">
        <v>7</v>
      </c>
      <c r="D110" t="str">
        <f t="shared" si="9"/>
        <v>OC6</v>
      </c>
      <c r="F110" t="str">
        <f t="shared" si="6"/>
        <v>Areal-øvrige</v>
      </c>
      <c r="G110" s="97" cm="1">
        <f t="array" ref="G110">IF($A110="Vestdanmark",IF($C110="Konventionel",IF(G$2=2019,SUMPRODUCT(($B110='Landbrugsareal - resultat'!$B$5:$B$18)*(INDEX('Landbrugsareal - resultat'!$C$5:$E$18,,MATCH($D110,'Landbrugsareal - resultat'!$C$4:$E$4,0)))),IF(G$2=2030,SUMPRODUCT(($B110='Landbrugsareal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resultat'!$I$4:$K$4,0)))))),IF(G$2=2019,SUMPRODUCT(($B110='Landbrugsareal - resultat'!$B$5:$B$18)*(INDEX('Landbrugsareal - resultat'!$L$5:$N$18,,MATCH($D110,'Landbrugsareal - resultat'!$L$4:$N$4,0)))),IF(G$2=2030,SUMPRODUCT(($B110='Landbrugsareal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resultat'!$R$4:$T$4,0))))))),IF($C110="Konventionel",IF(G$2=2019,SUMPRODUCT((B110='Landbrugsareal - resultat'!$B$32:$B$45)*(INDEX('Landbrugsareal - resultat'!$C$32:$E$45,,MATCH($D110,'Landbrugsareal - resultat'!$C$4:$E$4,0)))),IF(G$2=2030,SUMPRODUCT(($B110='Landbrugsareal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resultat'!$I$4:$K$4,0)))))),IF(G$2=2019,SUMPRODUCT(($B110='Landbrugsareal - resultat'!$B$32:$B$45)*(INDEX('Landbrugsareal - resultat'!$L$32:$N$45,,MATCH($D110,'Landbrugsareal - resultat'!$L$4:$N$4,0)))),IF(G$2=2030,SUMPRODUCT(($B110='Landbrugsareal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157.59722417896069</v>
      </c>
      <c r="H110" s="97" cm="1">
        <f t="array" ref="H110">IF($A110="Vestdanmark",IF($C110="Konventionel",IF(H$2=2019,SUMPRODUCT(($B110='Landbrugsareal - resultat'!$B$5:$B$18)*(INDEX('Landbrugsareal - resultat'!$C$5:$E$18,,MATCH($D110,'Landbrugsareal - resultat'!$C$4:$E$4,0)))),IF(H$2=2030,SUMPRODUCT(($B110='Landbrugsareal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resultat'!$I$4:$K$4,0)))))),IF(H$2=2019,SUMPRODUCT(($B110='Landbrugsareal - resultat'!$B$5:$B$18)*(INDEX('Landbrugsareal - resultat'!$L$5:$N$18,,MATCH($D110,'Landbrugsareal - resultat'!$L$4:$N$4,0)))),IF(H$2=2030,SUMPRODUCT(($B110='Landbrugsareal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resultat'!$R$4:$T$4,0))))))),IF($C110="Konventionel",IF(H$2=2019,SUMPRODUCT(($B110='Landbrugsareal - resultat'!$B$32:$B$45)*(INDEX('Landbrugsareal - resultat'!$C$32:$E$45,,MATCH($D110,'Landbrugsareal - resultat'!$C$4:$E$4,0)))),IF(H$2=2030,SUMPRODUCT(($B110='Landbrugsareal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resultat'!$I$4:$K$4,0)))))),IF(H$2=2019,SUMPRODUCT(($B110='Landbrugsareal - resultat'!$B$32:$B$45)*(INDEX('Landbrugsareal - resultat'!$L$32:$N$45,,MATCH($D110,'Landbrugsareal - resultat'!$L$4:$N$4,0)))),IF(H$2=2030,SUMPRODUCT(($B110='Landbrugsareal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142.55090419053352</v>
      </c>
      <c r="I110" s="97" cm="1">
        <f t="array" ref="I110">IF($A110="Vestdanmark",IF($C110="Konventionel",IF(I$2=2019,SUMPRODUCT(($B110='Landbrugsareal - resultat'!$B$5:$B$18)*(INDEX('Landbrugsareal - resultat'!$C$5:$E$18,,MATCH($D110,'Landbrugsareal - resultat'!$C$4:$E$4,0)))),IF(I$2=2030,SUMPRODUCT(($B110='Landbrugsareal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resultat'!$I$4:$K$4,0)))))),IF(I$2=2019,SUMPRODUCT(($B110='Landbrugsareal - resultat'!$B$5:$B$18)*(INDEX('Landbrugsareal - resultat'!$L$5:$N$18,,MATCH($D110,'Landbrugsareal - resultat'!$L$4:$N$4,0)))),IF(I$2=2030,SUMPRODUCT(($B110='Landbrugsareal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resultat'!$R$4:$T$4,0))))))),IF($C110="Konventionel",IF(I$2=2019,SUMPRODUCT((C110='Landbrugsareal - resultat'!$B$32:$B$45)*(INDEX('Landbrugsareal - resultat'!$C$32:$E$45,,MATCH($D110,'Landbrugsareal - resultat'!$C$4:$E$4,0)))),IF(I$2=2030,SUMPRODUCT(($B110='Landbrugsareal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resultat'!$I$4:$K$4,0)))))),IF(I$2=2019,SUMPRODUCT(($B110='Landbrugsareal - resultat'!$B$32:$B$45)*(INDEX('Landbrugsareal - resultat'!$L$32:$N$45,,MATCH($D110,'Landbrugsareal - resultat'!$L$4:$N$4,0)))),IF(I$2=2030,SUMPRODUCT(($B110='Landbrugsareal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135.9589548638036</v>
      </c>
    </row>
    <row r="111" spans="1:9" hidden="1" x14ac:dyDescent="0.55000000000000004">
      <c r="A111" t="s">
        <v>24</v>
      </c>
      <c r="B111" s="1" t="str">
        <f>[1]Afgrødefordeling!$C$12</f>
        <v>Frø</v>
      </c>
      <c r="C111" t="s">
        <v>7</v>
      </c>
      <c r="D111" t="str">
        <f t="shared" si="9"/>
        <v>OC6</v>
      </c>
      <c r="F111" t="str">
        <f t="shared" si="6"/>
        <v>Areal-frøgræs</v>
      </c>
      <c r="G111" s="97" cm="1">
        <f t="array" ref="G111">IF($A111="Vestdanmark",IF($C111="Konventionel",IF(G$2=2019,SUMPRODUCT(($B111='Landbrugsareal - resultat'!$B$5:$B$18)*(INDEX('Landbrugsareal - resultat'!$C$5:$E$18,,MATCH($D111,'Landbrugsareal - resultat'!$C$4:$E$4,0)))),IF(G$2=2030,SUMPRODUCT(($B111='Landbrugsareal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resultat'!$I$4:$K$4,0)))))),IF(G$2=2019,SUMPRODUCT(($B111='Landbrugsareal - resultat'!$B$5:$B$18)*(INDEX('Landbrugsareal - resultat'!$L$5:$N$18,,MATCH($D111,'Landbrugsareal - resultat'!$L$4:$N$4,0)))),IF(G$2=2030,SUMPRODUCT(($B111='Landbrugsareal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resultat'!$R$4:$T$4,0))))))),IF($C111="Konventionel",IF(G$2=2019,SUMPRODUCT((B111='Landbrugsareal - resultat'!$B$32:$B$45)*(INDEX('Landbrugsareal - resultat'!$C$32:$E$45,,MATCH($D111,'Landbrugsareal - resultat'!$C$4:$E$4,0)))),IF(G$2=2030,SUMPRODUCT(($B111='Landbrugsareal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resultat'!$I$4:$K$4,0)))))),IF(G$2=2019,SUMPRODUCT(($B111='Landbrugsareal - resultat'!$B$32:$B$45)*(INDEX('Landbrugsareal - resultat'!$L$32:$N$45,,MATCH($D111,'Landbrugsareal - resultat'!$L$4:$N$4,0)))),IF(G$2=2030,SUMPRODUCT(($B111='Landbrugsareal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1144.1483740031422</v>
      </c>
      <c r="H111" s="97" cm="1">
        <f t="array" ref="H111">IF($A111="Vestdanmark",IF($C111="Konventionel",IF(H$2=2019,SUMPRODUCT(($B111='Landbrugsareal - resultat'!$B$5:$B$18)*(INDEX('Landbrugsareal - resultat'!$C$5:$E$18,,MATCH($D111,'Landbrugsareal - resultat'!$C$4:$E$4,0)))),IF(H$2=2030,SUMPRODUCT(($B111='Landbrugsareal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resultat'!$I$4:$K$4,0)))))),IF(H$2=2019,SUMPRODUCT(($B111='Landbrugsareal - resultat'!$B$5:$B$18)*(INDEX('Landbrugsareal - resultat'!$L$5:$N$18,,MATCH($D111,'Landbrugsareal - resultat'!$L$4:$N$4,0)))),IF(H$2=2030,SUMPRODUCT(($B111='Landbrugsareal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resultat'!$R$4:$T$4,0))))))),IF($C111="Konventionel",IF(H$2=2019,SUMPRODUCT(($B111='Landbrugsareal - resultat'!$B$32:$B$45)*(INDEX('Landbrugsareal - resultat'!$C$32:$E$45,,MATCH($D111,'Landbrugsareal - resultat'!$C$4:$E$4,0)))),IF(H$2=2030,SUMPRODUCT(($B111='Landbrugsareal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resultat'!$I$4:$K$4,0)))))),IF(H$2=2019,SUMPRODUCT(($B111='Landbrugsareal - resultat'!$B$32:$B$45)*(INDEX('Landbrugsareal - resultat'!$L$32:$N$45,,MATCH($D111,'Landbrugsareal - resultat'!$L$4:$N$4,0)))),IF(H$2=2030,SUMPRODUCT(($B111='Landbrugsareal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1034.9128044099805</v>
      </c>
      <c r="I111" s="97" cm="1">
        <f t="array" ref="I111">IF($A111="Vestdanmark",IF($C111="Konventionel",IF(I$2=2019,SUMPRODUCT(($B111='Landbrugsareal - resultat'!$B$5:$B$18)*(INDEX('Landbrugsareal - resultat'!$C$5:$E$18,,MATCH($D111,'Landbrugsareal - resultat'!$C$4:$E$4,0)))),IF(I$2=2030,SUMPRODUCT(($B111='Landbrugsareal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resultat'!$I$4:$K$4,0)))))),IF(I$2=2019,SUMPRODUCT(($B111='Landbrugsareal - resultat'!$B$5:$B$18)*(INDEX('Landbrugsareal - resultat'!$L$5:$N$18,,MATCH($D111,'Landbrugsareal - resultat'!$L$4:$N$4,0)))),IF(I$2=2030,SUMPRODUCT(($B111='Landbrugsareal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resultat'!$R$4:$T$4,0))))))),IF($C111="Konventionel",IF(I$2=2019,SUMPRODUCT((C111='Landbrugsareal - resultat'!$B$32:$B$45)*(INDEX('Landbrugsareal - resultat'!$C$32:$E$45,,MATCH($D111,'Landbrugsareal - resultat'!$C$4:$E$4,0)))),IF(I$2=2030,SUMPRODUCT(($B111='Landbrugsareal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resultat'!$I$4:$K$4,0)))))),IF(I$2=2019,SUMPRODUCT(($B111='Landbrugsareal - resultat'!$B$32:$B$45)*(INDEX('Landbrugsareal - resultat'!$L$32:$N$45,,MATCH($D111,'Landbrugsareal - resultat'!$L$4:$N$4,0)))),IF(I$2=2030,SUMPRODUCT(($B111='Landbrugsareal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987.0555648996924</v>
      </c>
    </row>
    <row r="112" spans="1:9" hidden="1" x14ac:dyDescent="0.55000000000000004">
      <c r="A112" t="s">
        <v>24</v>
      </c>
      <c r="B112" s="1" t="str">
        <f>[1]Afgrødefordeling!$C$13</f>
        <v>Juletræer</v>
      </c>
      <c r="C112" t="s">
        <v>7</v>
      </c>
      <c r="D112" t="str">
        <f t="shared" si="9"/>
        <v>OC6</v>
      </c>
      <c r="F112" t="str">
        <f t="shared" si="6"/>
        <v>Areal-juletræer</v>
      </c>
      <c r="G112" s="97" cm="1">
        <f t="array" ref="G112">IF($A112="Vestdanmark",IF($C112="Konventionel",IF(G$2=2019,SUMPRODUCT(($B112='Landbrugsareal - resultat'!$B$5:$B$18)*(INDEX('Landbrugsareal - resultat'!$C$5:$E$18,,MATCH($D112,'Landbrugsareal - resultat'!$C$4:$E$4,0)))),IF(G$2=2030,SUMPRODUCT(($B112='Landbrugsareal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resultat'!$I$4:$K$4,0)))))),IF(G$2=2019,SUMPRODUCT(($B112='Landbrugsareal - resultat'!$B$5:$B$18)*(INDEX('Landbrugsareal - resultat'!$L$5:$N$18,,MATCH($D112,'Landbrugsareal - resultat'!$L$4:$N$4,0)))),IF(G$2=2030,SUMPRODUCT(($B112='Landbrugsareal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resultat'!$R$4:$T$4,0))))))),IF($C112="Konventionel",IF(G$2=2019,SUMPRODUCT((B112='Landbrugsareal - resultat'!$B$32:$B$45)*(INDEX('Landbrugsareal - resultat'!$C$32:$E$45,,MATCH($D112,'Landbrugsareal - resultat'!$C$4:$E$4,0)))),IF(G$2=2030,SUMPRODUCT(($B112='Landbrugsareal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resultat'!$I$4:$K$4,0)))))),IF(G$2=2019,SUMPRODUCT(($B112='Landbrugsareal - resultat'!$B$32:$B$45)*(INDEX('Landbrugsareal - resultat'!$L$32:$N$45,,MATCH($D112,'Landbrugsareal - resultat'!$L$4:$N$4,0)))),IF(G$2=2030,SUMPRODUCT(($B112='Landbrugsareal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34.585039119234281</v>
      </c>
      <c r="H112" s="97" cm="1">
        <f t="array" ref="H112">IF($A112="Vestdanmark",IF($C112="Konventionel",IF(H$2=2019,SUMPRODUCT(($B112='Landbrugsareal - resultat'!$B$5:$B$18)*(INDEX('Landbrugsareal - resultat'!$C$5:$E$18,,MATCH($D112,'Landbrugsareal - resultat'!$C$4:$E$4,0)))),IF(H$2=2030,SUMPRODUCT(($B112='Landbrugsareal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resultat'!$I$4:$K$4,0)))))),IF(H$2=2019,SUMPRODUCT(($B112='Landbrugsareal - resultat'!$B$5:$B$18)*(INDEX('Landbrugsareal - resultat'!$L$5:$N$18,,MATCH($D112,'Landbrugsareal - resultat'!$L$4:$N$4,0)))),IF(H$2=2030,SUMPRODUCT(($B112='Landbrugsareal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resultat'!$R$4:$T$4,0))))))),IF($C112="Konventionel",IF(H$2=2019,SUMPRODUCT(($B112='Landbrugsareal - resultat'!$B$32:$B$45)*(INDEX('Landbrugsareal - resultat'!$C$32:$E$45,,MATCH($D112,'Landbrugsareal - resultat'!$C$4:$E$4,0)))),IF(H$2=2030,SUMPRODUCT(($B112='Landbrugsareal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resultat'!$I$4:$K$4,0)))))),IF(H$2=2019,SUMPRODUCT(($B112='Landbrugsareal - resultat'!$B$32:$B$45)*(INDEX('Landbrugsareal - resultat'!$L$32:$N$45,,MATCH($D112,'Landbrugsareal - resultat'!$L$4:$N$4,0)))),IF(H$2=2030,SUMPRODUCT(($B112='Landbrugsareal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31.283092856466656</v>
      </c>
      <c r="I112" s="97" cm="1">
        <f t="array" ref="I112">IF($A112="Vestdanmark",IF($C112="Konventionel",IF(I$2=2019,SUMPRODUCT(($B112='Landbrugsareal - resultat'!$B$5:$B$18)*(INDEX('Landbrugsareal - resultat'!$C$5:$E$18,,MATCH($D112,'Landbrugsareal - resultat'!$C$4:$E$4,0)))),IF(I$2=2030,SUMPRODUCT(($B112='Landbrugsareal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resultat'!$I$4:$K$4,0)))))),IF(I$2=2019,SUMPRODUCT(($B112='Landbrugsareal - resultat'!$B$5:$B$18)*(INDEX('Landbrugsareal - resultat'!$L$5:$N$18,,MATCH($D112,'Landbrugsareal - resultat'!$L$4:$N$4,0)))),IF(I$2=2030,SUMPRODUCT(($B112='Landbrugsareal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resultat'!$R$4:$T$4,0))))))),IF($C112="Konventionel",IF(I$2=2019,SUMPRODUCT((C112='Landbrugsareal - resultat'!$B$32:$B$45)*(INDEX('Landbrugsareal - resultat'!$C$32:$E$45,,MATCH($D112,'Landbrugsareal - resultat'!$C$4:$E$4,0)))),IF(I$2=2030,SUMPRODUCT(($B112='Landbrugsareal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resultat'!$I$4:$K$4,0)))))),IF(I$2=2019,SUMPRODUCT(($B112='Landbrugsareal - resultat'!$B$32:$B$45)*(INDEX('Landbrugsareal - resultat'!$L$32:$N$45,,MATCH($D112,'Landbrugsareal - resultat'!$L$4:$N$4,0)))),IF(I$2=2030,SUMPRODUCT(($B112='Landbrugsareal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29.836475845762994</v>
      </c>
    </row>
    <row r="113" spans="1:9" hidden="1" x14ac:dyDescent="0.55000000000000004">
      <c r="A113" t="s">
        <v>24</v>
      </c>
      <c r="B113" s="1" t="str">
        <f>[1]Afgrødefordeling!$C$14</f>
        <v>Pil &amp; poppel</v>
      </c>
      <c r="C113" t="s">
        <v>7</v>
      </c>
      <c r="D113" t="str">
        <f t="shared" si="9"/>
        <v>OC6</v>
      </c>
      <c r="F113" t="str">
        <f t="shared" si="6"/>
        <v>Areal-pil-poppel</v>
      </c>
      <c r="G113" s="97" cm="1">
        <f t="array" ref="G113">IF($A113="Vestdanmark",IF($C113="Konventionel",IF(G$2=2019,SUMPRODUCT(($B113='Landbrugsareal - resultat'!$B$5:$B$18)*(INDEX('Landbrugsareal - resultat'!$C$5:$E$18,,MATCH($D113,'Landbrugsareal - resultat'!$C$4:$E$4,0)))),IF(G$2=2030,SUMPRODUCT(($B113='Landbrugsareal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resultat'!$I$4:$K$4,0)))))),IF(G$2=2019,SUMPRODUCT(($B113='Landbrugsareal - resultat'!$B$5:$B$18)*(INDEX('Landbrugsareal - resultat'!$L$5:$N$18,,MATCH($D113,'Landbrugsareal - resultat'!$L$4:$N$4,0)))),IF(G$2=2030,SUMPRODUCT(($B113='Landbrugsareal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resultat'!$R$4:$T$4,0))))))),IF($C113="Konventionel",IF(G$2=2019,SUMPRODUCT((B113='Landbrugsareal - resultat'!$B$32:$B$45)*(INDEX('Landbrugsareal - resultat'!$C$32:$E$45,,MATCH($D113,'Landbrugsareal - resultat'!$C$4:$E$4,0)))),IF(G$2=2030,SUMPRODUCT(($B113='Landbrugsareal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resultat'!$I$4:$K$4,0)))))),IF(G$2=2019,SUMPRODUCT(($B113='Landbrugsareal - resultat'!$B$32:$B$45)*(INDEX('Landbrugsareal - resultat'!$L$32:$N$45,,MATCH($D113,'Landbrugsareal - resultat'!$L$4:$N$4,0)))),IF(G$2=2030,SUMPRODUCT(($B113='Landbrugsareal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73.402370173862749</v>
      </c>
      <c r="H113" s="97" cm="1">
        <f t="array" ref="H113">IF($A113="Vestdanmark",IF($C113="Konventionel",IF(H$2=2019,SUMPRODUCT(($B113='Landbrugsareal - resultat'!$B$5:$B$18)*(INDEX('Landbrugsareal - resultat'!$C$5:$E$18,,MATCH($D113,'Landbrugsareal - resultat'!$C$4:$E$4,0)))),IF(H$2=2030,SUMPRODUCT(($B113='Landbrugsareal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resultat'!$I$4:$K$4,0)))))),IF(H$2=2019,SUMPRODUCT(($B113='Landbrugsareal - resultat'!$B$5:$B$18)*(INDEX('Landbrugsareal - resultat'!$L$5:$N$18,,MATCH($D113,'Landbrugsareal - resultat'!$L$4:$N$4,0)))),IF(H$2=2030,SUMPRODUCT(($B113='Landbrugsareal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resultat'!$R$4:$T$4,0))))))),IF($C113="Konventionel",IF(H$2=2019,SUMPRODUCT(($B113='Landbrugsareal - resultat'!$B$32:$B$45)*(INDEX('Landbrugsareal - resultat'!$C$32:$E$45,,MATCH($D113,'Landbrugsareal - resultat'!$C$4:$E$4,0)))),IF(H$2=2030,SUMPRODUCT(($B113='Landbrugsareal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resultat'!$I$4:$K$4,0)))))),IF(H$2=2019,SUMPRODUCT(($B113='Landbrugsareal - resultat'!$B$32:$B$45)*(INDEX('Landbrugsareal - resultat'!$L$32:$N$45,,MATCH($D113,'Landbrugsareal - resultat'!$L$4:$N$4,0)))),IF(H$2=2030,SUMPRODUCT(($B113='Landbrugsareal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66.394406960686013</v>
      </c>
      <c r="I113" s="97" cm="1">
        <f t="array" ref="I113">IF($A113="Vestdanmark",IF($C113="Konventionel",IF(I$2=2019,SUMPRODUCT(($B113='Landbrugsareal - resultat'!$B$5:$B$18)*(INDEX('Landbrugsareal - resultat'!$C$5:$E$18,,MATCH($D113,'Landbrugsareal - resultat'!$C$4:$E$4,0)))),IF(I$2=2030,SUMPRODUCT(($B113='Landbrugsareal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resultat'!$I$4:$K$4,0)))))),IF(I$2=2019,SUMPRODUCT(($B113='Landbrugsareal - resultat'!$B$5:$B$18)*(INDEX('Landbrugsareal - resultat'!$L$5:$N$18,,MATCH($D113,'Landbrugsareal - resultat'!$L$4:$N$4,0)))),IF(I$2=2030,SUMPRODUCT(($B113='Landbrugsareal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resultat'!$R$4:$T$4,0))))))),IF($C113="Konventionel",IF(I$2=2019,SUMPRODUCT((C113='Landbrugsareal - resultat'!$B$32:$B$45)*(INDEX('Landbrugsareal - resultat'!$C$32:$E$45,,MATCH($D113,'Landbrugsareal - resultat'!$C$4:$E$4,0)))),IF(I$2=2030,SUMPRODUCT(($B113='Landbrugsareal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resultat'!$I$4:$K$4,0)))))),IF(I$2=2019,SUMPRODUCT(($B113='Landbrugsareal - resultat'!$B$32:$B$45)*(INDEX('Landbrugsareal - resultat'!$L$32:$N$45,,MATCH($D113,'Landbrugsareal - resultat'!$L$4:$N$4,0)))),IF(I$2=2030,SUMPRODUCT(($B113='Landbrugsareal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63.324145367128274</v>
      </c>
    </row>
    <row r="114" spans="1:9" hidden="1" x14ac:dyDescent="0.55000000000000004">
      <c r="A114" t="s">
        <v>24</v>
      </c>
      <c r="B114" s="1" t="str">
        <f>[1]Afgrødefordeling!$C$15</f>
        <v>Permanent græs</v>
      </c>
      <c r="C114" t="s">
        <v>7</v>
      </c>
      <c r="D114" t="str">
        <f t="shared" si="9"/>
        <v>OC6</v>
      </c>
      <c r="F114" t="str">
        <f t="shared" si="6"/>
        <v>Areal-permanent græs</v>
      </c>
      <c r="G114" s="97" cm="1">
        <f t="array" ref="G114">IF($A114="Vestdanmark",IF($C114="Konventionel",IF(G$2=2019,SUMPRODUCT(($B114='Landbrugsareal - resultat'!$B$5:$B$18)*(INDEX('Landbrugsareal - resultat'!$C$5:$E$18,,MATCH($D114,'Landbrugsareal - resultat'!$C$4:$E$4,0)))),IF(G$2=2030,SUMPRODUCT(($B114='Landbrugsareal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resultat'!$I$4:$K$4,0)))))),IF(G$2=2019,SUMPRODUCT(($B114='Landbrugsareal - resultat'!$B$5:$B$18)*(INDEX('Landbrugsareal - resultat'!$L$5:$N$18,,MATCH($D114,'Landbrugsareal - resultat'!$L$4:$N$4,0)))),IF(G$2=2030,SUMPRODUCT(($B114='Landbrugsareal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resultat'!$R$4:$T$4,0))))))),IF($C114="Konventionel",IF(G$2=2019,SUMPRODUCT((B114='Landbrugsareal - resultat'!$B$32:$B$45)*(INDEX('Landbrugsareal - resultat'!$C$32:$E$45,,MATCH($D114,'Landbrugsareal - resultat'!$C$4:$E$4,0)))),IF(G$2=2030,SUMPRODUCT(($B114='Landbrugsareal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resultat'!$I$4:$K$4,0)))))),IF(G$2=2019,SUMPRODUCT(($B114='Landbrugsareal - resultat'!$B$32:$B$45)*(INDEX('Landbrugsareal - resultat'!$L$32:$N$45,,MATCH($D114,'Landbrugsareal - resultat'!$L$4:$N$4,0)))),IF(G$2=2030,SUMPRODUCT(($B114='Landbrugsareal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2143.8995874286088</v>
      </c>
      <c r="H114" s="97" cm="1">
        <f t="array" ref="H114">IF($A114="Vestdanmark",IF($C114="Konventionel",IF(H$2=2019,SUMPRODUCT(($B114='Landbrugsareal - resultat'!$B$5:$B$18)*(INDEX('Landbrugsareal - resultat'!$C$5:$E$18,,MATCH($D114,'Landbrugsareal - resultat'!$C$4:$E$4,0)))),IF(H$2=2030,SUMPRODUCT(($B114='Landbrugsareal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resultat'!$I$4:$K$4,0)))))),IF(H$2=2019,SUMPRODUCT(($B114='Landbrugsareal - resultat'!$B$5:$B$18)*(INDEX('Landbrugsareal - resultat'!$L$5:$N$18,,MATCH($D114,'Landbrugsareal - resultat'!$L$4:$N$4,0)))),IF(H$2=2030,SUMPRODUCT(($B114='Landbrugsareal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resultat'!$R$4:$T$4,0))))))),IF($C114="Konventionel",IF(H$2=2019,SUMPRODUCT(($B114='Landbrugsareal - resultat'!$B$32:$B$45)*(INDEX('Landbrugsareal - resultat'!$C$32:$E$45,,MATCH($D114,'Landbrugsareal - resultat'!$C$4:$E$4,0)))),IF(H$2=2030,SUMPRODUCT(($B114='Landbrugsareal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resultat'!$I$4:$K$4,0)))))),IF(H$2=2019,SUMPRODUCT(($B114='Landbrugsareal - resultat'!$B$32:$B$45)*(INDEX('Landbrugsareal - resultat'!$L$32:$N$45,,MATCH($D114,'Landbrugsareal - resultat'!$L$4:$N$4,0)))),IF(H$2=2030,SUMPRODUCT(($B114='Landbrugsareal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1924.2067363305678</v>
      </c>
      <c r="I114" s="97" cm="1">
        <f t="array" ref="I114">IF($A114="Vestdanmark",IF($C114="Konventionel",IF(I$2=2019,SUMPRODUCT(($B114='Landbrugsareal - resultat'!$B$5:$B$18)*(INDEX('Landbrugsareal - resultat'!$C$5:$E$18,,MATCH($D114,'Landbrugsareal - resultat'!$C$4:$E$4,0)))),IF(I$2=2030,SUMPRODUCT(($B114='Landbrugsareal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resultat'!$I$4:$K$4,0)))))),IF(I$2=2019,SUMPRODUCT(($B114='Landbrugsareal - resultat'!$B$5:$B$18)*(INDEX('Landbrugsareal - resultat'!$L$5:$N$18,,MATCH($D114,'Landbrugsareal - resultat'!$L$4:$N$4,0)))),IF(I$2=2030,SUMPRODUCT(($B114='Landbrugsareal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resultat'!$R$4:$T$4,0))))))),IF($C114="Konventionel",IF(I$2=2019,SUMPRODUCT((C114='Landbrugsareal - resultat'!$B$32:$B$45)*(INDEX('Landbrugsareal - resultat'!$C$32:$E$45,,MATCH($D114,'Landbrugsareal - resultat'!$C$4:$E$4,0)))),IF(I$2=2030,SUMPRODUCT(($B114='Landbrugsareal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resultat'!$I$4:$K$4,0)))))),IF(I$2=2019,SUMPRODUCT(($B114='Landbrugsareal - resultat'!$B$32:$B$45)*(INDEX('Landbrugsareal - resultat'!$L$32:$N$45,,MATCH($D114,'Landbrugsareal - resultat'!$L$4:$N$4,0)))),IF(I$2=2030,SUMPRODUCT(($B114='Landbrugsareal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1835.2260780031424</v>
      </c>
    </row>
    <row r="115" spans="1:9" hidden="1" x14ac:dyDescent="0.55000000000000004">
      <c r="A115" t="s">
        <v>24</v>
      </c>
      <c r="B115" s="1" t="str">
        <f>[1]Afgrødefordeling!$C$2</f>
        <v>Korn</v>
      </c>
      <c r="C115" t="s">
        <v>7</v>
      </c>
      <c r="D115" t="str">
        <f t="shared" ref="D115:D128" si="10">Organ12</f>
        <v>OC12</v>
      </c>
      <c r="F115" t="str">
        <f t="shared" si="6"/>
        <v>Areal-korn</v>
      </c>
      <c r="G115" s="97" cm="1">
        <f t="array" ref="G115">IF($A115="Vestdanmark",IF($C115="Konventionel",IF(G$2=2019,SUMPRODUCT(($B115='Landbrugsareal - resultat'!$B$5:$B$18)*(INDEX('Landbrugsareal - resultat'!$C$5:$E$18,,MATCH($D115,'Landbrugsareal - resultat'!$C$4:$E$4,0)))),IF(G$2=2030,SUMPRODUCT(($B115='Landbrugsareal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resultat'!$I$4:$K$4,0)))))),IF(G$2=2019,SUMPRODUCT(($B115='Landbrugsareal - resultat'!$B$5:$B$18)*(INDEX('Landbrugsareal - resultat'!$L$5:$N$18,,MATCH($D115,'Landbrugsareal - resultat'!$L$4:$N$4,0)))),IF(G$2=2030,SUMPRODUCT(($B115='Landbrugsareal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resultat'!$R$4:$T$4,0))))))),IF($C115="Konventionel",IF(G$2=2019,SUMPRODUCT((B115='Landbrugsareal - resultat'!$B$32:$B$45)*(INDEX('Landbrugsareal - resultat'!$C$32:$E$45,,MATCH($D115,'Landbrugsareal - resultat'!$C$4:$E$4,0)))),IF(G$2=2030,SUMPRODUCT(($B115='Landbrugsareal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resultat'!$I$4:$K$4,0)))))),IF(G$2=2019,SUMPRODUCT(($B115='Landbrugsareal - resultat'!$B$32:$B$45)*(INDEX('Landbrugsareal - resultat'!$L$32:$N$45,,MATCH($D115,'Landbrugsareal - resultat'!$L$4:$N$4,0)))),IF(G$2=2030,SUMPRODUCT(($B115='Landbrugsareal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1774.9136894308049</v>
      </c>
      <c r="H115" s="97" cm="1">
        <f t="array" ref="H115">IF($A115="Vestdanmark",IF($C115="Konventionel",IF(H$2=2019,SUMPRODUCT(($B115='Landbrugsareal - resultat'!$B$5:$B$18)*(INDEX('Landbrugsareal - resultat'!$C$5:$E$18,,MATCH($D115,'Landbrugsareal - resultat'!$C$4:$E$4,0)))),IF(H$2=2030,SUMPRODUCT(($B115='Landbrugsareal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resultat'!$I$4:$K$4,0)))))),IF(H$2=2019,SUMPRODUCT(($B115='Landbrugsareal - resultat'!$B$5:$B$18)*(INDEX('Landbrugsareal - resultat'!$L$5:$N$18,,MATCH($D115,'Landbrugsareal - resultat'!$L$4:$N$4,0)))),IF(H$2=2030,SUMPRODUCT(($B115='Landbrugsareal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resultat'!$R$4:$T$4,0))))))),IF($C115="Konventionel",IF(H$2=2019,SUMPRODUCT(($B115='Landbrugsareal - resultat'!$B$32:$B$45)*(INDEX('Landbrugsareal - resultat'!$C$32:$E$45,,MATCH($D115,'Landbrugsareal - resultat'!$C$4:$E$4,0)))),IF(H$2=2030,SUMPRODUCT(($B115='Landbrugsareal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resultat'!$I$4:$K$4,0)))))),IF(H$2=2019,SUMPRODUCT(($B115='Landbrugsareal - resultat'!$B$32:$B$45)*(INDEX('Landbrugsareal - resultat'!$L$32:$N$45,,MATCH($D115,'Landbrugsareal - resultat'!$L$4:$N$4,0)))),IF(H$2=2030,SUMPRODUCT(($B115='Landbrugsareal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1618.1689827208891</v>
      </c>
      <c r="I115" s="97" cm="1">
        <f t="array" ref="I115">IF($A115="Vestdanmark",IF($C115="Konventionel",IF(I$2=2019,SUMPRODUCT(($B115='Landbrugsareal - resultat'!$B$5:$B$18)*(INDEX('Landbrugsareal - resultat'!$C$5:$E$18,,MATCH($D115,'Landbrugsareal - resultat'!$C$4:$E$4,0)))),IF(I$2=2030,SUMPRODUCT(($B115='Landbrugsareal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resultat'!$I$4:$K$4,0)))))),IF(I$2=2019,SUMPRODUCT(($B115='Landbrugsareal - resultat'!$B$5:$B$18)*(INDEX('Landbrugsareal - resultat'!$L$5:$N$18,,MATCH($D115,'Landbrugsareal - resultat'!$L$4:$N$4,0)))),IF(I$2=2030,SUMPRODUCT(($B115='Landbrugsareal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resultat'!$R$4:$T$4,0))))))),IF($C115="Konventionel",IF(I$2=2019,SUMPRODUCT((C115='Landbrugsareal - resultat'!$B$32:$B$45)*(INDEX('Landbrugsareal - resultat'!$C$32:$E$45,,MATCH($D115,'Landbrugsareal - resultat'!$C$4:$E$4,0)))),IF(I$2=2030,SUMPRODUCT(($B115='Landbrugsareal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resultat'!$I$4:$K$4,0)))))),IF(I$2=2019,SUMPRODUCT(($B115='Landbrugsareal - resultat'!$B$32:$B$45)*(INDEX('Landbrugsareal - resultat'!$L$32:$N$45,,MATCH($D115,'Landbrugsareal - resultat'!$L$4:$N$4,0)))),IF(I$2=2030,SUMPRODUCT(($B115='Landbrugsareal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1543.3403592424663</v>
      </c>
    </row>
    <row r="116" spans="1:9" hidden="1" x14ac:dyDescent="0.55000000000000004">
      <c r="A116" t="s">
        <v>24</v>
      </c>
      <c r="B116" s="1" t="str">
        <f>[1]Afgrødefordeling!$C$3</f>
        <v>Bælgsæd</v>
      </c>
      <c r="C116" t="s">
        <v>7</v>
      </c>
      <c r="D116" t="str">
        <f t="shared" si="10"/>
        <v>OC12</v>
      </c>
      <c r="F116" t="str">
        <f t="shared" si="6"/>
        <v>Areal-bælgsæd</v>
      </c>
      <c r="G116" s="97" cm="1">
        <f t="array" ref="G116">IF($A116="Vestdanmark",IF($C116="Konventionel",IF(G$2=2019,SUMPRODUCT(($B116='Landbrugsareal - resultat'!$B$5:$B$18)*(INDEX('Landbrugsareal - resultat'!$C$5:$E$18,,MATCH($D116,'Landbrugsareal - resultat'!$C$4:$E$4,0)))),IF(G$2=2030,SUMPRODUCT(($B116='Landbrugsareal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resultat'!$I$4:$K$4,0)))))),IF(G$2=2019,SUMPRODUCT(($B116='Landbrugsareal - resultat'!$B$5:$B$18)*(INDEX('Landbrugsareal - resultat'!$L$5:$N$18,,MATCH($D116,'Landbrugsareal - resultat'!$L$4:$N$4,0)))),IF(G$2=2030,SUMPRODUCT(($B116='Landbrugsareal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resultat'!$R$4:$T$4,0))))))),IF($C116="Konventionel",IF(G$2=2019,SUMPRODUCT((B116='Landbrugsareal - resultat'!$B$32:$B$45)*(INDEX('Landbrugsareal - resultat'!$C$32:$E$45,,MATCH($D116,'Landbrugsareal - resultat'!$C$4:$E$4,0)))),IF(G$2=2030,SUMPRODUCT(($B116='Landbrugsareal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resultat'!$I$4:$K$4,0)))))),IF(G$2=2019,SUMPRODUCT(($B116='Landbrugsareal - resultat'!$B$32:$B$45)*(INDEX('Landbrugsareal - resultat'!$L$32:$N$45,,MATCH($D116,'Landbrugsareal - resultat'!$L$4:$N$4,0)))),IF(G$2=2030,SUMPRODUCT(($B116='Landbrugsareal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32.238285550267712</v>
      </c>
      <c r="H116" s="97" cm="1">
        <f t="array" ref="H116">IF($A116="Vestdanmark",IF($C116="Konventionel",IF(H$2=2019,SUMPRODUCT(($B116='Landbrugsareal - resultat'!$B$5:$B$18)*(INDEX('Landbrugsareal - resultat'!$C$5:$E$18,,MATCH($D116,'Landbrugsareal - resultat'!$C$4:$E$4,0)))),IF(H$2=2030,SUMPRODUCT(($B116='Landbrugsareal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resultat'!$I$4:$K$4,0)))))),IF(H$2=2019,SUMPRODUCT(($B116='Landbrugsareal - resultat'!$B$5:$B$18)*(INDEX('Landbrugsareal - resultat'!$L$5:$N$18,,MATCH($D116,'Landbrugsareal - resultat'!$L$4:$N$4,0)))),IF(H$2=2030,SUMPRODUCT(($B116='Landbrugsareal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resultat'!$R$4:$T$4,0))))))),IF($C116="Konventionel",IF(H$2=2019,SUMPRODUCT(($B116='Landbrugsareal - resultat'!$B$32:$B$45)*(INDEX('Landbrugsareal - resultat'!$C$32:$E$45,,MATCH($D116,'Landbrugsareal - resultat'!$C$4:$E$4,0)))),IF(H$2=2030,SUMPRODUCT(($B116='Landbrugsareal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resultat'!$I$4:$K$4,0)))))),IF(H$2=2019,SUMPRODUCT(($B116='Landbrugsareal - resultat'!$B$32:$B$45)*(INDEX('Landbrugsareal - resultat'!$L$32:$N$45,,MATCH($D116,'Landbrugsareal - resultat'!$L$4:$N$4,0)))),IF(H$2=2030,SUMPRODUCT(($B116='Landbrugsareal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29.391284795528069</v>
      </c>
      <c r="I116" s="97" cm="1">
        <f t="array" ref="I116">IF($A116="Vestdanmark",IF($C116="Konventionel",IF(I$2=2019,SUMPRODUCT(($B116='Landbrugsareal - resultat'!$B$5:$B$18)*(INDEX('Landbrugsareal - resultat'!$C$5:$E$18,,MATCH($D116,'Landbrugsareal - resultat'!$C$4:$E$4,0)))),IF(I$2=2030,SUMPRODUCT(($B116='Landbrugsareal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resultat'!$I$4:$K$4,0)))))),IF(I$2=2019,SUMPRODUCT(($B116='Landbrugsareal - resultat'!$B$5:$B$18)*(INDEX('Landbrugsareal - resultat'!$L$5:$N$18,,MATCH($D116,'Landbrugsareal - resultat'!$L$4:$N$4,0)))),IF(I$2=2030,SUMPRODUCT(($B116='Landbrugsareal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resultat'!$R$4:$T$4,0))))))),IF($C116="Konventionel",IF(I$2=2019,SUMPRODUCT((C116='Landbrugsareal - resultat'!$B$32:$B$45)*(INDEX('Landbrugsareal - resultat'!$C$32:$E$45,,MATCH($D116,'Landbrugsareal - resultat'!$C$4:$E$4,0)))),IF(I$2=2030,SUMPRODUCT(($B116='Landbrugsareal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resultat'!$I$4:$K$4,0)))))),IF(I$2=2019,SUMPRODUCT(($B116='Landbrugsareal - resultat'!$B$32:$B$45)*(INDEX('Landbrugsareal - resultat'!$L$32:$N$45,,MATCH($D116,'Landbrugsareal - resultat'!$L$4:$N$4,0)))),IF(I$2=2030,SUMPRODUCT(($B116='Landbrugsareal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28.032150238509427</v>
      </c>
    </row>
    <row r="117" spans="1:9" hidden="1" x14ac:dyDescent="0.55000000000000004">
      <c r="A117" t="s">
        <v>24</v>
      </c>
      <c r="B117" s="1" t="str">
        <f>[1]Afgrødefordeling!$C$4</f>
        <v>Raps</v>
      </c>
      <c r="C117" t="s">
        <v>7</v>
      </c>
      <c r="D117" t="str">
        <f t="shared" si="10"/>
        <v>OC12</v>
      </c>
      <c r="F117" t="str">
        <f t="shared" si="6"/>
        <v>Areal-raps</v>
      </c>
      <c r="G117" s="97" cm="1">
        <f t="array" ref="G117">IF($A117="Vestdanmark",IF($C117="Konventionel",IF(G$2=2019,SUMPRODUCT(($B117='Landbrugsareal - resultat'!$B$5:$B$18)*(INDEX('Landbrugsareal - resultat'!$C$5:$E$18,,MATCH($D117,'Landbrugsareal - resultat'!$C$4:$E$4,0)))),IF(G$2=2030,SUMPRODUCT(($B117='Landbrugsareal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resultat'!$I$4:$K$4,0)))))),IF(G$2=2019,SUMPRODUCT(($B117='Landbrugsareal - resultat'!$B$5:$B$18)*(INDEX('Landbrugsareal - resultat'!$L$5:$N$18,,MATCH($D117,'Landbrugsareal - resultat'!$L$4:$N$4,0)))),IF(G$2=2030,SUMPRODUCT(($B117='Landbrugsareal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resultat'!$R$4:$T$4,0))))))),IF($C117="Konventionel",IF(G$2=2019,SUMPRODUCT((B117='Landbrugsareal - resultat'!$B$32:$B$45)*(INDEX('Landbrugsareal - resultat'!$C$32:$E$45,,MATCH($D117,'Landbrugsareal - resultat'!$C$4:$E$4,0)))),IF(G$2=2030,SUMPRODUCT(($B117='Landbrugsareal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resultat'!$I$4:$K$4,0)))))),IF(G$2=2019,SUMPRODUCT(($B117='Landbrugsareal - resultat'!$B$32:$B$45)*(INDEX('Landbrugsareal - resultat'!$L$32:$N$45,,MATCH($D117,'Landbrugsareal - resultat'!$L$4:$N$4,0)))),IF(G$2=2030,SUMPRODUCT(($B117='Landbrugsareal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157.47648143468331</v>
      </c>
      <c r="H117" s="97" cm="1">
        <f t="array" ref="H117">IF($A117="Vestdanmark",IF($C117="Konventionel",IF(H$2=2019,SUMPRODUCT(($B117='Landbrugsareal - resultat'!$B$5:$B$18)*(INDEX('Landbrugsareal - resultat'!$C$5:$E$18,,MATCH($D117,'Landbrugsareal - resultat'!$C$4:$E$4,0)))),IF(H$2=2030,SUMPRODUCT(($B117='Landbrugsareal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resultat'!$I$4:$K$4,0)))))),IF(H$2=2019,SUMPRODUCT(($B117='Landbrugsareal - resultat'!$B$5:$B$18)*(INDEX('Landbrugsareal - resultat'!$L$5:$N$18,,MATCH($D117,'Landbrugsareal - resultat'!$L$4:$N$4,0)))),IF(H$2=2030,SUMPRODUCT(($B117='Landbrugsareal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resultat'!$R$4:$T$4,0))))))),IF($C117="Konventionel",IF(H$2=2019,SUMPRODUCT(($B117='Landbrugsareal - resultat'!$B$32:$B$45)*(INDEX('Landbrugsareal - resultat'!$C$32:$E$45,,MATCH($D117,'Landbrugsareal - resultat'!$C$4:$E$4,0)))),IF(H$2=2030,SUMPRODUCT(($B117='Landbrugsareal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resultat'!$I$4:$K$4,0)))))),IF(H$2=2019,SUMPRODUCT(($B117='Landbrugsareal - resultat'!$B$32:$B$45)*(INDEX('Landbrugsareal - resultat'!$L$32:$N$45,,MATCH($D117,'Landbrugsareal - resultat'!$L$4:$N$4,0)))),IF(H$2=2030,SUMPRODUCT(($B117='Landbrugsareal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143.56954892119037</v>
      </c>
      <c r="I117" s="97" cm="1">
        <f t="array" ref="I117">IF($A117="Vestdanmark",IF($C117="Konventionel",IF(I$2=2019,SUMPRODUCT(($B117='Landbrugsareal - resultat'!$B$5:$B$18)*(INDEX('Landbrugsareal - resultat'!$C$5:$E$18,,MATCH($D117,'Landbrugsareal - resultat'!$C$4:$E$4,0)))),IF(I$2=2030,SUMPRODUCT(($B117='Landbrugsareal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resultat'!$I$4:$K$4,0)))))),IF(I$2=2019,SUMPRODUCT(($B117='Landbrugsareal - resultat'!$B$5:$B$18)*(INDEX('Landbrugsareal - resultat'!$L$5:$N$18,,MATCH($D117,'Landbrugsareal - resultat'!$L$4:$N$4,0)))),IF(I$2=2030,SUMPRODUCT(($B117='Landbrugsareal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resultat'!$R$4:$T$4,0))))))),IF($C117="Konventionel",IF(I$2=2019,SUMPRODUCT((C117='Landbrugsareal - resultat'!$B$32:$B$45)*(INDEX('Landbrugsareal - resultat'!$C$32:$E$45,,MATCH($D117,'Landbrugsareal - resultat'!$C$4:$E$4,0)))),IF(I$2=2030,SUMPRODUCT(($B117='Landbrugsareal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resultat'!$I$4:$K$4,0)))))),IF(I$2=2019,SUMPRODUCT(($B117='Landbrugsareal - resultat'!$B$32:$B$45)*(INDEX('Landbrugsareal - resultat'!$L$32:$N$45,,MATCH($D117,'Landbrugsareal - resultat'!$L$4:$N$4,0)))),IF(I$2=2030,SUMPRODUCT(($B117='Landbrugsareal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136.93049463581738</v>
      </c>
    </row>
    <row r="118" spans="1:9" hidden="1" x14ac:dyDescent="0.55000000000000004">
      <c r="A118" t="s">
        <v>24</v>
      </c>
      <c r="B118" s="1" t="str">
        <f>[1]Afgrødefordeling!$C$5</f>
        <v>Græs</v>
      </c>
      <c r="C118" t="s">
        <v>7</v>
      </c>
      <c r="D118" t="str">
        <f t="shared" si="10"/>
        <v>OC12</v>
      </c>
      <c r="F118" t="str">
        <f t="shared" si="6"/>
        <v>Areal-græs</v>
      </c>
      <c r="G118" s="97" cm="1">
        <f t="array" ref="G118">IF($A118="Vestdanmark",IF($C118="Konventionel",IF(G$2=2019,SUMPRODUCT(($B118='Landbrugsareal - resultat'!$B$5:$B$18)*(INDEX('Landbrugsareal - resultat'!$C$5:$E$18,,MATCH($D118,'Landbrugsareal - resultat'!$C$4:$E$4,0)))),IF(G$2=2030,SUMPRODUCT(($B118='Landbrugsareal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resultat'!$I$4:$K$4,0)))))),IF(G$2=2019,SUMPRODUCT(($B118='Landbrugsareal - resultat'!$B$5:$B$18)*(INDEX('Landbrugsareal - resultat'!$L$5:$N$18,,MATCH($D118,'Landbrugsareal - resultat'!$L$4:$N$4,0)))),IF(G$2=2030,SUMPRODUCT(($B118='Landbrugsareal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resultat'!$R$4:$T$4,0))))))),IF($C118="Konventionel",IF(G$2=2019,SUMPRODUCT((B118='Landbrugsareal - resultat'!$B$32:$B$45)*(INDEX('Landbrugsareal - resultat'!$C$32:$E$45,,MATCH($D118,'Landbrugsareal - resultat'!$C$4:$E$4,0)))),IF(G$2=2030,SUMPRODUCT(($B118='Landbrugsareal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resultat'!$I$4:$K$4,0)))))),IF(G$2=2019,SUMPRODUCT(($B118='Landbrugsareal - resultat'!$B$32:$B$45)*(INDEX('Landbrugsareal - resultat'!$L$32:$N$45,,MATCH($D118,'Landbrugsareal - resultat'!$L$4:$N$4,0)))),IF(G$2=2030,SUMPRODUCT(($B118='Landbrugsareal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1157.2294466868368</v>
      </c>
      <c r="H118" s="97" cm="1">
        <f t="array" ref="H118">IF($A118="Vestdanmark",IF($C118="Konventionel",IF(H$2=2019,SUMPRODUCT(($B118='Landbrugsareal - resultat'!$B$5:$B$18)*(INDEX('Landbrugsareal - resultat'!$C$5:$E$18,,MATCH($D118,'Landbrugsareal - resultat'!$C$4:$E$4,0)))),IF(H$2=2030,SUMPRODUCT(($B118='Landbrugsareal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resultat'!$I$4:$K$4,0)))))),IF(H$2=2019,SUMPRODUCT(($B118='Landbrugsareal - resultat'!$B$5:$B$18)*(INDEX('Landbrugsareal - resultat'!$L$5:$N$18,,MATCH($D118,'Landbrugsareal - resultat'!$L$4:$N$4,0)))),IF(H$2=2030,SUMPRODUCT(($B118='Landbrugsareal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resultat'!$R$4:$T$4,0))))))),IF($C118="Konventionel",IF(H$2=2019,SUMPRODUCT(($B118='Landbrugsareal - resultat'!$B$32:$B$45)*(INDEX('Landbrugsareal - resultat'!$C$32:$E$45,,MATCH($D118,'Landbrugsareal - resultat'!$C$4:$E$4,0)))),IF(H$2=2030,SUMPRODUCT(($B118='Landbrugsareal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resultat'!$I$4:$K$4,0)))))),IF(H$2=2019,SUMPRODUCT(($B118='Landbrugsareal - resultat'!$B$32:$B$45)*(INDEX('Landbrugsareal - resultat'!$L$32:$N$45,,MATCH($D118,'Landbrugsareal - resultat'!$L$4:$N$4,0)))),IF(H$2=2030,SUMPRODUCT(($B118='Landbrugsareal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1055.0331588914703</v>
      </c>
      <c r="I118" s="97" cm="1">
        <f t="array" ref="I118">IF($A118="Vestdanmark",IF($C118="Konventionel",IF(I$2=2019,SUMPRODUCT(($B118='Landbrugsareal - resultat'!$B$5:$B$18)*(INDEX('Landbrugsareal - resultat'!$C$5:$E$18,,MATCH($D118,'Landbrugsareal - resultat'!$C$4:$E$4,0)))),IF(I$2=2030,SUMPRODUCT(($B118='Landbrugsareal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resultat'!$I$4:$K$4,0)))))),IF(I$2=2019,SUMPRODUCT(($B118='Landbrugsareal - resultat'!$B$5:$B$18)*(INDEX('Landbrugsareal - resultat'!$L$5:$N$18,,MATCH($D118,'Landbrugsareal - resultat'!$L$4:$N$4,0)))),IF(I$2=2030,SUMPRODUCT(($B118='Landbrugsareal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resultat'!$R$4:$T$4,0))))))),IF($C118="Konventionel",IF(I$2=2019,SUMPRODUCT((C118='Landbrugsareal - resultat'!$B$32:$B$45)*(INDEX('Landbrugsareal - resultat'!$C$32:$E$45,,MATCH($D118,'Landbrugsareal - resultat'!$C$4:$E$4,0)))),IF(I$2=2030,SUMPRODUCT(($B118='Landbrugsareal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resultat'!$I$4:$K$4,0)))))),IF(I$2=2019,SUMPRODUCT(($B118='Landbrugsareal - resultat'!$B$32:$B$45)*(INDEX('Landbrugsareal - resultat'!$L$32:$N$45,,MATCH($D118,'Landbrugsareal - resultat'!$L$4:$N$4,0)))),IF(I$2=2030,SUMPRODUCT(($B118='Landbrugsareal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1006.2454983646971</v>
      </c>
    </row>
    <row r="119" spans="1:9" hidden="1" x14ac:dyDescent="0.55000000000000004">
      <c r="A119" t="s">
        <v>24</v>
      </c>
      <c r="B119" s="1" t="str">
        <f>[1]Afgrødefordeling!$C$6</f>
        <v>Grøntsager</v>
      </c>
      <c r="C119" t="s">
        <v>7</v>
      </c>
      <c r="D119" t="str">
        <f t="shared" si="10"/>
        <v>OC12</v>
      </c>
      <c r="F119" t="str">
        <f t="shared" si="6"/>
        <v>Areal-grøntsager</v>
      </c>
      <c r="G119" s="97" cm="1">
        <f t="array" ref="G119">IF($A119="Vestdanmark",IF($C119="Konventionel",IF(G$2=2019,SUMPRODUCT(($B119='Landbrugsareal - resultat'!$B$5:$B$18)*(INDEX('Landbrugsareal - resultat'!$C$5:$E$18,,MATCH($D119,'Landbrugsareal - resultat'!$C$4:$E$4,0)))),IF(G$2=2030,SUMPRODUCT(($B119='Landbrugsareal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resultat'!$I$4:$K$4,0)))))),IF(G$2=2019,SUMPRODUCT(($B119='Landbrugsareal - resultat'!$B$5:$B$18)*(INDEX('Landbrugsareal - resultat'!$L$5:$N$18,,MATCH($D119,'Landbrugsareal - resultat'!$L$4:$N$4,0)))),IF(G$2=2030,SUMPRODUCT(($B119='Landbrugsareal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resultat'!$R$4:$T$4,0))))))),IF($C119="Konventionel",IF(G$2=2019,SUMPRODUCT((B119='Landbrugsareal - resultat'!$B$32:$B$45)*(INDEX('Landbrugsareal - resultat'!$C$32:$E$45,,MATCH($D119,'Landbrugsareal - resultat'!$C$4:$E$4,0)))),IF(G$2=2030,SUMPRODUCT(($B119='Landbrugsareal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resultat'!$I$4:$K$4,0)))))),IF(G$2=2019,SUMPRODUCT(($B119='Landbrugsareal - resultat'!$B$32:$B$45)*(INDEX('Landbrugsareal - resultat'!$L$32:$N$45,,MATCH($D119,'Landbrugsareal - resultat'!$L$4:$N$4,0)))),IF(G$2=2030,SUMPRODUCT(($B119='Landbrugsareal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5.4466148542378683</v>
      </c>
      <c r="H119" s="97" cm="1">
        <f t="array" ref="H119">IF($A119="Vestdanmark",IF($C119="Konventionel",IF(H$2=2019,SUMPRODUCT(($B119='Landbrugsareal - resultat'!$B$5:$B$18)*(INDEX('Landbrugsareal - resultat'!$C$5:$E$18,,MATCH($D119,'Landbrugsareal - resultat'!$C$4:$E$4,0)))),IF(H$2=2030,SUMPRODUCT(($B119='Landbrugsareal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resultat'!$I$4:$K$4,0)))))),IF(H$2=2019,SUMPRODUCT(($B119='Landbrugsareal - resultat'!$B$5:$B$18)*(INDEX('Landbrugsareal - resultat'!$L$5:$N$18,,MATCH($D119,'Landbrugsareal - resultat'!$L$4:$N$4,0)))),IF(H$2=2030,SUMPRODUCT(($B119='Landbrugsareal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resultat'!$R$4:$T$4,0))))))),IF($C119="Konventionel",IF(H$2=2019,SUMPRODUCT(($B119='Landbrugsareal - resultat'!$B$32:$B$45)*(INDEX('Landbrugsareal - resultat'!$C$32:$E$45,,MATCH($D119,'Landbrugsareal - resultat'!$C$4:$E$4,0)))),IF(H$2=2030,SUMPRODUCT(($B119='Landbrugsareal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resultat'!$I$4:$K$4,0)))))),IF(H$2=2019,SUMPRODUCT(($B119='Landbrugsareal - resultat'!$B$32:$B$45)*(INDEX('Landbrugsareal - resultat'!$L$32:$N$45,,MATCH($D119,'Landbrugsareal - resultat'!$L$4:$N$4,0)))),IF(H$2=2030,SUMPRODUCT(($B119='Landbrugsareal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4.9656179173315067</v>
      </c>
      <c r="I119" s="97" cm="1">
        <f t="array" ref="I119">IF($A119="Vestdanmark",IF($C119="Konventionel",IF(I$2=2019,SUMPRODUCT(($B119='Landbrugsareal - resultat'!$B$5:$B$18)*(INDEX('Landbrugsareal - resultat'!$C$5:$E$18,,MATCH($D119,'Landbrugsareal - resultat'!$C$4:$E$4,0)))),IF(I$2=2030,SUMPRODUCT(($B119='Landbrugsareal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resultat'!$I$4:$K$4,0)))))),IF(I$2=2019,SUMPRODUCT(($B119='Landbrugsareal - resultat'!$B$5:$B$18)*(INDEX('Landbrugsareal - resultat'!$L$5:$N$18,,MATCH($D119,'Landbrugsareal - resultat'!$L$4:$N$4,0)))),IF(I$2=2030,SUMPRODUCT(($B119='Landbrugsareal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resultat'!$R$4:$T$4,0))))))),IF($C119="Konventionel",IF(I$2=2019,SUMPRODUCT((C119='Landbrugsareal - resultat'!$B$32:$B$45)*(INDEX('Landbrugsareal - resultat'!$C$32:$E$45,,MATCH($D119,'Landbrugsareal - resultat'!$C$4:$E$4,0)))),IF(I$2=2030,SUMPRODUCT(($B119='Landbrugsareal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resultat'!$I$4:$K$4,0)))))),IF(I$2=2019,SUMPRODUCT(($B119='Landbrugsareal - resultat'!$B$32:$B$45)*(INDEX('Landbrugsareal - resultat'!$L$32:$N$45,,MATCH($D119,'Landbrugsareal - resultat'!$L$4:$N$4,0)))),IF(I$2=2030,SUMPRODUCT(($B119='Landbrugsareal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4.7359939673971017</v>
      </c>
    </row>
    <row r="120" spans="1:9" hidden="1" x14ac:dyDescent="0.55000000000000004">
      <c r="A120" t="s">
        <v>24</v>
      </c>
      <c r="B120" s="1" t="str">
        <f>[1]Afgrødefordeling!$C$7</f>
        <v>Kartofler</v>
      </c>
      <c r="C120" t="s">
        <v>7</v>
      </c>
      <c r="D120" t="str">
        <f t="shared" si="10"/>
        <v>OC12</v>
      </c>
      <c r="F120" t="str">
        <f t="shared" si="6"/>
        <v>Areal-kartofler</v>
      </c>
      <c r="G120" s="97" cm="1">
        <f t="array" ref="G120">IF($A120="Vestdanmark",IF($C120="Konventionel",IF(G$2=2019,SUMPRODUCT(($B120='Landbrugsareal - resultat'!$B$5:$B$18)*(INDEX('Landbrugsareal - resultat'!$C$5:$E$18,,MATCH($D120,'Landbrugsareal - resultat'!$C$4:$E$4,0)))),IF(G$2=2030,SUMPRODUCT(($B120='Landbrugsareal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resultat'!$I$4:$K$4,0)))))),IF(G$2=2019,SUMPRODUCT(($B120='Landbrugsareal - resultat'!$B$5:$B$18)*(INDEX('Landbrugsareal - resultat'!$L$5:$N$18,,MATCH($D120,'Landbrugsareal - resultat'!$L$4:$N$4,0)))),IF(G$2=2030,SUMPRODUCT(($B120='Landbrugsareal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resultat'!$R$4:$T$4,0))))))),IF($C120="Konventionel",IF(G$2=2019,SUMPRODUCT((B120='Landbrugsareal - resultat'!$B$32:$B$45)*(INDEX('Landbrugsareal - resultat'!$C$32:$E$45,,MATCH($D120,'Landbrugsareal - resultat'!$C$4:$E$4,0)))),IF(G$2=2030,SUMPRODUCT(($B120='Landbrugsareal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resultat'!$I$4:$K$4,0)))))),IF(G$2=2019,SUMPRODUCT(($B120='Landbrugsareal - resultat'!$B$32:$B$45)*(INDEX('Landbrugsareal - resultat'!$L$32:$N$45,,MATCH($D120,'Landbrugsareal - resultat'!$L$4:$N$4,0)))),IF(G$2=2030,SUMPRODUCT(($B120='Landbrugsareal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31.045054930295858</v>
      </c>
      <c r="H120" s="97" cm="1">
        <f t="array" ref="H120">IF($A120="Vestdanmark",IF($C120="Konventionel",IF(H$2=2019,SUMPRODUCT(($B120='Landbrugsareal - resultat'!$B$5:$B$18)*(INDEX('Landbrugsareal - resultat'!$C$5:$E$18,,MATCH($D120,'Landbrugsareal - resultat'!$C$4:$E$4,0)))),IF(H$2=2030,SUMPRODUCT(($B120='Landbrugsareal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resultat'!$I$4:$K$4,0)))))),IF(H$2=2019,SUMPRODUCT(($B120='Landbrugsareal - resultat'!$B$5:$B$18)*(INDEX('Landbrugsareal - resultat'!$L$5:$N$18,,MATCH($D120,'Landbrugsareal - resultat'!$L$4:$N$4,0)))),IF(H$2=2030,SUMPRODUCT(($B120='Landbrugsareal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resultat'!$R$4:$T$4,0))))))),IF($C120="Konventionel",IF(H$2=2019,SUMPRODUCT(($B120='Landbrugsareal - resultat'!$B$32:$B$45)*(INDEX('Landbrugsareal - resultat'!$C$32:$E$45,,MATCH($D120,'Landbrugsareal - resultat'!$C$4:$E$4,0)))),IF(H$2=2030,SUMPRODUCT(($B120='Landbrugsareal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resultat'!$I$4:$K$4,0)))))),IF(H$2=2019,SUMPRODUCT(($B120='Landbrugsareal - resultat'!$B$32:$B$45)*(INDEX('Landbrugsareal - resultat'!$L$32:$N$45,,MATCH($D120,'Landbrugsareal - resultat'!$L$4:$N$4,0)))),IF(H$2=2030,SUMPRODUCT(($B120='Landbrugsareal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28.303429769129298</v>
      </c>
      <c r="I120" s="97" cm="1">
        <f t="array" ref="I120">IF($A120="Vestdanmark",IF($C120="Konventionel",IF(I$2=2019,SUMPRODUCT(($B120='Landbrugsareal - resultat'!$B$5:$B$18)*(INDEX('Landbrugsareal - resultat'!$C$5:$E$18,,MATCH($D120,'Landbrugsareal - resultat'!$C$4:$E$4,0)))),IF(I$2=2030,SUMPRODUCT(($B120='Landbrugsareal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resultat'!$I$4:$K$4,0)))))),IF(I$2=2019,SUMPRODUCT(($B120='Landbrugsareal - resultat'!$B$5:$B$18)*(INDEX('Landbrugsareal - resultat'!$L$5:$N$18,,MATCH($D120,'Landbrugsareal - resultat'!$L$4:$N$4,0)))),IF(I$2=2030,SUMPRODUCT(($B120='Landbrugsareal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resultat'!$R$4:$T$4,0))))))),IF($C120="Konventionel",IF(I$2=2019,SUMPRODUCT((C120='Landbrugsareal - resultat'!$B$32:$B$45)*(INDEX('Landbrugsareal - resultat'!$C$32:$E$45,,MATCH($D120,'Landbrugsareal - resultat'!$C$4:$E$4,0)))),IF(I$2=2030,SUMPRODUCT(($B120='Landbrugsareal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resultat'!$I$4:$K$4,0)))))),IF(I$2=2019,SUMPRODUCT(($B120='Landbrugsareal - resultat'!$B$32:$B$45)*(INDEX('Landbrugsareal - resultat'!$L$32:$N$45,,MATCH($D120,'Landbrugsareal - resultat'!$L$4:$N$4,0)))),IF(I$2=2030,SUMPRODUCT(($B120='Landbrugsareal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26.994600646857421</v>
      </c>
    </row>
    <row r="121" spans="1:9" hidden="1" x14ac:dyDescent="0.55000000000000004">
      <c r="A121" t="s">
        <v>24</v>
      </c>
      <c r="B121" s="1" t="str">
        <f>[1]Afgrødefordeling!$C$8</f>
        <v>Roer</v>
      </c>
      <c r="C121" t="s">
        <v>7</v>
      </c>
      <c r="D121" t="str">
        <f t="shared" si="10"/>
        <v>OC12</v>
      </c>
      <c r="F121" t="str">
        <f t="shared" si="6"/>
        <v>Areal-roer</v>
      </c>
      <c r="G121" s="97" cm="1">
        <f t="array" ref="G121">IF($A121="Vestdanmark",IF($C121="Konventionel",IF(G$2=2019,SUMPRODUCT(($B121='Landbrugsareal - resultat'!$B$5:$B$18)*(INDEX('Landbrugsareal - resultat'!$C$5:$E$18,,MATCH($D121,'Landbrugsareal - resultat'!$C$4:$E$4,0)))),IF(G$2=2030,SUMPRODUCT(($B121='Landbrugsareal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resultat'!$I$4:$K$4,0)))))),IF(G$2=2019,SUMPRODUCT(($B121='Landbrugsareal - resultat'!$B$5:$B$18)*(INDEX('Landbrugsareal - resultat'!$L$5:$N$18,,MATCH($D121,'Landbrugsareal - resultat'!$L$4:$N$4,0)))),IF(G$2=2030,SUMPRODUCT(($B121='Landbrugsareal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resultat'!$R$4:$T$4,0))))))),IF($C121="Konventionel",IF(G$2=2019,SUMPRODUCT((B121='Landbrugsareal - resultat'!$B$32:$B$45)*(INDEX('Landbrugsareal - resultat'!$C$32:$E$45,,MATCH($D121,'Landbrugsareal - resultat'!$C$4:$E$4,0)))),IF(G$2=2030,SUMPRODUCT(($B121='Landbrugsareal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resultat'!$I$4:$K$4,0)))))),IF(G$2=2019,SUMPRODUCT(($B121='Landbrugsareal - resultat'!$B$32:$B$45)*(INDEX('Landbrugsareal - resultat'!$L$32:$N$45,,MATCH($D121,'Landbrugsareal - resultat'!$L$4:$N$4,0)))),IF(G$2=2030,SUMPRODUCT(($B121='Landbrugsareal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35.751038145066026</v>
      </c>
      <c r="H121" s="97" cm="1">
        <f t="array" ref="H121">IF($A121="Vestdanmark",IF($C121="Konventionel",IF(H$2=2019,SUMPRODUCT(($B121='Landbrugsareal - resultat'!$B$5:$B$18)*(INDEX('Landbrugsareal - resultat'!$C$5:$E$18,,MATCH($D121,'Landbrugsareal - resultat'!$C$4:$E$4,0)))),IF(H$2=2030,SUMPRODUCT(($B121='Landbrugsareal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resultat'!$I$4:$K$4,0)))))),IF(H$2=2019,SUMPRODUCT(($B121='Landbrugsareal - resultat'!$B$5:$B$18)*(INDEX('Landbrugsareal - resultat'!$L$5:$N$18,,MATCH($D121,'Landbrugsareal - resultat'!$L$4:$N$4,0)))),IF(H$2=2030,SUMPRODUCT(($B121='Landbrugsareal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resultat'!$R$4:$T$4,0))))))),IF($C121="Konventionel",IF(H$2=2019,SUMPRODUCT(($B121='Landbrugsareal - resultat'!$B$32:$B$45)*(INDEX('Landbrugsareal - resultat'!$C$32:$E$45,,MATCH($D121,'Landbrugsareal - resultat'!$C$4:$E$4,0)))),IF(H$2=2030,SUMPRODUCT(($B121='Landbrugsareal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resultat'!$I$4:$K$4,0)))))),IF(H$2=2019,SUMPRODUCT(($B121='Landbrugsareal - resultat'!$B$32:$B$45)*(INDEX('Landbrugsareal - resultat'!$L$32:$N$45,,MATCH($D121,'Landbrugsareal - resultat'!$L$4:$N$4,0)))),IF(H$2=2030,SUMPRODUCT(($B121='Landbrugsareal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32.593822094509534</v>
      </c>
      <c r="I121" s="97" cm="1">
        <f t="array" ref="I121">IF($A121="Vestdanmark",IF($C121="Konventionel",IF(I$2=2019,SUMPRODUCT(($B121='Landbrugsareal - resultat'!$B$5:$B$18)*(INDEX('Landbrugsareal - resultat'!$C$5:$E$18,,MATCH($D121,'Landbrugsareal - resultat'!$C$4:$E$4,0)))),IF(I$2=2030,SUMPRODUCT(($B121='Landbrugsareal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resultat'!$I$4:$K$4,0)))))),IF(I$2=2019,SUMPRODUCT(($B121='Landbrugsareal - resultat'!$B$5:$B$18)*(INDEX('Landbrugsareal - resultat'!$L$5:$N$18,,MATCH($D121,'Landbrugsareal - resultat'!$L$4:$N$4,0)))),IF(I$2=2030,SUMPRODUCT(($B121='Landbrugsareal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resultat'!$R$4:$T$4,0))))))),IF($C121="Konventionel",IF(I$2=2019,SUMPRODUCT((C121='Landbrugsareal - resultat'!$B$32:$B$45)*(INDEX('Landbrugsareal - resultat'!$C$32:$E$45,,MATCH($D121,'Landbrugsareal - resultat'!$C$4:$E$4,0)))),IF(I$2=2030,SUMPRODUCT(($B121='Landbrugsareal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resultat'!$I$4:$K$4,0)))))),IF(I$2=2019,SUMPRODUCT(($B121='Landbrugsareal - resultat'!$B$32:$B$45)*(INDEX('Landbrugsareal - resultat'!$L$32:$N$45,,MATCH($D121,'Landbrugsareal - resultat'!$L$4:$N$4,0)))),IF(I$2=2030,SUMPRODUCT(($B121='Landbrugsareal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31.086593327133372</v>
      </c>
    </row>
    <row r="122" spans="1:9" hidden="1" x14ac:dyDescent="0.55000000000000004">
      <c r="A122" t="s">
        <v>24</v>
      </c>
      <c r="B122" s="1" t="str">
        <f>[1]Afgrødefordeling!$C$9</f>
        <v>Majs</v>
      </c>
      <c r="C122" t="s">
        <v>7</v>
      </c>
      <c r="D122" t="str">
        <f t="shared" si="10"/>
        <v>OC12</v>
      </c>
      <c r="F122" t="str">
        <f t="shared" si="6"/>
        <v>Areal-majs</v>
      </c>
      <c r="G122" s="97" cm="1">
        <f t="array" ref="G122">IF($A122="Vestdanmark",IF($C122="Konventionel",IF(G$2=2019,SUMPRODUCT(($B122='Landbrugsareal - resultat'!$B$5:$B$18)*(INDEX('Landbrugsareal - resultat'!$C$5:$E$18,,MATCH($D122,'Landbrugsareal - resultat'!$C$4:$E$4,0)))),IF(G$2=2030,SUMPRODUCT(($B122='Landbrugsareal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resultat'!$I$4:$K$4,0)))))),IF(G$2=2019,SUMPRODUCT(($B122='Landbrugsareal - resultat'!$B$5:$B$18)*(INDEX('Landbrugsareal - resultat'!$L$5:$N$18,,MATCH($D122,'Landbrugsareal - resultat'!$L$4:$N$4,0)))),IF(G$2=2030,SUMPRODUCT(($B122='Landbrugsareal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resultat'!$R$4:$T$4,0))))))),IF($C122="Konventionel",IF(G$2=2019,SUMPRODUCT((B122='Landbrugsareal - resultat'!$B$32:$B$45)*(INDEX('Landbrugsareal - resultat'!$C$32:$E$45,,MATCH($D122,'Landbrugsareal - resultat'!$C$4:$E$4,0)))),IF(G$2=2030,SUMPRODUCT(($B122='Landbrugsareal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resultat'!$I$4:$K$4,0)))))),IF(G$2=2019,SUMPRODUCT(($B122='Landbrugsareal - resultat'!$B$32:$B$45)*(INDEX('Landbrugsareal - resultat'!$L$32:$N$45,,MATCH($D122,'Landbrugsareal - resultat'!$L$4:$N$4,0)))),IF(G$2=2030,SUMPRODUCT(($B122='Landbrugsareal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36.720874835279488</v>
      </c>
      <c r="H122" s="97" cm="1">
        <f t="array" ref="H122">IF($A122="Vestdanmark",IF($C122="Konventionel",IF(H$2=2019,SUMPRODUCT(($B122='Landbrugsareal - resultat'!$B$5:$B$18)*(INDEX('Landbrugsareal - resultat'!$C$5:$E$18,,MATCH($D122,'Landbrugsareal - resultat'!$C$4:$E$4,0)))),IF(H$2=2030,SUMPRODUCT(($B122='Landbrugsareal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resultat'!$I$4:$K$4,0)))))),IF(H$2=2019,SUMPRODUCT(($B122='Landbrugsareal - resultat'!$B$5:$B$18)*(INDEX('Landbrugsareal - resultat'!$L$5:$N$18,,MATCH($D122,'Landbrugsareal - resultat'!$L$4:$N$4,0)))),IF(H$2=2030,SUMPRODUCT(($B122='Landbrugsareal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resultat'!$R$4:$T$4,0))))))),IF($C122="Konventionel",IF(H$2=2019,SUMPRODUCT(($B122='Landbrugsareal - resultat'!$B$32:$B$45)*(INDEX('Landbrugsareal - resultat'!$C$32:$E$45,,MATCH($D122,'Landbrugsareal - resultat'!$C$4:$E$4,0)))),IF(H$2=2030,SUMPRODUCT(($B122='Landbrugsareal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resultat'!$I$4:$K$4,0)))))),IF(H$2=2019,SUMPRODUCT(($B122='Landbrugsareal - resultat'!$B$32:$B$45)*(INDEX('Landbrugsareal - resultat'!$L$32:$N$45,,MATCH($D122,'Landbrugsareal - resultat'!$L$4:$N$4,0)))),IF(H$2=2030,SUMPRODUCT(($B122='Landbrugsareal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33.478011370728012</v>
      </c>
      <c r="I122" s="97" cm="1">
        <f t="array" ref="I122">IF($A122="Vestdanmark",IF($C122="Konventionel",IF(I$2=2019,SUMPRODUCT(($B122='Landbrugsareal - resultat'!$B$5:$B$18)*(INDEX('Landbrugsareal - resultat'!$C$5:$E$18,,MATCH($D122,'Landbrugsareal - resultat'!$C$4:$E$4,0)))),IF(I$2=2030,SUMPRODUCT(($B122='Landbrugsareal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resultat'!$I$4:$K$4,0)))))),IF(I$2=2019,SUMPRODUCT(($B122='Landbrugsareal - resultat'!$B$5:$B$18)*(INDEX('Landbrugsareal - resultat'!$L$5:$N$18,,MATCH($D122,'Landbrugsareal - resultat'!$L$4:$N$4,0)))),IF(I$2=2030,SUMPRODUCT(($B122='Landbrugsareal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resultat'!$R$4:$T$4,0))))))),IF($C122="Konventionel",IF(I$2=2019,SUMPRODUCT((C122='Landbrugsareal - resultat'!$B$32:$B$45)*(INDEX('Landbrugsareal - resultat'!$C$32:$E$45,,MATCH($D122,'Landbrugsareal - resultat'!$C$4:$E$4,0)))),IF(I$2=2030,SUMPRODUCT(($B122='Landbrugsareal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resultat'!$I$4:$K$4,0)))))),IF(I$2=2019,SUMPRODUCT(($B122='Landbrugsareal - resultat'!$B$32:$B$45)*(INDEX('Landbrugsareal - resultat'!$L$32:$N$45,,MATCH($D122,'Landbrugsareal - resultat'!$L$4:$N$4,0)))),IF(I$2=2030,SUMPRODUCT(($B122='Landbrugsareal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31.92989523797759</v>
      </c>
    </row>
    <row r="123" spans="1:9" hidden="1" x14ac:dyDescent="0.55000000000000004">
      <c r="A123" t="s">
        <v>24</v>
      </c>
      <c r="B123" s="1" t="str">
        <f>[1]Afgrødefordeling!$C$10</f>
        <v>Frugt</v>
      </c>
      <c r="C123" t="s">
        <v>7</v>
      </c>
      <c r="D123" t="str">
        <f t="shared" si="10"/>
        <v>OC12</v>
      </c>
      <c r="F123" t="str">
        <f t="shared" si="6"/>
        <v>Areal-frugt</v>
      </c>
      <c r="G123" s="97" cm="1">
        <f t="array" ref="G123">IF($A123="Vestdanmark",IF($C123="Konventionel",IF(G$2=2019,SUMPRODUCT(($B123='Landbrugsareal - resultat'!$B$5:$B$18)*(INDEX('Landbrugsareal - resultat'!$C$5:$E$18,,MATCH($D123,'Landbrugsareal - resultat'!$C$4:$E$4,0)))),IF(G$2=2030,SUMPRODUCT(($B123='Landbrugsareal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resultat'!$I$4:$K$4,0)))))),IF(G$2=2019,SUMPRODUCT(($B123='Landbrugsareal - resultat'!$B$5:$B$18)*(INDEX('Landbrugsareal - resultat'!$L$5:$N$18,,MATCH($D123,'Landbrugsareal - resultat'!$L$4:$N$4,0)))),IF(G$2=2030,SUMPRODUCT(($B123='Landbrugsareal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resultat'!$R$4:$T$4,0))))))),IF($C123="Konventionel",IF(G$2=2019,SUMPRODUCT((B123='Landbrugsareal - resultat'!$B$32:$B$45)*(INDEX('Landbrugsareal - resultat'!$C$32:$E$45,,MATCH($D123,'Landbrugsareal - resultat'!$C$4:$E$4,0)))),IF(G$2=2030,SUMPRODUCT(($B123='Landbrugsareal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resultat'!$I$4:$K$4,0)))))),IF(G$2=2019,SUMPRODUCT(($B123='Landbrugsareal - resultat'!$B$32:$B$45)*(INDEX('Landbrugsareal - resultat'!$L$32:$N$45,,MATCH($D123,'Landbrugsareal - resultat'!$L$4:$N$4,0)))),IF(G$2=2030,SUMPRODUCT(($B123='Landbrugsareal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13.325104800010324</v>
      </c>
      <c r="H123" s="97" cm="1">
        <f t="array" ref="H123">IF($A123="Vestdanmark",IF($C123="Konventionel",IF(H$2=2019,SUMPRODUCT(($B123='Landbrugsareal - resultat'!$B$5:$B$18)*(INDEX('Landbrugsareal - resultat'!$C$5:$E$18,,MATCH($D123,'Landbrugsareal - resultat'!$C$4:$E$4,0)))),IF(H$2=2030,SUMPRODUCT(($B123='Landbrugsareal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resultat'!$I$4:$K$4,0)))))),IF(H$2=2019,SUMPRODUCT(($B123='Landbrugsareal - resultat'!$B$5:$B$18)*(INDEX('Landbrugsareal - resultat'!$L$5:$N$18,,MATCH($D123,'Landbrugsareal - resultat'!$L$4:$N$4,0)))),IF(H$2=2030,SUMPRODUCT(($B123='Landbrugsareal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resultat'!$R$4:$T$4,0))))))),IF($C123="Konventionel",IF(H$2=2019,SUMPRODUCT(($B123='Landbrugsareal - resultat'!$B$32:$B$45)*(INDEX('Landbrugsareal - resultat'!$C$32:$E$45,,MATCH($D123,'Landbrugsareal - resultat'!$C$4:$E$4,0)))),IF(H$2=2030,SUMPRODUCT(($B123='Landbrugsareal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resultat'!$I$4:$K$4,0)))))),IF(H$2=2019,SUMPRODUCT(($B123='Landbrugsareal - resultat'!$B$32:$B$45)*(INDEX('Landbrugsareal - resultat'!$L$32:$N$45,,MATCH($D123,'Landbrugsareal - resultat'!$L$4:$N$4,0)))),IF(H$2=2030,SUMPRODUCT(($B123='Landbrugsareal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12.148349188628277</v>
      </c>
      <c r="I123" s="97" cm="1">
        <f t="array" ref="I123">IF($A123="Vestdanmark",IF($C123="Konventionel",IF(I$2=2019,SUMPRODUCT(($B123='Landbrugsareal - resultat'!$B$5:$B$18)*(INDEX('Landbrugsareal - resultat'!$C$5:$E$18,,MATCH($D123,'Landbrugsareal - resultat'!$C$4:$E$4,0)))),IF(I$2=2030,SUMPRODUCT(($B123='Landbrugsareal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resultat'!$I$4:$K$4,0)))))),IF(I$2=2019,SUMPRODUCT(($B123='Landbrugsareal - resultat'!$B$5:$B$18)*(INDEX('Landbrugsareal - resultat'!$L$5:$N$18,,MATCH($D123,'Landbrugsareal - resultat'!$L$4:$N$4,0)))),IF(I$2=2030,SUMPRODUCT(($B123='Landbrugsareal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resultat'!$R$4:$T$4,0))))))),IF($C123="Konventionel",IF(I$2=2019,SUMPRODUCT((C123='Landbrugsareal - resultat'!$B$32:$B$45)*(INDEX('Landbrugsareal - resultat'!$C$32:$E$45,,MATCH($D123,'Landbrugsareal - resultat'!$C$4:$E$4,0)))),IF(I$2=2030,SUMPRODUCT(($B123='Landbrugsareal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resultat'!$I$4:$K$4,0)))))),IF(I$2=2019,SUMPRODUCT(($B123='Landbrugsareal - resultat'!$B$32:$B$45)*(INDEX('Landbrugsareal - resultat'!$L$32:$N$45,,MATCH($D123,'Landbrugsareal - resultat'!$L$4:$N$4,0)))),IF(I$2=2030,SUMPRODUCT(($B123='Landbrugsareal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11.586575815743734</v>
      </c>
    </row>
    <row r="124" spans="1:9" hidden="1" x14ac:dyDescent="0.55000000000000004">
      <c r="A124" t="s">
        <v>24</v>
      </c>
      <c r="B124" s="1" t="str">
        <f>[1]Afgrødefordeling!$C$11</f>
        <v>Øvrige</v>
      </c>
      <c r="C124" t="s">
        <v>7</v>
      </c>
      <c r="D124" t="str">
        <f t="shared" si="10"/>
        <v>OC12</v>
      </c>
      <c r="F124" t="str">
        <f t="shared" si="6"/>
        <v>Areal-øvrige</v>
      </c>
      <c r="G124" s="97" cm="1">
        <f t="array" ref="G124">IF($A124="Vestdanmark",IF($C124="Konventionel",IF(G$2=2019,SUMPRODUCT(($B124='Landbrugsareal - resultat'!$B$5:$B$18)*(INDEX('Landbrugsareal - resultat'!$C$5:$E$18,,MATCH($D124,'Landbrugsareal - resultat'!$C$4:$E$4,0)))),IF(G$2=2030,SUMPRODUCT(($B124='Landbrugsareal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resultat'!$I$4:$K$4,0)))))),IF(G$2=2019,SUMPRODUCT(($B124='Landbrugsareal - resultat'!$B$5:$B$18)*(INDEX('Landbrugsareal - resultat'!$L$5:$N$18,,MATCH($D124,'Landbrugsareal - resultat'!$L$4:$N$4,0)))),IF(G$2=2030,SUMPRODUCT(($B124='Landbrugsareal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resultat'!$R$4:$T$4,0))))))),IF($C124="Konventionel",IF(G$2=2019,SUMPRODUCT((B124='Landbrugsareal - resultat'!$B$32:$B$45)*(INDEX('Landbrugsareal - resultat'!$C$32:$E$45,,MATCH($D124,'Landbrugsareal - resultat'!$C$4:$E$4,0)))),IF(G$2=2030,SUMPRODUCT(($B124='Landbrugsareal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resultat'!$I$4:$K$4,0)))))),IF(G$2=2019,SUMPRODUCT(($B124='Landbrugsareal - resultat'!$B$32:$B$45)*(INDEX('Landbrugsareal - resultat'!$L$32:$N$45,,MATCH($D124,'Landbrugsareal - resultat'!$L$4:$N$4,0)))),IF(G$2=2030,SUMPRODUCT(($B124='Landbrugsareal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95.147711103802934</v>
      </c>
      <c r="H124" s="97" cm="1">
        <f t="array" ref="H124">IF($A124="Vestdanmark",IF($C124="Konventionel",IF(H$2=2019,SUMPRODUCT(($B124='Landbrugsareal - resultat'!$B$5:$B$18)*(INDEX('Landbrugsareal - resultat'!$C$5:$E$18,,MATCH($D124,'Landbrugsareal - resultat'!$C$4:$E$4,0)))),IF(H$2=2030,SUMPRODUCT(($B124='Landbrugsareal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resultat'!$I$4:$K$4,0)))))),IF(H$2=2019,SUMPRODUCT(($B124='Landbrugsareal - resultat'!$B$5:$B$18)*(INDEX('Landbrugsareal - resultat'!$L$5:$N$18,,MATCH($D124,'Landbrugsareal - resultat'!$L$4:$N$4,0)))),IF(H$2=2030,SUMPRODUCT(($B124='Landbrugsareal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resultat'!$R$4:$T$4,0))))))),IF($C124="Konventionel",IF(H$2=2019,SUMPRODUCT(($B124='Landbrugsareal - resultat'!$B$32:$B$45)*(INDEX('Landbrugsareal - resultat'!$C$32:$E$45,,MATCH($D124,'Landbrugsareal - resultat'!$C$4:$E$4,0)))),IF(H$2=2030,SUMPRODUCT(($B124='Landbrugsareal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resultat'!$I$4:$K$4,0)))))),IF(H$2=2019,SUMPRODUCT(($B124='Landbrugsareal - resultat'!$B$32:$B$45)*(INDEX('Landbrugsareal - resultat'!$L$32:$N$45,,MATCH($D124,'Landbrugsareal - resultat'!$L$4:$N$4,0)))),IF(H$2=2030,SUMPRODUCT(($B124='Landbrugsareal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86.745105298295798</v>
      </c>
      <c r="I124" s="97" cm="1">
        <f t="array" ref="I124">IF($A124="Vestdanmark",IF($C124="Konventionel",IF(I$2=2019,SUMPRODUCT(($B124='Landbrugsareal - resultat'!$B$5:$B$18)*(INDEX('Landbrugsareal - resultat'!$C$5:$E$18,,MATCH($D124,'Landbrugsareal - resultat'!$C$4:$E$4,0)))),IF(I$2=2030,SUMPRODUCT(($B124='Landbrugsareal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resultat'!$I$4:$K$4,0)))))),IF(I$2=2019,SUMPRODUCT(($B124='Landbrugsareal - resultat'!$B$5:$B$18)*(INDEX('Landbrugsareal - resultat'!$L$5:$N$18,,MATCH($D124,'Landbrugsareal - resultat'!$L$4:$N$4,0)))),IF(I$2=2030,SUMPRODUCT(($B124='Landbrugsareal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resultat'!$R$4:$T$4,0))))))),IF($C124="Konventionel",IF(I$2=2019,SUMPRODUCT((C124='Landbrugsareal - resultat'!$B$32:$B$45)*(INDEX('Landbrugsareal - resultat'!$C$32:$E$45,,MATCH($D124,'Landbrugsareal - resultat'!$C$4:$E$4,0)))),IF(I$2=2030,SUMPRODUCT(($B124='Landbrugsareal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resultat'!$I$4:$K$4,0)))))),IF(I$2=2019,SUMPRODUCT(($B124='Landbrugsareal - resultat'!$B$32:$B$45)*(INDEX('Landbrugsareal - resultat'!$L$32:$N$45,,MATCH($D124,'Landbrugsareal - resultat'!$L$4:$N$4,0)))),IF(I$2=2030,SUMPRODUCT(($B124='Landbrugsareal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82.733770949241659</v>
      </c>
    </row>
    <row r="125" spans="1:9" hidden="1" x14ac:dyDescent="0.55000000000000004">
      <c r="A125" t="s">
        <v>24</v>
      </c>
      <c r="B125" s="1" t="str">
        <f>[1]Afgrødefordeling!$C$12</f>
        <v>Frø</v>
      </c>
      <c r="C125" t="s">
        <v>7</v>
      </c>
      <c r="D125" t="str">
        <f t="shared" si="10"/>
        <v>OC12</v>
      </c>
      <c r="F125" t="str">
        <f t="shared" si="6"/>
        <v>Areal-frøgræs</v>
      </c>
      <c r="G125" s="97" cm="1">
        <f t="array" ref="G125">IF($A125="Vestdanmark",IF($C125="Konventionel",IF(G$2=2019,SUMPRODUCT(($B125='Landbrugsareal - resultat'!$B$5:$B$18)*(INDEX('Landbrugsareal - resultat'!$C$5:$E$18,,MATCH($D125,'Landbrugsareal - resultat'!$C$4:$E$4,0)))),IF(G$2=2030,SUMPRODUCT(($B125='Landbrugsareal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resultat'!$I$4:$K$4,0)))))),IF(G$2=2019,SUMPRODUCT(($B125='Landbrugsareal - resultat'!$B$5:$B$18)*(INDEX('Landbrugsareal - resultat'!$L$5:$N$18,,MATCH($D125,'Landbrugsareal - resultat'!$L$4:$N$4,0)))),IF(G$2=2030,SUMPRODUCT(($B125='Landbrugsareal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resultat'!$R$4:$T$4,0))))))),IF($C125="Konventionel",IF(G$2=2019,SUMPRODUCT((B125='Landbrugsareal - resultat'!$B$32:$B$45)*(INDEX('Landbrugsareal - resultat'!$C$32:$E$45,,MATCH($D125,'Landbrugsareal - resultat'!$C$4:$E$4,0)))),IF(G$2=2030,SUMPRODUCT(($B125='Landbrugsareal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resultat'!$I$4:$K$4,0)))))),IF(G$2=2019,SUMPRODUCT(($B125='Landbrugsareal - resultat'!$B$32:$B$45)*(INDEX('Landbrugsareal - resultat'!$L$32:$N$45,,MATCH($D125,'Landbrugsareal - resultat'!$L$4:$N$4,0)))),IF(G$2=2030,SUMPRODUCT(($B125='Landbrugsareal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890.40917113569958</v>
      </c>
      <c r="H125" s="97" cm="1">
        <f t="array" ref="H125">IF($A125="Vestdanmark",IF($C125="Konventionel",IF(H$2=2019,SUMPRODUCT(($B125='Landbrugsareal - resultat'!$B$5:$B$18)*(INDEX('Landbrugsareal - resultat'!$C$5:$E$18,,MATCH($D125,'Landbrugsareal - resultat'!$C$4:$E$4,0)))),IF(H$2=2030,SUMPRODUCT(($B125='Landbrugsareal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resultat'!$I$4:$K$4,0)))))),IF(H$2=2019,SUMPRODUCT(($B125='Landbrugsareal - resultat'!$B$5:$B$18)*(INDEX('Landbrugsareal - resultat'!$L$5:$N$18,,MATCH($D125,'Landbrugsareal - resultat'!$L$4:$N$4,0)))),IF(H$2=2030,SUMPRODUCT(($B125='Landbrugsareal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resultat'!$R$4:$T$4,0))))))),IF($C125="Konventionel",IF(H$2=2019,SUMPRODUCT(($B125='Landbrugsareal - resultat'!$B$32:$B$45)*(INDEX('Landbrugsareal - resultat'!$C$32:$E$45,,MATCH($D125,'Landbrugsareal - resultat'!$C$4:$E$4,0)))),IF(H$2=2030,SUMPRODUCT(($B125='Landbrugsareal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resultat'!$I$4:$K$4,0)))))),IF(H$2=2019,SUMPRODUCT(($B125='Landbrugsareal - resultat'!$B$32:$B$45)*(INDEX('Landbrugsareal - resultat'!$L$32:$N$45,,MATCH($D125,'Landbrugsareal - resultat'!$L$4:$N$4,0)))),IF(H$2=2030,SUMPRODUCT(($B125='Landbrugsareal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811.77609437677165</v>
      </c>
      <c r="I125" s="97" cm="1">
        <f t="array" ref="I125">IF($A125="Vestdanmark",IF($C125="Konventionel",IF(I$2=2019,SUMPRODUCT(($B125='Landbrugsareal - resultat'!$B$5:$B$18)*(INDEX('Landbrugsareal - resultat'!$C$5:$E$18,,MATCH($D125,'Landbrugsareal - resultat'!$C$4:$E$4,0)))),IF(I$2=2030,SUMPRODUCT(($B125='Landbrugsareal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resultat'!$I$4:$K$4,0)))))),IF(I$2=2019,SUMPRODUCT(($B125='Landbrugsareal - resultat'!$B$5:$B$18)*(INDEX('Landbrugsareal - resultat'!$L$5:$N$18,,MATCH($D125,'Landbrugsareal - resultat'!$L$4:$N$4,0)))),IF(I$2=2030,SUMPRODUCT(($B125='Landbrugsareal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resultat'!$R$4:$T$4,0))))))),IF($C125="Konventionel",IF(I$2=2019,SUMPRODUCT((C125='Landbrugsareal - resultat'!$B$32:$B$45)*(INDEX('Landbrugsareal - resultat'!$C$32:$E$45,,MATCH($D125,'Landbrugsareal - resultat'!$C$4:$E$4,0)))),IF(I$2=2030,SUMPRODUCT(($B125='Landbrugsareal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resultat'!$I$4:$K$4,0)))))),IF(I$2=2019,SUMPRODUCT(($B125='Landbrugsareal - resultat'!$B$32:$B$45)*(INDEX('Landbrugsareal - resultat'!$L$32:$N$45,,MATCH($D125,'Landbrugsareal - resultat'!$L$4:$N$4,0)))),IF(I$2=2030,SUMPRODUCT(($B125='Landbrugsareal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774.23731544605391</v>
      </c>
    </row>
    <row r="126" spans="1:9" hidden="1" x14ac:dyDescent="0.55000000000000004">
      <c r="A126" t="s">
        <v>24</v>
      </c>
      <c r="B126" s="1" t="str">
        <f>[1]Afgrødefordeling!$C$13</f>
        <v>Juletræer</v>
      </c>
      <c r="C126" t="s">
        <v>7</v>
      </c>
      <c r="D126" t="str">
        <f t="shared" si="10"/>
        <v>OC12</v>
      </c>
      <c r="F126" t="str">
        <f t="shared" si="6"/>
        <v>Areal-juletræer</v>
      </c>
      <c r="G126" s="97" cm="1">
        <f t="array" ref="G126">IF($A126="Vestdanmark",IF($C126="Konventionel",IF(G$2=2019,SUMPRODUCT(($B126='Landbrugsareal - resultat'!$B$5:$B$18)*(INDEX('Landbrugsareal - resultat'!$C$5:$E$18,,MATCH($D126,'Landbrugsareal - resultat'!$C$4:$E$4,0)))),IF(G$2=2030,SUMPRODUCT(($B126='Landbrugsareal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resultat'!$I$4:$K$4,0)))))),IF(G$2=2019,SUMPRODUCT(($B126='Landbrugsareal - resultat'!$B$5:$B$18)*(INDEX('Landbrugsareal - resultat'!$L$5:$N$18,,MATCH($D126,'Landbrugsareal - resultat'!$L$4:$N$4,0)))),IF(G$2=2030,SUMPRODUCT(($B126='Landbrugsareal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resultat'!$R$4:$T$4,0))))))),IF($C126="Konventionel",IF(G$2=2019,SUMPRODUCT((B126='Landbrugsareal - resultat'!$B$32:$B$45)*(INDEX('Landbrugsareal - resultat'!$C$32:$E$45,,MATCH($D126,'Landbrugsareal - resultat'!$C$4:$E$4,0)))),IF(G$2=2030,SUMPRODUCT(($B126='Landbrugsareal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resultat'!$I$4:$K$4,0)))))),IF(G$2=2019,SUMPRODUCT(($B126='Landbrugsareal - resultat'!$B$32:$B$45)*(INDEX('Landbrugsareal - resultat'!$L$32:$N$45,,MATCH($D126,'Landbrugsareal - resultat'!$L$4:$N$4,0)))),IF(G$2=2030,SUMPRODUCT(($B126='Landbrugsareal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20.880363393290878</v>
      </c>
      <c r="H126" s="97" cm="1">
        <f t="array" ref="H126">IF($A126="Vestdanmark",IF($C126="Konventionel",IF(H$2=2019,SUMPRODUCT(($B126='Landbrugsareal - resultat'!$B$5:$B$18)*(INDEX('Landbrugsareal - resultat'!$C$5:$E$18,,MATCH($D126,'Landbrugsareal - resultat'!$C$4:$E$4,0)))),IF(H$2=2030,SUMPRODUCT(($B126='Landbrugsareal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resultat'!$I$4:$K$4,0)))))),IF(H$2=2019,SUMPRODUCT(($B126='Landbrugsareal - resultat'!$B$5:$B$18)*(INDEX('Landbrugsareal - resultat'!$L$5:$N$18,,MATCH($D126,'Landbrugsareal - resultat'!$L$4:$N$4,0)))),IF(H$2=2030,SUMPRODUCT(($B126='Landbrugsareal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resultat'!$R$4:$T$4,0))))))),IF($C126="Konventionel",IF(H$2=2019,SUMPRODUCT(($B126='Landbrugsareal - resultat'!$B$32:$B$45)*(INDEX('Landbrugsareal - resultat'!$C$32:$E$45,,MATCH($D126,'Landbrugsareal - resultat'!$C$4:$E$4,0)))),IF(H$2=2030,SUMPRODUCT(($B126='Landbrugsareal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resultat'!$I$4:$K$4,0)))))),IF(H$2=2019,SUMPRODUCT(($B126='Landbrugsareal - resultat'!$B$32:$B$45)*(INDEX('Landbrugsareal - resultat'!$L$32:$N$45,,MATCH($D126,'Landbrugsareal - resultat'!$L$4:$N$4,0)))),IF(H$2=2030,SUMPRODUCT(($B126='Landbrugsareal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19.036394046743428</v>
      </c>
      <c r="I126" s="97" cm="1">
        <f t="array" ref="I126">IF($A126="Vestdanmark",IF($C126="Konventionel",IF(I$2=2019,SUMPRODUCT(($B126='Landbrugsareal - resultat'!$B$5:$B$18)*(INDEX('Landbrugsareal - resultat'!$C$5:$E$18,,MATCH($D126,'Landbrugsareal - resultat'!$C$4:$E$4,0)))),IF(I$2=2030,SUMPRODUCT(($B126='Landbrugsareal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resultat'!$I$4:$K$4,0)))))),IF(I$2=2019,SUMPRODUCT(($B126='Landbrugsareal - resultat'!$B$5:$B$18)*(INDEX('Landbrugsareal - resultat'!$L$5:$N$18,,MATCH($D126,'Landbrugsareal - resultat'!$L$4:$N$4,0)))),IF(I$2=2030,SUMPRODUCT(($B126='Landbrugsareal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resultat'!$R$4:$T$4,0))))))),IF($C126="Konventionel",IF(I$2=2019,SUMPRODUCT((C126='Landbrugsareal - resultat'!$B$32:$B$45)*(INDEX('Landbrugsareal - resultat'!$C$32:$E$45,,MATCH($D126,'Landbrugsareal - resultat'!$C$4:$E$4,0)))),IF(I$2=2030,SUMPRODUCT(($B126='Landbrugsareal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resultat'!$I$4:$K$4,0)))))),IF(I$2=2019,SUMPRODUCT(($B126='Landbrugsareal - resultat'!$B$32:$B$45)*(INDEX('Landbrugsareal - resultat'!$L$32:$N$45,,MATCH($D126,'Landbrugsareal - resultat'!$L$4:$N$4,0)))),IF(I$2=2030,SUMPRODUCT(($B126='Landbrugsareal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18.156098368281306</v>
      </c>
    </row>
    <row r="127" spans="1:9" hidden="1" x14ac:dyDescent="0.55000000000000004">
      <c r="A127" t="s">
        <v>24</v>
      </c>
      <c r="B127" s="1" t="str">
        <f>[1]Afgrødefordeling!$C$14</f>
        <v>Pil &amp; poppel</v>
      </c>
      <c r="C127" t="s">
        <v>7</v>
      </c>
      <c r="D127" t="str">
        <f t="shared" si="10"/>
        <v>OC12</v>
      </c>
      <c r="F127" t="str">
        <f t="shared" si="6"/>
        <v>Areal-pil-poppel</v>
      </c>
      <c r="G127" s="97" cm="1">
        <f t="array" ref="G127">IF($A127="Vestdanmark",IF($C127="Konventionel",IF(G$2=2019,SUMPRODUCT(($B127='Landbrugsareal - resultat'!$B$5:$B$18)*(INDEX('Landbrugsareal - resultat'!$C$5:$E$18,,MATCH($D127,'Landbrugsareal - resultat'!$C$4:$E$4,0)))),IF(G$2=2030,SUMPRODUCT(($B127='Landbrugsareal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resultat'!$I$4:$K$4,0)))))),IF(G$2=2019,SUMPRODUCT(($B127='Landbrugsareal - resultat'!$B$5:$B$18)*(INDEX('Landbrugsareal - resultat'!$L$5:$N$18,,MATCH($D127,'Landbrugsareal - resultat'!$L$4:$N$4,0)))),IF(G$2=2030,SUMPRODUCT(($B127='Landbrugsareal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resultat'!$R$4:$T$4,0))))))),IF($C127="Konventionel",IF(G$2=2019,SUMPRODUCT((B127='Landbrugsareal - resultat'!$B$32:$B$45)*(INDEX('Landbrugsareal - resultat'!$C$32:$E$45,,MATCH($D127,'Landbrugsareal - resultat'!$C$4:$E$4,0)))),IF(G$2=2030,SUMPRODUCT(($B127='Landbrugsareal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resultat'!$I$4:$K$4,0)))))),IF(G$2=2019,SUMPRODUCT(($B127='Landbrugsareal - resultat'!$B$32:$B$45)*(INDEX('Landbrugsareal - resultat'!$L$32:$N$45,,MATCH($D127,'Landbrugsareal - resultat'!$L$4:$N$4,0)))),IF(G$2=2030,SUMPRODUCT(($B127='Landbrugsareal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63.693862522419288</v>
      </c>
      <c r="H127" s="97" cm="1">
        <f t="array" ref="H127">IF($A127="Vestdanmark",IF($C127="Konventionel",IF(H$2=2019,SUMPRODUCT(($B127='Landbrugsareal - resultat'!$B$5:$B$18)*(INDEX('Landbrugsareal - resultat'!$C$5:$E$18,,MATCH($D127,'Landbrugsareal - resultat'!$C$4:$E$4,0)))),IF(H$2=2030,SUMPRODUCT(($B127='Landbrugsareal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resultat'!$I$4:$K$4,0)))))),IF(H$2=2019,SUMPRODUCT(($B127='Landbrugsareal - resultat'!$B$5:$B$18)*(INDEX('Landbrugsareal - resultat'!$L$5:$N$18,,MATCH($D127,'Landbrugsareal - resultat'!$L$4:$N$4,0)))),IF(H$2=2030,SUMPRODUCT(($B127='Landbrugsareal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resultat'!$R$4:$T$4,0))))))),IF($C127="Konventionel",IF(H$2=2019,SUMPRODUCT(($B127='Landbrugsareal - resultat'!$B$32:$B$45)*(INDEX('Landbrugsareal - resultat'!$C$32:$E$45,,MATCH($D127,'Landbrugsareal - resultat'!$C$4:$E$4,0)))),IF(H$2=2030,SUMPRODUCT(($B127='Landbrugsareal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resultat'!$I$4:$K$4,0)))))),IF(H$2=2019,SUMPRODUCT(($B127='Landbrugsareal - resultat'!$B$32:$B$45)*(INDEX('Landbrugsareal - resultat'!$L$32:$N$45,,MATCH($D127,'Landbrugsareal - resultat'!$L$4:$N$4,0)))),IF(H$2=2030,SUMPRODUCT(($B127='Landbrugsareal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58.068982924189378</v>
      </c>
      <c r="I127" s="97" cm="1">
        <f t="array" ref="I127">IF($A127="Vestdanmark",IF($C127="Konventionel",IF(I$2=2019,SUMPRODUCT(($B127='Landbrugsareal - resultat'!$B$5:$B$18)*(INDEX('Landbrugsareal - resultat'!$C$5:$E$18,,MATCH($D127,'Landbrugsareal - resultat'!$C$4:$E$4,0)))),IF(I$2=2030,SUMPRODUCT(($B127='Landbrugsareal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resultat'!$I$4:$K$4,0)))))),IF(I$2=2019,SUMPRODUCT(($B127='Landbrugsareal - resultat'!$B$5:$B$18)*(INDEX('Landbrugsareal - resultat'!$L$5:$N$18,,MATCH($D127,'Landbrugsareal - resultat'!$L$4:$N$4,0)))),IF(I$2=2030,SUMPRODUCT(($B127='Landbrugsareal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resultat'!$R$4:$T$4,0))))))),IF($C127="Konventionel",IF(I$2=2019,SUMPRODUCT((C127='Landbrugsareal - resultat'!$B$32:$B$45)*(INDEX('Landbrugsareal - resultat'!$C$32:$E$45,,MATCH($D127,'Landbrugsareal - resultat'!$C$4:$E$4,0)))),IF(I$2=2030,SUMPRODUCT(($B127='Landbrugsareal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resultat'!$I$4:$K$4,0)))))),IF(I$2=2019,SUMPRODUCT(($B127='Landbrugsareal - resultat'!$B$32:$B$45)*(INDEX('Landbrugsareal - resultat'!$L$32:$N$45,,MATCH($D127,'Landbrugsareal - resultat'!$L$4:$N$4,0)))),IF(I$2=2030,SUMPRODUCT(($B127='Landbrugsareal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55.383712037521661</v>
      </c>
    </row>
    <row r="128" spans="1:9" hidden="1" x14ac:dyDescent="0.55000000000000004">
      <c r="A128" t="s">
        <v>24</v>
      </c>
      <c r="B128" s="1" t="str">
        <f>[1]Afgrødefordeling!$C$15</f>
        <v>Permanent græs</v>
      </c>
      <c r="C128" t="s">
        <v>7</v>
      </c>
      <c r="D128" t="str">
        <f t="shared" si="10"/>
        <v>OC12</v>
      </c>
      <c r="F128" t="str">
        <f t="shared" si="6"/>
        <v>Areal-permanent græs</v>
      </c>
      <c r="G128" s="97" cm="1">
        <f t="array" ref="G128">IF($A128="Vestdanmark",IF($C128="Konventionel",IF(G$2=2019,SUMPRODUCT(($B128='Landbrugsareal - resultat'!$B$5:$B$18)*(INDEX('Landbrugsareal - resultat'!$C$5:$E$18,,MATCH($D128,'Landbrugsareal - resultat'!$C$4:$E$4,0)))),IF(G$2=2030,SUMPRODUCT(($B128='Landbrugsareal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resultat'!$I$4:$K$4,0)))))),IF(G$2=2019,SUMPRODUCT(($B128='Landbrugsareal - resultat'!$B$5:$B$18)*(INDEX('Landbrugsareal - resultat'!$L$5:$N$18,,MATCH($D128,'Landbrugsareal - resultat'!$L$4:$N$4,0)))),IF(G$2=2030,SUMPRODUCT(($B128='Landbrugsareal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resultat'!$R$4:$T$4,0))))))),IF($C128="Konventionel",IF(G$2=2019,SUMPRODUCT((B128='Landbrugsareal - resultat'!$B$32:$B$45)*(INDEX('Landbrugsareal - resultat'!$C$32:$E$45,,MATCH($D128,'Landbrugsareal - resultat'!$C$4:$E$4,0)))),IF(G$2=2030,SUMPRODUCT(($B128='Landbrugsareal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resultat'!$I$4:$K$4,0)))))),IF(G$2=2019,SUMPRODUCT(($B128='Landbrugsareal - resultat'!$B$32:$B$45)*(INDEX('Landbrugsareal - resultat'!$L$32:$N$45,,MATCH($D128,'Landbrugsareal - resultat'!$L$4:$N$4,0)))),IF(G$2=2030,SUMPRODUCT(($B128='Landbrugsareal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2434.2808314981853</v>
      </c>
      <c r="H128" s="97" cm="1">
        <f t="array" ref="H128">IF($A128="Vestdanmark",IF($C128="Konventionel",IF(H$2=2019,SUMPRODUCT(($B128='Landbrugsareal - resultat'!$B$5:$B$18)*(INDEX('Landbrugsareal - resultat'!$C$5:$E$18,,MATCH($D128,'Landbrugsareal - resultat'!$C$4:$E$4,0)))),IF(H$2=2030,SUMPRODUCT(($B128='Landbrugsareal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resultat'!$I$4:$K$4,0)))))),IF(H$2=2019,SUMPRODUCT(($B128='Landbrugsareal - resultat'!$B$5:$B$18)*(INDEX('Landbrugsareal - resultat'!$L$5:$N$18,,MATCH($D128,'Landbrugsareal - resultat'!$L$4:$N$4,0)))),IF(H$2=2030,SUMPRODUCT(($B128='Landbrugsareal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resultat'!$R$4:$T$4,0))))))),IF($C128="Konventionel",IF(H$2=2019,SUMPRODUCT(($B128='Landbrugsareal - resultat'!$B$32:$B$45)*(INDEX('Landbrugsareal - resultat'!$C$32:$E$45,,MATCH($D128,'Landbrugsareal - resultat'!$C$4:$E$4,0)))),IF(H$2=2030,SUMPRODUCT(($B128='Landbrugsareal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resultat'!$I$4:$K$4,0)))))),IF(H$2=2019,SUMPRODUCT(($B128='Landbrugsareal - resultat'!$B$32:$B$45)*(INDEX('Landbrugsareal - resultat'!$L$32:$N$45,,MATCH($D128,'Landbrugsareal - resultat'!$L$4:$N$4,0)))),IF(H$2=2030,SUMPRODUCT(($B128='Landbrugsareal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2019.4268817975167</v>
      </c>
      <c r="I128" s="97" cm="1">
        <f t="array" ref="I128">IF($A128="Vestdanmark",IF($C128="Konventionel",IF(I$2=2019,SUMPRODUCT(($B128='Landbrugsareal - resultat'!$B$5:$B$18)*(INDEX('Landbrugsareal - resultat'!$C$5:$E$18,,MATCH($D128,'Landbrugsareal - resultat'!$C$4:$E$4,0)))),IF(I$2=2030,SUMPRODUCT(($B128='Landbrugsareal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resultat'!$I$4:$K$4,0)))))),IF(I$2=2019,SUMPRODUCT(($B128='Landbrugsareal - resultat'!$B$5:$B$18)*(INDEX('Landbrugsareal - resultat'!$L$5:$N$18,,MATCH($D128,'Landbrugsareal - resultat'!$L$4:$N$4,0)))),IF(I$2=2030,SUMPRODUCT(($B128='Landbrugsareal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resultat'!$R$4:$T$4,0))))))),IF($C128="Konventionel",IF(I$2=2019,SUMPRODUCT((C128='Landbrugsareal - resultat'!$B$32:$B$45)*(INDEX('Landbrugsareal - resultat'!$C$32:$E$45,,MATCH($D128,'Landbrugsareal - resultat'!$C$4:$E$4,0)))),IF(I$2=2030,SUMPRODUCT(($B128='Landbrugsareal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resultat'!$I$4:$K$4,0)))))),IF(I$2=2019,SUMPRODUCT(($B128='Landbrugsareal - resultat'!$B$32:$B$45)*(INDEX('Landbrugsareal - resultat'!$L$32:$N$45,,MATCH($D128,'Landbrugsareal - resultat'!$L$4:$N$4,0)))),IF(I$2=2030,SUMPRODUCT(($B128='Landbrugsareal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1926.0429797490767</v>
      </c>
    </row>
    <row r="129" spans="1:9" hidden="1" x14ac:dyDescent="0.55000000000000004">
      <c r="A129" t="s">
        <v>24</v>
      </c>
      <c r="B129" s="1" t="str">
        <f>[1]Afgrødefordeling!$C$2</f>
        <v>Korn</v>
      </c>
      <c r="C129" t="s">
        <v>8</v>
      </c>
      <c r="D129" t="str">
        <f t="shared" ref="D129:D142" si="11">Jordbund1</f>
        <v>JB1-10</v>
      </c>
      <c r="F129" t="str">
        <f t="shared" si="6"/>
        <v>Areal-korn</v>
      </c>
      <c r="G129" s="97" cm="1">
        <f t="array" ref="G129">IF($A129="Vestdanmark",IF($C129="Konventionel",IF(G$2=2019,SUMPRODUCT(($B129='Landbrugsareal - resultat'!$B$5:$B$18)*(INDEX('Landbrugsareal - resultat'!$C$5:$E$18,,MATCH($D129,'Landbrugsareal - resultat'!$C$4:$E$4,0)))),IF(G$2=2030,SUMPRODUCT(($B129='Landbrugsareal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resultat'!$I$4:$K$4,0)))))),IF(G$2=2019,SUMPRODUCT(($B129='Landbrugsareal - resultat'!$B$5:$B$18)*(INDEX('Landbrugsareal - resultat'!$L$5:$N$18,,MATCH($D129,'Landbrugsareal - resultat'!$L$4:$N$4,0)))),IF(G$2=2030,SUMPRODUCT(($B129='Landbrugsareal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resultat'!$R$4:$T$4,0))))))),IF($C129="Konventionel",IF(G$2=2019,SUMPRODUCT((B129='Landbrugsareal - resultat'!$B$32:$B$45)*(INDEX('Landbrugsareal - resultat'!$C$32:$E$45,,MATCH($D129,'Landbrugsareal - resultat'!$C$4:$E$4,0)))),IF(G$2=2030,SUMPRODUCT(($B129='Landbrugsareal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resultat'!$I$4:$K$4,0)))))),IF(G$2=2019,SUMPRODUCT(($B129='Landbrugsareal - resultat'!$B$32:$B$45)*(INDEX('Landbrugsareal - resultat'!$L$32:$N$45,,MATCH($D129,'Landbrugsareal - resultat'!$L$4:$N$4,0)))),IF(G$2=2030,SUMPRODUCT(($B129='Landbrugsareal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37407.422491325582</v>
      </c>
      <c r="H129" s="97" cm="1">
        <f t="array" ref="H129">IF($A129="Vestdanmark",IF($C129="Konventionel",IF(H$2=2019,SUMPRODUCT(($B129='Landbrugsareal - resultat'!$B$5:$B$18)*(INDEX('Landbrugsareal - resultat'!$C$5:$E$18,,MATCH($D129,'Landbrugsareal - resultat'!$C$4:$E$4,0)))),IF(H$2=2030,SUMPRODUCT(($B129='Landbrugsareal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resultat'!$I$4:$K$4,0)))))),IF(H$2=2019,SUMPRODUCT(($B129='Landbrugsareal - resultat'!$B$5:$B$18)*(INDEX('Landbrugsareal - resultat'!$L$5:$N$18,,MATCH($D129,'Landbrugsareal - resultat'!$L$4:$N$4,0)))),IF(H$2=2030,SUMPRODUCT(($B129='Landbrugsareal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resultat'!$R$4:$T$4,0))))))),IF($C129="Konventionel",IF(H$2=2019,SUMPRODUCT(($B129='Landbrugsareal - resultat'!$B$32:$B$45)*(INDEX('Landbrugsareal - resultat'!$C$32:$E$45,,MATCH($D129,'Landbrugsareal - resultat'!$C$4:$E$4,0)))),IF(H$2=2030,SUMPRODUCT(($B129='Landbrugsareal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resultat'!$I$4:$K$4,0)))))),IF(H$2=2019,SUMPRODUCT(($B129='Landbrugsareal - resultat'!$B$32:$B$45)*(INDEX('Landbrugsareal - resultat'!$L$32:$N$45,,MATCH($D129,'Landbrugsareal - resultat'!$L$4:$N$4,0)))),IF(H$2=2030,SUMPRODUCT(($B129='Landbrugsareal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44381.829299977158</v>
      </c>
      <c r="I129" s="97" cm="1">
        <f t="array" ref="I129">IF($A129="Vestdanmark",IF($C129="Konventionel",IF(I$2=2019,SUMPRODUCT(($B129='Landbrugsareal - resultat'!$B$5:$B$18)*(INDEX('Landbrugsareal - resultat'!$C$5:$E$18,,MATCH($D129,'Landbrugsareal - resultat'!$C$4:$E$4,0)))),IF(I$2=2030,SUMPRODUCT(($B129='Landbrugsareal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resultat'!$I$4:$K$4,0)))))),IF(I$2=2019,SUMPRODUCT(($B129='Landbrugsareal - resultat'!$B$5:$B$18)*(INDEX('Landbrugsareal - resultat'!$L$5:$N$18,,MATCH($D129,'Landbrugsareal - resultat'!$L$4:$N$4,0)))),IF(I$2=2030,SUMPRODUCT(($B129='Landbrugsareal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resultat'!$R$4:$T$4,0))))))),IF($C129="Konventionel",IF(I$2=2019,SUMPRODUCT((C129='Landbrugsareal - resultat'!$B$32:$B$45)*(INDEX('Landbrugsareal - resultat'!$C$32:$E$45,,MATCH($D129,'Landbrugsareal - resultat'!$C$4:$E$4,0)))),IF(I$2=2030,SUMPRODUCT(($B129='Landbrugsareal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resultat'!$I$4:$K$4,0)))))),IF(I$2=2019,SUMPRODUCT(($B129='Landbrugsareal - resultat'!$B$32:$B$45)*(INDEX('Landbrugsareal - resultat'!$L$32:$N$45,,MATCH($D129,'Landbrugsareal - resultat'!$L$4:$N$4,0)))),IF(I$2=2030,SUMPRODUCT(($B129='Landbrugsareal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57145.362883639027</v>
      </c>
    </row>
    <row r="130" spans="1:9" hidden="1" x14ac:dyDescent="0.55000000000000004">
      <c r="A130" t="s">
        <v>24</v>
      </c>
      <c r="B130" s="1" t="str">
        <f>[1]Afgrødefordeling!$C$3</f>
        <v>Bælgsæd</v>
      </c>
      <c r="C130" t="s">
        <v>8</v>
      </c>
      <c r="D130" t="str">
        <f t="shared" si="11"/>
        <v>JB1-10</v>
      </c>
      <c r="F130" t="str">
        <f t="shared" si="6"/>
        <v>Areal-bælgsæd</v>
      </c>
      <c r="G130" s="97" cm="1">
        <f t="array" ref="G130">IF($A130="Vestdanmark",IF($C130="Konventionel",IF(G$2=2019,SUMPRODUCT(($B130='Landbrugsareal - resultat'!$B$5:$B$18)*(INDEX('Landbrugsareal - resultat'!$C$5:$E$18,,MATCH($D130,'Landbrugsareal - resultat'!$C$4:$E$4,0)))),IF(G$2=2030,SUMPRODUCT(($B130='Landbrugsareal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resultat'!$I$4:$K$4,0)))))),IF(G$2=2019,SUMPRODUCT(($B130='Landbrugsareal - resultat'!$B$5:$B$18)*(INDEX('Landbrugsareal - resultat'!$L$5:$N$18,,MATCH($D130,'Landbrugsareal - resultat'!$L$4:$N$4,0)))),IF(G$2=2030,SUMPRODUCT(($B130='Landbrugsareal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resultat'!$R$4:$T$4,0))))))),IF($C130="Konventionel",IF(G$2=2019,SUMPRODUCT((B130='Landbrugsareal - resultat'!$B$32:$B$45)*(INDEX('Landbrugsareal - resultat'!$C$32:$E$45,,MATCH($D130,'Landbrugsareal - resultat'!$C$4:$E$4,0)))),IF(G$2=2030,SUMPRODUCT(($B130='Landbrugsareal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resultat'!$I$4:$K$4,0)))))),IF(G$2=2019,SUMPRODUCT(($B130='Landbrugsareal - resultat'!$B$32:$B$45)*(INDEX('Landbrugsareal - resultat'!$L$32:$N$45,,MATCH($D130,'Landbrugsareal - resultat'!$L$4:$N$4,0)))),IF(G$2=2030,SUMPRODUCT(($B130='Landbrugsareal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815.28866875287099</v>
      </c>
      <c r="H130" s="97" cm="1">
        <f t="array" ref="H130">IF($A130="Vestdanmark",IF($C130="Konventionel",IF(H$2=2019,SUMPRODUCT(($B130='Landbrugsareal - resultat'!$B$5:$B$18)*(INDEX('Landbrugsareal - resultat'!$C$5:$E$18,,MATCH($D130,'Landbrugsareal - resultat'!$C$4:$E$4,0)))),IF(H$2=2030,SUMPRODUCT(($B130='Landbrugsareal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resultat'!$I$4:$K$4,0)))))),IF(H$2=2019,SUMPRODUCT(($B130='Landbrugsareal - resultat'!$B$5:$B$18)*(INDEX('Landbrugsareal - resultat'!$L$5:$N$18,,MATCH($D130,'Landbrugsareal - resultat'!$L$4:$N$4,0)))),IF(H$2=2030,SUMPRODUCT(($B130='Landbrugsareal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resultat'!$R$4:$T$4,0))))))),IF($C130="Konventionel",IF(H$2=2019,SUMPRODUCT(($B130='Landbrugsareal - resultat'!$B$32:$B$45)*(INDEX('Landbrugsareal - resultat'!$C$32:$E$45,,MATCH($D130,'Landbrugsareal - resultat'!$C$4:$E$4,0)))),IF(H$2=2030,SUMPRODUCT(($B130='Landbrugsareal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resultat'!$I$4:$K$4,0)))))),IF(H$2=2019,SUMPRODUCT(($B130='Landbrugsareal - resultat'!$B$32:$B$45)*(INDEX('Landbrugsareal - resultat'!$L$32:$N$45,,MATCH($D130,'Landbrugsareal - resultat'!$L$4:$N$4,0)))),IF(H$2=2030,SUMPRODUCT(($B130='Landbrugsareal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967.29472700735414</v>
      </c>
      <c r="I130" s="97" cm="1">
        <f t="array" ref="I130">IF($A130="Vestdanmark",IF($C130="Konventionel",IF(I$2=2019,SUMPRODUCT(($B130='Landbrugsareal - resultat'!$B$5:$B$18)*(INDEX('Landbrugsareal - resultat'!$C$5:$E$18,,MATCH($D130,'Landbrugsareal - resultat'!$C$4:$E$4,0)))),IF(I$2=2030,SUMPRODUCT(($B130='Landbrugsareal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resultat'!$I$4:$K$4,0)))))),IF(I$2=2019,SUMPRODUCT(($B130='Landbrugsareal - resultat'!$B$5:$B$18)*(INDEX('Landbrugsareal - resultat'!$L$5:$N$18,,MATCH($D130,'Landbrugsareal - resultat'!$L$4:$N$4,0)))),IF(I$2=2030,SUMPRODUCT(($B130='Landbrugsareal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resultat'!$R$4:$T$4,0))))))),IF($C130="Konventionel",IF(I$2=2019,SUMPRODUCT((C130='Landbrugsareal - resultat'!$B$32:$B$45)*(INDEX('Landbrugsareal - resultat'!$C$32:$E$45,,MATCH($D130,'Landbrugsareal - resultat'!$C$4:$E$4,0)))),IF(I$2=2030,SUMPRODUCT(($B130='Landbrugsareal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resultat'!$I$4:$K$4,0)))))),IF(I$2=2019,SUMPRODUCT(($B130='Landbrugsareal - resultat'!$B$32:$B$45)*(INDEX('Landbrugsareal - resultat'!$L$32:$N$45,,MATCH($D130,'Landbrugsareal - resultat'!$L$4:$N$4,0)))),IF(I$2=2030,SUMPRODUCT(($B130='Landbrugsareal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1245.4738586066856</v>
      </c>
    </row>
    <row r="131" spans="1:9" hidden="1" x14ac:dyDescent="0.55000000000000004">
      <c r="A131" t="s">
        <v>24</v>
      </c>
      <c r="B131" s="1" t="str">
        <f>[1]Afgrødefordeling!$C$4</f>
        <v>Raps</v>
      </c>
      <c r="C131" t="s">
        <v>8</v>
      </c>
      <c r="D131" t="str">
        <f t="shared" si="11"/>
        <v>JB1-10</v>
      </c>
      <c r="F131" t="str">
        <f t="shared" si="6"/>
        <v>Areal-raps</v>
      </c>
      <c r="G131" s="97" cm="1">
        <f t="array" ref="G131">IF($A131="Vestdanmark",IF($C131="Konventionel",IF(G$2=2019,SUMPRODUCT(($B131='Landbrugsareal - resultat'!$B$5:$B$18)*(INDEX('Landbrugsareal - resultat'!$C$5:$E$18,,MATCH($D131,'Landbrugsareal - resultat'!$C$4:$E$4,0)))),IF(G$2=2030,SUMPRODUCT(($B131='Landbrugsareal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resultat'!$I$4:$K$4,0)))))),IF(G$2=2019,SUMPRODUCT(($B131='Landbrugsareal - resultat'!$B$5:$B$18)*(INDEX('Landbrugsareal - resultat'!$L$5:$N$18,,MATCH($D131,'Landbrugsareal - resultat'!$L$4:$N$4,0)))),IF(G$2=2030,SUMPRODUCT(($B131='Landbrugsareal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resultat'!$R$4:$T$4,0))))))),IF($C131="Konventionel",IF(G$2=2019,SUMPRODUCT((B131='Landbrugsareal - resultat'!$B$32:$B$45)*(INDEX('Landbrugsareal - resultat'!$C$32:$E$45,,MATCH($D131,'Landbrugsareal - resultat'!$C$4:$E$4,0)))),IF(G$2=2030,SUMPRODUCT(($B131='Landbrugsareal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resultat'!$I$4:$K$4,0)))))),IF(G$2=2019,SUMPRODUCT(($B131='Landbrugsareal - resultat'!$B$32:$B$45)*(INDEX('Landbrugsareal - resultat'!$L$32:$N$45,,MATCH($D131,'Landbrugsareal - resultat'!$L$4:$N$4,0)))),IF(G$2=2030,SUMPRODUCT(($B131='Landbrugsareal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5171.7070261351</v>
      </c>
      <c r="H131" s="97" cm="1">
        <f t="array" ref="H131">IF($A131="Vestdanmark",IF($C131="Konventionel",IF(H$2=2019,SUMPRODUCT(($B131='Landbrugsareal - resultat'!$B$5:$B$18)*(INDEX('Landbrugsareal - resultat'!$C$5:$E$18,,MATCH($D131,'Landbrugsareal - resultat'!$C$4:$E$4,0)))),IF(H$2=2030,SUMPRODUCT(($B131='Landbrugsareal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resultat'!$I$4:$K$4,0)))))),IF(H$2=2019,SUMPRODUCT(($B131='Landbrugsareal - resultat'!$B$5:$B$18)*(INDEX('Landbrugsareal - resultat'!$L$5:$N$18,,MATCH($D131,'Landbrugsareal - resultat'!$L$4:$N$4,0)))),IF(H$2=2030,SUMPRODUCT(($B131='Landbrugsareal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resultat'!$R$4:$T$4,0))))))),IF($C131="Konventionel",IF(H$2=2019,SUMPRODUCT(($B131='Landbrugsareal - resultat'!$B$32:$B$45)*(INDEX('Landbrugsareal - resultat'!$C$32:$E$45,,MATCH($D131,'Landbrugsareal - resultat'!$C$4:$E$4,0)))),IF(H$2=2030,SUMPRODUCT(($B131='Landbrugsareal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resultat'!$I$4:$K$4,0)))))),IF(H$2=2019,SUMPRODUCT(($B131='Landbrugsareal - resultat'!$B$32:$B$45)*(INDEX('Landbrugsareal - resultat'!$L$32:$N$45,,MATCH($D131,'Landbrugsareal - resultat'!$L$4:$N$4,0)))),IF(H$2=2030,SUMPRODUCT(($B131='Landbrugsareal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6135.9431668045636</v>
      </c>
      <c r="I131" s="97" cm="1">
        <f t="array" ref="I131">IF($A131="Vestdanmark",IF($C131="Konventionel",IF(I$2=2019,SUMPRODUCT(($B131='Landbrugsareal - resultat'!$B$5:$B$18)*(INDEX('Landbrugsareal - resultat'!$C$5:$E$18,,MATCH($D131,'Landbrugsareal - resultat'!$C$4:$E$4,0)))),IF(I$2=2030,SUMPRODUCT(($B131='Landbrugsareal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resultat'!$I$4:$K$4,0)))))),IF(I$2=2019,SUMPRODUCT(($B131='Landbrugsareal - resultat'!$B$5:$B$18)*(INDEX('Landbrugsareal - resultat'!$L$5:$N$18,,MATCH($D131,'Landbrugsareal - resultat'!$L$4:$N$4,0)))),IF(I$2=2030,SUMPRODUCT(($B131='Landbrugsareal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resultat'!$R$4:$T$4,0))))))),IF($C131="Konventionel",IF(I$2=2019,SUMPRODUCT((C131='Landbrugsareal - resultat'!$B$32:$B$45)*(INDEX('Landbrugsareal - resultat'!$C$32:$E$45,,MATCH($D131,'Landbrugsareal - resultat'!$C$4:$E$4,0)))),IF(I$2=2030,SUMPRODUCT(($B131='Landbrugsareal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resultat'!$I$4:$K$4,0)))))),IF(I$2=2019,SUMPRODUCT(($B131='Landbrugsareal - resultat'!$B$32:$B$45)*(INDEX('Landbrugsareal - resultat'!$L$32:$N$45,,MATCH($D131,'Landbrugsareal - resultat'!$L$4:$N$4,0)))),IF(I$2=2030,SUMPRODUCT(($B131='Landbrugsareal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7900.5463368904539</v>
      </c>
    </row>
    <row r="132" spans="1:9" hidden="1" x14ac:dyDescent="0.55000000000000004">
      <c r="A132" t="s">
        <v>24</v>
      </c>
      <c r="B132" s="1" t="str">
        <f>[1]Afgrødefordeling!$C$5</f>
        <v>Græs</v>
      </c>
      <c r="C132" t="s">
        <v>8</v>
      </c>
      <c r="D132" t="str">
        <f t="shared" si="11"/>
        <v>JB1-10</v>
      </c>
      <c r="F132" t="str">
        <f t="shared" ref="F132:F170" si="12">CONCATENATE("Areal-",IF(LEFT(B132,3)&lt;&gt;"Pil",IF(LEFT(B132,3)&lt;&gt;"Frø",LOWER(B132),"frøgræs"),"pil-poppel"))</f>
        <v>Areal-græs</v>
      </c>
      <c r="G132" s="97" cm="1">
        <f t="array" ref="G132">IF($A132="Vestdanmark",IF($C132="Konventionel",IF(G$2=2019,SUMPRODUCT(($B132='Landbrugsareal - resultat'!$B$5:$B$18)*(INDEX('Landbrugsareal - resultat'!$C$5:$E$18,,MATCH($D132,'Landbrugsareal - resultat'!$C$4:$E$4,0)))),IF(G$2=2030,SUMPRODUCT(($B132='Landbrugsareal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resultat'!$I$4:$K$4,0)))))),IF(G$2=2019,SUMPRODUCT(($B132='Landbrugsareal - resultat'!$B$5:$B$18)*(INDEX('Landbrugsareal - resultat'!$L$5:$N$18,,MATCH($D132,'Landbrugsareal - resultat'!$L$4:$N$4,0)))),IF(G$2=2030,SUMPRODUCT(($B132='Landbrugsareal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resultat'!$R$4:$T$4,0))))))),IF($C132="Konventionel",IF(G$2=2019,SUMPRODUCT((B132='Landbrugsareal - resultat'!$B$32:$B$45)*(INDEX('Landbrugsareal - resultat'!$C$32:$E$45,,MATCH($D132,'Landbrugsareal - resultat'!$C$4:$E$4,0)))),IF(G$2=2030,SUMPRODUCT(($B132='Landbrugsareal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resultat'!$I$4:$K$4,0)))))),IF(G$2=2019,SUMPRODUCT(($B132='Landbrugsareal - resultat'!$B$32:$B$45)*(INDEX('Landbrugsareal - resultat'!$L$32:$N$45,,MATCH($D132,'Landbrugsareal - resultat'!$L$4:$N$4,0)))),IF(G$2=2030,SUMPRODUCT(($B132='Landbrugsareal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3141.9408009562312</v>
      </c>
      <c r="H132" s="97" cm="1">
        <f t="array" ref="H132">IF($A132="Vestdanmark",IF($C132="Konventionel",IF(H$2=2019,SUMPRODUCT(($B132='Landbrugsareal - resultat'!$B$5:$B$18)*(INDEX('Landbrugsareal - resultat'!$C$5:$E$18,,MATCH($D132,'Landbrugsareal - resultat'!$C$4:$E$4,0)))),IF(H$2=2030,SUMPRODUCT(($B132='Landbrugsareal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resultat'!$I$4:$K$4,0)))))),IF(H$2=2019,SUMPRODUCT(($B132='Landbrugsareal - resultat'!$B$5:$B$18)*(INDEX('Landbrugsareal - resultat'!$L$5:$N$18,,MATCH($D132,'Landbrugsareal - resultat'!$L$4:$N$4,0)))),IF(H$2=2030,SUMPRODUCT(($B132='Landbrugsareal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resultat'!$R$4:$T$4,0))))))),IF($C132="Konventionel",IF(H$2=2019,SUMPRODUCT(($B132='Landbrugsareal - resultat'!$B$32:$B$45)*(INDEX('Landbrugsareal - resultat'!$C$32:$E$45,,MATCH($D132,'Landbrugsareal - resultat'!$C$4:$E$4,0)))),IF(H$2=2030,SUMPRODUCT(($B132='Landbrugsareal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resultat'!$I$4:$K$4,0)))))),IF(H$2=2019,SUMPRODUCT(($B132='Landbrugsareal - resultat'!$B$32:$B$45)*(INDEX('Landbrugsareal - resultat'!$L$32:$N$45,,MATCH($D132,'Landbrugsareal - resultat'!$L$4:$N$4,0)))),IF(H$2=2030,SUMPRODUCT(($B132='Landbrugsareal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3727.7382672117792</v>
      </c>
      <c r="I132" s="97" cm="1">
        <f t="array" ref="I132">IF($A132="Vestdanmark",IF($C132="Konventionel",IF(I$2=2019,SUMPRODUCT(($B132='Landbrugsareal - resultat'!$B$5:$B$18)*(INDEX('Landbrugsareal - resultat'!$C$5:$E$18,,MATCH($D132,'Landbrugsareal - resultat'!$C$4:$E$4,0)))),IF(I$2=2030,SUMPRODUCT(($B132='Landbrugsareal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resultat'!$I$4:$K$4,0)))))),IF(I$2=2019,SUMPRODUCT(($B132='Landbrugsareal - resultat'!$B$5:$B$18)*(INDEX('Landbrugsareal - resultat'!$L$5:$N$18,,MATCH($D132,'Landbrugsareal - resultat'!$L$4:$N$4,0)))),IF(I$2=2030,SUMPRODUCT(($B132='Landbrugsareal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resultat'!$R$4:$T$4,0))))))),IF($C132="Konventionel",IF(I$2=2019,SUMPRODUCT((C132='Landbrugsareal - resultat'!$B$32:$B$45)*(INDEX('Landbrugsareal - resultat'!$C$32:$E$45,,MATCH($D132,'Landbrugsareal - resultat'!$C$4:$E$4,0)))),IF(I$2=2030,SUMPRODUCT(($B132='Landbrugsareal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resultat'!$I$4:$K$4,0)))))),IF(I$2=2019,SUMPRODUCT(($B132='Landbrugsareal - resultat'!$B$32:$B$45)*(INDEX('Landbrugsareal - resultat'!$L$32:$N$45,,MATCH($D132,'Landbrugsareal - resultat'!$L$4:$N$4,0)))),IF(I$2=2030,SUMPRODUCT(($B132='Landbrugsareal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4799.7786340716357</v>
      </c>
    </row>
    <row r="133" spans="1:9" hidden="1" x14ac:dyDescent="0.55000000000000004">
      <c r="A133" t="s">
        <v>24</v>
      </c>
      <c r="B133" s="1" t="str">
        <f>[1]Afgrødefordeling!$C$6</f>
        <v>Grøntsager</v>
      </c>
      <c r="C133" t="s">
        <v>8</v>
      </c>
      <c r="D133" t="str">
        <f t="shared" si="11"/>
        <v>JB1-10</v>
      </c>
      <c r="F133" t="str">
        <f t="shared" si="12"/>
        <v>Areal-grøntsager</v>
      </c>
      <c r="G133" s="97" cm="1">
        <f t="array" ref="G133">IF($A133="Vestdanmark",IF($C133="Konventionel",IF(G$2=2019,SUMPRODUCT(($B133='Landbrugsareal - resultat'!$B$5:$B$18)*(INDEX('Landbrugsareal - resultat'!$C$5:$E$18,,MATCH($D133,'Landbrugsareal - resultat'!$C$4:$E$4,0)))),IF(G$2=2030,SUMPRODUCT(($B133='Landbrugsareal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resultat'!$I$4:$K$4,0)))))),IF(G$2=2019,SUMPRODUCT(($B133='Landbrugsareal - resultat'!$B$5:$B$18)*(INDEX('Landbrugsareal - resultat'!$L$5:$N$18,,MATCH($D133,'Landbrugsareal - resultat'!$L$4:$N$4,0)))),IF(G$2=2030,SUMPRODUCT(($B133='Landbrugsareal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resultat'!$R$4:$T$4,0))))))),IF($C133="Konventionel",IF(G$2=2019,SUMPRODUCT((B133='Landbrugsareal - resultat'!$B$32:$B$45)*(INDEX('Landbrugsareal - resultat'!$C$32:$E$45,,MATCH($D133,'Landbrugsareal - resultat'!$C$4:$E$4,0)))),IF(G$2=2030,SUMPRODUCT(($B133='Landbrugsareal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resultat'!$I$4:$K$4,0)))))),IF(G$2=2019,SUMPRODUCT(($B133='Landbrugsareal - resultat'!$B$32:$B$45)*(INDEX('Landbrugsareal - resultat'!$L$32:$N$45,,MATCH($D133,'Landbrugsareal - resultat'!$L$4:$N$4,0)))),IF(G$2=2030,SUMPRODUCT(($B133='Landbrugsareal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492.34294534860186</v>
      </c>
      <c r="H133" s="97" cm="1">
        <f t="array" ref="H133">IF($A133="Vestdanmark",IF($C133="Konventionel",IF(H$2=2019,SUMPRODUCT(($B133='Landbrugsareal - resultat'!$B$5:$B$18)*(INDEX('Landbrugsareal - resultat'!$C$5:$E$18,,MATCH($D133,'Landbrugsareal - resultat'!$C$4:$E$4,0)))),IF(H$2=2030,SUMPRODUCT(($B133='Landbrugsareal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resultat'!$I$4:$K$4,0)))))),IF(H$2=2019,SUMPRODUCT(($B133='Landbrugsareal - resultat'!$B$5:$B$18)*(INDEX('Landbrugsareal - resultat'!$L$5:$N$18,,MATCH($D133,'Landbrugsareal - resultat'!$L$4:$N$4,0)))),IF(H$2=2030,SUMPRODUCT(($B133='Landbrugsareal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resultat'!$R$4:$T$4,0))))))),IF($C133="Konventionel",IF(H$2=2019,SUMPRODUCT(($B133='Landbrugsareal - resultat'!$B$32:$B$45)*(INDEX('Landbrugsareal - resultat'!$C$32:$E$45,,MATCH($D133,'Landbrugsareal - resultat'!$C$4:$E$4,0)))),IF(H$2=2030,SUMPRODUCT(($B133='Landbrugsareal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resultat'!$I$4:$K$4,0)))))),IF(H$2=2019,SUMPRODUCT(($B133='Landbrugsareal - resultat'!$B$32:$B$45)*(INDEX('Landbrugsareal - resultat'!$L$32:$N$45,,MATCH($D133,'Landbrugsareal - resultat'!$L$4:$N$4,0)))),IF(H$2=2030,SUMPRODUCT(($B133='Landbrugsareal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584.13756153813279</v>
      </c>
      <c r="I133" s="97" cm="1">
        <f t="array" ref="I133">IF($A133="Vestdanmark",IF($C133="Konventionel",IF(I$2=2019,SUMPRODUCT(($B133='Landbrugsareal - resultat'!$B$5:$B$18)*(INDEX('Landbrugsareal - resultat'!$C$5:$E$18,,MATCH($D133,'Landbrugsareal - resultat'!$C$4:$E$4,0)))),IF(I$2=2030,SUMPRODUCT(($B133='Landbrugsareal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resultat'!$I$4:$K$4,0)))))),IF(I$2=2019,SUMPRODUCT(($B133='Landbrugsareal - resultat'!$B$5:$B$18)*(INDEX('Landbrugsareal - resultat'!$L$5:$N$18,,MATCH($D133,'Landbrugsareal - resultat'!$L$4:$N$4,0)))),IF(I$2=2030,SUMPRODUCT(($B133='Landbrugsareal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resultat'!$R$4:$T$4,0))))))),IF($C133="Konventionel",IF(I$2=2019,SUMPRODUCT((C133='Landbrugsareal - resultat'!$B$32:$B$45)*(INDEX('Landbrugsareal - resultat'!$C$32:$E$45,,MATCH($D133,'Landbrugsareal - resultat'!$C$4:$E$4,0)))),IF(I$2=2030,SUMPRODUCT(($B133='Landbrugsareal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resultat'!$I$4:$K$4,0)))))),IF(I$2=2019,SUMPRODUCT(($B133='Landbrugsareal - resultat'!$B$32:$B$45)*(INDEX('Landbrugsareal - resultat'!$L$32:$N$45,,MATCH($D133,'Landbrugsareal - resultat'!$L$4:$N$4,0)))),IF(I$2=2030,SUMPRODUCT(($B133='Landbrugsareal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752.12656743911634</v>
      </c>
    </row>
    <row r="134" spans="1:9" hidden="1" x14ac:dyDescent="0.55000000000000004">
      <c r="A134" t="s">
        <v>24</v>
      </c>
      <c r="B134" s="1" t="str">
        <f>[1]Afgrødefordeling!$C$7</f>
        <v>Kartofler</v>
      </c>
      <c r="C134" t="s">
        <v>8</v>
      </c>
      <c r="D134" t="str">
        <f t="shared" si="11"/>
        <v>JB1-10</v>
      </c>
      <c r="F134" t="str">
        <f t="shared" si="12"/>
        <v>Areal-kartofler</v>
      </c>
      <c r="G134" s="97" cm="1">
        <f t="array" ref="G134">IF($A134="Vestdanmark",IF($C134="Konventionel",IF(G$2=2019,SUMPRODUCT(($B134='Landbrugsareal - resultat'!$B$5:$B$18)*(INDEX('Landbrugsareal - resultat'!$C$5:$E$18,,MATCH($D134,'Landbrugsareal - resultat'!$C$4:$E$4,0)))),IF(G$2=2030,SUMPRODUCT(($B134='Landbrugsareal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resultat'!$I$4:$K$4,0)))))),IF(G$2=2019,SUMPRODUCT(($B134='Landbrugsareal - resultat'!$B$5:$B$18)*(INDEX('Landbrugsareal - resultat'!$L$5:$N$18,,MATCH($D134,'Landbrugsareal - resultat'!$L$4:$N$4,0)))),IF(G$2=2030,SUMPRODUCT(($B134='Landbrugsareal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resultat'!$R$4:$T$4,0))))))),IF($C134="Konventionel",IF(G$2=2019,SUMPRODUCT((B134='Landbrugsareal - resultat'!$B$32:$B$45)*(INDEX('Landbrugsareal - resultat'!$C$32:$E$45,,MATCH($D134,'Landbrugsareal - resultat'!$C$4:$E$4,0)))),IF(G$2=2030,SUMPRODUCT(($B134='Landbrugsareal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resultat'!$I$4:$K$4,0)))))),IF(G$2=2019,SUMPRODUCT(($B134='Landbrugsareal - resultat'!$B$32:$B$45)*(INDEX('Landbrugsareal - resultat'!$L$32:$N$45,,MATCH($D134,'Landbrugsareal - resultat'!$L$4:$N$4,0)))),IF(G$2=2030,SUMPRODUCT(($B134='Landbrugsareal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315.83920819930114</v>
      </c>
      <c r="H134" s="97" cm="1">
        <f t="array" ref="H134">IF($A134="Vestdanmark",IF($C134="Konventionel",IF(H$2=2019,SUMPRODUCT(($B134='Landbrugsareal - resultat'!$B$5:$B$18)*(INDEX('Landbrugsareal - resultat'!$C$5:$E$18,,MATCH($D134,'Landbrugsareal - resultat'!$C$4:$E$4,0)))),IF(H$2=2030,SUMPRODUCT(($B134='Landbrugsareal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resultat'!$I$4:$K$4,0)))))),IF(H$2=2019,SUMPRODUCT(($B134='Landbrugsareal - resultat'!$B$5:$B$18)*(INDEX('Landbrugsareal - resultat'!$L$5:$N$18,,MATCH($D134,'Landbrugsareal - resultat'!$L$4:$N$4,0)))),IF(H$2=2030,SUMPRODUCT(($B134='Landbrugsareal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resultat'!$R$4:$T$4,0))))))),IF($C134="Konventionel",IF(H$2=2019,SUMPRODUCT(($B134='Landbrugsareal - resultat'!$B$32:$B$45)*(INDEX('Landbrugsareal - resultat'!$C$32:$E$45,,MATCH($D134,'Landbrugsareal - resultat'!$C$4:$E$4,0)))),IF(H$2=2030,SUMPRODUCT(($B134='Landbrugsareal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resultat'!$I$4:$K$4,0)))))),IF(H$2=2019,SUMPRODUCT(($B134='Landbrugsareal - resultat'!$B$32:$B$45)*(INDEX('Landbrugsareal - resultat'!$L$32:$N$45,,MATCH($D134,'Landbrugsareal - resultat'!$L$4:$N$4,0)))),IF(H$2=2030,SUMPRODUCT(($B134='Landbrugsareal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374.72567985115398</v>
      </c>
      <c r="I134" s="97" cm="1">
        <f t="array" ref="I134">IF($A134="Vestdanmark",IF($C134="Konventionel",IF(I$2=2019,SUMPRODUCT(($B134='Landbrugsareal - resultat'!$B$5:$B$18)*(INDEX('Landbrugsareal - resultat'!$C$5:$E$18,,MATCH($D134,'Landbrugsareal - resultat'!$C$4:$E$4,0)))),IF(I$2=2030,SUMPRODUCT(($B134='Landbrugsareal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resultat'!$I$4:$K$4,0)))))),IF(I$2=2019,SUMPRODUCT(($B134='Landbrugsareal - resultat'!$B$5:$B$18)*(INDEX('Landbrugsareal - resultat'!$L$5:$N$18,,MATCH($D134,'Landbrugsareal - resultat'!$L$4:$N$4,0)))),IF(I$2=2030,SUMPRODUCT(($B134='Landbrugsareal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resultat'!$R$4:$T$4,0))))))),IF($C134="Konventionel",IF(I$2=2019,SUMPRODUCT((C134='Landbrugsareal - resultat'!$B$32:$B$45)*(INDEX('Landbrugsareal - resultat'!$C$32:$E$45,,MATCH($D134,'Landbrugsareal - resultat'!$C$4:$E$4,0)))),IF(I$2=2030,SUMPRODUCT(($B134='Landbrugsareal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resultat'!$I$4:$K$4,0)))))),IF(I$2=2019,SUMPRODUCT(($B134='Landbrugsareal - resultat'!$B$32:$B$45)*(INDEX('Landbrugsareal - resultat'!$L$32:$N$45,,MATCH($D134,'Landbrugsareal - resultat'!$L$4:$N$4,0)))),IF(I$2=2030,SUMPRODUCT(($B134='Landbrugsareal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482.49103956883454</v>
      </c>
    </row>
    <row r="135" spans="1:9" hidden="1" x14ac:dyDescent="0.55000000000000004">
      <c r="A135" t="s">
        <v>24</v>
      </c>
      <c r="B135" s="1" t="str">
        <f>[1]Afgrødefordeling!$C$8</f>
        <v>Roer</v>
      </c>
      <c r="C135" t="s">
        <v>8</v>
      </c>
      <c r="D135" t="str">
        <f t="shared" si="11"/>
        <v>JB1-10</v>
      </c>
      <c r="F135" t="str">
        <f t="shared" si="12"/>
        <v>Areal-roer</v>
      </c>
      <c r="G135" s="97" cm="1">
        <f t="array" ref="G135">IF($A135="Vestdanmark",IF($C135="Konventionel",IF(G$2=2019,SUMPRODUCT(($B135='Landbrugsareal - resultat'!$B$5:$B$18)*(INDEX('Landbrugsareal - resultat'!$C$5:$E$18,,MATCH($D135,'Landbrugsareal - resultat'!$C$4:$E$4,0)))),IF(G$2=2030,SUMPRODUCT(($B135='Landbrugsareal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resultat'!$I$4:$K$4,0)))))),IF(G$2=2019,SUMPRODUCT(($B135='Landbrugsareal - resultat'!$B$5:$B$18)*(INDEX('Landbrugsareal - resultat'!$L$5:$N$18,,MATCH($D135,'Landbrugsareal - resultat'!$L$4:$N$4,0)))),IF(G$2=2030,SUMPRODUCT(($B135='Landbrugsareal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resultat'!$R$4:$T$4,0))))))),IF($C135="Konventionel",IF(G$2=2019,SUMPRODUCT((B135='Landbrugsareal - resultat'!$B$32:$B$45)*(INDEX('Landbrugsareal - resultat'!$C$32:$E$45,,MATCH($D135,'Landbrugsareal - resultat'!$C$4:$E$4,0)))),IF(G$2=2030,SUMPRODUCT(($B135='Landbrugsareal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resultat'!$I$4:$K$4,0)))))),IF(G$2=2019,SUMPRODUCT(($B135='Landbrugsareal - resultat'!$B$32:$B$45)*(INDEX('Landbrugsareal - resultat'!$L$32:$N$45,,MATCH($D135,'Landbrugsareal - resultat'!$L$4:$N$4,0)))),IF(G$2=2030,SUMPRODUCT(($B135='Landbrugsareal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3283.3406094619722</v>
      </c>
      <c r="H135" s="97" cm="1">
        <f t="array" ref="H135">IF($A135="Vestdanmark",IF($C135="Konventionel",IF(H$2=2019,SUMPRODUCT(($B135='Landbrugsareal - resultat'!$B$5:$B$18)*(INDEX('Landbrugsareal - resultat'!$C$5:$E$18,,MATCH($D135,'Landbrugsareal - resultat'!$C$4:$E$4,0)))),IF(H$2=2030,SUMPRODUCT(($B135='Landbrugsareal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resultat'!$I$4:$K$4,0)))))),IF(H$2=2019,SUMPRODUCT(($B135='Landbrugsareal - resultat'!$B$5:$B$18)*(INDEX('Landbrugsareal - resultat'!$L$5:$N$18,,MATCH($D135,'Landbrugsareal - resultat'!$L$4:$N$4,0)))),IF(H$2=2030,SUMPRODUCT(($B135='Landbrugsareal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resultat'!$R$4:$T$4,0))))))),IF($C135="Konventionel",IF(H$2=2019,SUMPRODUCT(($B135='Landbrugsareal - resultat'!$B$32:$B$45)*(INDEX('Landbrugsareal - resultat'!$C$32:$E$45,,MATCH($D135,'Landbrugsareal - resultat'!$C$4:$E$4,0)))),IF(H$2=2030,SUMPRODUCT(($B135='Landbrugsareal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resultat'!$I$4:$K$4,0)))))),IF(H$2=2019,SUMPRODUCT(($B135='Landbrugsareal - resultat'!$B$32:$B$45)*(INDEX('Landbrugsareal - resultat'!$L$32:$N$45,,MATCH($D135,'Landbrugsareal - resultat'!$L$4:$N$4,0)))),IF(H$2=2030,SUMPRODUCT(($B135='Landbrugsareal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3895.5012871206354</v>
      </c>
      <c r="I135" s="97" cm="1">
        <f t="array" ref="I135">IF($A135="Vestdanmark",IF($C135="Konventionel",IF(I$2=2019,SUMPRODUCT(($B135='Landbrugsareal - resultat'!$B$5:$B$18)*(INDEX('Landbrugsareal - resultat'!$C$5:$E$18,,MATCH($D135,'Landbrugsareal - resultat'!$C$4:$E$4,0)))),IF(I$2=2030,SUMPRODUCT(($B135='Landbrugsareal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resultat'!$I$4:$K$4,0)))))),IF(I$2=2019,SUMPRODUCT(($B135='Landbrugsareal - resultat'!$B$5:$B$18)*(INDEX('Landbrugsareal - resultat'!$L$5:$N$18,,MATCH($D135,'Landbrugsareal - resultat'!$L$4:$N$4,0)))),IF(I$2=2030,SUMPRODUCT(($B135='Landbrugsareal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resultat'!$R$4:$T$4,0))))))),IF($C135="Konventionel",IF(I$2=2019,SUMPRODUCT((C135='Landbrugsareal - resultat'!$B$32:$B$45)*(INDEX('Landbrugsareal - resultat'!$C$32:$E$45,,MATCH($D135,'Landbrugsareal - resultat'!$C$4:$E$4,0)))),IF(I$2=2030,SUMPRODUCT(($B135='Landbrugsareal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resultat'!$I$4:$K$4,0)))))),IF(I$2=2019,SUMPRODUCT(($B135='Landbrugsareal - resultat'!$B$32:$B$45)*(INDEX('Landbrugsareal - resultat'!$L$32:$N$45,,MATCH($D135,'Landbrugsareal - resultat'!$L$4:$N$4,0)))),IF(I$2=2030,SUMPRODUCT(($B135='Landbrugsareal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5015.7877261338162</v>
      </c>
    </row>
    <row r="136" spans="1:9" hidden="1" x14ac:dyDescent="0.55000000000000004">
      <c r="A136" t="s">
        <v>24</v>
      </c>
      <c r="B136" s="1" t="str">
        <f>[1]Afgrødefordeling!$C$9</f>
        <v>Majs</v>
      </c>
      <c r="C136" t="s">
        <v>8</v>
      </c>
      <c r="D136" t="str">
        <f t="shared" si="11"/>
        <v>JB1-10</v>
      </c>
      <c r="F136" t="str">
        <f t="shared" si="12"/>
        <v>Areal-majs</v>
      </c>
      <c r="G136" s="97" cm="1">
        <f t="array" ref="G136">IF($A136="Vestdanmark",IF($C136="Konventionel",IF(G$2=2019,SUMPRODUCT(($B136='Landbrugsareal - resultat'!$B$5:$B$18)*(INDEX('Landbrugsareal - resultat'!$C$5:$E$18,,MATCH($D136,'Landbrugsareal - resultat'!$C$4:$E$4,0)))),IF(G$2=2030,SUMPRODUCT(($B136='Landbrugsareal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resultat'!$I$4:$K$4,0)))))),IF(G$2=2019,SUMPRODUCT(($B136='Landbrugsareal - resultat'!$B$5:$B$18)*(INDEX('Landbrugsareal - resultat'!$L$5:$N$18,,MATCH($D136,'Landbrugsareal - resultat'!$L$4:$N$4,0)))),IF(G$2=2030,SUMPRODUCT(($B136='Landbrugsareal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resultat'!$R$4:$T$4,0))))))),IF($C136="Konventionel",IF(G$2=2019,SUMPRODUCT((B136='Landbrugsareal - resultat'!$B$32:$B$45)*(INDEX('Landbrugsareal - resultat'!$C$32:$E$45,,MATCH($D136,'Landbrugsareal - resultat'!$C$4:$E$4,0)))),IF(G$2=2030,SUMPRODUCT(($B136='Landbrugsareal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resultat'!$I$4:$K$4,0)))))),IF(G$2=2019,SUMPRODUCT(($B136='Landbrugsareal - resultat'!$B$32:$B$45)*(INDEX('Landbrugsareal - resultat'!$L$32:$N$45,,MATCH($D136,'Landbrugsareal - resultat'!$L$4:$N$4,0)))),IF(G$2=2030,SUMPRODUCT(($B136='Landbrugsareal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928.65090834978378</v>
      </c>
      <c r="H136" s="97" cm="1">
        <f t="array" ref="H136">IF($A136="Vestdanmark",IF($C136="Konventionel",IF(H$2=2019,SUMPRODUCT(($B136='Landbrugsareal - resultat'!$B$5:$B$18)*(INDEX('Landbrugsareal - resultat'!$C$5:$E$18,,MATCH($D136,'Landbrugsareal - resultat'!$C$4:$E$4,0)))),IF(H$2=2030,SUMPRODUCT(($B136='Landbrugsareal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resultat'!$I$4:$K$4,0)))))),IF(H$2=2019,SUMPRODUCT(($B136='Landbrugsareal - resultat'!$B$5:$B$18)*(INDEX('Landbrugsareal - resultat'!$L$5:$N$18,,MATCH($D136,'Landbrugsareal - resultat'!$L$4:$N$4,0)))),IF(H$2=2030,SUMPRODUCT(($B136='Landbrugsareal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resultat'!$R$4:$T$4,0))))))),IF($C136="Konventionel",IF(H$2=2019,SUMPRODUCT(($B136='Landbrugsareal - resultat'!$B$32:$B$45)*(INDEX('Landbrugsareal - resultat'!$C$32:$E$45,,MATCH($D136,'Landbrugsareal - resultat'!$C$4:$E$4,0)))),IF(H$2=2030,SUMPRODUCT(($B136='Landbrugsareal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resultat'!$I$4:$K$4,0)))))),IF(H$2=2019,SUMPRODUCT(($B136='Landbrugsareal - resultat'!$B$32:$B$45)*(INDEX('Landbrugsareal - resultat'!$L$32:$N$45,,MATCH($D136,'Landbrugsareal - resultat'!$L$4:$N$4,0)))),IF(H$2=2030,SUMPRODUCT(($B136='Landbrugsareal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1101.7927285208236</v>
      </c>
      <c r="I136" s="97" cm="1">
        <f t="array" ref="I136">IF($A136="Vestdanmark",IF($C136="Konventionel",IF(I$2=2019,SUMPRODUCT(($B136='Landbrugsareal - resultat'!$B$5:$B$18)*(INDEX('Landbrugsareal - resultat'!$C$5:$E$18,,MATCH($D136,'Landbrugsareal - resultat'!$C$4:$E$4,0)))),IF(I$2=2030,SUMPRODUCT(($B136='Landbrugsareal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resultat'!$I$4:$K$4,0)))))),IF(I$2=2019,SUMPRODUCT(($B136='Landbrugsareal - resultat'!$B$5:$B$18)*(INDEX('Landbrugsareal - resultat'!$L$5:$N$18,,MATCH($D136,'Landbrugsareal - resultat'!$L$4:$N$4,0)))),IF(I$2=2030,SUMPRODUCT(($B136='Landbrugsareal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resultat'!$R$4:$T$4,0))))))),IF($C136="Konventionel",IF(I$2=2019,SUMPRODUCT((C136='Landbrugsareal - resultat'!$B$32:$B$45)*(INDEX('Landbrugsareal - resultat'!$C$32:$E$45,,MATCH($D136,'Landbrugsareal - resultat'!$C$4:$E$4,0)))),IF(I$2=2030,SUMPRODUCT(($B136='Landbrugsareal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resultat'!$I$4:$K$4,0)))))),IF(I$2=2019,SUMPRODUCT(($B136='Landbrugsareal - resultat'!$B$32:$B$45)*(INDEX('Landbrugsareal - resultat'!$L$32:$N$45,,MATCH($D136,'Landbrugsareal - resultat'!$L$4:$N$4,0)))),IF(I$2=2030,SUMPRODUCT(($B136='Landbrugsareal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1418.6514230478022</v>
      </c>
    </row>
    <row r="137" spans="1:9" hidden="1" x14ac:dyDescent="0.55000000000000004">
      <c r="A137" t="s">
        <v>24</v>
      </c>
      <c r="B137" s="1" t="str">
        <f>[1]Afgrødefordeling!$C$10</f>
        <v>Frugt</v>
      </c>
      <c r="C137" t="s">
        <v>8</v>
      </c>
      <c r="D137" t="str">
        <f t="shared" si="11"/>
        <v>JB1-10</v>
      </c>
      <c r="F137" t="str">
        <f t="shared" si="12"/>
        <v>Areal-frugt</v>
      </c>
      <c r="G137" s="97" cm="1">
        <f t="array" ref="G137">IF($A137="Vestdanmark",IF($C137="Konventionel",IF(G$2=2019,SUMPRODUCT(($B137='Landbrugsareal - resultat'!$B$5:$B$18)*(INDEX('Landbrugsareal - resultat'!$C$5:$E$18,,MATCH($D137,'Landbrugsareal - resultat'!$C$4:$E$4,0)))),IF(G$2=2030,SUMPRODUCT(($B137='Landbrugsareal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resultat'!$I$4:$K$4,0)))))),IF(G$2=2019,SUMPRODUCT(($B137='Landbrugsareal - resultat'!$B$5:$B$18)*(INDEX('Landbrugsareal - resultat'!$L$5:$N$18,,MATCH($D137,'Landbrugsareal - resultat'!$L$4:$N$4,0)))),IF(G$2=2030,SUMPRODUCT(($B137='Landbrugsareal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resultat'!$R$4:$T$4,0))))))),IF($C137="Konventionel",IF(G$2=2019,SUMPRODUCT((B137='Landbrugsareal - resultat'!$B$32:$B$45)*(INDEX('Landbrugsareal - resultat'!$C$32:$E$45,,MATCH($D137,'Landbrugsareal - resultat'!$C$4:$E$4,0)))),IF(G$2=2030,SUMPRODUCT(($B137='Landbrugsareal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resultat'!$I$4:$K$4,0)))))),IF(G$2=2019,SUMPRODUCT(($B137='Landbrugsareal - resultat'!$B$32:$B$45)*(INDEX('Landbrugsareal - resultat'!$L$32:$N$45,,MATCH($D137,'Landbrugsareal - resultat'!$L$4:$N$4,0)))),IF(G$2=2030,SUMPRODUCT(($B137='Landbrugsareal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216.07963746777307</v>
      </c>
      <c r="H137" s="97" cm="1">
        <f t="array" ref="H137">IF($A137="Vestdanmark",IF($C137="Konventionel",IF(H$2=2019,SUMPRODUCT(($B137='Landbrugsareal - resultat'!$B$5:$B$18)*(INDEX('Landbrugsareal - resultat'!$C$5:$E$18,,MATCH($D137,'Landbrugsareal - resultat'!$C$4:$E$4,0)))),IF(H$2=2030,SUMPRODUCT(($B137='Landbrugsareal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resultat'!$I$4:$K$4,0)))))),IF(H$2=2019,SUMPRODUCT(($B137='Landbrugsareal - resultat'!$B$5:$B$18)*(INDEX('Landbrugsareal - resultat'!$L$5:$N$18,,MATCH($D137,'Landbrugsareal - resultat'!$L$4:$N$4,0)))),IF(H$2=2030,SUMPRODUCT(($B137='Landbrugsareal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resultat'!$R$4:$T$4,0))))))),IF($C137="Konventionel",IF(H$2=2019,SUMPRODUCT(($B137='Landbrugsareal - resultat'!$B$32:$B$45)*(INDEX('Landbrugsareal - resultat'!$C$32:$E$45,,MATCH($D137,'Landbrugsareal - resultat'!$C$4:$E$4,0)))),IF(H$2=2030,SUMPRODUCT(($B137='Landbrugsareal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resultat'!$I$4:$K$4,0)))))),IF(H$2=2019,SUMPRODUCT(($B137='Landbrugsareal - resultat'!$B$32:$B$45)*(INDEX('Landbrugsareal - resultat'!$L$32:$N$45,,MATCH($D137,'Landbrugsareal - resultat'!$L$4:$N$4,0)))),IF(H$2=2030,SUMPRODUCT(($B137='Landbrugsareal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256.36648949869465</v>
      </c>
      <c r="I137" s="97" cm="1">
        <f t="array" ref="I137">IF($A137="Vestdanmark",IF($C137="Konventionel",IF(I$2=2019,SUMPRODUCT(($B137='Landbrugsareal - resultat'!$B$5:$B$18)*(INDEX('Landbrugsareal - resultat'!$C$5:$E$18,,MATCH($D137,'Landbrugsareal - resultat'!$C$4:$E$4,0)))),IF(I$2=2030,SUMPRODUCT(($B137='Landbrugsareal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resultat'!$I$4:$K$4,0)))))),IF(I$2=2019,SUMPRODUCT(($B137='Landbrugsareal - resultat'!$B$5:$B$18)*(INDEX('Landbrugsareal - resultat'!$L$5:$N$18,,MATCH($D137,'Landbrugsareal - resultat'!$L$4:$N$4,0)))),IF(I$2=2030,SUMPRODUCT(($B137='Landbrugsareal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resultat'!$R$4:$T$4,0))))))),IF($C137="Konventionel",IF(I$2=2019,SUMPRODUCT((C137='Landbrugsareal - resultat'!$B$32:$B$45)*(INDEX('Landbrugsareal - resultat'!$C$32:$E$45,,MATCH($D137,'Landbrugsareal - resultat'!$C$4:$E$4,0)))),IF(I$2=2030,SUMPRODUCT(($B137='Landbrugsareal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resultat'!$I$4:$K$4,0)))))),IF(I$2=2019,SUMPRODUCT(($B137='Landbrugsareal - resultat'!$B$32:$B$45)*(INDEX('Landbrugsareal - resultat'!$L$32:$N$45,,MATCH($D137,'Landbrugsareal - resultat'!$L$4:$N$4,0)))),IF(I$2=2030,SUMPRODUCT(($B137='Landbrugsareal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330.09356091627075</v>
      </c>
    </row>
    <row r="138" spans="1:9" hidden="1" x14ac:dyDescent="0.55000000000000004">
      <c r="A138" t="s">
        <v>24</v>
      </c>
      <c r="B138" s="1" t="str">
        <f>[1]Afgrødefordeling!$C$11</f>
        <v>Øvrige</v>
      </c>
      <c r="C138" t="s">
        <v>8</v>
      </c>
      <c r="D138" t="str">
        <f t="shared" si="11"/>
        <v>JB1-10</v>
      </c>
      <c r="F138" t="str">
        <f t="shared" si="12"/>
        <v>Areal-øvrige</v>
      </c>
      <c r="G138" s="97" cm="1">
        <f t="array" ref="G138">IF($A138="Vestdanmark",IF($C138="Konventionel",IF(G$2=2019,SUMPRODUCT(($B138='Landbrugsareal - resultat'!$B$5:$B$18)*(INDEX('Landbrugsareal - resultat'!$C$5:$E$18,,MATCH($D138,'Landbrugsareal - resultat'!$C$4:$E$4,0)))),IF(G$2=2030,SUMPRODUCT(($B138='Landbrugsareal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resultat'!$I$4:$K$4,0)))))),IF(G$2=2019,SUMPRODUCT(($B138='Landbrugsareal - resultat'!$B$5:$B$18)*(INDEX('Landbrugsareal - resultat'!$L$5:$N$18,,MATCH($D138,'Landbrugsareal - resultat'!$L$4:$N$4,0)))),IF(G$2=2030,SUMPRODUCT(($B138='Landbrugsareal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resultat'!$R$4:$T$4,0))))))),IF($C138="Konventionel",IF(G$2=2019,SUMPRODUCT((B138='Landbrugsareal - resultat'!$B$32:$B$45)*(INDEX('Landbrugsareal - resultat'!$C$32:$E$45,,MATCH($D138,'Landbrugsareal - resultat'!$C$4:$E$4,0)))),IF(G$2=2030,SUMPRODUCT(($B138='Landbrugsareal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resultat'!$I$4:$K$4,0)))))),IF(G$2=2019,SUMPRODUCT(($B138='Landbrugsareal - resultat'!$B$32:$B$45)*(INDEX('Landbrugsareal - resultat'!$L$32:$N$45,,MATCH($D138,'Landbrugsareal - resultat'!$L$4:$N$4,0)))),IF(G$2=2030,SUMPRODUCT(($B138='Landbrugsareal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1542.9134126721628</v>
      </c>
      <c r="H138" s="97" cm="1">
        <f t="array" ref="H138">IF($A138="Vestdanmark",IF($C138="Konventionel",IF(H$2=2019,SUMPRODUCT(($B138='Landbrugsareal - resultat'!$B$5:$B$18)*(INDEX('Landbrugsareal - resultat'!$C$5:$E$18,,MATCH($D138,'Landbrugsareal - resultat'!$C$4:$E$4,0)))),IF(H$2=2030,SUMPRODUCT(($B138='Landbrugsareal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resultat'!$I$4:$K$4,0)))))),IF(H$2=2019,SUMPRODUCT(($B138='Landbrugsareal - resultat'!$B$5:$B$18)*(INDEX('Landbrugsareal - resultat'!$L$5:$N$18,,MATCH($D138,'Landbrugsareal - resultat'!$L$4:$N$4,0)))),IF(H$2=2030,SUMPRODUCT(($B138='Landbrugsareal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resultat'!$R$4:$T$4,0))))))),IF($C138="Konventionel",IF(H$2=2019,SUMPRODUCT(($B138='Landbrugsareal - resultat'!$B$32:$B$45)*(INDEX('Landbrugsareal - resultat'!$C$32:$E$45,,MATCH($D138,'Landbrugsareal - resultat'!$C$4:$E$4,0)))),IF(H$2=2030,SUMPRODUCT(($B138='Landbrugsareal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resultat'!$I$4:$K$4,0)))))),IF(H$2=2019,SUMPRODUCT(($B138='Landbrugsareal - resultat'!$B$32:$B$45)*(INDEX('Landbrugsareal - resultat'!$L$32:$N$45,,MATCH($D138,'Landbrugsareal - resultat'!$L$4:$N$4,0)))),IF(H$2=2030,SUMPRODUCT(($B138='Landbrugsareal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1830.5810757675265</v>
      </c>
      <c r="I138" s="97" cm="1">
        <f t="array" ref="I138">IF($A138="Vestdanmark",IF($C138="Konventionel",IF(I$2=2019,SUMPRODUCT(($B138='Landbrugsareal - resultat'!$B$5:$B$18)*(INDEX('Landbrugsareal - resultat'!$C$5:$E$18,,MATCH($D138,'Landbrugsareal - resultat'!$C$4:$E$4,0)))),IF(I$2=2030,SUMPRODUCT(($B138='Landbrugsareal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resultat'!$I$4:$K$4,0)))))),IF(I$2=2019,SUMPRODUCT(($B138='Landbrugsareal - resultat'!$B$5:$B$18)*(INDEX('Landbrugsareal - resultat'!$L$5:$N$18,,MATCH($D138,'Landbrugsareal - resultat'!$L$4:$N$4,0)))),IF(I$2=2030,SUMPRODUCT(($B138='Landbrugsareal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resultat'!$R$4:$T$4,0))))))),IF($C138="Konventionel",IF(I$2=2019,SUMPRODUCT((C138='Landbrugsareal - resultat'!$B$32:$B$45)*(INDEX('Landbrugsareal - resultat'!$C$32:$E$45,,MATCH($D138,'Landbrugsareal - resultat'!$C$4:$E$4,0)))),IF(I$2=2030,SUMPRODUCT(($B138='Landbrugsareal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resultat'!$I$4:$K$4,0)))))),IF(I$2=2019,SUMPRODUCT(($B138='Landbrugsareal - resultat'!$B$32:$B$45)*(INDEX('Landbrugsareal - resultat'!$L$32:$N$45,,MATCH($D138,'Landbrugsareal - resultat'!$L$4:$N$4,0)))),IF(I$2=2030,SUMPRODUCT(($B138='Landbrugsareal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2357.0281241812504</v>
      </c>
    </row>
    <row r="139" spans="1:9" hidden="1" x14ac:dyDescent="0.55000000000000004">
      <c r="A139" t="s">
        <v>24</v>
      </c>
      <c r="B139" s="1" t="str">
        <f>[1]Afgrødefordeling!$C$12</f>
        <v>Frø</v>
      </c>
      <c r="C139" t="s">
        <v>8</v>
      </c>
      <c r="D139" t="str">
        <f t="shared" si="11"/>
        <v>JB1-10</v>
      </c>
      <c r="F139" t="str">
        <f t="shared" si="12"/>
        <v>Areal-frøgræs</v>
      </c>
      <c r="G139" s="97" cm="1">
        <f t="array" ref="G139">IF($A139="Vestdanmark",IF($C139="Konventionel",IF(G$2=2019,SUMPRODUCT(($B139='Landbrugsareal - resultat'!$B$5:$B$18)*(INDEX('Landbrugsareal - resultat'!$C$5:$E$18,,MATCH($D139,'Landbrugsareal - resultat'!$C$4:$E$4,0)))),IF(G$2=2030,SUMPRODUCT(($B139='Landbrugsareal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resultat'!$I$4:$K$4,0)))))),IF(G$2=2019,SUMPRODUCT(($B139='Landbrugsareal - resultat'!$B$5:$B$18)*(INDEX('Landbrugsareal - resultat'!$L$5:$N$18,,MATCH($D139,'Landbrugsareal - resultat'!$L$4:$N$4,0)))),IF(G$2=2030,SUMPRODUCT(($B139='Landbrugsareal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resultat'!$R$4:$T$4,0))))))),IF($C139="Konventionel",IF(G$2=2019,SUMPRODUCT((B139='Landbrugsareal - resultat'!$B$32:$B$45)*(INDEX('Landbrugsareal - resultat'!$C$32:$E$45,,MATCH($D139,'Landbrugsareal - resultat'!$C$4:$E$4,0)))),IF(G$2=2030,SUMPRODUCT(($B139='Landbrugsareal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resultat'!$I$4:$K$4,0)))))),IF(G$2=2019,SUMPRODUCT(($B139='Landbrugsareal - resultat'!$B$32:$B$45)*(INDEX('Landbrugsareal - resultat'!$L$32:$N$45,,MATCH($D139,'Landbrugsareal - resultat'!$L$4:$N$4,0)))),IF(G$2=2030,SUMPRODUCT(($B139='Landbrugsareal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4773.7285911047593</v>
      </c>
      <c r="H139" s="97" cm="1">
        <f t="array" ref="H139">IF($A139="Vestdanmark",IF($C139="Konventionel",IF(H$2=2019,SUMPRODUCT(($B139='Landbrugsareal - resultat'!$B$5:$B$18)*(INDEX('Landbrugsareal - resultat'!$C$5:$E$18,,MATCH($D139,'Landbrugsareal - resultat'!$C$4:$E$4,0)))),IF(H$2=2030,SUMPRODUCT(($B139='Landbrugsareal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resultat'!$I$4:$K$4,0)))))),IF(H$2=2019,SUMPRODUCT(($B139='Landbrugsareal - resultat'!$B$5:$B$18)*(INDEX('Landbrugsareal - resultat'!$L$5:$N$18,,MATCH($D139,'Landbrugsareal - resultat'!$L$4:$N$4,0)))),IF(H$2=2030,SUMPRODUCT(($B139='Landbrugsareal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resultat'!$R$4:$T$4,0))))))),IF($C139="Konventionel",IF(H$2=2019,SUMPRODUCT(($B139='Landbrugsareal - resultat'!$B$32:$B$45)*(INDEX('Landbrugsareal - resultat'!$C$32:$E$45,,MATCH($D139,'Landbrugsareal - resultat'!$C$4:$E$4,0)))),IF(H$2=2030,SUMPRODUCT(($B139='Landbrugsareal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resultat'!$I$4:$K$4,0)))))),IF(H$2=2019,SUMPRODUCT(($B139='Landbrugsareal - resultat'!$B$32:$B$45)*(INDEX('Landbrugsareal - resultat'!$L$32:$N$45,,MATCH($D139,'Landbrugsareal - resultat'!$L$4:$N$4,0)))),IF(H$2=2030,SUMPRODUCT(($B139='Landbrugsareal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5663.7638560625701</v>
      </c>
      <c r="I139" s="97" cm="1">
        <f t="array" ref="I139">IF($A139="Vestdanmark",IF($C139="Konventionel",IF(I$2=2019,SUMPRODUCT(($B139='Landbrugsareal - resultat'!$B$5:$B$18)*(INDEX('Landbrugsareal - resultat'!$C$5:$E$18,,MATCH($D139,'Landbrugsareal - resultat'!$C$4:$E$4,0)))),IF(I$2=2030,SUMPRODUCT(($B139='Landbrugsareal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resultat'!$I$4:$K$4,0)))))),IF(I$2=2019,SUMPRODUCT(($B139='Landbrugsareal - resultat'!$B$5:$B$18)*(INDEX('Landbrugsareal - resultat'!$L$5:$N$18,,MATCH($D139,'Landbrugsareal - resultat'!$L$4:$N$4,0)))),IF(I$2=2030,SUMPRODUCT(($B139='Landbrugsareal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resultat'!$R$4:$T$4,0))))))),IF($C139="Konventionel",IF(I$2=2019,SUMPRODUCT((C139='Landbrugsareal - resultat'!$B$32:$B$45)*(INDEX('Landbrugsareal - resultat'!$C$32:$E$45,,MATCH($D139,'Landbrugsareal - resultat'!$C$4:$E$4,0)))),IF(I$2=2030,SUMPRODUCT(($B139='Landbrugsareal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resultat'!$I$4:$K$4,0)))))),IF(I$2=2019,SUMPRODUCT(($B139='Landbrugsareal - resultat'!$B$32:$B$45)*(INDEX('Landbrugsareal - resultat'!$L$32:$N$45,,MATCH($D139,'Landbrugsareal - resultat'!$L$4:$N$4,0)))),IF(I$2=2030,SUMPRODUCT(($B139='Landbrugsareal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7292.5754964791595</v>
      </c>
    </row>
    <row r="140" spans="1:9" hidden="1" x14ac:dyDescent="0.55000000000000004">
      <c r="A140" t="s">
        <v>24</v>
      </c>
      <c r="B140" s="1" t="str">
        <f>[1]Afgrødefordeling!$C$13</f>
        <v>Juletræer</v>
      </c>
      <c r="C140" t="s">
        <v>8</v>
      </c>
      <c r="D140" t="str">
        <f t="shared" si="11"/>
        <v>JB1-10</v>
      </c>
      <c r="F140" t="str">
        <f t="shared" si="12"/>
        <v>Areal-juletræer</v>
      </c>
      <c r="G140" s="97" cm="1">
        <f t="array" ref="G140">IF($A140="Vestdanmark",IF($C140="Konventionel",IF(G$2=2019,SUMPRODUCT(($B140='Landbrugsareal - resultat'!$B$5:$B$18)*(INDEX('Landbrugsareal - resultat'!$C$5:$E$18,,MATCH($D140,'Landbrugsareal - resultat'!$C$4:$E$4,0)))),IF(G$2=2030,SUMPRODUCT(($B140='Landbrugsareal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resultat'!$I$4:$K$4,0)))))),IF(G$2=2019,SUMPRODUCT(($B140='Landbrugsareal - resultat'!$B$5:$B$18)*(INDEX('Landbrugsareal - resultat'!$L$5:$N$18,,MATCH($D140,'Landbrugsareal - resultat'!$L$4:$N$4,0)))),IF(G$2=2030,SUMPRODUCT(($B140='Landbrugsareal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resultat'!$R$4:$T$4,0))))))),IF($C140="Konventionel",IF(G$2=2019,SUMPRODUCT((B140='Landbrugsareal - resultat'!$B$32:$B$45)*(INDEX('Landbrugsareal - resultat'!$C$32:$E$45,,MATCH($D140,'Landbrugsareal - resultat'!$C$4:$E$4,0)))),IF(G$2=2030,SUMPRODUCT(($B140='Landbrugsareal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resultat'!$I$4:$K$4,0)))))),IF(G$2=2019,SUMPRODUCT(($B140='Landbrugsareal - resultat'!$B$32:$B$45)*(INDEX('Landbrugsareal - resultat'!$L$32:$N$45,,MATCH($D140,'Landbrugsareal - resultat'!$L$4:$N$4,0)))),IF(G$2=2030,SUMPRODUCT(($B140='Landbrugsareal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338.59556228136813</v>
      </c>
      <c r="H140" s="97" cm="1">
        <f t="array" ref="H140">IF($A140="Vestdanmark",IF($C140="Konventionel",IF(H$2=2019,SUMPRODUCT(($B140='Landbrugsareal - resultat'!$B$5:$B$18)*(INDEX('Landbrugsareal - resultat'!$C$5:$E$18,,MATCH($D140,'Landbrugsareal - resultat'!$C$4:$E$4,0)))),IF(H$2=2030,SUMPRODUCT(($B140='Landbrugsareal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resultat'!$I$4:$K$4,0)))))),IF(H$2=2019,SUMPRODUCT(($B140='Landbrugsareal - resultat'!$B$5:$B$18)*(INDEX('Landbrugsareal - resultat'!$L$5:$N$18,,MATCH($D140,'Landbrugsareal - resultat'!$L$4:$N$4,0)))),IF(H$2=2030,SUMPRODUCT(($B140='Landbrugsareal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resultat'!$R$4:$T$4,0))))))),IF($C140="Konventionel",IF(H$2=2019,SUMPRODUCT(($B140='Landbrugsareal - resultat'!$B$32:$B$45)*(INDEX('Landbrugsareal - resultat'!$C$32:$E$45,,MATCH($D140,'Landbrugsareal - resultat'!$C$4:$E$4,0)))),IF(H$2=2030,SUMPRODUCT(($B140='Landbrugsareal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resultat'!$I$4:$K$4,0)))))),IF(H$2=2019,SUMPRODUCT(($B140='Landbrugsareal - resultat'!$B$32:$B$45)*(INDEX('Landbrugsareal - resultat'!$L$32:$N$45,,MATCH($D140,'Landbrugsareal - resultat'!$L$4:$N$4,0)))),IF(H$2=2030,SUMPRODUCT(($B140='Landbrugsareal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401.72483015599897</v>
      </c>
      <c r="I140" s="97" cm="1">
        <f t="array" ref="I140">IF($A140="Vestdanmark",IF($C140="Konventionel",IF(I$2=2019,SUMPRODUCT(($B140='Landbrugsareal - resultat'!$B$5:$B$18)*(INDEX('Landbrugsareal - resultat'!$C$5:$E$18,,MATCH($D140,'Landbrugsareal - resultat'!$C$4:$E$4,0)))),IF(I$2=2030,SUMPRODUCT(($B140='Landbrugsareal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resultat'!$I$4:$K$4,0)))))),IF(I$2=2019,SUMPRODUCT(($B140='Landbrugsareal - resultat'!$B$5:$B$18)*(INDEX('Landbrugsareal - resultat'!$L$5:$N$18,,MATCH($D140,'Landbrugsareal - resultat'!$L$4:$N$4,0)))),IF(I$2=2030,SUMPRODUCT(($B140='Landbrugsareal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resultat'!$R$4:$T$4,0))))))),IF($C140="Konventionel",IF(I$2=2019,SUMPRODUCT((C140='Landbrugsareal - resultat'!$B$32:$B$45)*(INDEX('Landbrugsareal - resultat'!$C$32:$E$45,,MATCH($D140,'Landbrugsareal - resultat'!$C$4:$E$4,0)))),IF(I$2=2030,SUMPRODUCT(($B140='Landbrugsareal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resultat'!$I$4:$K$4,0)))))),IF(I$2=2019,SUMPRODUCT(($B140='Landbrugsareal - resultat'!$B$32:$B$45)*(INDEX('Landbrugsareal - resultat'!$L$32:$N$45,,MATCH($D140,'Landbrugsareal - resultat'!$L$4:$N$4,0)))),IF(I$2=2030,SUMPRODUCT(($B140='Landbrugsareal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517.25473151339054</v>
      </c>
    </row>
    <row r="141" spans="1:9" hidden="1" x14ac:dyDescent="0.55000000000000004">
      <c r="A141" t="s">
        <v>24</v>
      </c>
      <c r="B141" s="1" t="str">
        <f>[1]Afgrødefordeling!$C$14</f>
        <v>Pil &amp; poppel</v>
      </c>
      <c r="C141" t="s">
        <v>8</v>
      </c>
      <c r="D141" t="str">
        <f t="shared" si="11"/>
        <v>JB1-10</v>
      </c>
      <c r="F141" t="str">
        <f t="shared" si="12"/>
        <v>Areal-pil-poppel</v>
      </c>
      <c r="G141" s="97" cm="1">
        <f t="array" ref="G141">IF($A141="Vestdanmark",IF($C141="Konventionel",IF(G$2=2019,SUMPRODUCT(($B141='Landbrugsareal - resultat'!$B$5:$B$18)*(INDEX('Landbrugsareal - resultat'!$C$5:$E$18,,MATCH($D141,'Landbrugsareal - resultat'!$C$4:$E$4,0)))),IF(G$2=2030,SUMPRODUCT(($B141='Landbrugsareal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resultat'!$I$4:$K$4,0)))))),IF(G$2=2019,SUMPRODUCT(($B141='Landbrugsareal - resultat'!$B$5:$B$18)*(INDEX('Landbrugsareal - resultat'!$L$5:$N$18,,MATCH($D141,'Landbrugsareal - resultat'!$L$4:$N$4,0)))),IF(G$2=2030,SUMPRODUCT(($B141='Landbrugsareal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resultat'!$R$4:$T$4,0))))))),IF($C141="Konventionel",IF(G$2=2019,SUMPRODUCT((B141='Landbrugsareal - resultat'!$B$32:$B$45)*(INDEX('Landbrugsareal - resultat'!$C$32:$E$45,,MATCH($D141,'Landbrugsareal - resultat'!$C$4:$E$4,0)))),IF(G$2=2030,SUMPRODUCT(($B141='Landbrugsareal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resultat'!$I$4:$K$4,0)))))),IF(G$2=2019,SUMPRODUCT(($B141='Landbrugsareal - resultat'!$B$32:$B$45)*(INDEX('Landbrugsareal - resultat'!$L$32:$N$45,,MATCH($D141,'Landbrugsareal - resultat'!$L$4:$N$4,0)))),IF(G$2=2030,SUMPRODUCT(($B141='Landbrugsareal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160.94667615908057</v>
      </c>
      <c r="H141" s="97" cm="1">
        <f t="array" ref="H141">IF($A141="Vestdanmark",IF($C141="Konventionel",IF(H$2=2019,SUMPRODUCT(($B141='Landbrugsareal - resultat'!$B$5:$B$18)*(INDEX('Landbrugsareal - resultat'!$C$5:$E$18,,MATCH($D141,'Landbrugsareal - resultat'!$C$4:$E$4,0)))),IF(H$2=2030,SUMPRODUCT(($B141='Landbrugsareal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resultat'!$I$4:$K$4,0)))))),IF(H$2=2019,SUMPRODUCT(($B141='Landbrugsareal - resultat'!$B$5:$B$18)*(INDEX('Landbrugsareal - resultat'!$L$5:$N$18,,MATCH($D141,'Landbrugsareal - resultat'!$L$4:$N$4,0)))),IF(H$2=2030,SUMPRODUCT(($B141='Landbrugsareal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resultat'!$R$4:$T$4,0))))))),IF($C141="Konventionel",IF(H$2=2019,SUMPRODUCT(($B141='Landbrugsareal - resultat'!$B$32:$B$45)*(INDEX('Landbrugsareal - resultat'!$C$32:$E$45,,MATCH($D141,'Landbrugsareal - resultat'!$C$4:$E$4,0)))),IF(H$2=2030,SUMPRODUCT(($B141='Landbrugsareal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resultat'!$I$4:$K$4,0)))))),IF(H$2=2019,SUMPRODUCT(($B141='Landbrugsareal - resultat'!$B$32:$B$45)*(INDEX('Landbrugsareal - resultat'!$L$32:$N$45,,MATCH($D141,'Landbrugsareal - resultat'!$L$4:$N$4,0)))),IF(H$2=2030,SUMPRODUCT(($B141='Landbrugsareal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190.95429281040239</v>
      </c>
      <c r="I141" s="97" cm="1">
        <f t="array" ref="I141">IF($A141="Vestdanmark",IF($C141="Konventionel",IF(I$2=2019,SUMPRODUCT(($B141='Landbrugsareal - resultat'!$B$5:$B$18)*(INDEX('Landbrugsareal - resultat'!$C$5:$E$18,,MATCH($D141,'Landbrugsareal - resultat'!$C$4:$E$4,0)))),IF(I$2=2030,SUMPRODUCT(($B141='Landbrugsareal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resultat'!$I$4:$K$4,0)))))),IF(I$2=2019,SUMPRODUCT(($B141='Landbrugsareal - resultat'!$B$5:$B$18)*(INDEX('Landbrugsareal - resultat'!$L$5:$N$18,,MATCH($D141,'Landbrugsareal - resultat'!$L$4:$N$4,0)))),IF(I$2=2030,SUMPRODUCT(($B141='Landbrugsareal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resultat'!$R$4:$T$4,0))))))),IF($C141="Konventionel",IF(I$2=2019,SUMPRODUCT((C141='Landbrugsareal - resultat'!$B$32:$B$45)*(INDEX('Landbrugsareal - resultat'!$C$32:$E$45,,MATCH($D141,'Landbrugsareal - resultat'!$C$4:$E$4,0)))),IF(I$2=2030,SUMPRODUCT(($B141='Landbrugsareal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resultat'!$I$4:$K$4,0)))))),IF(I$2=2019,SUMPRODUCT(($B141='Landbrugsareal - resultat'!$B$32:$B$45)*(INDEX('Landbrugsareal - resultat'!$L$32:$N$45,,MATCH($D141,'Landbrugsareal - resultat'!$L$4:$N$4,0)))),IF(I$2=2030,SUMPRODUCT(($B141='Landbrugsareal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245.86981944984234</v>
      </c>
    </row>
    <row r="142" spans="1:9" hidden="1" x14ac:dyDescent="0.55000000000000004">
      <c r="A142" t="s">
        <v>24</v>
      </c>
      <c r="B142" s="1" t="str">
        <f>[1]Afgrødefordeling!$C$15</f>
        <v>Permanent græs</v>
      </c>
      <c r="C142" t="s">
        <v>8</v>
      </c>
      <c r="D142" t="str">
        <f t="shared" si="11"/>
        <v>JB1-10</v>
      </c>
      <c r="F142" t="str">
        <f t="shared" si="12"/>
        <v>Areal-permanent græs</v>
      </c>
      <c r="G142" s="97" cm="1">
        <f t="array" ref="G142">IF($A142="Vestdanmark",IF($C142="Konventionel",IF(G$2=2019,SUMPRODUCT(($B142='Landbrugsareal - resultat'!$B$5:$B$18)*(INDEX('Landbrugsareal - resultat'!$C$5:$E$18,,MATCH($D142,'Landbrugsareal - resultat'!$C$4:$E$4,0)))),IF(G$2=2030,SUMPRODUCT(($B142='Landbrugsareal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resultat'!$I$4:$K$4,0)))))),IF(G$2=2019,SUMPRODUCT(($B142='Landbrugsareal - resultat'!$B$5:$B$18)*(INDEX('Landbrugsareal - resultat'!$L$5:$N$18,,MATCH($D142,'Landbrugsareal - resultat'!$L$4:$N$4,0)))),IF(G$2=2030,SUMPRODUCT(($B142='Landbrugsareal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resultat'!$R$4:$T$4,0))))))),IF($C142="Konventionel",IF(G$2=2019,SUMPRODUCT((B142='Landbrugsareal - resultat'!$B$32:$B$45)*(INDEX('Landbrugsareal - resultat'!$C$32:$E$45,,MATCH($D142,'Landbrugsareal - resultat'!$C$4:$E$4,0)))),IF(G$2=2030,SUMPRODUCT(($B142='Landbrugsareal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resultat'!$I$4:$K$4,0)))))),IF(G$2=2019,SUMPRODUCT(($B142='Landbrugsareal - resultat'!$B$32:$B$45)*(INDEX('Landbrugsareal - resultat'!$L$32:$N$45,,MATCH($D142,'Landbrugsareal - resultat'!$L$4:$N$4,0)))),IF(G$2=2030,SUMPRODUCT(($B142='Landbrugsareal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4008.7323870971445</v>
      </c>
      <c r="H142" s="97" cm="1">
        <f t="array" ref="H142">IF($A142="Vestdanmark",IF($C142="Konventionel",IF(H$2=2019,SUMPRODUCT(($B142='Landbrugsareal - resultat'!$B$5:$B$18)*(INDEX('Landbrugsareal - resultat'!$C$5:$E$18,,MATCH($D142,'Landbrugsareal - resultat'!$C$4:$E$4,0)))),IF(H$2=2030,SUMPRODUCT(($B142='Landbrugsareal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resultat'!$I$4:$K$4,0)))))),IF(H$2=2019,SUMPRODUCT(($B142='Landbrugsareal - resultat'!$B$5:$B$18)*(INDEX('Landbrugsareal - resultat'!$L$5:$N$18,,MATCH($D142,'Landbrugsareal - resultat'!$L$4:$N$4,0)))),IF(H$2=2030,SUMPRODUCT(($B142='Landbrugsareal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resultat'!$R$4:$T$4,0))))))),IF($C142="Konventionel",IF(H$2=2019,SUMPRODUCT(($B142='Landbrugsareal - resultat'!$B$32:$B$45)*(INDEX('Landbrugsareal - resultat'!$C$32:$E$45,,MATCH($D142,'Landbrugsareal - resultat'!$C$4:$E$4,0)))),IF(H$2=2030,SUMPRODUCT(($B142='Landbrugsareal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resultat'!$I$4:$K$4,0)))))),IF(H$2=2019,SUMPRODUCT(($B142='Landbrugsareal - resultat'!$B$32:$B$45)*(INDEX('Landbrugsareal - resultat'!$L$32:$N$45,,MATCH($D142,'Landbrugsareal - resultat'!$L$4:$N$4,0)))),IF(H$2=2030,SUMPRODUCT(($B142='Landbrugsareal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4756.138345396349</v>
      </c>
      <c r="I142" s="97" cm="1">
        <f t="array" ref="I142">IF($A142="Vestdanmark",IF($C142="Konventionel",IF(I$2=2019,SUMPRODUCT(($B142='Landbrugsareal - resultat'!$B$5:$B$18)*(INDEX('Landbrugsareal - resultat'!$C$5:$E$18,,MATCH($D142,'Landbrugsareal - resultat'!$C$4:$E$4,0)))),IF(I$2=2030,SUMPRODUCT(($B142='Landbrugsareal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resultat'!$I$4:$K$4,0)))))),IF(I$2=2019,SUMPRODUCT(($B142='Landbrugsareal - resultat'!$B$5:$B$18)*(INDEX('Landbrugsareal - resultat'!$L$5:$N$18,,MATCH($D142,'Landbrugsareal - resultat'!$L$4:$N$4,0)))),IF(I$2=2030,SUMPRODUCT(($B142='Landbrugsareal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resultat'!$R$4:$T$4,0))))))),IF($C142="Konventionel",IF(I$2=2019,SUMPRODUCT((C142='Landbrugsareal - resultat'!$B$32:$B$45)*(INDEX('Landbrugsareal - resultat'!$C$32:$E$45,,MATCH($D142,'Landbrugsareal - resultat'!$C$4:$E$4,0)))),IF(I$2=2030,SUMPRODUCT(($B142='Landbrugsareal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resultat'!$I$4:$K$4,0)))))),IF(I$2=2019,SUMPRODUCT(($B142='Landbrugsareal - resultat'!$B$32:$B$45)*(INDEX('Landbrugsareal - resultat'!$L$32:$N$45,,MATCH($D142,'Landbrugsareal - resultat'!$L$4:$N$4,0)))),IF(I$2=2030,SUMPRODUCT(($B142='Landbrugsareal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6123.9308059031428</v>
      </c>
    </row>
    <row r="143" spans="1:9" hidden="1" x14ac:dyDescent="0.55000000000000004">
      <c r="A143" t="s">
        <v>24</v>
      </c>
      <c r="B143" s="1" t="str">
        <f>[1]Afgrødefordeling!$C$2</f>
        <v>Korn</v>
      </c>
      <c r="C143" t="s">
        <v>8</v>
      </c>
      <c r="D143" t="str">
        <f t="shared" ref="D143:D156" si="13">Organ6</f>
        <v>OC6</v>
      </c>
      <c r="F143" t="str">
        <f t="shared" si="12"/>
        <v>Areal-korn</v>
      </c>
      <c r="G143" s="97" cm="1">
        <f t="array" ref="G143">IF($A143="Vestdanmark",IF($C143="Konventionel",IF(G$2=2019,SUMPRODUCT(($B143='Landbrugsareal - resultat'!$B$5:$B$18)*(INDEX('Landbrugsareal - resultat'!$C$5:$E$18,,MATCH($D143,'Landbrugsareal - resultat'!$C$4:$E$4,0)))),IF(G$2=2030,SUMPRODUCT(($B143='Landbrugsareal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resultat'!$I$4:$K$4,0)))))),IF(G$2=2019,SUMPRODUCT(($B143='Landbrugsareal - resultat'!$B$5:$B$18)*(INDEX('Landbrugsareal - resultat'!$L$5:$N$18,,MATCH($D143,'Landbrugsareal - resultat'!$L$4:$N$4,0)))),IF(G$2=2030,SUMPRODUCT(($B143='Landbrugsareal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resultat'!$R$4:$T$4,0))))))),IF($C143="Konventionel",IF(G$2=2019,SUMPRODUCT((B143='Landbrugsareal - resultat'!$B$32:$B$45)*(INDEX('Landbrugsareal - resultat'!$C$32:$E$45,,MATCH($D143,'Landbrugsareal - resultat'!$C$4:$E$4,0)))),IF(G$2=2030,SUMPRODUCT(($B143='Landbrugsareal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resultat'!$I$4:$K$4,0)))))),IF(G$2=2019,SUMPRODUCT(($B143='Landbrugsareal - resultat'!$B$32:$B$45)*(INDEX('Landbrugsareal - resultat'!$L$32:$N$45,,MATCH($D143,'Landbrugsareal - resultat'!$L$4:$N$4,0)))),IF(G$2=2030,SUMPRODUCT(($B143='Landbrugsareal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424.7131637222576</v>
      </c>
      <c r="H143" s="97" cm="1">
        <f t="array" ref="H143">IF($A143="Vestdanmark",IF($C143="Konventionel",IF(H$2=2019,SUMPRODUCT(($B143='Landbrugsareal - resultat'!$B$5:$B$18)*(INDEX('Landbrugsareal - resultat'!$C$5:$E$18,,MATCH($D143,'Landbrugsareal - resultat'!$C$4:$E$4,0)))),IF(H$2=2030,SUMPRODUCT(($B143='Landbrugsareal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resultat'!$I$4:$K$4,0)))))),IF(H$2=2019,SUMPRODUCT(($B143='Landbrugsareal - resultat'!$B$5:$B$18)*(INDEX('Landbrugsareal - resultat'!$L$5:$N$18,,MATCH($D143,'Landbrugsareal - resultat'!$L$4:$N$4,0)))),IF(H$2=2030,SUMPRODUCT(($B143='Landbrugsareal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resultat'!$R$4:$T$4,0))))))),IF($C143="Konventionel",IF(H$2=2019,SUMPRODUCT(($B143='Landbrugsareal - resultat'!$B$32:$B$45)*(INDEX('Landbrugsareal - resultat'!$C$32:$E$45,,MATCH($D143,'Landbrugsareal - resultat'!$C$4:$E$4,0)))),IF(H$2=2030,SUMPRODUCT(($B143='Landbrugsareal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resultat'!$I$4:$K$4,0)))))),IF(H$2=2019,SUMPRODUCT(($B143='Landbrugsareal - resultat'!$B$32:$B$45)*(INDEX('Landbrugsareal - resultat'!$L$32:$N$45,,MATCH($D143,'Landbrugsareal - resultat'!$L$4:$N$4,0)))),IF(H$2=2030,SUMPRODUCT(($B143='Landbrugsareal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468.91589228895612</v>
      </c>
      <c r="I143" s="97" cm="1">
        <f t="array" ref="I143">IF($A143="Vestdanmark",IF($C143="Konventionel",IF(I$2=2019,SUMPRODUCT(($B143='Landbrugsareal - resultat'!$B$5:$B$18)*(INDEX('Landbrugsareal - resultat'!$C$5:$E$18,,MATCH($D143,'Landbrugsareal - resultat'!$C$4:$E$4,0)))),IF(I$2=2030,SUMPRODUCT(($B143='Landbrugsareal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resultat'!$I$4:$K$4,0)))))),IF(I$2=2019,SUMPRODUCT(($B143='Landbrugsareal - resultat'!$B$5:$B$18)*(INDEX('Landbrugsareal - resultat'!$L$5:$N$18,,MATCH($D143,'Landbrugsareal - resultat'!$L$4:$N$4,0)))),IF(I$2=2030,SUMPRODUCT(($B143='Landbrugsareal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resultat'!$R$4:$T$4,0))))))),IF($C143="Konventionel",IF(I$2=2019,SUMPRODUCT((C143='Landbrugsareal - resultat'!$B$32:$B$45)*(INDEX('Landbrugsareal - resultat'!$C$32:$E$45,,MATCH($D143,'Landbrugsareal - resultat'!$C$4:$E$4,0)))),IF(I$2=2030,SUMPRODUCT(($B143='Landbrugsareal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resultat'!$I$4:$K$4,0)))))),IF(I$2=2019,SUMPRODUCT(($B143='Landbrugsareal - resultat'!$B$32:$B$45)*(INDEX('Landbrugsareal - resultat'!$L$32:$N$45,,MATCH($D143,'Landbrugsareal - resultat'!$L$4:$N$4,0)))),IF(I$2=2030,SUMPRODUCT(($B143='Landbrugsareal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607.85393444864678</v>
      </c>
    </row>
    <row r="144" spans="1:9" hidden="1" x14ac:dyDescent="0.55000000000000004">
      <c r="A144" t="s">
        <v>24</v>
      </c>
      <c r="B144" s="1" t="str">
        <f>[1]Afgrødefordeling!$C$3</f>
        <v>Bælgsæd</v>
      </c>
      <c r="C144" t="s">
        <v>8</v>
      </c>
      <c r="D144" t="str">
        <f t="shared" si="13"/>
        <v>OC6</v>
      </c>
      <c r="F144" t="str">
        <f t="shared" si="12"/>
        <v>Areal-bælgsæd</v>
      </c>
      <c r="G144" s="97" cm="1">
        <f t="array" ref="G144">IF($A144="Vestdanmark",IF($C144="Konventionel",IF(G$2=2019,SUMPRODUCT(($B144='Landbrugsareal - resultat'!$B$5:$B$18)*(INDEX('Landbrugsareal - resultat'!$C$5:$E$18,,MATCH($D144,'Landbrugsareal - resultat'!$C$4:$E$4,0)))),IF(G$2=2030,SUMPRODUCT(($B144='Landbrugsareal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resultat'!$I$4:$K$4,0)))))),IF(G$2=2019,SUMPRODUCT(($B144='Landbrugsareal - resultat'!$B$5:$B$18)*(INDEX('Landbrugsareal - resultat'!$L$5:$N$18,,MATCH($D144,'Landbrugsareal - resultat'!$L$4:$N$4,0)))),IF(G$2=2030,SUMPRODUCT(($B144='Landbrugsareal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resultat'!$R$4:$T$4,0))))))),IF($C144="Konventionel",IF(G$2=2019,SUMPRODUCT((B144='Landbrugsareal - resultat'!$B$32:$B$45)*(INDEX('Landbrugsareal - resultat'!$C$32:$E$45,,MATCH($D144,'Landbrugsareal - resultat'!$C$4:$E$4,0)))),IF(G$2=2030,SUMPRODUCT(($B144='Landbrugsareal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resultat'!$I$4:$K$4,0)))))),IF(G$2=2019,SUMPRODUCT(($B144='Landbrugsareal - resultat'!$B$32:$B$45)*(INDEX('Landbrugsareal - resultat'!$L$32:$N$45,,MATCH($D144,'Landbrugsareal - resultat'!$L$4:$N$4,0)))),IF(G$2=2030,SUMPRODUCT(($B144='Landbrugsareal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11.484922843296186</v>
      </c>
      <c r="H144" s="97" cm="1">
        <f t="array" ref="H144">IF($A144="Vestdanmark",IF($C144="Konventionel",IF(H$2=2019,SUMPRODUCT(($B144='Landbrugsareal - resultat'!$B$5:$B$18)*(INDEX('Landbrugsareal - resultat'!$C$5:$E$18,,MATCH($D144,'Landbrugsareal - resultat'!$C$4:$E$4,0)))),IF(H$2=2030,SUMPRODUCT(($B144='Landbrugsareal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resultat'!$I$4:$K$4,0)))))),IF(H$2=2019,SUMPRODUCT(($B144='Landbrugsareal - resultat'!$B$5:$B$18)*(INDEX('Landbrugsareal - resultat'!$L$5:$N$18,,MATCH($D144,'Landbrugsareal - resultat'!$L$4:$N$4,0)))),IF(H$2=2030,SUMPRODUCT(($B144='Landbrugsareal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resultat'!$R$4:$T$4,0))))))),IF($C144="Konventionel",IF(H$2=2019,SUMPRODUCT(($B144='Landbrugsareal - resultat'!$B$32:$B$45)*(INDEX('Landbrugsareal - resultat'!$C$32:$E$45,,MATCH($D144,'Landbrugsareal - resultat'!$C$4:$E$4,0)))),IF(H$2=2030,SUMPRODUCT(($B144='Landbrugsareal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resultat'!$I$4:$K$4,0)))))),IF(H$2=2019,SUMPRODUCT(($B144='Landbrugsareal - resultat'!$B$32:$B$45)*(INDEX('Landbrugsareal - resultat'!$L$32:$N$45,,MATCH($D144,'Landbrugsareal - resultat'!$L$4:$N$4,0)))),IF(H$2=2030,SUMPRODUCT(($B144='Landbrugsareal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12.680235280995165</v>
      </c>
      <c r="I144" s="97" cm="1">
        <f t="array" ref="I144">IF($A144="Vestdanmark",IF($C144="Konventionel",IF(I$2=2019,SUMPRODUCT(($B144='Landbrugsareal - resultat'!$B$5:$B$18)*(INDEX('Landbrugsareal - resultat'!$C$5:$E$18,,MATCH($D144,'Landbrugsareal - resultat'!$C$4:$E$4,0)))),IF(I$2=2030,SUMPRODUCT(($B144='Landbrugsareal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resultat'!$I$4:$K$4,0)))))),IF(I$2=2019,SUMPRODUCT(($B144='Landbrugsareal - resultat'!$B$5:$B$18)*(INDEX('Landbrugsareal - resultat'!$L$5:$N$18,,MATCH($D144,'Landbrugsareal - resultat'!$L$4:$N$4,0)))),IF(I$2=2030,SUMPRODUCT(($B144='Landbrugsareal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resultat'!$R$4:$T$4,0))))))),IF($C144="Konventionel",IF(I$2=2019,SUMPRODUCT((C144='Landbrugsareal - resultat'!$B$32:$B$45)*(INDEX('Landbrugsareal - resultat'!$C$32:$E$45,,MATCH($D144,'Landbrugsareal - resultat'!$C$4:$E$4,0)))),IF(I$2=2030,SUMPRODUCT(($B144='Landbrugsareal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resultat'!$I$4:$K$4,0)))))),IF(I$2=2019,SUMPRODUCT(($B144='Landbrugsareal - resultat'!$B$32:$B$45)*(INDEX('Landbrugsareal - resultat'!$L$32:$N$45,,MATCH($D144,'Landbrugsareal - resultat'!$L$4:$N$4,0)))),IF(I$2=2030,SUMPRODUCT(($B144='Landbrugsareal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16.437342030919655</v>
      </c>
    </row>
    <row r="145" spans="1:9" hidden="1" x14ac:dyDescent="0.55000000000000004">
      <c r="A145" t="s">
        <v>24</v>
      </c>
      <c r="B145" s="1" t="str">
        <f>[1]Afgrødefordeling!$C$4</f>
        <v>Raps</v>
      </c>
      <c r="C145" t="s">
        <v>8</v>
      </c>
      <c r="D145" t="str">
        <f t="shared" si="13"/>
        <v>OC6</v>
      </c>
      <c r="F145" t="str">
        <f t="shared" si="12"/>
        <v>Areal-raps</v>
      </c>
      <c r="G145" s="97" cm="1">
        <f t="array" ref="G145">IF($A145="Vestdanmark",IF($C145="Konventionel",IF(G$2=2019,SUMPRODUCT(($B145='Landbrugsareal - resultat'!$B$5:$B$18)*(INDEX('Landbrugsareal - resultat'!$C$5:$E$18,,MATCH($D145,'Landbrugsareal - resultat'!$C$4:$E$4,0)))),IF(G$2=2030,SUMPRODUCT(($B145='Landbrugsareal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resultat'!$I$4:$K$4,0)))))),IF(G$2=2019,SUMPRODUCT(($B145='Landbrugsareal - resultat'!$B$5:$B$18)*(INDEX('Landbrugsareal - resultat'!$L$5:$N$18,,MATCH($D145,'Landbrugsareal - resultat'!$L$4:$N$4,0)))),IF(G$2=2030,SUMPRODUCT(($B145='Landbrugsareal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resultat'!$R$4:$T$4,0))))))),IF($C145="Konventionel",IF(G$2=2019,SUMPRODUCT((B145='Landbrugsareal - resultat'!$B$32:$B$45)*(INDEX('Landbrugsareal - resultat'!$C$32:$E$45,,MATCH($D145,'Landbrugsareal - resultat'!$C$4:$E$4,0)))),IF(G$2=2030,SUMPRODUCT(($B145='Landbrugsareal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resultat'!$I$4:$K$4,0)))))),IF(G$2=2019,SUMPRODUCT(($B145='Landbrugsareal - resultat'!$B$32:$B$45)*(INDEX('Landbrugsareal - resultat'!$L$32:$N$45,,MATCH($D145,'Landbrugsareal - resultat'!$L$4:$N$4,0)))),IF(G$2=2030,SUMPRODUCT(($B145='Landbrugsareal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46.389397462214085</v>
      </c>
      <c r="H145" s="97" cm="1">
        <f t="array" ref="H145">IF($A145="Vestdanmark",IF($C145="Konventionel",IF(H$2=2019,SUMPRODUCT(($B145='Landbrugsareal - resultat'!$B$5:$B$18)*(INDEX('Landbrugsareal - resultat'!$C$5:$E$18,,MATCH($D145,'Landbrugsareal - resultat'!$C$4:$E$4,0)))),IF(H$2=2030,SUMPRODUCT(($B145='Landbrugsareal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resultat'!$I$4:$K$4,0)))))),IF(H$2=2019,SUMPRODUCT(($B145='Landbrugsareal - resultat'!$B$5:$B$18)*(INDEX('Landbrugsareal - resultat'!$L$5:$N$18,,MATCH($D145,'Landbrugsareal - resultat'!$L$4:$N$4,0)))),IF(H$2=2030,SUMPRODUCT(($B145='Landbrugsareal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resultat'!$R$4:$T$4,0))))))),IF($C145="Konventionel",IF(H$2=2019,SUMPRODUCT(($B145='Landbrugsareal - resultat'!$B$32:$B$45)*(INDEX('Landbrugsareal - resultat'!$C$32:$E$45,,MATCH($D145,'Landbrugsareal - resultat'!$C$4:$E$4,0)))),IF(H$2=2030,SUMPRODUCT(($B145='Landbrugsareal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resultat'!$I$4:$K$4,0)))))),IF(H$2=2019,SUMPRODUCT(($B145='Landbrugsareal - resultat'!$B$32:$B$45)*(INDEX('Landbrugsareal - resultat'!$L$32:$N$45,,MATCH($D145,'Landbrugsareal - resultat'!$L$4:$N$4,0)))),IF(H$2=2030,SUMPRODUCT(($B145='Landbrugsareal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51.217451121826805</v>
      </c>
      <c r="I145" s="97" cm="1">
        <f t="array" ref="I145">IF($A145="Vestdanmark",IF($C145="Konventionel",IF(I$2=2019,SUMPRODUCT(($B145='Landbrugsareal - resultat'!$B$5:$B$18)*(INDEX('Landbrugsareal - resultat'!$C$5:$E$18,,MATCH($D145,'Landbrugsareal - resultat'!$C$4:$E$4,0)))),IF(I$2=2030,SUMPRODUCT(($B145='Landbrugsareal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resultat'!$I$4:$K$4,0)))))),IF(I$2=2019,SUMPRODUCT(($B145='Landbrugsareal - resultat'!$B$5:$B$18)*(INDEX('Landbrugsareal - resultat'!$L$5:$N$18,,MATCH($D145,'Landbrugsareal - resultat'!$L$4:$N$4,0)))),IF(I$2=2030,SUMPRODUCT(($B145='Landbrugsareal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resultat'!$R$4:$T$4,0))))))),IF($C145="Konventionel",IF(I$2=2019,SUMPRODUCT((C145='Landbrugsareal - resultat'!$B$32:$B$45)*(INDEX('Landbrugsareal - resultat'!$C$32:$E$45,,MATCH($D145,'Landbrugsareal - resultat'!$C$4:$E$4,0)))),IF(I$2=2030,SUMPRODUCT(($B145='Landbrugsareal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resultat'!$I$4:$K$4,0)))))),IF(I$2=2019,SUMPRODUCT(($B145='Landbrugsareal - resultat'!$B$32:$B$45)*(INDEX('Landbrugsareal - resultat'!$L$32:$N$45,,MATCH($D145,'Landbrugsareal - resultat'!$L$4:$N$4,0)))),IF(I$2=2030,SUMPRODUCT(($B145='Landbrugsareal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66.392992194960655</v>
      </c>
    </row>
    <row r="146" spans="1:9" hidden="1" x14ac:dyDescent="0.55000000000000004">
      <c r="A146" t="s">
        <v>24</v>
      </c>
      <c r="B146" s="1" t="str">
        <f>[1]Afgrødefordeling!$C$5</f>
        <v>Græs</v>
      </c>
      <c r="C146" t="s">
        <v>8</v>
      </c>
      <c r="D146" t="str">
        <f t="shared" si="13"/>
        <v>OC6</v>
      </c>
      <c r="F146" t="str">
        <f t="shared" si="12"/>
        <v>Areal-græs</v>
      </c>
      <c r="G146" s="97" cm="1">
        <f t="array" ref="G146">IF($A146="Vestdanmark",IF($C146="Konventionel",IF(G$2=2019,SUMPRODUCT(($B146='Landbrugsareal - resultat'!$B$5:$B$18)*(INDEX('Landbrugsareal - resultat'!$C$5:$E$18,,MATCH($D146,'Landbrugsareal - resultat'!$C$4:$E$4,0)))),IF(G$2=2030,SUMPRODUCT(($B146='Landbrugsareal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resultat'!$I$4:$K$4,0)))))),IF(G$2=2019,SUMPRODUCT(($B146='Landbrugsareal - resultat'!$B$5:$B$18)*(INDEX('Landbrugsareal - resultat'!$L$5:$N$18,,MATCH($D146,'Landbrugsareal - resultat'!$L$4:$N$4,0)))),IF(G$2=2030,SUMPRODUCT(($B146='Landbrugsareal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resultat'!$R$4:$T$4,0))))))),IF($C146="Konventionel",IF(G$2=2019,SUMPRODUCT((B146='Landbrugsareal - resultat'!$B$32:$B$45)*(INDEX('Landbrugsareal - resultat'!$C$32:$E$45,,MATCH($D146,'Landbrugsareal - resultat'!$C$4:$E$4,0)))),IF(G$2=2030,SUMPRODUCT(($B146='Landbrugsareal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resultat'!$I$4:$K$4,0)))))),IF(G$2=2019,SUMPRODUCT(($B146='Landbrugsareal - resultat'!$B$32:$B$45)*(INDEX('Landbrugsareal - resultat'!$L$32:$N$45,,MATCH($D146,'Landbrugsareal - resultat'!$L$4:$N$4,0)))),IF(G$2=2030,SUMPRODUCT(($B146='Landbrugsareal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136.4042658599414</v>
      </c>
      <c r="H146" s="97" cm="1">
        <f t="array" ref="H146">IF($A146="Vestdanmark",IF($C146="Konventionel",IF(H$2=2019,SUMPRODUCT(($B146='Landbrugsareal - resultat'!$B$5:$B$18)*(INDEX('Landbrugsareal - resultat'!$C$5:$E$18,,MATCH($D146,'Landbrugsareal - resultat'!$C$4:$E$4,0)))),IF(H$2=2030,SUMPRODUCT(($B146='Landbrugsareal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resultat'!$I$4:$K$4,0)))))),IF(H$2=2019,SUMPRODUCT(($B146='Landbrugsareal - resultat'!$B$5:$B$18)*(INDEX('Landbrugsareal - resultat'!$L$5:$N$18,,MATCH($D146,'Landbrugsareal - resultat'!$L$4:$N$4,0)))),IF(H$2=2030,SUMPRODUCT(($B146='Landbrugsareal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resultat'!$R$4:$T$4,0))))))),IF($C146="Konventionel",IF(H$2=2019,SUMPRODUCT(($B146='Landbrugsareal - resultat'!$B$32:$B$45)*(INDEX('Landbrugsareal - resultat'!$C$32:$E$45,,MATCH($D146,'Landbrugsareal - resultat'!$C$4:$E$4,0)))),IF(H$2=2030,SUMPRODUCT(($B146='Landbrugsareal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resultat'!$I$4:$K$4,0)))))),IF(H$2=2019,SUMPRODUCT(($B146='Landbrugsareal - resultat'!$B$32:$B$45)*(INDEX('Landbrugsareal - resultat'!$L$32:$N$45,,MATCH($D146,'Landbrugsareal - resultat'!$L$4:$N$4,0)))),IF(H$2=2030,SUMPRODUCT(($B146='Landbrugsareal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150.60076659070219</v>
      </c>
      <c r="I146" s="97" cm="1">
        <f t="array" ref="I146">IF($A146="Vestdanmark",IF($C146="Konventionel",IF(I$2=2019,SUMPRODUCT(($B146='Landbrugsareal - resultat'!$B$5:$B$18)*(INDEX('Landbrugsareal - resultat'!$C$5:$E$18,,MATCH($D146,'Landbrugsareal - resultat'!$C$4:$E$4,0)))),IF(I$2=2030,SUMPRODUCT(($B146='Landbrugsareal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resultat'!$I$4:$K$4,0)))))),IF(I$2=2019,SUMPRODUCT(($B146='Landbrugsareal - resultat'!$B$5:$B$18)*(INDEX('Landbrugsareal - resultat'!$L$5:$N$18,,MATCH($D146,'Landbrugsareal - resultat'!$L$4:$N$4,0)))),IF(I$2=2030,SUMPRODUCT(($B146='Landbrugsareal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resultat'!$R$4:$T$4,0))))))),IF($C146="Konventionel",IF(I$2=2019,SUMPRODUCT((C146='Landbrugsareal - resultat'!$B$32:$B$45)*(INDEX('Landbrugsareal - resultat'!$C$32:$E$45,,MATCH($D146,'Landbrugsareal - resultat'!$C$4:$E$4,0)))),IF(I$2=2030,SUMPRODUCT(($B146='Landbrugsareal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resultat'!$I$4:$K$4,0)))))),IF(I$2=2019,SUMPRODUCT(($B146='Landbrugsareal - resultat'!$B$32:$B$45)*(INDEX('Landbrugsareal - resultat'!$L$32:$N$45,,MATCH($D146,'Landbrugsareal - resultat'!$L$4:$N$4,0)))),IF(I$2=2030,SUMPRODUCT(($B146='Landbrugsareal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195.22321595091026</v>
      </c>
    </row>
    <row r="147" spans="1:9" hidden="1" x14ac:dyDescent="0.55000000000000004">
      <c r="A147" t="s">
        <v>24</v>
      </c>
      <c r="B147" s="1" t="str">
        <f>[1]Afgrødefordeling!$C$6</f>
        <v>Grøntsager</v>
      </c>
      <c r="C147" t="s">
        <v>8</v>
      </c>
      <c r="D147" t="str">
        <f t="shared" si="13"/>
        <v>OC6</v>
      </c>
      <c r="F147" t="str">
        <f t="shared" si="12"/>
        <v>Areal-grøntsager</v>
      </c>
      <c r="G147" s="97" cm="1">
        <f t="array" ref="G147">IF($A147="Vestdanmark",IF($C147="Konventionel",IF(G$2=2019,SUMPRODUCT(($B147='Landbrugsareal - resultat'!$B$5:$B$18)*(INDEX('Landbrugsareal - resultat'!$C$5:$E$18,,MATCH($D147,'Landbrugsareal - resultat'!$C$4:$E$4,0)))),IF(G$2=2030,SUMPRODUCT(($B147='Landbrugsareal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resultat'!$I$4:$K$4,0)))))),IF(G$2=2019,SUMPRODUCT(($B147='Landbrugsareal - resultat'!$B$5:$B$18)*(INDEX('Landbrugsareal - resultat'!$L$5:$N$18,,MATCH($D147,'Landbrugsareal - resultat'!$L$4:$N$4,0)))),IF(G$2=2030,SUMPRODUCT(($B147='Landbrugsareal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resultat'!$R$4:$T$4,0))))))),IF($C147="Konventionel",IF(G$2=2019,SUMPRODUCT((B147='Landbrugsareal - resultat'!$B$32:$B$45)*(INDEX('Landbrugsareal - resultat'!$C$32:$E$45,,MATCH($D147,'Landbrugsareal - resultat'!$C$4:$E$4,0)))),IF(G$2=2030,SUMPRODUCT(($B147='Landbrugsareal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resultat'!$I$4:$K$4,0)))))),IF(G$2=2019,SUMPRODUCT(($B147='Landbrugsareal - resultat'!$B$32:$B$45)*(INDEX('Landbrugsareal - resultat'!$L$32:$N$45,,MATCH($D147,'Landbrugsareal - resultat'!$L$4:$N$4,0)))),IF(G$2=2030,SUMPRODUCT(($B147='Landbrugsareal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2.5833490736869646</v>
      </c>
      <c r="H147" s="97" cm="1">
        <f t="array" ref="H147">IF($A147="Vestdanmark",IF($C147="Konventionel",IF(H$2=2019,SUMPRODUCT(($B147='Landbrugsareal - resultat'!$B$5:$B$18)*(INDEX('Landbrugsareal - resultat'!$C$5:$E$18,,MATCH($D147,'Landbrugsareal - resultat'!$C$4:$E$4,0)))),IF(H$2=2030,SUMPRODUCT(($B147='Landbrugsareal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resultat'!$I$4:$K$4,0)))))),IF(H$2=2019,SUMPRODUCT(($B147='Landbrugsareal - resultat'!$B$5:$B$18)*(INDEX('Landbrugsareal - resultat'!$L$5:$N$18,,MATCH($D147,'Landbrugsareal - resultat'!$L$4:$N$4,0)))),IF(H$2=2030,SUMPRODUCT(($B147='Landbrugsareal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resultat'!$R$4:$T$4,0))))))),IF($C147="Konventionel",IF(H$2=2019,SUMPRODUCT(($B147='Landbrugsareal - resultat'!$B$32:$B$45)*(INDEX('Landbrugsareal - resultat'!$C$32:$E$45,,MATCH($D147,'Landbrugsareal - resultat'!$C$4:$E$4,0)))),IF(H$2=2030,SUMPRODUCT(($B147='Landbrugsareal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resultat'!$I$4:$K$4,0)))))),IF(H$2=2019,SUMPRODUCT(($B147='Landbrugsareal - resultat'!$B$32:$B$45)*(INDEX('Landbrugsareal - resultat'!$L$32:$N$45,,MATCH($D147,'Landbrugsareal - resultat'!$L$4:$N$4,0)))),IF(H$2=2030,SUMPRODUCT(($B147='Landbrugsareal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2.8522154231460375</v>
      </c>
      <c r="I147" s="97" cm="1">
        <f t="array" ref="I147">IF($A147="Vestdanmark",IF($C147="Konventionel",IF(I$2=2019,SUMPRODUCT(($B147='Landbrugsareal - resultat'!$B$5:$B$18)*(INDEX('Landbrugsareal - resultat'!$C$5:$E$18,,MATCH($D147,'Landbrugsareal - resultat'!$C$4:$E$4,0)))),IF(I$2=2030,SUMPRODUCT(($B147='Landbrugsareal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resultat'!$I$4:$K$4,0)))))),IF(I$2=2019,SUMPRODUCT(($B147='Landbrugsareal - resultat'!$B$5:$B$18)*(INDEX('Landbrugsareal - resultat'!$L$5:$N$18,,MATCH($D147,'Landbrugsareal - resultat'!$L$4:$N$4,0)))),IF(I$2=2030,SUMPRODUCT(($B147='Landbrugsareal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resultat'!$R$4:$T$4,0))))))),IF($C147="Konventionel",IF(I$2=2019,SUMPRODUCT((C147='Landbrugsareal - resultat'!$B$32:$B$45)*(INDEX('Landbrugsareal - resultat'!$C$32:$E$45,,MATCH($D147,'Landbrugsareal - resultat'!$C$4:$E$4,0)))),IF(I$2=2030,SUMPRODUCT(($B147='Landbrugsareal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resultat'!$I$4:$K$4,0)))))),IF(I$2=2019,SUMPRODUCT(($B147='Landbrugsareal - resultat'!$B$32:$B$45)*(INDEX('Landbrugsareal - resultat'!$L$32:$N$45,,MATCH($D147,'Landbrugsareal - resultat'!$L$4:$N$4,0)))),IF(I$2=2030,SUMPRODUCT(($B147='Landbrugsareal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3.697316289263382</v>
      </c>
    </row>
    <row r="148" spans="1:9" hidden="1" x14ac:dyDescent="0.55000000000000004">
      <c r="A148" t="s">
        <v>24</v>
      </c>
      <c r="B148" s="1" t="str">
        <f>[1]Afgrødefordeling!$C$7</f>
        <v>Kartofler</v>
      </c>
      <c r="C148" t="s">
        <v>8</v>
      </c>
      <c r="D148" t="str">
        <f t="shared" si="13"/>
        <v>OC6</v>
      </c>
      <c r="F148" t="str">
        <f t="shared" si="12"/>
        <v>Areal-kartofler</v>
      </c>
      <c r="G148" s="97" cm="1">
        <f t="array" ref="G148">IF($A148="Vestdanmark",IF($C148="Konventionel",IF(G$2=2019,SUMPRODUCT(($B148='Landbrugsareal - resultat'!$B$5:$B$18)*(INDEX('Landbrugsareal - resultat'!$C$5:$E$18,,MATCH($D148,'Landbrugsareal - resultat'!$C$4:$E$4,0)))),IF(G$2=2030,SUMPRODUCT(($B148='Landbrugsareal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resultat'!$I$4:$K$4,0)))))),IF(G$2=2019,SUMPRODUCT(($B148='Landbrugsareal - resultat'!$B$5:$B$18)*(INDEX('Landbrugsareal - resultat'!$L$5:$N$18,,MATCH($D148,'Landbrugsareal - resultat'!$L$4:$N$4,0)))),IF(G$2=2030,SUMPRODUCT(($B148='Landbrugsareal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resultat'!$R$4:$T$4,0))))))),IF($C148="Konventionel",IF(G$2=2019,SUMPRODUCT((B148='Landbrugsareal - resultat'!$B$32:$B$45)*(INDEX('Landbrugsareal - resultat'!$C$32:$E$45,,MATCH($D148,'Landbrugsareal - resultat'!$C$4:$E$4,0)))),IF(G$2=2030,SUMPRODUCT(($B148='Landbrugsareal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resultat'!$I$4:$K$4,0)))))),IF(G$2=2019,SUMPRODUCT(($B148='Landbrugsareal - resultat'!$B$32:$B$45)*(INDEX('Landbrugsareal - resultat'!$L$32:$N$45,,MATCH($D148,'Landbrugsareal - resultat'!$L$4:$N$4,0)))),IF(G$2=2030,SUMPRODUCT(($B148='Landbrugsareal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4.3919298595914027</v>
      </c>
      <c r="H148" s="97" cm="1">
        <f t="array" ref="H148">IF($A148="Vestdanmark",IF($C148="Konventionel",IF(H$2=2019,SUMPRODUCT(($B148='Landbrugsareal - resultat'!$B$5:$B$18)*(INDEX('Landbrugsareal - resultat'!$C$5:$E$18,,MATCH($D148,'Landbrugsareal - resultat'!$C$4:$E$4,0)))),IF(H$2=2030,SUMPRODUCT(($B148='Landbrugsareal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resultat'!$I$4:$K$4,0)))))),IF(H$2=2019,SUMPRODUCT(($B148='Landbrugsareal - resultat'!$B$5:$B$18)*(INDEX('Landbrugsareal - resultat'!$L$5:$N$18,,MATCH($D148,'Landbrugsareal - resultat'!$L$4:$N$4,0)))),IF(H$2=2030,SUMPRODUCT(($B148='Landbrugsareal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resultat'!$R$4:$T$4,0))))))),IF($C148="Konventionel",IF(H$2=2019,SUMPRODUCT(($B148='Landbrugsareal - resultat'!$B$32:$B$45)*(INDEX('Landbrugsareal - resultat'!$C$32:$E$45,,MATCH($D148,'Landbrugsareal - resultat'!$C$4:$E$4,0)))),IF(H$2=2030,SUMPRODUCT(($B148='Landbrugsareal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resultat'!$I$4:$K$4,0)))))),IF(H$2=2019,SUMPRODUCT(($B148='Landbrugsareal - resultat'!$B$32:$B$45)*(INDEX('Landbrugsareal - resultat'!$L$32:$N$45,,MATCH($D148,'Landbrugsareal - resultat'!$L$4:$N$4,0)))),IF(H$2=2030,SUMPRODUCT(($B148='Landbrugsareal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4.8490272609671052</v>
      </c>
      <c r="I148" s="97" cm="1">
        <f t="array" ref="I148">IF($A148="Vestdanmark",IF($C148="Konventionel",IF(I$2=2019,SUMPRODUCT(($B148='Landbrugsareal - resultat'!$B$5:$B$18)*(INDEX('Landbrugsareal - resultat'!$C$5:$E$18,,MATCH($D148,'Landbrugsareal - resultat'!$C$4:$E$4,0)))),IF(I$2=2030,SUMPRODUCT(($B148='Landbrugsareal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resultat'!$I$4:$K$4,0)))))),IF(I$2=2019,SUMPRODUCT(($B148='Landbrugsareal - resultat'!$B$5:$B$18)*(INDEX('Landbrugsareal - resultat'!$L$5:$N$18,,MATCH($D148,'Landbrugsareal - resultat'!$L$4:$N$4,0)))),IF(I$2=2030,SUMPRODUCT(($B148='Landbrugsareal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resultat'!$R$4:$T$4,0))))))),IF($C148="Konventionel",IF(I$2=2019,SUMPRODUCT((C148='Landbrugsareal - resultat'!$B$32:$B$45)*(INDEX('Landbrugsareal - resultat'!$C$32:$E$45,,MATCH($D148,'Landbrugsareal - resultat'!$C$4:$E$4,0)))),IF(I$2=2030,SUMPRODUCT(($B148='Landbrugsareal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resultat'!$I$4:$K$4,0)))))),IF(I$2=2019,SUMPRODUCT(($B148='Landbrugsareal - resultat'!$B$32:$B$45)*(INDEX('Landbrugsareal - resultat'!$L$32:$N$45,,MATCH($D148,'Landbrugsareal - resultat'!$L$4:$N$4,0)))),IF(I$2=2030,SUMPRODUCT(($B148='Landbrugsareal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6.2857760790314314</v>
      </c>
    </row>
    <row r="149" spans="1:9" hidden="1" x14ac:dyDescent="0.55000000000000004">
      <c r="A149" t="s">
        <v>24</v>
      </c>
      <c r="B149" s="1" t="str">
        <f>[1]Afgrødefordeling!$C$8</f>
        <v>Roer</v>
      </c>
      <c r="C149" t="s">
        <v>8</v>
      </c>
      <c r="D149" t="str">
        <f t="shared" si="13"/>
        <v>OC6</v>
      </c>
      <c r="F149" t="str">
        <f t="shared" si="12"/>
        <v>Areal-roer</v>
      </c>
      <c r="G149" s="97" cm="1">
        <f t="array" ref="G149">IF($A149="Vestdanmark",IF($C149="Konventionel",IF(G$2=2019,SUMPRODUCT(($B149='Landbrugsareal - resultat'!$B$5:$B$18)*(INDEX('Landbrugsareal - resultat'!$C$5:$E$18,,MATCH($D149,'Landbrugsareal - resultat'!$C$4:$E$4,0)))),IF(G$2=2030,SUMPRODUCT(($B149='Landbrugsareal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resultat'!$I$4:$K$4,0)))))),IF(G$2=2019,SUMPRODUCT(($B149='Landbrugsareal - resultat'!$B$5:$B$18)*(INDEX('Landbrugsareal - resultat'!$L$5:$N$18,,MATCH($D149,'Landbrugsareal - resultat'!$L$4:$N$4,0)))),IF(G$2=2030,SUMPRODUCT(($B149='Landbrugsareal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resultat'!$R$4:$T$4,0))))))),IF($C149="Konventionel",IF(G$2=2019,SUMPRODUCT((B149='Landbrugsareal - resultat'!$B$32:$B$45)*(INDEX('Landbrugsareal - resultat'!$C$32:$E$45,,MATCH($D149,'Landbrugsareal - resultat'!$C$4:$E$4,0)))),IF(G$2=2030,SUMPRODUCT(($B149='Landbrugsareal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resultat'!$I$4:$K$4,0)))))),IF(G$2=2019,SUMPRODUCT(($B149='Landbrugsareal - resultat'!$B$32:$B$45)*(INDEX('Landbrugsareal - resultat'!$L$32:$N$45,,MATCH($D149,'Landbrugsareal - resultat'!$L$4:$N$4,0)))),IF(G$2=2030,SUMPRODUCT(($B149='Landbrugsareal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12.270128011576354</v>
      </c>
      <c r="H149" s="97" cm="1">
        <f t="array" ref="H149">IF($A149="Vestdanmark",IF($C149="Konventionel",IF(H$2=2019,SUMPRODUCT(($B149='Landbrugsareal - resultat'!$B$5:$B$18)*(INDEX('Landbrugsareal - resultat'!$C$5:$E$18,,MATCH($D149,'Landbrugsareal - resultat'!$C$4:$E$4,0)))),IF(H$2=2030,SUMPRODUCT(($B149='Landbrugsareal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resultat'!$I$4:$K$4,0)))))),IF(H$2=2019,SUMPRODUCT(($B149='Landbrugsareal - resultat'!$B$5:$B$18)*(INDEX('Landbrugsareal - resultat'!$L$5:$N$18,,MATCH($D149,'Landbrugsareal - resultat'!$L$4:$N$4,0)))),IF(H$2=2030,SUMPRODUCT(($B149='Landbrugsareal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resultat'!$R$4:$T$4,0))))))),IF($C149="Konventionel",IF(H$2=2019,SUMPRODUCT(($B149='Landbrugsareal - resultat'!$B$32:$B$45)*(INDEX('Landbrugsareal - resultat'!$C$32:$E$45,,MATCH($D149,'Landbrugsareal - resultat'!$C$4:$E$4,0)))),IF(H$2=2030,SUMPRODUCT(($B149='Landbrugsareal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resultat'!$I$4:$K$4,0)))))),IF(H$2=2019,SUMPRODUCT(($B149='Landbrugsareal - resultat'!$B$32:$B$45)*(INDEX('Landbrugsareal - resultat'!$L$32:$N$45,,MATCH($D149,'Landbrugsareal - resultat'!$L$4:$N$4,0)))),IF(H$2=2030,SUMPRODUCT(($B149='Landbrugsareal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13.547161982506061</v>
      </c>
      <c r="I149" s="97" cm="1">
        <f t="array" ref="I149">IF($A149="Vestdanmark",IF($C149="Konventionel",IF(I$2=2019,SUMPRODUCT(($B149='Landbrugsareal - resultat'!$B$5:$B$18)*(INDEX('Landbrugsareal - resultat'!$C$5:$E$18,,MATCH($D149,'Landbrugsareal - resultat'!$C$4:$E$4,0)))),IF(I$2=2030,SUMPRODUCT(($B149='Landbrugsareal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resultat'!$I$4:$K$4,0)))))),IF(I$2=2019,SUMPRODUCT(($B149='Landbrugsareal - resultat'!$B$5:$B$18)*(INDEX('Landbrugsareal - resultat'!$L$5:$N$18,,MATCH($D149,'Landbrugsareal - resultat'!$L$4:$N$4,0)))),IF(I$2=2030,SUMPRODUCT(($B149='Landbrugsareal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resultat'!$R$4:$T$4,0))))))),IF($C149="Konventionel",IF(I$2=2019,SUMPRODUCT((C149='Landbrugsareal - resultat'!$B$32:$B$45)*(INDEX('Landbrugsareal - resultat'!$C$32:$E$45,,MATCH($D149,'Landbrugsareal - resultat'!$C$4:$E$4,0)))),IF(I$2=2030,SUMPRODUCT(($B149='Landbrugsareal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resultat'!$I$4:$K$4,0)))))),IF(I$2=2019,SUMPRODUCT(($B149='Landbrugsareal - resultat'!$B$32:$B$45)*(INDEX('Landbrugsareal - resultat'!$L$32:$N$45,,MATCH($D149,'Landbrugsareal - resultat'!$L$4:$N$4,0)))),IF(I$2=2030,SUMPRODUCT(($B149='Landbrugsareal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17.561135903248598</v>
      </c>
    </row>
    <row r="150" spans="1:9" hidden="1" x14ac:dyDescent="0.55000000000000004">
      <c r="A150" t="s">
        <v>24</v>
      </c>
      <c r="B150" s="1" t="str">
        <f>[1]Afgrødefordeling!$C$9</f>
        <v>Majs</v>
      </c>
      <c r="C150" t="s">
        <v>8</v>
      </c>
      <c r="D150" t="str">
        <f t="shared" si="13"/>
        <v>OC6</v>
      </c>
      <c r="F150" t="str">
        <f t="shared" si="12"/>
        <v>Areal-majs</v>
      </c>
      <c r="G150" s="97" cm="1">
        <f t="array" ref="G150">IF($A150="Vestdanmark",IF($C150="Konventionel",IF(G$2=2019,SUMPRODUCT(($B150='Landbrugsareal - resultat'!$B$5:$B$18)*(INDEX('Landbrugsareal - resultat'!$C$5:$E$18,,MATCH($D150,'Landbrugsareal - resultat'!$C$4:$E$4,0)))),IF(G$2=2030,SUMPRODUCT(($B150='Landbrugsareal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resultat'!$I$4:$K$4,0)))))),IF(G$2=2019,SUMPRODUCT(($B150='Landbrugsareal - resultat'!$B$5:$B$18)*(INDEX('Landbrugsareal - resultat'!$L$5:$N$18,,MATCH($D150,'Landbrugsareal - resultat'!$L$4:$N$4,0)))),IF(G$2=2030,SUMPRODUCT(($B150='Landbrugsareal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resultat'!$R$4:$T$4,0))))))),IF($C150="Konventionel",IF(G$2=2019,SUMPRODUCT((B150='Landbrugsareal - resultat'!$B$32:$B$45)*(INDEX('Landbrugsareal - resultat'!$C$32:$E$45,,MATCH($D150,'Landbrugsareal - resultat'!$C$4:$E$4,0)))),IF(G$2=2030,SUMPRODUCT(($B150='Landbrugsareal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resultat'!$I$4:$K$4,0)))))),IF(G$2=2019,SUMPRODUCT(($B150='Landbrugsareal - resultat'!$B$32:$B$45)*(INDEX('Landbrugsareal - resultat'!$L$32:$N$45,,MATCH($D150,'Landbrugsareal - resultat'!$L$4:$N$4,0)))),IF(G$2=2030,SUMPRODUCT(($B150='Landbrugsareal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13.0818499502378</v>
      </c>
      <c r="H150" s="97" cm="1">
        <f t="array" ref="H150">IF($A150="Vestdanmark",IF($C150="Konventionel",IF(H$2=2019,SUMPRODUCT(($B150='Landbrugsareal - resultat'!$B$5:$B$18)*(INDEX('Landbrugsareal - resultat'!$C$5:$E$18,,MATCH($D150,'Landbrugsareal - resultat'!$C$4:$E$4,0)))),IF(H$2=2030,SUMPRODUCT(($B150='Landbrugsareal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resultat'!$I$4:$K$4,0)))))),IF(H$2=2019,SUMPRODUCT(($B150='Landbrugsareal - resultat'!$B$5:$B$18)*(INDEX('Landbrugsareal - resultat'!$L$5:$N$18,,MATCH($D150,'Landbrugsareal - resultat'!$L$4:$N$4,0)))),IF(H$2=2030,SUMPRODUCT(($B150='Landbrugsareal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resultat'!$R$4:$T$4,0))))))),IF($C150="Konventionel",IF(H$2=2019,SUMPRODUCT(($B150='Landbrugsareal - resultat'!$B$32:$B$45)*(INDEX('Landbrugsareal - resultat'!$C$32:$E$45,,MATCH($D150,'Landbrugsareal - resultat'!$C$4:$E$4,0)))),IF(H$2=2030,SUMPRODUCT(($B150='Landbrugsareal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resultat'!$I$4:$K$4,0)))))),IF(H$2=2019,SUMPRODUCT(($B150='Landbrugsareal - resultat'!$B$32:$B$45)*(INDEX('Landbrugsareal - resultat'!$L$32:$N$45,,MATCH($D150,'Landbrugsareal - resultat'!$L$4:$N$4,0)))),IF(H$2=2030,SUMPRODUCT(($B150='Landbrugsareal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14.443365231357719</v>
      </c>
      <c r="I150" s="97" cm="1">
        <f t="array" ref="I150">IF($A150="Vestdanmark",IF($C150="Konventionel",IF(I$2=2019,SUMPRODUCT(($B150='Landbrugsareal - resultat'!$B$5:$B$18)*(INDEX('Landbrugsareal - resultat'!$C$5:$E$18,,MATCH($D150,'Landbrugsareal - resultat'!$C$4:$E$4,0)))),IF(I$2=2030,SUMPRODUCT(($B150='Landbrugsareal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resultat'!$I$4:$K$4,0)))))),IF(I$2=2019,SUMPRODUCT(($B150='Landbrugsareal - resultat'!$B$5:$B$18)*(INDEX('Landbrugsareal - resultat'!$L$5:$N$18,,MATCH($D150,'Landbrugsareal - resultat'!$L$4:$N$4,0)))),IF(I$2=2030,SUMPRODUCT(($B150='Landbrugsareal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resultat'!$R$4:$T$4,0))))))),IF($C150="Konventionel",IF(I$2=2019,SUMPRODUCT((C150='Landbrugsareal - resultat'!$B$32:$B$45)*(INDEX('Landbrugsareal - resultat'!$C$32:$E$45,,MATCH($D150,'Landbrugsareal - resultat'!$C$4:$E$4,0)))),IF(I$2=2030,SUMPRODUCT(($B150='Landbrugsareal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resultat'!$I$4:$K$4,0)))))),IF(I$2=2019,SUMPRODUCT(($B150='Landbrugsareal - resultat'!$B$32:$B$45)*(INDEX('Landbrugsareal - resultat'!$L$32:$N$45,,MATCH($D150,'Landbrugsareal - resultat'!$L$4:$N$4,0)))),IF(I$2=2030,SUMPRODUCT(($B150='Landbrugsareal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18.722880855463707</v>
      </c>
    </row>
    <row r="151" spans="1:9" hidden="1" x14ac:dyDescent="0.55000000000000004">
      <c r="A151" t="s">
        <v>24</v>
      </c>
      <c r="B151" s="1" t="str">
        <f>[1]Afgrødefordeling!$C$10</f>
        <v>Frugt</v>
      </c>
      <c r="C151" t="s">
        <v>8</v>
      </c>
      <c r="D151" t="str">
        <f t="shared" si="13"/>
        <v>OC6</v>
      </c>
      <c r="F151" t="str">
        <f t="shared" si="12"/>
        <v>Areal-frugt</v>
      </c>
      <c r="G151" s="97" cm="1">
        <f t="array" ref="G151">IF($A151="Vestdanmark",IF($C151="Konventionel",IF(G$2=2019,SUMPRODUCT(($B151='Landbrugsareal - resultat'!$B$5:$B$18)*(INDEX('Landbrugsareal - resultat'!$C$5:$E$18,,MATCH($D151,'Landbrugsareal - resultat'!$C$4:$E$4,0)))),IF(G$2=2030,SUMPRODUCT(($B151='Landbrugsareal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resultat'!$I$4:$K$4,0)))))),IF(G$2=2019,SUMPRODUCT(($B151='Landbrugsareal - resultat'!$B$5:$B$18)*(INDEX('Landbrugsareal - resultat'!$L$5:$N$18,,MATCH($D151,'Landbrugsareal - resultat'!$L$4:$N$4,0)))),IF(G$2=2030,SUMPRODUCT(($B151='Landbrugsareal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resultat'!$R$4:$T$4,0))))))),IF($C151="Konventionel",IF(G$2=2019,SUMPRODUCT((B151='Landbrugsareal - resultat'!$B$32:$B$45)*(INDEX('Landbrugsareal - resultat'!$C$32:$E$45,,MATCH($D151,'Landbrugsareal - resultat'!$C$4:$E$4,0)))),IF(G$2=2030,SUMPRODUCT(($B151='Landbrugsareal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resultat'!$I$4:$K$4,0)))))),IF(G$2=2019,SUMPRODUCT(($B151='Landbrugsareal - resultat'!$B$32:$B$45)*(INDEX('Landbrugsareal - resultat'!$L$32:$N$45,,MATCH($D151,'Landbrugsareal - resultat'!$L$4:$N$4,0)))),IF(G$2=2030,SUMPRODUCT(($B151='Landbrugsareal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2.8220239517940748</v>
      </c>
      <c r="H151" s="97" cm="1">
        <f t="array" ref="H151">IF($A151="Vestdanmark",IF($C151="Konventionel",IF(H$2=2019,SUMPRODUCT(($B151='Landbrugsareal - resultat'!$B$5:$B$18)*(INDEX('Landbrugsareal - resultat'!$C$5:$E$18,,MATCH($D151,'Landbrugsareal - resultat'!$C$4:$E$4,0)))),IF(H$2=2030,SUMPRODUCT(($B151='Landbrugsareal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resultat'!$I$4:$K$4,0)))))),IF(H$2=2019,SUMPRODUCT(($B151='Landbrugsareal - resultat'!$B$5:$B$18)*(INDEX('Landbrugsareal - resultat'!$L$5:$N$18,,MATCH($D151,'Landbrugsareal - resultat'!$L$4:$N$4,0)))),IF(H$2=2030,SUMPRODUCT(($B151='Landbrugsareal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resultat'!$R$4:$T$4,0))))))),IF($C151="Konventionel",IF(H$2=2019,SUMPRODUCT(($B151='Landbrugsareal - resultat'!$B$32:$B$45)*(INDEX('Landbrugsareal - resultat'!$C$32:$E$45,,MATCH($D151,'Landbrugsareal - resultat'!$C$4:$E$4,0)))),IF(H$2=2030,SUMPRODUCT(($B151='Landbrugsareal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resultat'!$I$4:$K$4,0)))))),IF(H$2=2019,SUMPRODUCT(($B151='Landbrugsareal - resultat'!$B$32:$B$45)*(INDEX('Landbrugsareal - resultat'!$L$32:$N$45,,MATCH($D151,'Landbrugsareal - resultat'!$L$4:$N$4,0)))),IF(H$2=2030,SUMPRODUCT(($B151='Landbrugsareal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3.1157307859704</v>
      </c>
      <c r="I151" s="97" cm="1">
        <f t="array" ref="I151">IF($A151="Vestdanmark",IF($C151="Konventionel",IF(I$2=2019,SUMPRODUCT(($B151='Landbrugsareal - resultat'!$B$5:$B$18)*(INDEX('Landbrugsareal - resultat'!$C$5:$E$18,,MATCH($D151,'Landbrugsareal - resultat'!$C$4:$E$4,0)))),IF(I$2=2030,SUMPRODUCT(($B151='Landbrugsareal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resultat'!$I$4:$K$4,0)))))),IF(I$2=2019,SUMPRODUCT(($B151='Landbrugsareal - resultat'!$B$5:$B$18)*(INDEX('Landbrugsareal - resultat'!$L$5:$N$18,,MATCH($D151,'Landbrugsareal - resultat'!$L$4:$N$4,0)))),IF(I$2=2030,SUMPRODUCT(($B151='Landbrugsareal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resultat'!$R$4:$T$4,0))))))),IF($C151="Konventionel",IF(I$2=2019,SUMPRODUCT((C151='Landbrugsareal - resultat'!$B$32:$B$45)*(INDEX('Landbrugsareal - resultat'!$C$32:$E$45,,MATCH($D151,'Landbrugsareal - resultat'!$C$4:$E$4,0)))),IF(I$2=2030,SUMPRODUCT(($B151='Landbrugsareal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resultat'!$I$4:$K$4,0)))))),IF(I$2=2019,SUMPRODUCT(($B151='Landbrugsareal - resultat'!$B$32:$B$45)*(INDEX('Landbrugsareal - resultat'!$L$32:$N$45,,MATCH($D151,'Landbrugsareal - resultat'!$L$4:$N$4,0)))),IF(I$2=2030,SUMPRODUCT(($B151='Landbrugsareal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4.0389102781097774</v>
      </c>
    </row>
    <row r="152" spans="1:9" hidden="1" x14ac:dyDescent="0.55000000000000004">
      <c r="A152" t="s">
        <v>24</v>
      </c>
      <c r="B152" s="1" t="str">
        <f>[1]Afgrødefordeling!$C$11</f>
        <v>Øvrige</v>
      </c>
      <c r="C152" t="s">
        <v>8</v>
      </c>
      <c r="D152" t="str">
        <f t="shared" si="13"/>
        <v>OC6</v>
      </c>
      <c r="F152" t="str">
        <f t="shared" si="12"/>
        <v>Areal-øvrige</v>
      </c>
      <c r="G152" s="97" cm="1">
        <f t="array" ref="G152">IF($A152="Vestdanmark",IF($C152="Konventionel",IF(G$2=2019,SUMPRODUCT(($B152='Landbrugsareal - resultat'!$B$5:$B$18)*(INDEX('Landbrugsareal - resultat'!$C$5:$E$18,,MATCH($D152,'Landbrugsareal - resultat'!$C$4:$E$4,0)))),IF(G$2=2030,SUMPRODUCT(($B152='Landbrugsareal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resultat'!$I$4:$K$4,0)))))),IF(G$2=2019,SUMPRODUCT(($B152='Landbrugsareal - resultat'!$B$5:$B$18)*(INDEX('Landbrugsareal - resultat'!$L$5:$N$18,,MATCH($D152,'Landbrugsareal - resultat'!$L$4:$N$4,0)))),IF(G$2=2030,SUMPRODUCT(($B152='Landbrugsareal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resultat'!$R$4:$T$4,0))))))),IF($C152="Konventionel",IF(G$2=2019,SUMPRODUCT((B152='Landbrugsareal - resultat'!$B$32:$B$45)*(INDEX('Landbrugsareal - resultat'!$C$32:$E$45,,MATCH($D152,'Landbrugsareal - resultat'!$C$4:$E$4,0)))),IF(G$2=2030,SUMPRODUCT(($B152='Landbrugsareal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resultat'!$I$4:$K$4,0)))))),IF(G$2=2019,SUMPRODUCT(($B152='Landbrugsareal - resultat'!$B$32:$B$45)*(INDEX('Landbrugsareal - resultat'!$L$32:$N$45,,MATCH($D152,'Landbrugsareal - resultat'!$L$4:$N$4,0)))),IF(G$2=2030,SUMPRODUCT(($B152='Landbrugsareal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20.15061973044347</v>
      </c>
      <c r="H152" s="97" cm="1">
        <f t="array" ref="H152">IF($A152="Vestdanmark",IF($C152="Konventionel",IF(H$2=2019,SUMPRODUCT(($B152='Landbrugsareal - resultat'!$B$5:$B$18)*(INDEX('Landbrugsareal - resultat'!$C$5:$E$18,,MATCH($D152,'Landbrugsareal - resultat'!$C$4:$E$4,0)))),IF(H$2=2030,SUMPRODUCT(($B152='Landbrugsareal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resultat'!$I$4:$K$4,0)))))),IF(H$2=2019,SUMPRODUCT(($B152='Landbrugsareal - resultat'!$B$5:$B$18)*(INDEX('Landbrugsareal - resultat'!$L$5:$N$18,,MATCH($D152,'Landbrugsareal - resultat'!$L$4:$N$4,0)))),IF(H$2=2030,SUMPRODUCT(($B152='Landbrugsareal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resultat'!$R$4:$T$4,0))))))),IF($C152="Konventionel",IF(H$2=2019,SUMPRODUCT(($B152='Landbrugsareal - resultat'!$B$32:$B$45)*(INDEX('Landbrugsareal - resultat'!$C$32:$E$45,,MATCH($D152,'Landbrugsareal - resultat'!$C$4:$E$4,0)))),IF(H$2=2030,SUMPRODUCT(($B152='Landbrugsareal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resultat'!$I$4:$K$4,0)))))),IF(H$2=2019,SUMPRODUCT(($B152='Landbrugsareal - resultat'!$B$32:$B$45)*(INDEX('Landbrugsareal - resultat'!$L$32:$N$45,,MATCH($D152,'Landbrugsareal - resultat'!$L$4:$N$4,0)))),IF(H$2=2030,SUMPRODUCT(($B152='Landbrugsareal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22.247828977713322</v>
      </c>
      <c r="I152" s="97" cm="1">
        <f t="array" ref="I152">IF($A152="Vestdanmark",IF($C152="Konventionel",IF(I$2=2019,SUMPRODUCT(($B152='Landbrugsareal - resultat'!$B$5:$B$18)*(INDEX('Landbrugsareal - resultat'!$C$5:$E$18,,MATCH($D152,'Landbrugsareal - resultat'!$C$4:$E$4,0)))),IF(I$2=2030,SUMPRODUCT(($B152='Landbrugsareal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resultat'!$I$4:$K$4,0)))))),IF(I$2=2019,SUMPRODUCT(($B152='Landbrugsareal - resultat'!$B$5:$B$18)*(INDEX('Landbrugsareal - resultat'!$L$5:$N$18,,MATCH($D152,'Landbrugsareal - resultat'!$L$4:$N$4,0)))),IF(I$2=2030,SUMPRODUCT(($B152='Landbrugsareal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resultat'!$R$4:$T$4,0))))))),IF($C152="Konventionel",IF(I$2=2019,SUMPRODUCT((C152='Landbrugsareal - resultat'!$B$32:$B$45)*(INDEX('Landbrugsareal - resultat'!$C$32:$E$45,,MATCH($D152,'Landbrugsareal - resultat'!$C$4:$E$4,0)))),IF(I$2=2030,SUMPRODUCT(($B152='Landbrugsareal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resultat'!$I$4:$K$4,0)))))),IF(I$2=2019,SUMPRODUCT(($B152='Landbrugsareal - resultat'!$B$32:$B$45)*(INDEX('Landbrugsareal - resultat'!$L$32:$N$45,,MATCH($D152,'Landbrugsareal - resultat'!$L$4:$N$4,0)))),IF(I$2=2030,SUMPRODUCT(($B152='Landbrugsareal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28.839778304443193</v>
      </c>
    </row>
    <row r="153" spans="1:9" hidden="1" x14ac:dyDescent="0.55000000000000004">
      <c r="A153" t="s">
        <v>24</v>
      </c>
      <c r="B153" s="1" t="str">
        <f>[1]Afgrødefordeling!$C$12</f>
        <v>Frø</v>
      </c>
      <c r="C153" t="s">
        <v>8</v>
      </c>
      <c r="D153" t="str">
        <f t="shared" si="13"/>
        <v>OC6</v>
      </c>
      <c r="F153" t="str">
        <f t="shared" si="12"/>
        <v>Areal-frøgræs</v>
      </c>
      <c r="G153" s="97" cm="1">
        <f t="array" ref="G153">IF($A153="Vestdanmark",IF($C153="Konventionel",IF(G$2=2019,SUMPRODUCT(($B153='Landbrugsareal - resultat'!$B$5:$B$18)*(INDEX('Landbrugsareal - resultat'!$C$5:$E$18,,MATCH($D153,'Landbrugsareal - resultat'!$C$4:$E$4,0)))),IF(G$2=2030,SUMPRODUCT(($B153='Landbrugsareal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resultat'!$I$4:$K$4,0)))))),IF(G$2=2019,SUMPRODUCT(($B153='Landbrugsareal - resultat'!$B$5:$B$18)*(INDEX('Landbrugsareal - resultat'!$L$5:$N$18,,MATCH($D153,'Landbrugsareal - resultat'!$L$4:$N$4,0)))),IF(G$2=2030,SUMPRODUCT(($B153='Landbrugsareal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resultat'!$R$4:$T$4,0))))))),IF($C153="Konventionel",IF(G$2=2019,SUMPRODUCT((B153='Landbrugsareal - resultat'!$B$32:$B$45)*(INDEX('Landbrugsareal - resultat'!$C$32:$E$45,,MATCH($D153,'Landbrugsareal - resultat'!$C$4:$E$4,0)))),IF(G$2=2030,SUMPRODUCT(($B153='Landbrugsareal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resultat'!$I$4:$K$4,0)))))),IF(G$2=2019,SUMPRODUCT(($B153='Landbrugsareal - resultat'!$B$32:$B$45)*(INDEX('Landbrugsareal - resultat'!$L$32:$N$45,,MATCH($D153,'Landbrugsareal - resultat'!$L$4:$N$4,0)))),IF(G$2=2030,SUMPRODUCT(($B153='Landbrugsareal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146.29254366537521</v>
      </c>
      <c r="H153" s="97" cm="1">
        <f t="array" ref="H153">IF($A153="Vestdanmark",IF($C153="Konventionel",IF(H$2=2019,SUMPRODUCT(($B153='Landbrugsareal - resultat'!$B$5:$B$18)*(INDEX('Landbrugsareal - resultat'!$C$5:$E$18,,MATCH($D153,'Landbrugsareal - resultat'!$C$4:$E$4,0)))),IF(H$2=2030,SUMPRODUCT(($B153='Landbrugsareal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resultat'!$I$4:$K$4,0)))))),IF(H$2=2019,SUMPRODUCT(($B153='Landbrugsareal - resultat'!$B$5:$B$18)*(INDEX('Landbrugsareal - resultat'!$L$5:$N$18,,MATCH($D153,'Landbrugsareal - resultat'!$L$4:$N$4,0)))),IF(H$2=2030,SUMPRODUCT(($B153='Landbrugsareal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resultat'!$R$4:$T$4,0))))))),IF($C153="Konventionel",IF(H$2=2019,SUMPRODUCT(($B153='Landbrugsareal - resultat'!$B$32:$B$45)*(INDEX('Landbrugsareal - resultat'!$C$32:$E$45,,MATCH($D153,'Landbrugsareal - resultat'!$C$4:$E$4,0)))),IF(H$2=2030,SUMPRODUCT(($B153='Landbrugsareal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resultat'!$I$4:$K$4,0)))))),IF(H$2=2019,SUMPRODUCT(($B153='Landbrugsareal - resultat'!$B$32:$B$45)*(INDEX('Landbrugsareal - resultat'!$L$32:$N$45,,MATCH($D153,'Landbrugsareal - resultat'!$L$4:$N$4,0)))),IF(H$2=2030,SUMPRODUCT(($B153='Landbrugsareal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161.51818334722239</v>
      </c>
      <c r="I153" s="97" cm="1">
        <f t="array" ref="I153">IF($A153="Vestdanmark",IF($C153="Konventionel",IF(I$2=2019,SUMPRODUCT(($B153='Landbrugsareal - resultat'!$B$5:$B$18)*(INDEX('Landbrugsareal - resultat'!$C$5:$E$18,,MATCH($D153,'Landbrugsareal - resultat'!$C$4:$E$4,0)))),IF(I$2=2030,SUMPRODUCT(($B153='Landbrugsareal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resultat'!$I$4:$K$4,0)))))),IF(I$2=2019,SUMPRODUCT(($B153='Landbrugsareal - resultat'!$B$5:$B$18)*(INDEX('Landbrugsareal - resultat'!$L$5:$N$18,,MATCH($D153,'Landbrugsareal - resultat'!$L$4:$N$4,0)))),IF(I$2=2030,SUMPRODUCT(($B153='Landbrugsareal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resultat'!$R$4:$T$4,0))))))),IF($C153="Konventionel",IF(I$2=2019,SUMPRODUCT((C153='Landbrugsareal - resultat'!$B$32:$B$45)*(INDEX('Landbrugsareal - resultat'!$C$32:$E$45,,MATCH($D153,'Landbrugsareal - resultat'!$C$4:$E$4,0)))),IF(I$2=2030,SUMPRODUCT(($B153='Landbrugsareal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resultat'!$I$4:$K$4,0)))))),IF(I$2=2019,SUMPRODUCT(($B153='Landbrugsareal - resultat'!$B$32:$B$45)*(INDEX('Landbrugsareal - resultat'!$L$32:$N$45,,MATCH($D153,'Landbrugsareal - resultat'!$L$4:$N$4,0)))),IF(I$2=2030,SUMPRODUCT(($B153='Landbrugsareal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209.3754228575105</v>
      </c>
    </row>
    <row r="154" spans="1:9" hidden="1" x14ac:dyDescent="0.55000000000000004">
      <c r="A154" t="s">
        <v>24</v>
      </c>
      <c r="B154" s="1" t="str">
        <f>[1]Afgrødefordeling!$C$13</f>
        <v>Juletræer</v>
      </c>
      <c r="C154" t="s">
        <v>8</v>
      </c>
      <c r="D154" t="str">
        <f t="shared" si="13"/>
        <v>OC6</v>
      </c>
      <c r="F154" t="str">
        <f t="shared" si="12"/>
        <v>Areal-juletræer</v>
      </c>
      <c r="G154" s="97" cm="1">
        <f t="array" ref="G154">IF($A154="Vestdanmark",IF($C154="Konventionel",IF(G$2=2019,SUMPRODUCT(($B154='Landbrugsareal - resultat'!$B$5:$B$18)*(INDEX('Landbrugsareal - resultat'!$C$5:$E$18,,MATCH($D154,'Landbrugsareal - resultat'!$C$4:$E$4,0)))),IF(G$2=2030,SUMPRODUCT(($B154='Landbrugsareal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resultat'!$I$4:$K$4,0)))))),IF(G$2=2019,SUMPRODUCT(($B154='Landbrugsareal - resultat'!$B$5:$B$18)*(INDEX('Landbrugsareal - resultat'!$L$5:$N$18,,MATCH($D154,'Landbrugsareal - resultat'!$L$4:$N$4,0)))),IF(G$2=2030,SUMPRODUCT(($B154='Landbrugsareal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resultat'!$R$4:$T$4,0))))))),IF($C154="Konventionel",IF(G$2=2019,SUMPRODUCT((B154='Landbrugsareal - resultat'!$B$32:$B$45)*(INDEX('Landbrugsareal - resultat'!$C$32:$E$45,,MATCH($D154,'Landbrugsareal - resultat'!$C$4:$E$4,0)))),IF(G$2=2030,SUMPRODUCT(($B154='Landbrugsareal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resultat'!$I$4:$K$4,0)))))),IF(G$2=2019,SUMPRODUCT(($B154='Landbrugsareal - resultat'!$B$32:$B$45)*(INDEX('Landbrugsareal - resultat'!$L$32:$N$45,,MATCH($D154,'Landbrugsareal - resultat'!$L$4:$N$4,0)))),IF(G$2=2030,SUMPRODUCT(($B154='Landbrugsareal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4.4220954733493292</v>
      </c>
      <c r="H154" s="97" cm="1">
        <f t="array" ref="H154">IF($A154="Vestdanmark",IF($C154="Konventionel",IF(H$2=2019,SUMPRODUCT(($B154='Landbrugsareal - resultat'!$B$5:$B$18)*(INDEX('Landbrugsareal - resultat'!$C$5:$E$18,,MATCH($D154,'Landbrugsareal - resultat'!$C$4:$E$4,0)))),IF(H$2=2030,SUMPRODUCT(($B154='Landbrugsareal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resultat'!$I$4:$K$4,0)))))),IF(H$2=2019,SUMPRODUCT(($B154='Landbrugsareal - resultat'!$B$5:$B$18)*(INDEX('Landbrugsareal - resultat'!$L$5:$N$18,,MATCH($D154,'Landbrugsareal - resultat'!$L$4:$N$4,0)))),IF(H$2=2030,SUMPRODUCT(($B154='Landbrugsareal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resultat'!$R$4:$T$4,0))))))),IF($C154="Konventionel",IF(H$2=2019,SUMPRODUCT(($B154='Landbrugsareal - resultat'!$B$32:$B$45)*(INDEX('Landbrugsareal - resultat'!$C$32:$E$45,,MATCH($D154,'Landbrugsareal - resultat'!$C$4:$E$4,0)))),IF(H$2=2030,SUMPRODUCT(($B154='Landbrugsareal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resultat'!$I$4:$K$4,0)))))),IF(H$2=2019,SUMPRODUCT(($B154='Landbrugsareal - resultat'!$B$32:$B$45)*(INDEX('Landbrugsareal - resultat'!$L$32:$N$45,,MATCH($D154,'Landbrugsareal - resultat'!$L$4:$N$4,0)))),IF(H$2=2030,SUMPRODUCT(($B154='Landbrugsareal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4.8823324111248541</v>
      </c>
      <c r="I154" s="97" cm="1">
        <f t="array" ref="I154">IF($A154="Vestdanmark",IF($C154="Konventionel",IF(I$2=2019,SUMPRODUCT(($B154='Landbrugsareal - resultat'!$B$5:$B$18)*(INDEX('Landbrugsareal - resultat'!$C$5:$E$18,,MATCH($D154,'Landbrugsareal - resultat'!$C$4:$E$4,0)))),IF(I$2=2030,SUMPRODUCT(($B154='Landbrugsareal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resultat'!$I$4:$K$4,0)))))),IF(I$2=2019,SUMPRODUCT(($B154='Landbrugsareal - resultat'!$B$5:$B$18)*(INDEX('Landbrugsareal - resultat'!$L$5:$N$18,,MATCH($D154,'Landbrugsareal - resultat'!$L$4:$N$4,0)))),IF(I$2=2030,SUMPRODUCT(($B154='Landbrugsareal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resultat'!$R$4:$T$4,0))))))),IF($C154="Konventionel",IF(I$2=2019,SUMPRODUCT((C154='Landbrugsareal - resultat'!$B$32:$B$45)*(INDEX('Landbrugsareal - resultat'!$C$32:$E$45,,MATCH($D154,'Landbrugsareal - resultat'!$C$4:$E$4,0)))),IF(I$2=2030,SUMPRODUCT(($B154='Landbrugsareal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resultat'!$I$4:$K$4,0)))))),IF(I$2=2019,SUMPRODUCT(($B154='Landbrugsareal - resultat'!$B$32:$B$45)*(INDEX('Landbrugsareal - resultat'!$L$32:$N$45,,MATCH($D154,'Landbrugsareal - resultat'!$L$4:$N$4,0)))),IF(I$2=2030,SUMPRODUCT(($B154='Landbrugsareal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6.3289494218285141</v>
      </c>
    </row>
    <row r="155" spans="1:9" hidden="1" x14ac:dyDescent="0.55000000000000004">
      <c r="A155" t="s">
        <v>24</v>
      </c>
      <c r="B155" s="1" t="str">
        <f>[1]Afgrødefordeling!$C$14</f>
        <v>Pil &amp; poppel</v>
      </c>
      <c r="C155" t="s">
        <v>8</v>
      </c>
      <c r="D155" t="str">
        <f t="shared" si="13"/>
        <v>OC6</v>
      </c>
      <c r="F155" t="str">
        <f t="shared" si="12"/>
        <v>Areal-pil-poppel</v>
      </c>
      <c r="G155" s="97" cm="1">
        <f t="array" ref="G155">IF($A155="Vestdanmark",IF($C155="Konventionel",IF(G$2=2019,SUMPRODUCT(($B155='Landbrugsareal - resultat'!$B$5:$B$18)*(INDEX('Landbrugsareal - resultat'!$C$5:$E$18,,MATCH($D155,'Landbrugsareal - resultat'!$C$4:$E$4,0)))),IF(G$2=2030,SUMPRODUCT(($B155='Landbrugsareal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resultat'!$I$4:$K$4,0)))))),IF(G$2=2019,SUMPRODUCT(($B155='Landbrugsareal - resultat'!$B$5:$B$18)*(INDEX('Landbrugsareal - resultat'!$L$5:$N$18,,MATCH($D155,'Landbrugsareal - resultat'!$L$4:$N$4,0)))),IF(G$2=2030,SUMPRODUCT(($B155='Landbrugsareal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resultat'!$R$4:$T$4,0))))))),IF($C155="Konventionel",IF(G$2=2019,SUMPRODUCT((B155='Landbrugsareal - resultat'!$B$32:$B$45)*(INDEX('Landbrugsareal - resultat'!$C$32:$E$45,,MATCH($D155,'Landbrugsareal - resultat'!$C$4:$E$4,0)))),IF(G$2=2030,SUMPRODUCT(($B155='Landbrugsareal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resultat'!$I$4:$K$4,0)))))),IF(G$2=2019,SUMPRODUCT(($B155='Landbrugsareal - resultat'!$B$32:$B$45)*(INDEX('Landbrugsareal - resultat'!$L$32:$N$45,,MATCH($D155,'Landbrugsareal - resultat'!$L$4:$N$4,0)))),IF(G$2=2030,SUMPRODUCT(($B155='Landbrugsareal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9.3853382024492209</v>
      </c>
      <c r="H155" s="97" cm="1">
        <f t="array" ref="H155">IF($A155="Vestdanmark",IF($C155="Konventionel",IF(H$2=2019,SUMPRODUCT(($B155='Landbrugsareal - resultat'!$B$5:$B$18)*(INDEX('Landbrugsareal - resultat'!$C$5:$E$18,,MATCH($D155,'Landbrugsareal - resultat'!$C$4:$E$4,0)))),IF(H$2=2030,SUMPRODUCT(($B155='Landbrugsareal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resultat'!$I$4:$K$4,0)))))),IF(H$2=2019,SUMPRODUCT(($B155='Landbrugsareal - resultat'!$B$5:$B$18)*(INDEX('Landbrugsareal - resultat'!$L$5:$N$18,,MATCH($D155,'Landbrugsareal - resultat'!$L$4:$N$4,0)))),IF(H$2=2030,SUMPRODUCT(($B155='Landbrugsareal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resultat'!$R$4:$T$4,0))))))),IF($C155="Konventionel",IF(H$2=2019,SUMPRODUCT(($B155='Landbrugsareal - resultat'!$B$32:$B$45)*(INDEX('Landbrugsareal - resultat'!$C$32:$E$45,,MATCH($D155,'Landbrugsareal - resultat'!$C$4:$E$4,0)))),IF(H$2=2030,SUMPRODUCT(($B155='Landbrugsareal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resultat'!$I$4:$K$4,0)))))),IF(H$2=2019,SUMPRODUCT(($B155='Landbrugsareal - resultat'!$B$32:$B$45)*(INDEX('Landbrugsareal - resultat'!$L$32:$N$45,,MATCH($D155,'Landbrugsareal - resultat'!$L$4:$N$4,0)))),IF(H$2=2030,SUMPRODUCT(($B155='Landbrugsareal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10.362132878257356</v>
      </c>
      <c r="I155" s="97" cm="1">
        <f t="array" ref="I155">IF($A155="Vestdanmark",IF($C155="Konventionel",IF(I$2=2019,SUMPRODUCT(($B155='Landbrugsareal - resultat'!$B$5:$B$18)*(INDEX('Landbrugsareal - resultat'!$C$5:$E$18,,MATCH($D155,'Landbrugsareal - resultat'!$C$4:$E$4,0)))),IF(I$2=2030,SUMPRODUCT(($B155='Landbrugsareal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resultat'!$I$4:$K$4,0)))))),IF(I$2=2019,SUMPRODUCT(($B155='Landbrugsareal - resultat'!$B$5:$B$18)*(INDEX('Landbrugsareal - resultat'!$L$5:$N$18,,MATCH($D155,'Landbrugsareal - resultat'!$L$4:$N$4,0)))),IF(I$2=2030,SUMPRODUCT(($B155='Landbrugsareal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resultat'!$R$4:$T$4,0))))))),IF($C155="Konventionel",IF(I$2=2019,SUMPRODUCT((C155='Landbrugsareal - resultat'!$B$32:$B$45)*(INDEX('Landbrugsareal - resultat'!$C$32:$E$45,,MATCH($D155,'Landbrugsareal - resultat'!$C$4:$E$4,0)))),IF(I$2=2030,SUMPRODUCT(($B155='Landbrugsareal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resultat'!$I$4:$K$4,0)))))),IF(I$2=2019,SUMPRODUCT(($B155='Landbrugsareal - resultat'!$B$32:$B$45)*(INDEX('Landbrugsareal - resultat'!$L$32:$N$45,,MATCH($D155,'Landbrugsareal - resultat'!$L$4:$N$4,0)))),IF(I$2=2030,SUMPRODUCT(($B155='Landbrugsareal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13.432394471815089</v>
      </c>
    </row>
    <row r="156" spans="1:9" hidden="1" x14ac:dyDescent="0.55000000000000004">
      <c r="A156" t="s">
        <v>24</v>
      </c>
      <c r="B156" s="1" t="str">
        <f>[1]Afgrødefordeling!$C$15</f>
        <v>Permanent græs</v>
      </c>
      <c r="C156" t="s">
        <v>8</v>
      </c>
      <c r="D156" t="str">
        <f t="shared" si="13"/>
        <v>OC6</v>
      </c>
      <c r="F156" t="str">
        <f t="shared" si="12"/>
        <v>Areal-permanent græs</v>
      </c>
      <c r="G156" s="97" cm="1">
        <f t="array" ref="G156">IF($A156="Vestdanmark",IF($C156="Konventionel",IF(G$2=2019,SUMPRODUCT(($B156='Landbrugsareal - resultat'!$B$5:$B$18)*(INDEX('Landbrugsareal - resultat'!$C$5:$E$18,,MATCH($D156,'Landbrugsareal - resultat'!$C$4:$E$4,0)))),IF(G$2=2030,SUMPRODUCT(($B156='Landbrugsareal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resultat'!$I$4:$K$4,0)))))),IF(G$2=2019,SUMPRODUCT(($B156='Landbrugsareal - resultat'!$B$5:$B$18)*(INDEX('Landbrugsareal - resultat'!$L$5:$N$18,,MATCH($D156,'Landbrugsareal - resultat'!$L$4:$N$4,0)))),IF(G$2=2030,SUMPRODUCT(($B156='Landbrugsareal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resultat'!$R$4:$T$4,0))))))),IF($C156="Konventionel",IF(G$2=2019,SUMPRODUCT((B156='Landbrugsareal - resultat'!$B$32:$B$45)*(INDEX('Landbrugsareal - resultat'!$C$32:$E$45,,MATCH($D156,'Landbrugsareal - resultat'!$C$4:$E$4,0)))),IF(G$2=2030,SUMPRODUCT(($B156='Landbrugsareal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resultat'!$I$4:$K$4,0)))))),IF(G$2=2019,SUMPRODUCT(($B156='Landbrugsareal - resultat'!$B$32:$B$45)*(INDEX('Landbrugsareal - resultat'!$L$32:$N$45,,MATCH($D156,'Landbrugsareal - resultat'!$L$4:$N$4,0)))),IF(G$2=2030,SUMPRODUCT(($B156='Landbrugsareal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274.12224772100956</v>
      </c>
      <c r="H156" s="97" cm="1">
        <f t="array" ref="H156">IF($A156="Vestdanmark",IF($C156="Konventionel",IF(H$2=2019,SUMPRODUCT(($B156='Landbrugsareal - resultat'!$B$5:$B$18)*(INDEX('Landbrugsareal - resultat'!$C$5:$E$18,,MATCH($D156,'Landbrugsareal - resultat'!$C$4:$E$4,0)))),IF(H$2=2030,SUMPRODUCT(($B156='Landbrugsareal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resultat'!$I$4:$K$4,0)))))),IF(H$2=2019,SUMPRODUCT(($B156='Landbrugsareal - resultat'!$B$5:$B$18)*(INDEX('Landbrugsareal - resultat'!$L$5:$N$18,,MATCH($D156,'Landbrugsareal - resultat'!$L$4:$N$4,0)))),IF(H$2=2030,SUMPRODUCT(($B156='Landbrugsareal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resultat'!$R$4:$T$4,0))))))),IF($C156="Konventionel",IF(H$2=2019,SUMPRODUCT(($B156='Landbrugsareal - resultat'!$B$32:$B$45)*(INDEX('Landbrugsareal - resultat'!$C$32:$E$45,,MATCH($D156,'Landbrugsareal - resultat'!$C$4:$E$4,0)))),IF(H$2=2030,SUMPRODUCT(($B156='Landbrugsareal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resultat'!$I$4:$K$4,0)))))),IF(H$2=2019,SUMPRODUCT(($B156='Landbrugsareal - resultat'!$B$32:$B$45)*(INDEX('Landbrugsareal - resultat'!$L$32:$N$45,,MATCH($D156,'Landbrugsareal - resultat'!$L$4:$N$4,0)))),IF(H$2=2030,SUMPRODUCT(($B156='Landbrugsareal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300.30972185505971</v>
      </c>
      <c r="I156" s="97" cm="1">
        <f t="array" ref="I156">IF($A156="Vestdanmark",IF($C156="Konventionel",IF(I$2=2019,SUMPRODUCT(($B156='Landbrugsareal - resultat'!$B$5:$B$18)*(INDEX('Landbrugsareal - resultat'!$C$5:$E$18,,MATCH($D156,'Landbrugsareal - resultat'!$C$4:$E$4,0)))),IF(I$2=2030,SUMPRODUCT(($B156='Landbrugsareal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resultat'!$I$4:$K$4,0)))))),IF(I$2=2019,SUMPRODUCT(($B156='Landbrugsareal - resultat'!$B$5:$B$18)*(INDEX('Landbrugsareal - resultat'!$L$5:$N$18,,MATCH($D156,'Landbrugsareal - resultat'!$L$4:$N$4,0)))),IF(I$2=2030,SUMPRODUCT(($B156='Landbrugsareal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resultat'!$R$4:$T$4,0))))))),IF($C156="Konventionel",IF(I$2=2019,SUMPRODUCT((C156='Landbrugsareal - resultat'!$B$32:$B$45)*(INDEX('Landbrugsareal - resultat'!$C$32:$E$45,,MATCH($D156,'Landbrugsareal - resultat'!$C$4:$E$4,0)))),IF(I$2=2030,SUMPRODUCT(($B156='Landbrugsareal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resultat'!$I$4:$K$4,0)))))),IF(I$2=2019,SUMPRODUCT(($B156='Landbrugsareal - resultat'!$B$32:$B$45)*(INDEX('Landbrugsareal - resultat'!$L$32:$N$45,,MATCH($D156,'Landbrugsareal - resultat'!$L$4:$N$4,0)))),IF(I$2=2030,SUMPRODUCT(($B156='Landbrugsareal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389.29038018248474</v>
      </c>
    </row>
    <row r="157" spans="1:9" hidden="1" x14ac:dyDescent="0.55000000000000004">
      <c r="A157" t="s">
        <v>24</v>
      </c>
      <c r="B157" s="1" t="str">
        <f>[1]Afgrødefordeling!$C$2</f>
        <v>Korn</v>
      </c>
      <c r="C157" t="s">
        <v>8</v>
      </c>
      <c r="D157" t="str">
        <f t="shared" ref="D157:D170" si="14">Organ12</f>
        <v>OC12</v>
      </c>
      <c r="F157" t="str">
        <f t="shared" si="12"/>
        <v>Areal-korn</v>
      </c>
      <c r="G157" s="97" cm="1">
        <f t="array" ref="G157">IF($A157="Vestdanmark",IF($C157="Konventionel",IF(G$2=2019,SUMPRODUCT(($B157='Landbrugsareal - resultat'!$B$5:$B$18)*(INDEX('Landbrugsareal - resultat'!$C$5:$E$18,,MATCH($D157,'Landbrugsareal - resultat'!$C$4:$E$4,0)))),IF(G$2=2030,SUMPRODUCT(($B157='Landbrugsareal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resultat'!$I$4:$K$4,0)))))),IF(G$2=2019,SUMPRODUCT(($B157='Landbrugsareal - resultat'!$B$5:$B$18)*(INDEX('Landbrugsareal - resultat'!$L$5:$N$18,,MATCH($D157,'Landbrugsareal - resultat'!$L$4:$N$4,0)))),IF(G$2=2030,SUMPRODUCT(($B157='Landbrugsareal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resultat'!$R$4:$T$4,0))))))),IF($C157="Konventionel",IF(G$2=2019,SUMPRODUCT((B157='Landbrugsareal - resultat'!$B$32:$B$45)*(INDEX('Landbrugsareal - resultat'!$C$32:$E$45,,MATCH($D157,'Landbrugsareal - resultat'!$C$4:$E$4,0)))),IF(G$2=2030,SUMPRODUCT(($B157='Landbrugsareal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resultat'!$I$4:$K$4,0)))))),IF(G$2=2019,SUMPRODUCT(($B157='Landbrugsareal - resultat'!$B$32:$B$45)*(INDEX('Landbrugsareal - resultat'!$L$32:$N$45,,MATCH($D157,'Landbrugsareal - resultat'!$L$4:$N$4,0)))),IF(G$2=2030,SUMPRODUCT(($B157='Landbrugsareal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226.94315205364711</v>
      </c>
      <c r="H157" s="97" cm="1">
        <f t="array" ref="H157">IF($A157="Vestdanmark",IF($C157="Konventionel",IF(H$2=2019,SUMPRODUCT(($B157='Landbrugsareal - resultat'!$B$5:$B$18)*(INDEX('Landbrugsareal - resultat'!$C$5:$E$18,,MATCH($D157,'Landbrugsareal - resultat'!$C$4:$E$4,0)))),IF(H$2=2030,SUMPRODUCT(($B157='Landbrugsareal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resultat'!$I$4:$K$4,0)))))),IF(H$2=2019,SUMPRODUCT(($B157='Landbrugsareal - resultat'!$B$5:$B$18)*(INDEX('Landbrugsareal - resultat'!$L$5:$N$18,,MATCH($D157,'Landbrugsareal - resultat'!$L$4:$N$4,0)))),IF(H$2=2030,SUMPRODUCT(($B157='Landbrugsareal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resultat'!$R$4:$T$4,0))))))),IF($C157="Konventionel",IF(H$2=2019,SUMPRODUCT(($B157='Landbrugsareal - resultat'!$B$32:$B$45)*(INDEX('Landbrugsareal - resultat'!$C$32:$E$45,,MATCH($D157,'Landbrugsareal - resultat'!$C$4:$E$4,0)))),IF(H$2=2030,SUMPRODUCT(($B157='Landbrugsareal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resultat'!$I$4:$K$4,0)))))),IF(H$2=2019,SUMPRODUCT(($B157='Landbrugsareal - resultat'!$B$32:$B$45)*(INDEX('Landbrugsareal - resultat'!$L$32:$N$45,,MATCH($D157,'Landbrugsareal - resultat'!$L$4:$N$4,0)))),IF(H$2=2030,SUMPRODUCT(($B157='Landbrugsareal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252.54660423967633</v>
      </c>
      <c r="I157" s="97" cm="1">
        <f t="array" ref="I157">IF($A157="Vestdanmark",IF($C157="Konventionel",IF(I$2=2019,SUMPRODUCT(($B157='Landbrugsareal - resultat'!$B$5:$B$18)*(INDEX('Landbrugsareal - resultat'!$C$5:$E$18,,MATCH($D157,'Landbrugsareal - resultat'!$C$4:$E$4,0)))),IF(I$2=2030,SUMPRODUCT(($B157='Landbrugsareal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resultat'!$I$4:$K$4,0)))))),IF(I$2=2019,SUMPRODUCT(($B157='Landbrugsareal - resultat'!$B$5:$B$18)*(INDEX('Landbrugsareal - resultat'!$L$5:$N$18,,MATCH($D157,'Landbrugsareal - resultat'!$L$4:$N$4,0)))),IF(I$2=2030,SUMPRODUCT(($B157='Landbrugsareal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resultat'!$R$4:$T$4,0))))))),IF($C157="Konventionel",IF(I$2=2019,SUMPRODUCT((C157='Landbrugsareal - resultat'!$B$32:$B$45)*(INDEX('Landbrugsareal - resultat'!$C$32:$E$45,,MATCH($D157,'Landbrugsareal - resultat'!$C$4:$E$4,0)))),IF(I$2=2030,SUMPRODUCT(($B157='Landbrugsareal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resultat'!$I$4:$K$4,0)))))),IF(I$2=2019,SUMPRODUCT(($B157='Landbrugsareal - resultat'!$B$32:$B$45)*(INDEX('Landbrugsareal - resultat'!$L$32:$N$45,,MATCH($D157,'Landbrugsareal - resultat'!$L$4:$N$4,0)))),IF(I$2=2030,SUMPRODUCT(($B157='Landbrugsareal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327.37522771809893</v>
      </c>
    </row>
    <row r="158" spans="1:9" hidden="1" x14ac:dyDescent="0.55000000000000004">
      <c r="A158" t="s">
        <v>24</v>
      </c>
      <c r="B158" s="1" t="str">
        <f>[1]Afgrødefordeling!$C$3</f>
        <v>Bælgsæd</v>
      </c>
      <c r="C158" t="s">
        <v>8</v>
      </c>
      <c r="D158" t="str">
        <f t="shared" si="14"/>
        <v>OC12</v>
      </c>
      <c r="F158" t="str">
        <f t="shared" si="12"/>
        <v>Areal-bælgsæd</v>
      </c>
      <c r="G158" s="97" cm="1">
        <f t="array" ref="G158">IF($A158="Vestdanmark",IF($C158="Konventionel",IF(G$2=2019,SUMPRODUCT(($B158='Landbrugsareal - resultat'!$B$5:$B$18)*(INDEX('Landbrugsareal - resultat'!$C$5:$E$18,,MATCH($D158,'Landbrugsareal - resultat'!$C$4:$E$4,0)))),IF(G$2=2030,SUMPRODUCT(($B158='Landbrugsareal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resultat'!$I$4:$K$4,0)))))),IF(G$2=2019,SUMPRODUCT(($B158='Landbrugsareal - resultat'!$B$5:$B$18)*(INDEX('Landbrugsareal - resultat'!$L$5:$N$18,,MATCH($D158,'Landbrugsareal - resultat'!$L$4:$N$4,0)))),IF(G$2=2030,SUMPRODUCT(($B158='Landbrugsareal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resultat'!$R$4:$T$4,0))))))),IF($C158="Konventionel",IF(G$2=2019,SUMPRODUCT((B158='Landbrugsareal - resultat'!$B$32:$B$45)*(INDEX('Landbrugsareal - resultat'!$C$32:$E$45,,MATCH($D158,'Landbrugsareal - resultat'!$C$4:$E$4,0)))),IF(G$2=2030,SUMPRODUCT(($B158='Landbrugsareal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resultat'!$I$4:$K$4,0)))))),IF(G$2=2019,SUMPRODUCT(($B158='Landbrugsareal - resultat'!$B$32:$B$45)*(INDEX('Landbrugsareal - resultat'!$L$32:$N$45,,MATCH($D158,'Landbrugsareal - resultat'!$L$4:$N$4,0)))),IF(G$2=2030,SUMPRODUCT(($B158='Landbrugsareal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4.1220360083703804</v>
      </c>
      <c r="H158" s="97" cm="1">
        <f t="array" ref="H158">IF($A158="Vestdanmark",IF($C158="Konventionel",IF(H$2=2019,SUMPRODUCT(($B158='Landbrugsareal - resultat'!$B$5:$B$18)*(INDEX('Landbrugsareal - resultat'!$C$5:$E$18,,MATCH($D158,'Landbrugsareal - resultat'!$C$4:$E$4,0)))),IF(H$2=2030,SUMPRODUCT(($B158='Landbrugsareal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resultat'!$I$4:$K$4,0)))))),IF(H$2=2019,SUMPRODUCT(($B158='Landbrugsareal - resultat'!$B$5:$B$18)*(INDEX('Landbrugsareal - resultat'!$L$5:$N$18,,MATCH($D158,'Landbrugsareal - resultat'!$L$4:$N$4,0)))),IF(H$2=2030,SUMPRODUCT(($B158='Landbrugsareal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resultat'!$R$4:$T$4,0))))))),IF($C158="Konventionel",IF(H$2=2019,SUMPRODUCT(($B158='Landbrugsareal - resultat'!$B$32:$B$45)*(INDEX('Landbrugsareal - resultat'!$C$32:$E$45,,MATCH($D158,'Landbrugsareal - resultat'!$C$4:$E$4,0)))),IF(H$2=2030,SUMPRODUCT(($B158='Landbrugsareal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resultat'!$I$4:$K$4,0)))))),IF(H$2=2019,SUMPRODUCT(($B158='Landbrugsareal - resultat'!$B$32:$B$45)*(INDEX('Landbrugsareal - resultat'!$L$32:$N$45,,MATCH($D158,'Landbrugsareal - resultat'!$L$4:$N$4,0)))),IF(H$2=2030,SUMPRODUCT(($B158='Landbrugsareal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4.5870791299379068</v>
      </c>
      <c r="I158" s="97" cm="1">
        <f t="array" ref="I158">IF($A158="Vestdanmark",IF($C158="Konventionel",IF(I$2=2019,SUMPRODUCT(($B158='Landbrugsareal - resultat'!$B$5:$B$18)*(INDEX('Landbrugsareal - resultat'!$C$5:$E$18,,MATCH($D158,'Landbrugsareal - resultat'!$C$4:$E$4,0)))),IF(I$2=2030,SUMPRODUCT(($B158='Landbrugsareal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resultat'!$I$4:$K$4,0)))))),IF(I$2=2019,SUMPRODUCT(($B158='Landbrugsareal - resultat'!$B$5:$B$18)*(INDEX('Landbrugsareal - resultat'!$L$5:$N$18,,MATCH($D158,'Landbrugsareal - resultat'!$L$4:$N$4,0)))),IF(I$2=2030,SUMPRODUCT(($B158='Landbrugsareal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resultat'!$R$4:$T$4,0))))))),IF($C158="Konventionel",IF(I$2=2019,SUMPRODUCT((C158='Landbrugsareal - resultat'!$B$32:$B$45)*(INDEX('Landbrugsareal - resultat'!$C$32:$E$45,,MATCH($D158,'Landbrugsareal - resultat'!$C$4:$E$4,0)))),IF(I$2=2030,SUMPRODUCT(($B158='Landbrugsareal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resultat'!$I$4:$K$4,0)))))),IF(I$2=2019,SUMPRODUCT(($B158='Landbrugsareal - resultat'!$B$32:$B$45)*(INDEX('Landbrugsareal - resultat'!$L$32:$N$45,,MATCH($D158,'Landbrugsareal - resultat'!$L$4:$N$4,0)))),IF(I$2=2030,SUMPRODUCT(($B158='Landbrugsareal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5.9462136869565443</v>
      </c>
    </row>
    <row r="159" spans="1:9" hidden="1" x14ac:dyDescent="0.55000000000000004">
      <c r="A159" t="s">
        <v>24</v>
      </c>
      <c r="B159" s="1" t="str">
        <f>[1]Afgrødefordeling!$C$4</f>
        <v>Raps</v>
      </c>
      <c r="C159" t="s">
        <v>8</v>
      </c>
      <c r="D159" t="str">
        <f t="shared" si="14"/>
        <v>OC12</v>
      </c>
      <c r="F159" t="str">
        <f t="shared" si="12"/>
        <v>Areal-raps</v>
      </c>
      <c r="G159" s="97" cm="1">
        <f t="array" ref="G159">IF($A159="Vestdanmark",IF($C159="Konventionel",IF(G$2=2019,SUMPRODUCT(($B159='Landbrugsareal - resultat'!$B$5:$B$18)*(INDEX('Landbrugsareal - resultat'!$C$5:$E$18,,MATCH($D159,'Landbrugsareal - resultat'!$C$4:$E$4,0)))),IF(G$2=2030,SUMPRODUCT(($B159='Landbrugsareal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resultat'!$I$4:$K$4,0)))))),IF(G$2=2019,SUMPRODUCT(($B159='Landbrugsareal - resultat'!$B$5:$B$18)*(INDEX('Landbrugsareal - resultat'!$L$5:$N$18,,MATCH($D159,'Landbrugsareal - resultat'!$L$4:$N$4,0)))),IF(G$2=2030,SUMPRODUCT(($B159='Landbrugsareal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resultat'!$R$4:$T$4,0))))))),IF($C159="Konventionel",IF(G$2=2019,SUMPRODUCT((B159='Landbrugsareal - resultat'!$B$32:$B$45)*(INDEX('Landbrugsareal - resultat'!$C$32:$E$45,,MATCH($D159,'Landbrugsareal - resultat'!$C$4:$E$4,0)))),IF(G$2=2030,SUMPRODUCT(($B159='Landbrugsareal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resultat'!$I$4:$K$4,0)))))),IF(G$2=2019,SUMPRODUCT(($B159='Landbrugsareal - resultat'!$B$32:$B$45)*(INDEX('Landbrugsareal - resultat'!$L$32:$N$45,,MATCH($D159,'Landbrugsareal - resultat'!$L$4:$N$4,0)))),IF(G$2=2030,SUMPRODUCT(($B159='Landbrugsareal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20.135181380321381</v>
      </c>
      <c r="H159" s="97" cm="1">
        <f t="array" ref="H159">IF($A159="Vestdanmark",IF($C159="Konventionel",IF(H$2=2019,SUMPRODUCT(($B159='Landbrugsareal - resultat'!$B$5:$B$18)*(INDEX('Landbrugsareal - resultat'!$C$5:$E$18,,MATCH($D159,'Landbrugsareal - resultat'!$C$4:$E$4,0)))),IF(H$2=2030,SUMPRODUCT(($B159='Landbrugsareal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resultat'!$I$4:$K$4,0)))))),IF(H$2=2019,SUMPRODUCT(($B159='Landbrugsareal - resultat'!$B$5:$B$18)*(INDEX('Landbrugsareal - resultat'!$L$5:$N$18,,MATCH($D159,'Landbrugsareal - resultat'!$L$4:$N$4,0)))),IF(H$2=2030,SUMPRODUCT(($B159='Landbrugsareal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resultat'!$R$4:$T$4,0))))))),IF($C159="Konventionel",IF(H$2=2019,SUMPRODUCT(($B159='Landbrugsareal - resultat'!$B$32:$B$45)*(INDEX('Landbrugsareal - resultat'!$C$32:$E$45,,MATCH($D159,'Landbrugsareal - resultat'!$C$4:$E$4,0)))),IF(H$2=2030,SUMPRODUCT(($B159='Landbrugsareal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resultat'!$I$4:$K$4,0)))))),IF(H$2=2019,SUMPRODUCT(($B159='Landbrugsareal - resultat'!$B$32:$B$45)*(INDEX('Landbrugsareal - resultat'!$L$32:$N$45,,MATCH($D159,'Landbrugsareal - resultat'!$L$4:$N$4,0)))),IF(H$2=2030,SUMPRODUCT(($B159='Landbrugsareal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22.406808213133761</v>
      </c>
      <c r="I159" s="97" cm="1">
        <f t="array" ref="I159">IF($A159="Vestdanmark",IF($C159="Konventionel",IF(I$2=2019,SUMPRODUCT(($B159='Landbrugsareal - resultat'!$B$5:$B$18)*(INDEX('Landbrugsareal - resultat'!$C$5:$E$18,,MATCH($D159,'Landbrugsareal - resultat'!$C$4:$E$4,0)))),IF(I$2=2030,SUMPRODUCT(($B159='Landbrugsareal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resultat'!$I$4:$K$4,0)))))),IF(I$2=2019,SUMPRODUCT(($B159='Landbrugsareal - resultat'!$B$5:$B$18)*(INDEX('Landbrugsareal - resultat'!$L$5:$N$18,,MATCH($D159,'Landbrugsareal - resultat'!$L$4:$N$4,0)))),IF(I$2=2030,SUMPRODUCT(($B159='Landbrugsareal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resultat'!$R$4:$T$4,0))))))),IF($C159="Konventionel",IF(I$2=2019,SUMPRODUCT((C159='Landbrugsareal - resultat'!$B$32:$B$45)*(INDEX('Landbrugsareal - resultat'!$C$32:$E$45,,MATCH($D159,'Landbrugsareal - resultat'!$C$4:$E$4,0)))),IF(I$2=2030,SUMPRODUCT(($B159='Landbrugsareal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resultat'!$I$4:$K$4,0)))))),IF(I$2=2019,SUMPRODUCT(($B159='Landbrugsareal - resultat'!$B$32:$B$45)*(INDEX('Landbrugsareal - resultat'!$L$32:$N$45,,MATCH($D159,'Landbrugsareal - resultat'!$L$4:$N$4,0)))),IF(I$2=2030,SUMPRODUCT(($B159='Landbrugsareal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29.045862498506725</v>
      </c>
    </row>
    <row r="160" spans="1:9" hidden="1" x14ac:dyDescent="0.55000000000000004">
      <c r="A160" t="s">
        <v>24</v>
      </c>
      <c r="B160" s="1" t="str">
        <f>[1]Afgrødefordeling!$C$5</f>
        <v>Græs</v>
      </c>
      <c r="C160" t="s">
        <v>8</v>
      </c>
      <c r="D160" t="str">
        <f t="shared" si="14"/>
        <v>OC12</v>
      </c>
      <c r="F160" t="str">
        <f t="shared" si="12"/>
        <v>Areal-græs</v>
      </c>
      <c r="G160" s="97" cm="1">
        <f t="array" ref="G160">IF($A160="Vestdanmark",IF($C160="Konventionel",IF(G$2=2019,SUMPRODUCT(($B160='Landbrugsareal - resultat'!$B$5:$B$18)*(INDEX('Landbrugsareal - resultat'!$C$5:$E$18,,MATCH($D160,'Landbrugsareal - resultat'!$C$4:$E$4,0)))),IF(G$2=2030,SUMPRODUCT(($B160='Landbrugsareal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resultat'!$I$4:$K$4,0)))))),IF(G$2=2019,SUMPRODUCT(($B160='Landbrugsareal - resultat'!$B$5:$B$18)*(INDEX('Landbrugsareal - resultat'!$L$5:$N$18,,MATCH($D160,'Landbrugsareal - resultat'!$L$4:$N$4,0)))),IF(G$2=2030,SUMPRODUCT(($B160='Landbrugsareal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resultat'!$R$4:$T$4,0))))))),IF($C160="Konventionel",IF(G$2=2019,SUMPRODUCT((B160='Landbrugsareal - resultat'!$B$32:$B$45)*(INDEX('Landbrugsareal - resultat'!$C$32:$E$45,,MATCH($D160,'Landbrugsareal - resultat'!$C$4:$E$4,0)))),IF(G$2=2030,SUMPRODUCT(($B160='Landbrugsareal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resultat'!$I$4:$K$4,0)))))),IF(G$2=2019,SUMPRODUCT(($B160='Landbrugsareal - resultat'!$B$32:$B$45)*(INDEX('Landbrugsareal - resultat'!$L$32:$N$45,,MATCH($D160,'Landbrugsareal - resultat'!$L$4:$N$4,0)))),IF(G$2=2030,SUMPRODUCT(($B160='Landbrugsareal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147.96510942716867</v>
      </c>
      <c r="H160" s="97" cm="1">
        <f t="array" ref="H160">IF($A160="Vestdanmark",IF($C160="Konventionel",IF(H$2=2019,SUMPRODUCT(($B160='Landbrugsareal - resultat'!$B$5:$B$18)*(INDEX('Landbrugsareal - resultat'!$C$5:$E$18,,MATCH($D160,'Landbrugsareal - resultat'!$C$4:$E$4,0)))),IF(H$2=2030,SUMPRODUCT(($B160='Landbrugsareal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resultat'!$I$4:$K$4,0)))))),IF(H$2=2019,SUMPRODUCT(($B160='Landbrugsareal - resultat'!$B$5:$B$18)*(INDEX('Landbrugsareal - resultat'!$L$5:$N$18,,MATCH($D160,'Landbrugsareal - resultat'!$L$4:$N$4,0)))),IF(H$2=2030,SUMPRODUCT(($B160='Landbrugsareal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resultat'!$R$4:$T$4,0))))))),IF($C160="Konventionel",IF(H$2=2019,SUMPRODUCT(($B160='Landbrugsareal - resultat'!$B$32:$B$45)*(INDEX('Landbrugsareal - resultat'!$C$32:$E$45,,MATCH($D160,'Landbrugsareal - resultat'!$C$4:$E$4,0)))),IF(H$2=2030,SUMPRODUCT(($B160='Landbrugsareal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resultat'!$I$4:$K$4,0)))))),IF(H$2=2019,SUMPRODUCT(($B160='Landbrugsareal - resultat'!$B$32:$B$45)*(INDEX('Landbrugsareal - resultat'!$L$32:$N$45,,MATCH($D160,'Landbrugsareal - resultat'!$L$4:$N$4,0)))),IF(H$2=2030,SUMPRODUCT(($B160='Landbrugsareal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164.65835427785956</v>
      </c>
      <c r="I160" s="97" cm="1">
        <f t="array" ref="I160">IF($A160="Vestdanmark",IF($C160="Konventionel",IF(I$2=2019,SUMPRODUCT(($B160='Landbrugsareal - resultat'!$B$5:$B$18)*(INDEX('Landbrugsareal - resultat'!$C$5:$E$18,,MATCH($D160,'Landbrugsareal - resultat'!$C$4:$E$4,0)))),IF(I$2=2030,SUMPRODUCT(($B160='Landbrugsareal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resultat'!$I$4:$K$4,0)))))),IF(I$2=2019,SUMPRODUCT(($B160='Landbrugsareal - resultat'!$B$5:$B$18)*(INDEX('Landbrugsareal - resultat'!$L$5:$N$18,,MATCH($D160,'Landbrugsareal - resultat'!$L$4:$N$4,0)))),IF(I$2=2030,SUMPRODUCT(($B160='Landbrugsareal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resultat'!$R$4:$T$4,0))))))),IF($C160="Konventionel",IF(I$2=2019,SUMPRODUCT((C160='Landbrugsareal - resultat'!$B$32:$B$45)*(INDEX('Landbrugsareal - resultat'!$C$32:$E$45,,MATCH($D160,'Landbrugsareal - resultat'!$C$4:$E$4,0)))),IF(I$2=2030,SUMPRODUCT(($B160='Landbrugsareal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resultat'!$I$4:$K$4,0)))))),IF(I$2=2019,SUMPRODUCT(($B160='Landbrugsareal - resultat'!$B$32:$B$45)*(INDEX('Landbrugsareal - resultat'!$L$32:$N$45,,MATCH($D160,'Landbrugsareal - resultat'!$L$4:$N$4,0)))),IF(I$2=2030,SUMPRODUCT(($B160='Landbrugsareal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213.44601480463271</v>
      </c>
    </row>
    <row r="161" spans="1:9" hidden="1" x14ac:dyDescent="0.55000000000000004">
      <c r="A161" t="s">
        <v>24</v>
      </c>
      <c r="B161" s="1" t="str">
        <f>[1]Afgrødefordeling!$C$6</f>
        <v>Grøntsager</v>
      </c>
      <c r="C161" t="s">
        <v>8</v>
      </c>
      <c r="D161" t="str">
        <f t="shared" si="14"/>
        <v>OC12</v>
      </c>
      <c r="F161" t="str">
        <f t="shared" si="12"/>
        <v>Areal-grøntsager</v>
      </c>
      <c r="G161" s="97" cm="1">
        <f t="array" ref="G161">IF($A161="Vestdanmark",IF($C161="Konventionel",IF(G$2=2019,SUMPRODUCT(($B161='Landbrugsareal - resultat'!$B$5:$B$18)*(INDEX('Landbrugsareal - resultat'!$C$5:$E$18,,MATCH($D161,'Landbrugsareal - resultat'!$C$4:$E$4,0)))),IF(G$2=2030,SUMPRODUCT(($B161='Landbrugsareal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resultat'!$I$4:$K$4,0)))))),IF(G$2=2019,SUMPRODUCT(($B161='Landbrugsareal - resultat'!$B$5:$B$18)*(INDEX('Landbrugsareal - resultat'!$L$5:$N$18,,MATCH($D161,'Landbrugsareal - resultat'!$L$4:$N$4,0)))),IF(G$2=2030,SUMPRODUCT(($B161='Landbrugsareal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resultat'!$R$4:$T$4,0))))))),IF($C161="Konventionel",IF(G$2=2019,SUMPRODUCT((B161='Landbrugsareal - resultat'!$B$32:$B$45)*(INDEX('Landbrugsareal - resultat'!$C$32:$E$45,,MATCH($D161,'Landbrugsareal - resultat'!$C$4:$E$4,0)))),IF(G$2=2030,SUMPRODUCT(($B161='Landbrugsareal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resultat'!$I$4:$K$4,0)))))),IF(G$2=2019,SUMPRODUCT(($B161='Landbrugsareal - resultat'!$B$32:$B$45)*(INDEX('Landbrugsareal - resultat'!$L$32:$N$45,,MATCH($D161,'Landbrugsareal - resultat'!$L$4:$N$4,0)))),IF(G$2=2030,SUMPRODUCT(($B161='Landbrugsareal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0.69641242298342532</v>
      </c>
      <c r="H161" s="97" cm="1">
        <f t="array" ref="H161">IF($A161="Vestdanmark",IF($C161="Konventionel",IF(H$2=2019,SUMPRODUCT(($B161='Landbrugsareal - resultat'!$B$5:$B$18)*(INDEX('Landbrugsareal - resultat'!$C$5:$E$18,,MATCH($D161,'Landbrugsareal - resultat'!$C$4:$E$4,0)))),IF(H$2=2030,SUMPRODUCT(($B161='Landbrugsareal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resultat'!$I$4:$K$4,0)))))),IF(H$2=2019,SUMPRODUCT(($B161='Landbrugsareal - resultat'!$B$5:$B$18)*(INDEX('Landbrugsareal - resultat'!$L$5:$N$18,,MATCH($D161,'Landbrugsareal - resultat'!$L$4:$N$4,0)))),IF(H$2=2030,SUMPRODUCT(($B161='Landbrugsareal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resultat'!$R$4:$T$4,0))))))),IF($C161="Konventionel",IF(H$2=2019,SUMPRODUCT(($B161='Landbrugsareal - resultat'!$B$32:$B$45)*(INDEX('Landbrugsareal - resultat'!$C$32:$E$45,,MATCH($D161,'Landbrugsareal - resultat'!$C$4:$E$4,0)))),IF(H$2=2030,SUMPRODUCT(($B161='Landbrugsareal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resultat'!$I$4:$K$4,0)))))),IF(H$2=2019,SUMPRODUCT(($B161='Landbrugsareal - resultat'!$B$32:$B$45)*(INDEX('Landbrugsareal - resultat'!$L$32:$N$45,,MATCH($D161,'Landbrugsareal - resultat'!$L$4:$N$4,0)))),IF(H$2=2030,SUMPRODUCT(($B161='Landbrugsareal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0.7749808310286167</v>
      </c>
      <c r="I161" s="97" cm="1">
        <f t="array" ref="I161">IF($A161="Vestdanmark",IF($C161="Konventionel",IF(I$2=2019,SUMPRODUCT(($B161='Landbrugsareal - resultat'!$B$5:$B$18)*(INDEX('Landbrugsareal - resultat'!$C$5:$E$18,,MATCH($D161,'Landbrugsareal - resultat'!$C$4:$E$4,0)))),IF(I$2=2030,SUMPRODUCT(($B161='Landbrugsareal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resultat'!$I$4:$K$4,0)))))),IF(I$2=2019,SUMPRODUCT(($B161='Landbrugsareal - resultat'!$B$5:$B$18)*(INDEX('Landbrugsareal - resultat'!$L$5:$N$18,,MATCH($D161,'Landbrugsareal - resultat'!$L$4:$N$4,0)))),IF(I$2=2030,SUMPRODUCT(($B161='Landbrugsareal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resultat'!$R$4:$T$4,0))))))),IF($C161="Konventionel",IF(I$2=2019,SUMPRODUCT((C161='Landbrugsareal - resultat'!$B$32:$B$45)*(INDEX('Landbrugsareal - resultat'!$C$32:$E$45,,MATCH($D161,'Landbrugsareal - resultat'!$C$4:$E$4,0)))),IF(I$2=2030,SUMPRODUCT(($B161='Landbrugsareal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resultat'!$I$4:$K$4,0)))))),IF(I$2=2019,SUMPRODUCT(($B161='Landbrugsareal - resultat'!$B$32:$B$45)*(INDEX('Landbrugsareal - resultat'!$L$32:$N$45,,MATCH($D161,'Landbrugsareal - resultat'!$L$4:$N$4,0)))),IF(I$2=2030,SUMPRODUCT(($B161='Landbrugsareal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1.0046047809630216</v>
      </c>
    </row>
    <row r="162" spans="1:9" hidden="1" x14ac:dyDescent="0.55000000000000004">
      <c r="A162" t="s">
        <v>24</v>
      </c>
      <c r="B162" s="1" t="str">
        <f>[1]Afgrødefordeling!$C$7</f>
        <v>Kartofler</v>
      </c>
      <c r="C162" t="s">
        <v>8</v>
      </c>
      <c r="D162" t="str">
        <f t="shared" si="14"/>
        <v>OC12</v>
      </c>
      <c r="F162" t="str">
        <f t="shared" si="12"/>
        <v>Areal-kartofler</v>
      </c>
      <c r="G162" s="97" cm="1">
        <f t="array" ref="G162">IF($A162="Vestdanmark",IF($C162="Konventionel",IF(G$2=2019,SUMPRODUCT(($B162='Landbrugsareal - resultat'!$B$5:$B$18)*(INDEX('Landbrugsareal - resultat'!$C$5:$E$18,,MATCH($D162,'Landbrugsareal - resultat'!$C$4:$E$4,0)))),IF(G$2=2030,SUMPRODUCT(($B162='Landbrugsareal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resultat'!$I$4:$K$4,0)))))),IF(G$2=2019,SUMPRODUCT(($B162='Landbrugsareal - resultat'!$B$5:$B$18)*(INDEX('Landbrugsareal - resultat'!$L$5:$N$18,,MATCH($D162,'Landbrugsareal - resultat'!$L$4:$N$4,0)))),IF(G$2=2030,SUMPRODUCT(($B162='Landbrugsareal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resultat'!$R$4:$T$4,0))))))),IF($C162="Konventionel",IF(G$2=2019,SUMPRODUCT((B162='Landbrugsareal - resultat'!$B$32:$B$45)*(INDEX('Landbrugsareal - resultat'!$C$32:$E$45,,MATCH($D162,'Landbrugsareal - resultat'!$C$4:$E$4,0)))),IF(G$2=2030,SUMPRODUCT(($B162='Landbrugsareal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resultat'!$I$4:$K$4,0)))))),IF(G$2=2019,SUMPRODUCT(($B162='Landbrugsareal - resultat'!$B$32:$B$45)*(INDEX('Landbrugsareal - resultat'!$L$32:$N$45,,MATCH($D162,'Landbrugsareal - resultat'!$L$4:$N$4,0)))),IF(G$2=2030,SUMPRODUCT(($B162='Landbrugsareal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3.9694677344109963</v>
      </c>
      <c r="H162" s="97" cm="1">
        <f t="array" ref="H162">IF($A162="Vestdanmark",IF($C162="Konventionel",IF(H$2=2019,SUMPRODUCT(($B162='Landbrugsareal - resultat'!$B$5:$B$18)*(INDEX('Landbrugsareal - resultat'!$C$5:$E$18,,MATCH($D162,'Landbrugsareal - resultat'!$C$4:$E$4,0)))),IF(H$2=2030,SUMPRODUCT(($B162='Landbrugsareal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resultat'!$I$4:$K$4,0)))))),IF(H$2=2019,SUMPRODUCT(($B162='Landbrugsareal - resultat'!$B$5:$B$18)*(INDEX('Landbrugsareal - resultat'!$L$5:$N$18,,MATCH($D162,'Landbrugsareal - resultat'!$L$4:$N$4,0)))),IF(H$2=2030,SUMPRODUCT(($B162='Landbrugsareal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resultat'!$R$4:$T$4,0))))))),IF($C162="Konventionel",IF(H$2=2019,SUMPRODUCT(($B162='Landbrugsareal - resultat'!$B$32:$B$45)*(INDEX('Landbrugsareal - resultat'!$C$32:$E$45,,MATCH($D162,'Landbrugsareal - resultat'!$C$4:$E$4,0)))),IF(H$2=2030,SUMPRODUCT(($B162='Landbrugsareal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resultat'!$I$4:$K$4,0)))))),IF(H$2=2019,SUMPRODUCT(($B162='Landbrugsareal - resultat'!$B$32:$B$45)*(INDEX('Landbrugsareal - resultat'!$L$32:$N$45,,MATCH($D162,'Landbrugsareal - resultat'!$L$4:$N$4,0)))),IF(H$2=2030,SUMPRODUCT(($B162='Landbrugsareal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4.4172982876675793</v>
      </c>
      <c r="I162" s="97" cm="1">
        <f t="array" ref="I162">IF($A162="Vestdanmark",IF($C162="Konventionel",IF(I$2=2019,SUMPRODUCT(($B162='Landbrugsareal - resultat'!$B$5:$B$18)*(INDEX('Landbrugsareal - resultat'!$C$5:$E$18,,MATCH($D162,'Landbrugsareal - resultat'!$C$4:$E$4,0)))),IF(I$2=2030,SUMPRODUCT(($B162='Landbrugsareal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resultat'!$I$4:$K$4,0)))))),IF(I$2=2019,SUMPRODUCT(($B162='Landbrugsareal - resultat'!$B$5:$B$18)*(INDEX('Landbrugsareal - resultat'!$L$5:$N$18,,MATCH($D162,'Landbrugsareal - resultat'!$L$4:$N$4,0)))),IF(I$2=2030,SUMPRODUCT(($B162='Landbrugsareal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resultat'!$R$4:$T$4,0))))))),IF($C162="Konventionel",IF(I$2=2019,SUMPRODUCT((C162='Landbrugsareal - resultat'!$B$32:$B$45)*(INDEX('Landbrugsareal - resultat'!$C$32:$E$45,,MATCH($D162,'Landbrugsareal - resultat'!$C$4:$E$4,0)))),IF(I$2=2030,SUMPRODUCT(($B162='Landbrugsareal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resultat'!$I$4:$K$4,0)))))),IF(I$2=2019,SUMPRODUCT(($B162='Landbrugsareal - resultat'!$B$32:$B$45)*(INDEX('Landbrugsareal - resultat'!$L$32:$N$45,,MATCH($D162,'Landbrugsareal - resultat'!$L$4:$N$4,0)))),IF(I$2=2030,SUMPRODUCT(($B162='Landbrugsareal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5.7261274099394539</v>
      </c>
    </row>
    <row r="163" spans="1:9" hidden="1" x14ac:dyDescent="0.55000000000000004">
      <c r="A163" t="s">
        <v>24</v>
      </c>
      <c r="B163" s="1" t="str">
        <f>[1]Afgrødefordeling!$C$8</f>
        <v>Roer</v>
      </c>
      <c r="C163" t="s">
        <v>8</v>
      </c>
      <c r="D163" t="str">
        <f t="shared" si="14"/>
        <v>OC12</v>
      </c>
      <c r="F163" t="str">
        <f t="shared" si="12"/>
        <v>Areal-roer</v>
      </c>
      <c r="G163" s="97" cm="1">
        <f t="array" ref="G163">IF($A163="Vestdanmark",IF($C163="Konventionel",IF(G$2=2019,SUMPRODUCT(($B163='Landbrugsareal - resultat'!$B$5:$B$18)*(INDEX('Landbrugsareal - resultat'!$C$5:$E$18,,MATCH($D163,'Landbrugsareal - resultat'!$C$4:$E$4,0)))),IF(G$2=2030,SUMPRODUCT(($B163='Landbrugsareal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resultat'!$I$4:$K$4,0)))))),IF(G$2=2019,SUMPRODUCT(($B163='Landbrugsareal - resultat'!$B$5:$B$18)*(INDEX('Landbrugsareal - resultat'!$L$5:$N$18,,MATCH($D163,'Landbrugsareal - resultat'!$L$4:$N$4,0)))),IF(G$2=2030,SUMPRODUCT(($B163='Landbrugsareal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resultat'!$R$4:$T$4,0))))))),IF($C163="Konventionel",IF(G$2=2019,SUMPRODUCT((B163='Landbrugsareal - resultat'!$B$32:$B$45)*(INDEX('Landbrugsareal - resultat'!$C$32:$E$45,,MATCH($D163,'Landbrugsareal - resultat'!$C$4:$E$4,0)))),IF(G$2=2030,SUMPRODUCT(($B163='Landbrugsareal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resultat'!$I$4:$K$4,0)))))),IF(G$2=2019,SUMPRODUCT(($B163='Landbrugsareal - resultat'!$B$32:$B$45)*(INDEX('Landbrugsareal - resultat'!$L$32:$N$45,,MATCH($D163,'Landbrugsareal - resultat'!$L$4:$N$4,0)))),IF(G$2=2030,SUMPRODUCT(($B163='Landbrugsareal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4.5711818744455988</v>
      </c>
      <c r="H163" s="97" cm="1">
        <f t="array" ref="H163">IF($A163="Vestdanmark",IF($C163="Konventionel",IF(H$2=2019,SUMPRODUCT(($B163='Landbrugsareal - resultat'!$B$5:$B$18)*(INDEX('Landbrugsareal - resultat'!$C$5:$E$18,,MATCH($D163,'Landbrugsareal - resultat'!$C$4:$E$4,0)))),IF(H$2=2030,SUMPRODUCT(($B163='Landbrugsareal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resultat'!$I$4:$K$4,0)))))),IF(H$2=2019,SUMPRODUCT(($B163='Landbrugsareal - resultat'!$B$5:$B$18)*(INDEX('Landbrugsareal - resultat'!$L$5:$N$18,,MATCH($D163,'Landbrugsareal - resultat'!$L$4:$N$4,0)))),IF(H$2=2030,SUMPRODUCT(($B163='Landbrugsareal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resultat'!$R$4:$T$4,0))))))),IF($C163="Konventionel",IF(H$2=2019,SUMPRODUCT(($B163='Landbrugsareal - resultat'!$B$32:$B$45)*(INDEX('Landbrugsareal - resultat'!$C$32:$E$45,,MATCH($D163,'Landbrugsareal - resultat'!$C$4:$E$4,0)))),IF(H$2=2030,SUMPRODUCT(($B163='Landbrugsareal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resultat'!$I$4:$K$4,0)))))),IF(H$2=2019,SUMPRODUCT(($B163='Landbrugsareal - resultat'!$B$32:$B$45)*(INDEX('Landbrugsareal - resultat'!$L$32:$N$45,,MATCH($D163,'Landbrugsareal - resultat'!$L$4:$N$4,0)))),IF(H$2=2030,SUMPRODUCT(($B163='Landbrugsareal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5.0868970898945518</v>
      </c>
      <c r="I163" s="97" cm="1">
        <f t="array" ref="I163">IF($A163="Vestdanmark",IF($C163="Konventionel",IF(I$2=2019,SUMPRODUCT(($B163='Landbrugsareal - resultat'!$B$5:$B$18)*(INDEX('Landbrugsareal - resultat'!$C$5:$E$18,,MATCH($D163,'Landbrugsareal - resultat'!$C$4:$E$4,0)))),IF(I$2=2030,SUMPRODUCT(($B163='Landbrugsareal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resultat'!$I$4:$K$4,0)))))),IF(I$2=2019,SUMPRODUCT(($B163='Landbrugsareal - resultat'!$B$5:$B$18)*(INDEX('Landbrugsareal - resultat'!$L$5:$N$18,,MATCH($D163,'Landbrugsareal - resultat'!$L$4:$N$4,0)))),IF(I$2=2030,SUMPRODUCT(($B163='Landbrugsareal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resultat'!$R$4:$T$4,0))))))),IF($C163="Konventionel",IF(I$2=2019,SUMPRODUCT((C163='Landbrugsareal - resultat'!$B$32:$B$45)*(INDEX('Landbrugsareal - resultat'!$C$32:$E$45,,MATCH($D163,'Landbrugsareal - resultat'!$C$4:$E$4,0)))),IF(I$2=2030,SUMPRODUCT(($B163='Landbrugsareal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resultat'!$I$4:$K$4,0)))))),IF(I$2=2019,SUMPRODUCT(($B163='Landbrugsareal - resultat'!$B$32:$B$45)*(INDEX('Landbrugsareal - resultat'!$L$32:$N$45,,MATCH($D163,'Landbrugsareal - resultat'!$L$4:$N$4,0)))),IF(I$2=2030,SUMPRODUCT(($B163='Landbrugsareal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6.594125857270714</v>
      </c>
    </row>
    <row r="164" spans="1:9" hidden="1" x14ac:dyDescent="0.55000000000000004">
      <c r="A164" t="s">
        <v>24</v>
      </c>
      <c r="B164" s="1" t="str">
        <f>[1]Afgrødefordeling!$C$9</f>
        <v>Majs</v>
      </c>
      <c r="C164" t="s">
        <v>8</v>
      </c>
      <c r="D164" t="str">
        <f t="shared" si="14"/>
        <v>OC12</v>
      </c>
      <c r="F164" t="str">
        <f t="shared" si="12"/>
        <v>Areal-majs</v>
      </c>
      <c r="G164" s="97" cm="1">
        <f t="array" ref="G164">IF($A164="Vestdanmark",IF($C164="Konventionel",IF(G$2=2019,SUMPRODUCT(($B164='Landbrugsareal - resultat'!$B$5:$B$18)*(INDEX('Landbrugsareal - resultat'!$C$5:$E$18,,MATCH($D164,'Landbrugsareal - resultat'!$C$4:$E$4,0)))),IF(G$2=2030,SUMPRODUCT(($B164='Landbrugsareal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resultat'!$I$4:$K$4,0)))))),IF(G$2=2019,SUMPRODUCT(($B164='Landbrugsareal - resultat'!$B$5:$B$18)*(INDEX('Landbrugsareal - resultat'!$L$5:$N$18,,MATCH($D164,'Landbrugsareal - resultat'!$L$4:$N$4,0)))),IF(G$2=2030,SUMPRODUCT(($B164='Landbrugsareal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resultat'!$R$4:$T$4,0))))))),IF($C164="Konventionel",IF(G$2=2019,SUMPRODUCT((B164='Landbrugsareal - resultat'!$B$32:$B$45)*(INDEX('Landbrugsareal - resultat'!$C$32:$E$45,,MATCH($D164,'Landbrugsareal - resultat'!$C$4:$E$4,0)))),IF(G$2=2030,SUMPRODUCT(($B164='Landbrugsareal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resultat'!$I$4:$K$4,0)))))),IF(G$2=2019,SUMPRODUCT(($B164='Landbrugsareal - resultat'!$B$32:$B$45)*(INDEX('Landbrugsareal - resultat'!$L$32:$N$45,,MATCH($D164,'Landbrugsareal - resultat'!$L$4:$N$4,0)))),IF(G$2=2030,SUMPRODUCT(($B164='Landbrugsareal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4.6951866622642671</v>
      </c>
      <c r="H164" s="97" cm="1">
        <f t="array" ref="H164">IF($A164="Vestdanmark",IF($C164="Konventionel",IF(H$2=2019,SUMPRODUCT(($B164='Landbrugsareal - resultat'!$B$5:$B$18)*(INDEX('Landbrugsareal - resultat'!$C$5:$E$18,,MATCH($D164,'Landbrugsareal - resultat'!$C$4:$E$4,0)))),IF(H$2=2030,SUMPRODUCT(($B164='Landbrugsareal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resultat'!$I$4:$K$4,0)))))),IF(H$2=2019,SUMPRODUCT(($B164='Landbrugsareal - resultat'!$B$5:$B$18)*(INDEX('Landbrugsareal - resultat'!$L$5:$N$18,,MATCH($D164,'Landbrugsareal - resultat'!$L$4:$N$4,0)))),IF(H$2=2030,SUMPRODUCT(($B164='Landbrugsareal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resultat'!$R$4:$T$4,0))))))),IF($C164="Konventionel",IF(H$2=2019,SUMPRODUCT(($B164='Landbrugsareal - resultat'!$B$32:$B$45)*(INDEX('Landbrugsareal - resultat'!$C$32:$E$45,,MATCH($D164,'Landbrugsareal - resultat'!$C$4:$E$4,0)))),IF(H$2=2030,SUMPRODUCT(($B164='Landbrugsareal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resultat'!$I$4:$K$4,0)))))),IF(H$2=2019,SUMPRODUCT(($B164='Landbrugsareal - resultat'!$B$32:$B$45)*(INDEX('Landbrugsareal - resultat'!$L$32:$N$45,,MATCH($D164,'Landbrugsareal - resultat'!$L$4:$N$4,0)))),IF(H$2=2030,SUMPRODUCT(($B164='Landbrugsareal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5.2248919480326963</v>
      </c>
      <c r="I164" s="97" cm="1">
        <f t="array" ref="I164">IF($A164="Vestdanmark",IF($C164="Konventionel",IF(I$2=2019,SUMPRODUCT(($B164='Landbrugsareal - resultat'!$B$5:$B$18)*(INDEX('Landbrugsareal - resultat'!$C$5:$E$18,,MATCH($D164,'Landbrugsareal - resultat'!$C$4:$E$4,0)))),IF(I$2=2030,SUMPRODUCT(($B164='Landbrugsareal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resultat'!$I$4:$K$4,0)))))),IF(I$2=2019,SUMPRODUCT(($B164='Landbrugsareal - resultat'!$B$5:$B$18)*(INDEX('Landbrugsareal - resultat'!$L$5:$N$18,,MATCH($D164,'Landbrugsareal - resultat'!$L$4:$N$4,0)))),IF(I$2=2030,SUMPRODUCT(($B164='Landbrugsareal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resultat'!$R$4:$T$4,0))))))),IF($C164="Konventionel",IF(I$2=2019,SUMPRODUCT((C164='Landbrugsareal - resultat'!$B$32:$B$45)*(INDEX('Landbrugsareal - resultat'!$C$32:$E$45,,MATCH($D164,'Landbrugsareal - resultat'!$C$4:$E$4,0)))),IF(I$2=2030,SUMPRODUCT(($B164='Landbrugsareal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resultat'!$I$4:$K$4,0)))))),IF(I$2=2019,SUMPRODUCT(($B164='Landbrugsareal - resultat'!$B$32:$B$45)*(INDEX('Landbrugsareal - resultat'!$L$32:$N$45,,MATCH($D164,'Landbrugsareal - resultat'!$L$4:$N$4,0)))),IF(I$2=2030,SUMPRODUCT(($B164='Landbrugsareal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6.7730080807831241</v>
      </c>
    </row>
    <row r="165" spans="1:9" hidden="1" x14ac:dyDescent="0.55000000000000004">
      <c r="A165" t="s">
        <v>24</v>
      </c>
      <c r="B165" s="1" t="str">
        <f>[1]Afgrødefordeling!$C$10</f>
        <v>Frugt</v>
      </c>
      <c r="C165" t="s">
        <v>8</v>
      </c>
      <c r="D165" t="str">
        <f t="shared" si="14"/>
        <v>OC12</v>
      </c>
      <c r="F165" t="str">
        <f t="shared" si="12"/>
        <v>Areal-frugt</v>
      </c>
      <c r="G165" s="97" cm="1">
        <f t="array" ref="G165">IF($A165="Vestdanmark",IF($C165="Konventionel",IF(G$2=2019,SUMPRODUCT(($B165='Landbrugsareal - resultat'!$B$5:$B$18)*(INDEX('Landbrugsareal - resultat'!$C$5:$E$18,,MATCH($D165,'Landbrugsareal - resultat'!$C$4:$E$4,0)))),IF(G$2=2030,SUMPRODUCT(($B165='Landbrugsareal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resultat'!$I$4:$K$4,0)))))),IF(G$2=2019,SUMPRODUCT(($B165='Landbrugsareal - resultat'!$B$5:$B$18)*(INDEX('Landbrugsareal - resultat'!$L$5:$N$18,,MATCH($D165,'Landbrugsareal - resultat'!$L$4:$N$4,0)))),IF(G$2=2030,SUMPRODUCT(($B165='Landbrugsareal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resultat'!$R$4:$T$4,0))))))),IF($C165="Konventionel",IF(G$2=2019,SUMPRODUCT((B165='Landbrugsareal - resultat'!$B$32:$B$45)*(INDEX('Landbrugsareal - resultat'!$C$32:$E$45,,MATCH($D165,'Landbrugsareal - resultat'!$C$4:$E$4,0)))),IF(G$2=2030,SUMPRODUCT(($B165='Landbrugsareal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resultat'!$I$4:$K$4,0)))))),IF(G$2=2019,SUMPRODUCT(($B165='Landbrugsareal - resultat'!$B$32:$B$45)*(INDEX('Landbrugsareal - resultat'!$L$32:$N$45,,MATCH($D165,'Landbrugsareal - resultat'!$L$4:$N$4,0)))),IF(G$2=2030,SUMPRODUCT(($B165='Landbrugsareal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1.7037680777194875</v>
      </c>
      <c r="H165" s="97" cm="1">
        <f t="array" ref="H165">IF($A165="Vestdanmark",IF($C165="Konventionel",IF(H$2=2019,SUMPRODUCT(($B165='Landbrugsareal - resultat'!$B$5:$B$18)*(INDEX('Landbrugsareal - resultat'!$C$5:$E$18,,MATCH($D165,'Landbrugsareal - resultat'!$C$4:$E$4,0)))),IF(H$2=2030,SUMPRODUCT(($B165='Landbrugsareal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resultat'!$I$4:$K$4,0)))))),IF(H$2=2019,SUMPRODUCT(($B165='Landbrugsareal - resultat'!$B$5:$B$18)*(INDEX('Landbrugsareal - resultat'!$L$5:$N$18,,MATCH($D165,'Landbrugsareal - resultat'!$L$4:$N$4,0)))),IF(H$2=2030,SUMPRODUCT(($B165='Landbrugsareal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resultat'!$R$4:$T$4,0))))))),IF($C165="Konventionel",IF(H$2=2019,SUMPRODUCT(($B165='Landbrugsareal - resultat'!$B$32:$B$45)*(INDEX('Landbrugsareal - resultat'!$C$32:$E$45,,MATCH($D165,'Landbrugsareal - resultat'!$C$4:$E$4,0)))),IF(H$2=2030,SUMPRODUCT(($B165='Landbrugsareal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resultat'!$I$4:$K$4,0)))))),IF(H$2=2019,SUMPRODUCT(($B165='Landbrugsareal - resultat'!$B$32:$B$45)*(INDEX('Landbrugsareal - resultat'!$L$32:$N$45,,MATCH($D165,'Landbrugsareal - resultat'!$L$4:$N$4,0)))),IF(H$2=2030,SUMPRODUCT(($B165='Landbrugsareal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1.8959851334853384</v>
      </c>
      <c r="I165" s="97" cm="1">
        <f t="array" ref="I165">IF($A165="Vestdanmark",IF($C165="Konventionel",IF(I$2=2019,SUMPRODUCT(($B165='Landbrugsareal - resultat'!$B$5:$B$18)*(INDEX('Landbrugsareal - resultat'!$C$5:$E$18,,MATCH($D165,'Landbrugsareal - resultat'!$C$4:$E$4,0)))),IF(I$2=2030,SUMPRODUCT(($B165='Landbrugsareal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resultat'!$I$4:$K$4,0)))))),IF(I$2=2019,SUMPRODUCT(($B165='Landbrugsareal - resultat'!$B$5:$B$18)*(INDEX('Landbrugsareal - resultat'!$L$5:$N$18,,MATCH($D165,'Landbrugsareal - resultat'!$L$4:$N$4,0)))),IF(I$2=2030,SUMPRODUCT(($B165='Landbrugsareal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resultat'!$R$4:$T$4,0))))))),IF($C165="Konventionel",IF(I$2=2019,SUMPRODUCT((C165='Landbrugsareal - resultat'!$B$32:$B$45)*(INDEX('Landbrugsareal - resultat'!$C$32:$E$45,,MATCH($D165,'Landbrugsareal - resultat'!$C$4:$E$4,0)))),IF(I$2=2030,SUMPRODUCT(($B165='Landbrugsareal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resultat'!$I$4:$K$4,0)))))),IF(I$2=2019,SUMPRODUCT(($B165='Landbrugsareal - resultat'!$B$32:$B$45)*(INDEX('Landbrugsareal - resultat'!$L$32:$N$45,,MATCH($D165,'Landbrugsareal - resultat'!$L$4:$N$4,0)))),IF(I$2=2030,SUMPRODUCT(($B165='Landbrugsareal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2.4577585063698826</v>
      </c>
    </row>
    <row r="166" spans="1:9" hidden="1" x14ac:dyDescent="0.55000000000000004">
      <c r="A166" t="s">
        <v>24</v>
      </c>
      <c r="B166" s="1" t="str">
        <f>[1]Afgrødefordeling!$C$11</f>
        <v>Øvrige</v>
      </c>
      <c r="C166" t="s">
        <v>8</v>
      </c>
      <c r="D166" t="str">
        <f t="shared" si="14"/>
        <v>OC12</v>
      </c>
      <c r="F166" t="str">
        <f t="shared" si="12"/>
        <v>Areal-øvrige</v>
      </c>
      <c r="G166" s="97" cm="1">
        <f t="array" ref="G166">IF($A166="Vestdanmark",IF($C166="Konventionel",IF(G$2=2019,SUMPRODUCT(($B166='Landbrugsareal - resultat'!$B$5:$B$18)*(INDEX('Landbrugsareal - resultat'!$C$5:$E$18,,MATCH($D166,'Landbrugsareal - resultat'!$C$4:$E$4,0)))),IF(G$2=2030,SUMPRODUCT(($B166='Landbrugsareal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resultat'!$I$4:$K$4,0)))))),IF(G$2=2019,SUMPRODUCT(($B166='Landbrugsareal - resultat'!$B$5:$B$18)*(INDEX('Landbrugsareal - resultat'!$L$5:$N$18,,MATCH($D166,'Landbrugsareal - resultat'!$L$4:$N$4,0)))),IF(G$2=2030,SUMPRODUCT(($B166='Landbrugsareal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resultat'!$R$4:$T$4,0))))))),IF($C166="Konventionel",IF(G$2=2019,SUMPRODUCT((B166='Landbrugsareal - resultat'!$B$32:$B$45)*(INDEX('Landbrugsareal - resultat'!$C$32:$E$45,,MATCH($D166,'Landbrugsareal - resultat'!$C$4:$E$4,0)))),IF(G$2=2030,SUMPRODUCT(($B166='Landbrugsareal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resultat'!$I$4:$K$4,0)))))),IF(G$2=2019,SUMPRODUCT(($B166='Landbrugsareal - resultat'!$B$32:$B$45)*(INDEX('Landbrugsareal - resultat'!$L$32:$N$45,,MATCH($D166,'Landbrugsareal - resultat'!$L$4:$N$4,0)))),IF(G$2=2030,SUMPRODUCT(($B166='Landbrugsareal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12.1657304223686</v>
      </c>
      <c r="H166" s="97" cm="1">
        <f t="array" ref="H166">IF($A166="Vestdanmark",IF($C166="Konventionel",IF(H$2=2019,SUMPRODUCT(($B166='Landbrugsareal - resultat'!$B$5:$B$18)*(INDEX('Landbrugsareal - resultat'!$C$5:$E$18,,MATCH($D166,'Landbrugsareal - resultat'!$C$4:$E$4,0)))),IF(H$2=2030,SUMPRODUCT(($B166='Landbrugsareal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resultat'!$I$4:$K$4,0)))))),IF(H$2=2019,SUMPRODUCT(($B166='Landbrugsareal - resultat'!$B$5:$B$18)*(INDEX('Landbrugsareal - resultat'!$L$5:$N$18,,MATCH($D166,'Landbrugsareal - resultat'!$L$4:$N$4,0)))),IF(H$2=2030,SUMPRODUCT(($B166='Landbrugsareal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resultat'!$R$4:$T$4,0))))))),IF($C166="Konventionel",IF(H$2=2019,SUMPRODUCT(($B166='Landbrugsareal - resultat'!$B$32:$B$45)*(INDEX('Landbrugsareal - resultat'!$C$32:$E$45,,MATCH($D166,'Landbrugsareal - resultat'!$C$4:$E$4,0)))),IF(H$2=2030,SUMPRODUCT(($B166='Landbrugsareal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resultat'!$I$4:$K$4,0)))))),IF(H$2=2019,SUMPRODUCT(($B166='Landbrugsareal - resultat'!$B$32:$B$45)*(INDEX('Landbrugsareal - resultat'!$L$32:$N$45,,MATCH($D166,'Landbrugsareal - resultat'!$L$4:$N$4,0)))),IF(H$2=2030,SUMPRODUCT(($B166='Landbrugsareal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13.538253428057727</v>
      </c>
      <c r="I166" s="97" cm="1">
        <f t="array" ref="I166">IF($A166="Vestdanmark",IF($C166="Konventionel",IF(I$2=2019,SUMPRODUCT(($B166='Landbrugsareal - resultat'!$B$5:$B$18)*(INDEX('Landbrugsareal - resultat'!$C$5:$E$18,,MATCH($D166,'Landbrugsareal - resultat'!$C$4:$E$4,0)))),IF(I$2=2030,SUMPRODUCT(($B166='Landbrugsareal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resultat'!$I$4:$K$4,0)))))),IF(I$2=2019,SUMPRODUCT(($B166='Landbrugsareal - resultat'!$B$5:$B$18)*(INDEX('Landbrugsareal - resultat'!$L$5:$N$18,,MATCH($D166,'Landbrugsareal - resultat'!$L$4:$N$4,0)))),IF(I$2=2030,SUMPRODUCT(($B166='Landbrugsareal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resultat'!$R$4:$T$4,0))))))),IF($C166="Konventionel",IF(I$2=2019,SUMPRODUCT((C166='Landbrugsareal - resultat'!$B$32:$B$45)*(INDEX('Landbrugsareal - resultat'!$C$32:$E$45,,MATCH($D166,'Landbrugsareal - resultat'!$C$4:$E$4,0)))),IF(I$2=2030,SUMPRODUCT(($B166='Landbrugsareal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resultat'!$I$4:$K$4,0)))))),IF(I$2=2019,SUMPRODUCT(($B166='Landbrugsareal - resultat'!$B$32:$B$45)*(INDEX('Landbrugsareal - resultat'!$L$32:$N$45,,MATCH($D166,'Landbrugsareal - resultat'!$L$4:$N$4,0)))),IF(I$2=2030,SUMPRODUCT(($B166='Landbrugsareal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17.549587777111867</v>
      </c>
    </row>
    <row r="167" spans="1:9" hidden="1" x14ac:dyDescent="0.55000000000000004">
      <c r="A167" t="s">
        <v>24</v>
      </c>
      <c r="B167" s="1" t="str">
        <f>[1]Afgrødefordeling!$C$12</f>
        <v>Frø</v>
      </c>
      <c r="C167" t="s">
        <v>8</v>
      </c>
      <c r="D167" t="str">
        <f t="shared" si="14"/>
        <v>OC12</v>
      </c>
      <c r="F167" t="str">
        <f t="shared" si="12"/>
        <v>Areal-frøgræs</v>
      </c>
      <c r="G167" s="97" cm="1">
        <f t="array" ref="G167">IF($A167="Vestdanmark",IF($C167="Konventionel",IF(G$2=2019,SUMPRODUCT(($B167='Landbrugsareal - resultat'!$B$5:$B$18)*(INDEX('Landbrugsareal - resultat'!$C$5:$E$18,,MATCH($D167,'Landbrugsareal - resultat'!$C$4:$E$4,0)))),IF(G$2=2030,SUMPRODUCT(($B167='Landbrugsareal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resultat'!$I$4:$K$4,0)))))),IF(G$2=2019,SUMPRODUCT(($B167='Landbrugsareal - resultat'!$B$5:$B$18)*(INDEX('Landbrugsareal - resultat'!$L$5:$N$18,,MATCH($D167,'Landbrugsareal - resultat'!$L$4:$N$4,0)))),IF(G$2=2030,SUMPRODUCT(($B167='Landbrugsareal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resultat'!$R$4:$T$4,0))))))),IF($C167="Konventionel",IF(G$2=2019,SUMPRODUCT((B167='Landbrugsareal - resultat'!$B$32:$B$45)*(INDEX('Landbrugsareal - resultat'!$C$32:$E$45,,MATCH($D167,'Landbrugsareal - resultat'!$C$4:$E$4,0)))),IF(G$2=2030,SUMPRODUCT(($B167='Landbrugsareal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resultat'!$I$4:$K$4,0)))))),IF(G$2=2019,SUMPRODUCT(($B167='Landbrugsareal - resultat'!$B$32:$B$45)*(INDEX('Landbrugsareal - resultat'!$L$32:$N$45,,MATCH($D167,'Landbrugsareal - resultat'!$L$4:$N$4,0)))),IF(G$2=2030,SUMPRODUCT(($B167='Landbrugsareal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113.84906495358277</v>
      </c>
      <c r="H167" s="97" cm="1">
        <f t="array" ref="H167">IF($A167="Vestdanmark",IF($C167="Konventionel",IF(H$2=2019,SUMPRODUCT(($B167='Landbrugsareal - resultat'!$B$5:$B$18)*(INDEX('Landbrugsareal - resultat'!$C$5:$E$18,,MATCH($D167,'Landbrugsareal - resultat'!$C$4:$E$4,0)))),IF(H$2=2030,SUMPRODUCT(($B167='Landbrugsareal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resultat'!$I$4:$K$4,0)))))),IF(H$2=2019,SUMPRODUCT(($B167='Landbrugsareal - resultat'!$B$5:$B$18)*(INDEX('Landbrugsareal - resultat'!$L$5:$N$18,,MATCH($D167,'Landbrugsareal - resultat'!$L$4:$N$4,0)))),IF(H$2=2030,SUMPRODUCT(($B167='Landbrugsareal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resultat'!$R$4:$T$4,0))))))),IF($C167="Konventionel",IF(H$2=2019,SUMPRODUCT(($B167='Landbrugsareal - resultat'!$B$32:$B$45)*(INDEX('Landbrugsareal - resultat'!$C$32:$E$45,,MATCH($D167,'Landbrugsareal - resultat'!$C$4:$E$4,0)))),IF(H$2=2030,SUMPRODUCT(($B167='Landbrugsareal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resultat'!$I$4:$K$4,0)))))),IF(H$2=2019,SUMPRODUCT(($B167='Landbrugsareal - resultat'!$B$32:$B$45)*(INDEX('Landbrugsareal - resultat'!$L$32:$N$45,,MATCH($D167,'Landbrugsareal - resultat'!$L$4:$N$4,0)))),IF(H$2=2030,SUMPRODUCT(($B167='Landbrugsareal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126.69337889117246</v>
      </c>
      <c r="I167" s="97" cm="1">
        <f t="array" ref="I167">IF($A167="Vestdanmark",IF($C167="Konventionel",IF(I$2=2019,SUMPRODUCT(($B167='Landbrugsareal - resultat'!$B$5:$B$18)*(INDEX('Landbrugsareal - resultat'!$C$5:$E$18,,MATCH($D167,'Landbrugsareal - resultat'!$C$4:$E$4,0)))),IF(I$2=2030,SUMPRODUCT(($B167='Landbrugsareal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resultat'!$I$4:$K$4,0)))))),IF(I$2=2019,SUMPRODUCT(($B167='Landbrugsareal - resultat'!$B$5:$B$18)*(INDEX('Landbrugsareal - resultat'!$L$5:$N$18,,MATCH($D167,'Landbrugsareal - resultat'!$L$4:$N$4,0)))),IF(I$2=2030,SUMPRODUCT(($B167='Landbrugsareal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resultat'!$R$4:$T$4,0))))))),IF($C167="Konventionel",IF(I$2=2019,SUMPRODUCT((C167='Landbrugsareal - resultat'!$B$32:$B$45)*(INDEX('Landbrugsareal - resultat'!$C$32:$E$45,,MATCH($D167,'Landbrugsareal - resultat'!$C$4:$E$4,0)))),IF(I$2=2030,SUMPRODUCT(($B167='Landbrugsareal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resultat'!$I$4:$K$4,0)))))),IF(I$2=2019,SUMPRODUCT(($B167='Landbrugsareal - resultat'!$B$32:$B$45)*(INDEX('Landbrugsareal - resultat'!$L$32:$N$45,,MATCH($D167,'Landbrugsareal - resultat'!$L$4:$N$4,0)))),IF(I$2=2030,SUMPRODUCT(($B167='Landbrugsareal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164.23215782189024</v>
      </c>
    </row>
    <row r="168" spans="1:9" hidden="1" x14ac:dyDescent="0.55000000000000004">
      <c r="A168" t="s">
        <v>24</v>
      </c>
      <c r="B168" s="1" t="str">
        <f>[1]Afgrødefordeling!$C$13</f>
        <v>Juletræer</v>
      </c>
      <c r="C168" t="s">
        <v>8</v>
      </c>
      <c r="D168" t="str">
        <f t="shared" si="14"/>
        <v>OC12</v>
      </c>
      <c r="F168" t="str">
        <f t="shared" si="12"/>
        <v>Areal-juletræer</v>
      </c>
      <c r="G168" s="97" cm="1">
        <f t="array" ref="G168">IF($A168="Vestdanmark",IF($C168="Konventionel",IF(G$2=2019,SUMPRODUCT(($B168='Landbrugsareal - resultat'!$B$5:$B$18)*(INDEX('Landbrugsareal - resultat'!$C$5:$E$18,,MATCH($D168,'Landbrugsareal - resultat'!$C$4:$E$4,0)))),IF(G$2=2030,SUMPRODUCT(($B168='Landbrugsareal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resultat'!$I$4:$K$4,0)))))),IF(G$2=2019,SUMPRODUCT(($B168='Landbrugsareal - resultat'!$B$5:$B$18)*(INDEX('Landbrugsareal - resultat'!$L$5:$N$18,,MATCH($D168,'Landbrugsareal - resultat'!$L$4:$N$4,0)))),IF(G$2=2030,SUMPRODUCT(($B168='Landbrugsareal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resultat'!$R$4:$T$4,0))))))),IF($C168="Konventionel",IF(G$2=2019,SUMPRODUCT((B168='Landbrugsareal - resultat'!$B$32:$B$45)*(INDEX('Landbrugsareal - resultat'!$C$32:$E$45,,MATCH($D168,'Landbrugsareal - resultat'!$C$4:$E$4,0)))),IF(G$2=2030,SUMPRODUCT(($B168='Landbrugsareal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resultat'!$I$4:$K$4,0)))))),IF(G$2=2019,SUMPRODUCT(($B168='Landbrugsareal - resultat'!$B$32:$B$45)*(INDEX('Landbrugsareal - resultat'!$L$32:$N$45,,MATCH($D168,'Landbrugsareal - resultat'!$L$4:$N$4,0)))),IF(G$2=2030,SUMPRODUCT(($B168='Landbrugsareal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2.6697948822619382</v>
      </c>
      <c r="H168" s="97" cm="1">
        <f t="array" ref="H168">IF($A168="Vestdanmark",IF($C168="Konventionel",IF(H$2=2019,SUMPRODUCT(($B168='Landbrugsareal - resultat'!$B$5:$B$18)*(INDEX('Landbrugsareal - resultat'!$C$5:$E$18,,MATCH($D168,'Landbrugsareal - resultat'!$C$4:$E$4,0)))),IF(H$2=2030,SUMPRODUCT(($B168='Landbrugsareal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resultat'!$I$4:$K$4,0)))))),IF(H$2=2019,SUMPRODUCT(($B168='Landbrugsareal - resultat'!$B$5:$B$18)*(INDEX('Landbrugsareal - resultat'!$L$5:$N$18,,MATCH($D168,'Landbrugsareal - resultat'!$L$4:$N$4,0)))),IF(H$2=2030,SUMPRODUCT(($B168='Landbrugsareal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resultat'!$R$4:$T$4,0))))))),IF($C168="Konventionel",IF(H$2=2019,SUMPRODUCT(($B168='Landbrugsareal - resultat'!$B$32:$B$45)*(INDEX('Landbrugsareal - resultat'!$C$32:$E$45,,MATCH($D168,'Landbrugsareal - resultat'!$C$4:$E$4,0)))),IF(H$2=2030,SUMPRODUCT(($B168='Landbrugsareal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resultat'!$I$4:$K$4,0)))))),IF(H$2=2019,SUMPRODUCT(($B168='Landbrugsareal - resultat'!$B$32:$B$45)*(INDEX('Landbrugsareal - resultat'!$L$32:$N$45,,MATCH($D168,'Landbrugsareal - resultat'!$L$4:$N$4,0)))),IF(H$2=2030,SUMPRODUCT(($B168='Landbrugsareal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2.9709979148096681</v>
      </c>
      <c r="I168" s="97" cm="1">
        <f t="array" ref="I168">IF($A168="Vestdanmark",IF($C168="Konventionel",IF(I$2=2019,SUMPRODUCT(($B168='Landbrugsareal - resultat'!$B$5:$B$18)*(INDEX('Landbrugsareal - resultat'!$C$5:$E$18,,MATCH($D168,'Landbrugsareal - resultat'!$C$4:$E$4,0)))),IF(I$2=2030,SUMPRODUCT(($B168='Landbrugsareal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resultat'!$I$4:$K$4,0)))))),IF(I$2=2019,SUMPRODUCT(($B168='Landbrugsareal - resultat'!$B$5:$B$18)*(INDEX('Landbrugsareal - resultat'!$L$5:$N$18,,MATCH($D168,'Landbrugsareal - resultat'!$L$4:$N$4,0)))),IF(I$2=2030,SUMPRODUCT(($B168='Landbrugsareal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resultat'!$R$4:$T$4,0))))))),IF($C168="Konventionel",IF(I$2=2019,SUMPRODUCT((C168='Landbrugsareal - resultat'!$B$32:$B$45)*(INDEX('Landbrugsareal - resultat'!$C$32:$E$45,,MATCH($D168,'Landbrugsareal - resultat'!$C$4:$E$4,0)))),IF(I$2=2030,SUMPRODUCT(($B168='Landbrugsareal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resultat'!$I$4:$K$4,0)))))),IF(I$2=2019,SUMPRODUCT(($B168='Landbrugsareal - resultat'!$B$32:$B$45)*(INDEX('Landbrugsareal - resultat'!$L$32:$N$45,,MATCH($D168,'Landbrugsareal - resultat'!$L$4:$N$4,0)))),IF(I$2=2030,SUMPRODUCT(($B168='Landbrugsareal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3.8512935932717913</v>
      </c>
    </row>
    <row r="169" spans="1:9" hidden="1" x14ac:dyDescent="0.55000000000000004">
      <c r="A169" t="s">
        <v>24</v>
      </c>
      <c r="B169" s="1" t="str">
        <f>[1]Afgrødefordeling!$C$14</f>
        <v>Pil &amp; poppel</v>
      </c>
      <c r="C169" t="s">
        <v>8</v>
      </c>
      <c r="D169" t="str">
        <f t="shared" si="14"/>
        <v>OC12</v>
      </c>
      <c r="F169" t="str">
        <f t="shared" si="12"/>
        <v>Areal-pil-poppel</v>
      </c>
      <c r="G169" s="97" cm="1">
        <f t="array" ref="G169">IF($A169="Vestdanmark",IF($C169="Konventionel",IF(G$2=2019,SUMPRODUCT(($B169='Landbrugsareal - resultat'!$B$5:$B$18)*(INDEX('Landbrugsareal - resultat'!$C$5:$E$18,,MATCH($D169,'Landbrugsareal - resultat'!$C$4:$E$4,0)))),IF(G$2=2030,SUMPRODUCT(($B169='Landbrugsareal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resultat'!$I$4:$K$4,0)))))),IF(G$2=2019,SUMPRODUCT(($B169='Landbrugsareal - resultat'!$B$5:$B$18)*(INDEX('Landbrugsareal - resultat'!$L$5:$N$18,,MATCH($D169,'Landbrugsareal - resultat'!$L$4:$N$4,0)))),IF(G$2=2030,SUMPRODUCT(($B169='Landbrugsareal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resultat'!$R$4:$T$4,0))))))),IF($C169="Konventionel",IF(G$2=2019,SUMPRODUCT((B169='Landbrugsareal - resultat'!$B$32:$B$45)*(INDEX('Landbrugsareal - resultat'!$C$32:$E$45,,MATCH($D169,'Landbrugsareal - resultat'!$C$4:$E$4,0)))),IF(G$2=2030,SUMPRODUCT(($B169='Landbrugsareal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resultat'!$I$4:$K$4,0)))))),IF(G$2=2019,SUMPRODUCT(($B169='Landbrugsareal - resultat'!$B$32:$B$45)*(INDEX('Landbrugsareal - resultat'!$L$32:$N$45,,MATCH($D169,'Landbrugsareal - resultat'!$L$4:$N$4,0)))),IF(G$2=2030,SUMPRODUCT(($B169='Landbrugsareal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8.1439937126999205</v>
      </c>
      <c r="H169" s="97" cm="1">
        <f t="array" ref="H169">IF($A169="Vestdanmark",IF($C169="Konventionel",IF(H$2=2019,SUMPRODUCT(($B169='Landbrugsareal - resultat'!$B$5:$B$18)*(INDEX('Landbrugsareal - resultat'!$C$5:$E$18,,MATCH($D169,'Landbrugsareal - resultat'!$C$4:$E$4,0)))),IF(H$2=2030,SUMPRODUCT(($B169='Landbrugsareal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resultat'!$I$4:$K$4,0)))))),IF(H$2=2019,SUMPRODUCT(($B169='Landbrugsareal - resultat'!$B$5:$B$18)*(INDEX('Landbrugsareal - resultat'!$L$5:$N$18,,MATCH($D169,'Landbrugsareal - resultat'!$L$4:$N$4,0)))),IF(H$2=2030,SUMPRODUCT(($B169='Landbrugsareal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resultat'!$R$4:$T$4,0))))))),IF($C169="Konventionel",IF(H$2=2019,SUMPRODUCT(($B169='Landbrugsareal - resultat'!$B$32:$B$45)*(INDEX('Landbrugsareal - resultat'!$C$32:$E$45,,MATCH($D169,'Landbrugsareal - resultat'!$C$4:$E$4,0)))),IF(H$2=2030,SUMPRODUCT(($B169='Landbrugsareal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resultat'!$I$4:$K$4,0)))))),IF(H$2=2019,SUMPRODUCT(($B169='Landbrugsareal - resultat'!$B$32:$B$45)*(INDEX('Landbrugsareal - resultat'!$L$32:$N$45,,MATCH($D169,'Landbrugsareal - resultat'!$L$4:$N$4,0)))),IF(H$2=2030,SUMPRODUCT(($B169='Landbrugsareal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9.0627892425035448</v>
      </c>
      <c r="I169" s="97" cm="1">
        <f t="array" ref="I169">IF($A169="Vestdanmark",IF($C169="Konventionel",IF(I$2=2019,SUMPRODUCT(($B169='Landbrugsareal - resultat'!$B$5:$B$18)*(INDEX('Landbrugsareal - resultat'!$C$5:$E$18,,MATCH($D169,'Landbrugsareal - resultat'!$C$4:$E$4,0)))),IF(I$2=2030,SUMPRODUCT(($B169='Landbrugsareal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resultat'!$I$4:$K$4,0)))))),IF(I$2=2019,SUMPRODUCT(($B169='Landbrugsareal - resultat'!$B$5:$B$18)*(INDEX('Landbrugsareal - resultat'!$L$5:$N$18,,MATCH($D169,'Landbrugsareal - resultat'!$L$4:$N$4,0)))),IF(I$2=2030,SUMPRODUCT(($B169='Landbrugsareal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resultat'!$R$4:$T$4,0))))))),IF($C169="Konventionel",IF(I$2=2019,SUMPRODUCT((C169='Landbrugsareal - resultat'!$B$32:$B$45)*(INDEX('Landbrugsareal - resultat'!$C$32:$E$45,,MATCH($D169,'Landbrugsareal - resultat'!$C$4:$E$4,0)))),IF(I$2=2030,SUMPRODUCT(($B169='Landbrugsareal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resultat'!$I$4:$K$4,0)))))),IF(I$2=2019,SUMPRODUCT(($B169='Landbrugsareal - resultat'!$B$32:$B$45)*(INDEX('Landbrugsareal - resultat'!$L$32:$N$45,,MATCH($D169,'Landbrugsareal - resultat'!$L$4:$N$4,0)))),IF(I$2=2030,SUMPRODUCT(($B169='Landbrugsareal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11.748060129171261</v>
      </c>
    </row>
    <row r="170" spans="1:9" hidden="1" x14ac:dyDescent="0.55000000000000004">
      <c r="A170" t="s">
        <v>24</v>
      </c>
      <c r="B170" s="1" t="str">
        <f>[1]Afgrødefordeling!$C$15</f>
        <v>Permanent græs</v>
      </c>
      <c r="C170" t="s">
        <v>8</v>
      </c>
      <c r="D170" t="str">
        <f t="shared" si="14"/>
        <v>OC12</v>
      </c>
      <c r="F170" t="str">
        <f t="shared" si="12"/>
        <v>Areal-permanent græs</v>
      </c>
      <c r="G170" s="97" cm="1">
        <f t="array" ref="G170">IF($A170="Vestdanmark",IF($C170="Konventionel",IF(G$2=2019,SUMPRODUCT(($B170='Landbrugsareal - resultat'!$B$5:$B$18)*(INDEX('Landbrugsareal - resultat'!$C$5:$E$18,,MATCH($D170,'Landbrugsareal - resultat'!$C$4:$E$4,0)))),IF(G$2=2030,SUMPRODUCT(($B170='Landbrugsareal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resultat'!$I$4:$K$4,0)))))),IF(G$2=2019,SUMPRODUCT(($B170='Landbrugsareal - resultat'!$B$5:$B$18)*(INDEX('Landbrugsareal - resultat'!$L$5:$N$18,,MATCH($D170,'Landbrugsareal - resultat'!$L$4:$N$4,0)))),IF(G$2=2030,SUMPRODUCT(($B170='Landbrugsareal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resultat'!$R$4:$T$4,0))))))),IF($C170="Konventionel",IF(G$2=2019,SUMPRODUCT((B170='Landbrugsareal - resultat'!$B$32:$B$45)*(INDEX('Landbrugsareal - resultat'!$C$32:$E$45,,MATCH($D170,'Landbrugsareal - resultat'!$C$4:$E$4,0)))),IF(G$2=2030,SUMPRODUCT(($B170='Landbrugsareal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resultat'!$I$4:$K$4,0)))))),IF(G$2=2019,SUMPRODUCT(($B170='Landbrugsareal - resultat'!$B$32:$B$45)*(INDEX('Landbrugsareal - resultat'!$L$32:$N$45,,MATCH($D170,'Landbrugsareal - resultat'!$L$4:$N$4,0)))),IF(G$2=2030,SUMPRODUCT(($B170='Landbrugsareal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311.25083330735572</v>
      </c>
      <c r="H170" s="97" cm="1">
        <f t="array" ref="H170">IF($A170="Vestdanmark",IF($C170="Konventionel",IF(H$2=2019,SUMPRODUCT(($B170='Landbrugsareal - resultat'!$B$5:$B$18)*(INDEX('Landbrugsareal - resultat'!$C$5:$E$18,,MATCH($D170,'Landbrugsareal - resultat'!$C$4:$E$4,0)))),IF(H$2=2030,SUMPRODUCT(($B170='Landbrugsareal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resultat'!$I$4:$K$4,0)))))),IF(H$2=2019,SUMPRODUCT(($B170='Landbrugsareal - resultat'!$B$5:$B$18)*(INDEX('Landbrugsareal - resultat'!$L$5:$N$18,,MATCH($D170,'Landbrugsareal - resultat'!$L$4:$N$4,0)))),IF(H$2=2030,SUMPRODUCT(($B170='Landbrugsareal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resultat'!$R$4:$T$4,0))))))),IF($C170="Konventionel",IF(H$2=2019,SUMPRODUCT(($B170='Landbrugsareal - resultat'!$B$32:$B$45)*(INDEX('Landbrugsareal - resultat'!$C$32:$E$45,,MATCH($D170,'Landbrugsareal - resultat'!$C$4:$E$4,0)))),IF(H$2=2030,SUMPRODUCT(($B170='Landbrugsareal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resultat'!$I$4:$K$4,0)))))),IF(H$2=2019,SUMPRODUCT(($B170='Landbrugsareal - resultat'!$B$32:$B$45)*(INDEX('Landbrugsareal - resultat'!$L$32:$N$45,,MATCH($D170,'Landbrugsareal - resultat'!$L$4:$N$4,0)))),IF(H$2=2030,SUMPRODUCT(($B170='Landbrugsareal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315.17066941348531</v>
      </c>
      <c r="I170" s="97" cm="1">
        <f t="array" ref="I170">IF($A170="Vestdanmark",IF($C170="Konventionel",IF(I$2=2019,SUMPRODUCT(($B170='Landbrugsareal - resultat'!$B$5:$B$18)*(INDEX('Landbrugsareal - resultat'!$C$5:$E$18,,MATCH($D170,'Landbrugsareal - resultat'!$C$4:$E$4,0)))),IF(I$2=2030,SUMPRODUCT(($B170='Landbrugsareal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resultat'!$I$4:$K$4,0)))))),IF(I$2=2019,SUMPRODUCT(($B170='Landbrugsareal - resultat'!$B$5:$B$18)*(INDEX('Landbrugsareal - resultat'!$L$5:$N$18,,MATCH($D170,'Landbrugsareal - resultat'!$L$4:$N$4,0)))),IF(I$2=2030,SUMPRODUCT(($B170='Landbrugsareal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resultat'!$R$4:$T$4,0))))))),IF($C170="Konventionel",IF(I$2=2019,SUMPRODUCT((C170='Landbrugsareal - resultat'!$B$32:$B$45)*(INDEX('Landbrugsareal - resultat'!$C$32:$E$45,,MATCH($D170,'Landbrugsareal - resultat'!$C$4:$E$4,0)))),IF(I$2=2030,SUMPRODUCT(($B170='Landbrugsareal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resultat'!$I$4:$K$4,0)))))),IF(I$2=2019,SUMPRODUCT(($B170='Landbrugsareal - resultat'!$B$32:$B$45)*(INDEX('Landbrugsareal - resultat'!$L$32:$N$45,,MATCH($D170,'Landbrugsareal - resultat'!$L$4:$N$4,0)))),IF(I$2=2030,SUMPRODUCT(($B170='Landbrugsareal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408.55457146192538</v>
      </c>
    </row>
    <row r="171" spans="1:9" hidden="1" x14ac:dyDescent="0.55000000000000004">
      <c r="A171" t="s">
        <v>23</v>
      </c>
      <c r="B171" t="s">
        <v>22</v>
      </c>
      <c r="C171" t="s">
        <v>7</v>
      </c>
      <c r="F171" t="str">
        <f>B171</f>
        <v>Svin</v>
      </c>
      <c r="G171" s="97" cm="1">
        <f t="array" ref="G171">(INDEX([1]Dyrehold!$C$14:$E$17,MATCH(1,(A171=[1]Dyrehold!$A$14:$A$17)*(C171=[1]Dyrehold!$B$14:$B$17),0),MATCH($B171,[1]Dyrehold!$C$13:$E$13,0)))</f>
        <v>10266966</v>
      </c>
      <c r="H171" s="97">
        <f>SUMIFS($G$3:$G$182,$A$3:$A$182,$A171,$B$3:$B$182,$B171)*VLOOKUP($B171,Landbrug!$B$11:$E$13,2,FALSE)*IF($C171&lt;&gt;"Økologisk",1-VLOOKUP($B171,Landbrug!$B$6:$E$8,3,FALSE),VLOOKUP($B171,Landbrug!$B$6:$E$8,3,FALSE))</f>
        <v>10081251.358070999</v>
      </c>
      <c r="I171" s="97">
        <f>SUMIFS($G$3:$G$182,$A$3:$A$182,$A171,$B$3:$B$182,$B171)*VLOOKUP($B171,Landbrug!$B$11:$E$13,3,FALSE)*IF($C171&lt;&gt;"Økologisk",1-VLOOKUP($B171,Landbrug!$B$6:$E$8,4,FALSE),VLOOKUP($B171,Landbrug!$B$6:$E$8,4,FALSE))</f>
        <v>9651553.6380710006</v>
      </c>
    </row>
    <row r="172" spans="1:9" hidden="1" x14ac:dyDescent="0.55000000000000004">
      <c r="A172" t="s">
        <v>24</v>
      </c>
      <c r="B172" t="s">
        <v>22</v>
      </c>
      <c r="C172" t="s">
        <v>7</v>
      </c>
      <c r="F172" t="str">
        <f t="shared" ref="F172:F184" si="15">B172</f>
        <v>Svin</v>
      </c>
      <c r="G172" s="97" cm="1">
        <f t="array" ref="G172">(INDEX([1]Dyrehold!$C$14:$E$17,MATCH(1,(A172=[1]Dyrehold!$A$14:$A$17)*(C172=[1]Dyrehold!$B$14:$B$17),0),MATCH($B172,[1]Dyrehold!$C$13:$E$13,0)))</f>
        <v>1541102</v>
      </c>
      <c r="H172" s="97">
        <f>SUMIFS($G$3:$G$182,$A$3:$A$182,$A172,$B$3:$B$182,$B172)*VLOOKUP($B172,Landbrug!$B$11:$E$13,2,FALSE)*IF($C172&lt;&gt;"Økologisk",1-VLOOKUP($B172,Landbrug!$B$6:$E$8,3,FALSE),VLOOKUP($B172,Landbrug!$B$6:$E$8,3,FALSE))</f>
        <v>1460744.2385455577</v>
      </c>
      <c r="I172" s="97">
        <f>SUMIFS($G$3:$G$182,$A$3:$A$182,$A172,$B$3:$B$182,$B172)*VLOOKUP($B172,Landbrug!$B$11:$E$13,3,FALSE)*IF($C172&lt;&gt;"Økologisk",1-VLOOKUP($B172,Landbrug!$B$6:$E$8,4,FALSE),VLOOKUP($B172,Landbrug!$B$6:$E$8,4,FALSE))</f>
        <v>1398482.2785455578</v>
      </c>
    </row>
    <row r="173" spans="1:9" hidden="1" x14ac:dyDescent="0.55000000000000004">
      <c r="A173" t="s">
        <v>23</v>
      </c>
      <c r="B173" t="s">
        <v>22</v>
      </c>
      <c r="C173" t="s">
        <v>8</v>
      </c>
      <c r="F173" t="str">
        <f t="shared" si="15"/>
        <v>Svin</v>
      </c>
      <c r="G173" s="97" cm="1">
        <f t="array" ref="G173">(INDEX([1]Dyrehold!$C$14:$E$17,MATCH(1,(A173=[1]Dyrehold!$A$14:$A$17)*(C173=[1]Dyrehold!$B$14:$B$17),0),MATCH($B173,[1]Dyrehold!$C$13:$E$13,0)))</f>
        <v>475477</v>
      </c>
      <c r="H173" s="97">
        <f>SUMIFS($G$3:$G$182,$A$3:$A$182,$A173,$B$3:$B$182,$B173)*VLOOKUP($B173,Landbrug!$B$11:$E$13,2,FALSE)*IF($C173&lt;&gt;"Økologisk",1-VLOOKUP($B173,Landbrug!$B$6:$E$8,3,FALSE),VLOOKUP($B173,Landbrug!$B$6:$E$8,3,FALSE))</f>
        <v>661191.6419289998</v>
      </c>
      <c r="I173" s="97">
        <f>SUMIFS($G$3:$G$182,$A$3:$A$182,$A173,$B$3:$B$182,$B173)*VLOOKUP($B173,Landbrug!$B$11:$E$13,3,FALSE)*IF($C173&lt;&gt;"Økologisk",1-VLOOKUP($B173,Landbrug!$B$6:$E$8,4,FALSE),VLOOKUP($B173,Landbrug!$B$6:$E$8,4,FALSE))</f>
        <v>1090889.3619289997</v>
      </c>
    </row>
    <row r="174" spans="1:9" hidden="1" x14ac:dyDescent="0.55000000000000004">
      <c r="A174" t="s">
        <v>24</v>
      </c>
      <c r="B174" t="s">
        <v>22</v>
      </c>
      <c r="C174" t="s">
        <v>8</v>
      </c>
      <c r="F174" t="str">
        <f t="shared" si="15"/>
        <v>Svin</v>
      </c>
      <c r="G174" s="97" cm="1">
        <f t="array" ref="G174">(INDEX([1]Dyrehold!$C$14:$E$17,MATCH(1,(A174=[1]Dyrehold!$A$14:$A$17)*(C174=[1]Dyrehold!$B$14:$B$17),0),MATCH($B174,[1]Dyrehold!$C$13:$E$13,0)))</f>
        <v>15447</v>
      </c>
      <c r="H174" s="97">
        <f>SUMIFS($G$3:$G$182,$A$3:$A$182,$A174,$B$3:$B$182,$B174)*VLOOKUP($B174,Landbrug!$B$11:$E$13,2,FALSE)*IF($C174&lt;&gt;"Økologisk",1-VLOOKUP($B174,Landbrug!$B$6:$E$8,3,FALSE),VLOOKUP($B174,Landbrug!$B$6:$E$8,3,FALSE))</f>
        <v>95804.761454442225</v>
      </c>
      <c r="I174" s="97">
        <f>SUMIFS($G$3:$G$182,$A$3:$A$182,$A174,$B$3:$B$182,$B174)*VLOOKUP($B174,Landbrug!$B$11:$E$13,3,FALSE)*IF($C174&lt;&gt;"Økologisk",1-VLOOKUP($B174,Landbrug!$B$6:$E$8,4,FALSE),VLOOKUP($B174,Landbrug!$B$6:$E$8,4,FALSE))</f>
        <v>158066.72145444219</v>
      </c>
    </row>
    <row r="175" spans="1:9" hidden="1" x14ac:dyDescent="0.55000000000000004">
      <c r="A175" t="s">
        <v>23</v>
      </c>
      <c r="B175" t="s">
        <v>3</v>
      </c>
      <c r="C175" t="s">
        <v>7</v>
      </c>
      <c r="F175" t="str">
        <f t="shared" si="15"/>
        <v>Køer</v>
      </c>
      <c r="G175" s="97" cm="1">
        <f t="array" ref="G175">(INDEX([1]Dyrehold!$C$14:$E$17,MATCH(1,(A175=[1]Dyrehold!$A$14:$A$17)*(C175=[1]Dyrehold!$B$14:$B$17),0),MATCH($B175,[1]Dyrehold!$C$13:$E$13,0)))</f>
        <v>1184629</v>
      </c>
      <c r="H175" s="97">
        <f>SUMIFS($G$3:$G$182,$A$3:$A$182,$A175,$B$3:$B$182,$B175)*VLOOKUP($B175,Landbrug!$B$11:$E$13,2,FALSE)*IF($C175&lt;&gt;"Økologisk",1-VLOOKUP($B175,Landbrug!$B$6:$E$8,3,FALSE),VLOOKUP($B175,Landbrug!$B$6:$E$8,3,FALSE))</f>
        <v>1152879.1032080106</v>
      </c>
      <c r="I175" s="97">
        <f>SUMIFS($G$3:$G$182,$A$3:$A$182,$A175,$B$3:$B$182,$B175)*VLOOKUP($B175,Landbrug!$B$11:$E$13,3,FALSE)*IF($C175&lt;&gt;"Økologisk",1-VLOOKUP($B175,Landbrug!$B$6:$E$8,4,FALSE),VLOOKUP($B175,Landbrug!$B$6:$E$8,4,FALSE))</f>
        <v>1097180.5432080105</v>
      </c>
    </row>
    <row r="176" spans="1:9" hidden="1" x14ac:dyDescent="0.55000000000000004">
      <c r="A176" t="s">
        <v>24</v>
      </c>
      <c r="B176" t="s">
        <v>3</v>
      </c>
      <c r="C176" t="s">
        <v>7</v>
      </c>
      <c r="F176" t="str">
        <f t="shared" si="15"/>
        <v>Køer</v>
      </c>
      <c r="G176" s="97" cm="1">
        <f t="array" ref="G176">(INDEX([1]Dyrehold!$C$14:$E$17,MATCH(1,(A176=[1]Dyrehold!$A$14:$A$17)*(C176=[1]Dyrehold!$B$14:$B$17),0),MATCH($B176,[1]Dyrehold!$C$13:$E$13,0)))</f>
        <v>82455</v>
      </c>
      <c r="H176" s="97">
        <f>SUMIFS($G$3:$G$182,$A$3:$A$182,$A176,$B$3:$B$182,$B176)*VLOOKUP($B176,Landbrug!$B$11:$E$13,2,FALSE)*IF($C176&lt;&gt;"Økologisk",1-VLOOKUP($B176,Landbrug!$B$6:$E$8,3,FALSE),VLOOKUP($B176,Landbrug!$B$6:$E$8,3,FALSE))</f>
        <v>81939.740694402441</v>
      </c>
      <c r="I176" s="97">
        <f>SUMIFS($G$3:$G$182,$A$3:$A$182,$A176,$B$3:$B$182,$B176)*VLOOKUP($B176,Landbrug!$B$11:$E$13,3,FALSE)*IF($C176&lt;&gt;"Økologisk",1-VLOOKUP($B176,Landbrug!$B$6:$E$8,4,FALSE),VLOOKUP($B176,Landbrug!$B$6:$E$8,4,FALSE))</f>
        <v>77981.020694402439</v>
      </c>
    </row>
    <row r="177" spans="1:9" hidden="1" x14ac:dyDescent="0.55000000000000004">
      <c r="A177" t="s">
        <v>23</v>
      </c>
      <c r="B177" t="s">
        <v>3</v>
      </c>
      <c r="C177" t="s">
        <v>8</v>
      </c>
      <c r="F177" t="str">
        <f t="shared" si="15"/>
        <v>Køer</v>
      </c>
      <c r="G177" s="97" cm="1">
        <f t="array" ref="G177">(INDEX([1]Dyrehold!$C$14:$E$17,MATCH(1,(A177=[1]Dyrehold!$A$14:$A$17)*(C177=[1]Dyrehold!$B$14:$B$17),0),MATCH($B177,[1]Dyrehold!$C$13:$E$13,0)))</f>
        <v>207835</v>
      </c>
      <c r="H177" s="97">
        <f>SUMIFS($G$3:$G$182,$A$3:$A$182,$A177,$B$3:$B$182,$B177)*VLOOKUP($B177,Landbrug!$B$11:$E$13,2,FALSE)*IF($C177&lt;&gt;"Økologisk",1-VLOOKUP($B177,Landbrug!$B$6:$E$8,3,FALSE),VLOOKUP($B177,Landbrug!$B$6:$E$8,3,FALSE))</f>
        <v>239584.89679198936</v>
      </c>
      <c r="I177" s="97">
        <f>SUMIFS($G$3:$G$182,$A$3:$A$182,$A177,$B$3:$B$182,$B177)*VLOOKUP($B177,Landbrug!$B$11:$E$13,3,FALSE)*IF($C177&lt;&gt;"Økologisk",1-VLOOKUP($B177,Landbrug!$B$6:$E$8,4,FALSE),VLOOKUP($B177,Landbrug!$B$6:$E$8,4,FALSE))</f>
        <v>295283.45679198933</v>
      </c>
    </row>
    <row r="178" spans="1:9" hidden="1" x14ac:dyDescent="0.55000000000000004">
      <c r="A178" t="s">
        <v>24</v>
      </c>
      <c r="B178" t="s">
        <v>3</v>
      </c>
      <c r="C178" t="s">
        <v>8</v>
      </c>
      <c r="F178" t="str">
        <f t="shared" si="15"/>
        <v>Køer</v>
      </c>
      <c r="G178" s="97" cm="1">
        <f t="array" ref="G178">(INDEX([1]Dyrehold!$C$14:$E$17,MATCH(1,(A178=[1]Dyrehold!$A$14:$A$17)*(C178=[1]Dyrehold!$B$14:$B$17),0),MATCH($B178,[1]Dyrehold!$C$13:$E$13,0)))</f>
        <v>16513</v>
      </c>
      <c r="H178" s="97">
        <f>SUMIFS($G$3:$G$182,$A$3:$A$182,$A178,$B$3:$B$182,$B178)*VLOOKUP($B178,Landbrug!$B$11:$E$13,2,FALSE)*IF($C178&lt;&gt;"Økologisk",1-VLOOKUP($B178,Landbrug!$B$6:$E$8,3,FALSE),VLOOKUP($B178,Landbrug!$B$6:$E$8,3,FALSE))</f>
        <v>17028.259305597563</v>
      </c>
      <c r="I178" s="97">
        <f>SUMIFS($G$3:$G$182,$A$3:$A$182,$A178,$B$3:$B$182,$B178)*VLOOKUP($B178,Landbrug!$B$11:$E$13,3,FALSE)*IF($C178&lt;&gt;"Økologisk",1-VLOOKUP($B178,Landbrug!$B$6:$E$8,4,FALSE),VLOOKUP($B178,Landbrug!$B$6:$E$8,4,FALSE))</f>
        <v>20986.979305597561</v>
      </c>
    </row>
    <row r="179" spans="1:9" hidden="1" x14ac:dyDescent="0.55000000000000004">
      <c r="A179" t="s">
        <v>23</v>
      </c>
      <c r="B179" t="s">
        <v>4</v>
      </c>
      <c r="C179" t="s">
        <v>7</v>
      </c>
      <c r="F179" t="str">
        <f t="shared" si="15"/>
        <v>Fjerkræ</v>
      </c>
      <c r="G179" s="97" cm="1">
        <f t="array" ref="G179">(INDEX([1]Dyrehold!$C$14:$E$17,MATCH(1,(A179=[1]Dyrehold!$A$14:$A$17)*(C179=[1]Dyrehold!$B$14:$B$17),0),MATCH($B179,[1]Dyrehold!$C$13:$E$13,0)))</f>
        <v>18212034</v>
      </c>
      <c r="H179" s="97">
        <f>SUMIFS($G$3:$G$182,$A$3:$A$182,$A179,$B$3:$B$182,$B179)*VLOOKUP($B179,Landbrug!$B$11:$E$13,2,FALSE)*IF($C179&lt;&gt;"Økologisk",1-VLOOKUP($B179,Landbrug!$B$6:$E$8,3,FALSE),VLOOKUP($B179,Landbrug!$B$6:$E$8,3,FALSE))</f>
        <v>17790568.192894831</v>
      </c>
      <c r="I179" s="97">
        <f>SUMIFS($G$3:$G$182,$A$3:$A$182,$A179,$B$3:$B$182,$B179)*VLOOKUP($B179,Landbrug!$B$11:$E$13,3,FALSE)*IF($C179&lt;&gt;"Økologisk",1-VLOOKUP($B179,Landbrug!$B$6:$E$8,4,FALSE),VLOOKUP($B179,Landbrug!$B$6:$E$8,4,FALSE))</f>
        <v>16939594.832894832</v>
      </c>
    </row>
    <row r="180" spans="1:9" hidden="1" x14ac:dyDescent="0.55000000000000004">
      <c r="A180" t="s">
        <v>24</v>
      </c>
      <c r="B180" t="s">
        <v>4</v>
      </c>
      <c r="C180" t="s">
        <v>7</v>
      </c>
      <c r="F180" t="str">
        <f t="shared" si="15"/>
        <v>Fjerkræ</v>
      </c>
      <c r="G180" s="97" cm="1">
        <f t="array" ref="G180">(INDEX([1]Dyrehold!$C$14:$E$17,MATCH(1,(A180=[1]Dyrehold!$A$14:$A$17)*(C180=[1]Dyrehold!$B$14:$B$17),0),MATCH($B180,[1]Dyrehold!$C$13:$E$13,0)))</f>
        <v>1570560</v>
      </c>
      <c r="H180" s="97">
        <f>SUMIFS($G$3:$G$182,$A$3:$A$182,$A180,$B$3:$B$182,$B180)*VLOOKUP($B180,Landbrug!$B$11:$E$13,2,FALSE)*IF($C180&lt;&gt;"Økologisk",1-VLOOKUP($B180,Landbrug!$B$6:$E$8,3,FALSE),VLOOKUP($B180,Landbrug!$B$6:$E$8,3,FALSE))</f>
        <v>1493155.8217107425</v>
      </c>
      <c r="I180" s="97">
        <f>SUMIFS($G$3:$G$182,$A$3:$A$182,$A180,$B$3:$B$182,$B180)*VLOOKUP($B180,Landbrug!$B$11:$E$13,3,FALSE)*IF($C180&lt;&gt;"Økologisk",1-VLOOKUP($B180,Landbrug!$B$6:$E$8,4,FALSE),VLOOKUP($B180,Landbrug!$B$6:$E$8,4,FALSE))</f>
        <v>1421733.9417107427</v>
      </c>
    </row>
    <row r="181" spans="1:9" hidden="1" x14ac:dyDescent="0.55000000000000004">
      <c r="A181" t="s">
        <v>23</v>
      </c>
      <c r="B181" t="s">
        <v>4</v>
      </c>
      <c r="C181" t="s">
        <v>8</v>
      </c>
      <c r="F181" t="str">
        <f t="shared" si="15"/>
        <v>Fjerkræ</v>
      </c>
      <c r="G181" s="97" cm="1">
        <f t="array" ref="G181">(INDEX([1]Dyrehold!$C$14:$E$17,MATCH(1,(A181=[1]Dyrehold!$A$14:$A$17)*(C181=[1]Dyrehold!$B$14:$B$17),0),MATCH($B181,[1]Dyrehold!$C$13:$E$13,0)))</f>
        <v>3062300</v>
      </c>
      <c r="H181" s="97">
        <f>SUMIFS($G$3:$G$182,$A$3:$A$182,$A181,$B$3:$B$182,$B181)*VLOOKUP($B181,Landbrug!$B$11:$E$13,2,FALSE)*IF($C181&lt;&gt;"Økologisk",1-VLOOKUP($B181,Landbrug!$B$6:$E$8,3,FALSE),VLOOKUP($B181,Landbrug!$B$6:$E$8,3,FALSE))</f>
        <v>3483765.8071051692</v>
      </c>
      <c r="I181" s="97">
        <f>SUMIFS($G$3:$G$182,$A$3:$A$182,$A181,$B$3:$B$182,$B181)*VLOOKUP($B181,Landbrug!$B$11:$E$13,3,FALSE)*IF($C181&lt;&gt;"Økologisk",1-VLOOKUP($B181,Landbrug!$B$6:$E$8,4,FALSE),VLOOKUP($B181,Landbrug!$B$6:$E$8,4,FALSE))</f>
        <v>4334739.167105169</v>
      </c>
    </row>
    <row r="182" spans="1:9" hidden="1" x14ac:dyDescent="0.55000000000000004">
      <c r="A182" t="s">
        <v>24</v>
      </c>
      <c r="B182" t="s">
        <v>4</v>
      </c>
      <c r="C182" t="s">
        <v>8</v>
      </c>
      <c r="F182" t="str">
        <f t="shared" si="15"/>
        <v>Fjerkræ</v>
      </c>
      <c r="G182" s="97" cm="1">
        <f t="array" ref="G182">(INDEX([1]Dyrehold!$C$14:$E$17,MATCH(1,(A182=[1]Dyrehold!$A$14:$A$17)*(C182=[1]Dyrehold!$B$14:$B$17),0),MATCH($B182,[1]Dyrehold!$C$13:$E$13,0)))</f>
        <v>214987</v>
      </c>
      <c r="H182" s="97">
        <f>SUMIFS($G$3:$G$182,$A$3:$A$182,$A182,$B$3:$B$182,$B182)*VLOOKUP($B182,Landbrug!$B$11:$E$13,2,FALSE)*IF($C182&lt;&gt;"Økologisk",1-VLOOKUP($B182,Landbrug!$B$6:$E$8,3,FALSE),VLOOKUP($B182,Landbrug!$B$6:$E$8,3,FALSE))</f>
        <v>292391.17828925751</v>
      </c>
      <c r="I182" s="97">
        <f>SUMIFS($G$3:$G$182,$A$3:$A$182,$A182,$B$3:$B$182,$B182)*VLOOKUP($B182,Landbrug!$B$11:$E$13,3,FALSE)*IF($C182&lt;&gt;"Økologisk",1-VLOOKUP($B182,Landbrug!$B$6:$E$8,4,FALSE),VLOOKUP($B182,Landbrug!$B$6:$E$8,4,FALSE))</f>
        <v>363813.05828925752</v>
      </c>
    </row>
    <row r="183" spans="1:9" hidden="1" x14ac:dyDescent="0.55000000000000004">
      <c r="A183" t="s">
        <v>23</v>
      </c>
      <c r="B183" t="s">
        <v>76</v>
      </c>
      <c r="F183" t="str">
        <f t="shared" si="15"/>
        <v>Befolkning</v>
      </c>
      <c r="G183" s="97">
        <f>[1]Befolkningstal!B5</f>
        <v>3133781</v>
      </c>
      <c r="H183" s="97">
        <f>[1]Befolkningstal!C5</f>
        <v>3238884</v>
      </c>
      <c r="I183" s="97">
        <f>[1]Befolkningstal!D5</f>
        <v>3365158</v>
      </c>
    </row>
    <row r="184" spans="1:9" hidden="1" x14ac:dyDescent="0.55000000000000004">
      <c r="A184" t="s">
        <v>24</v>
      </c>
      <c r="B184" t="s">
        <v>76</v>
      </c>
      <c r="F184" t="str">
        <f t="shared" si="15"/>
        <v>Befolkning</v>
      </c>
      <c r="G184" s="97">
        <f>[1]Befolkningstal!B6</f>
        <v>2672300</v>
      </c>
      <c r="H184" s="97">
        <f>[1]Befolkningstal!C6</f>
        <v>2804401</v>
      </c>
      <c r="I184" s="97">
        <f>[1]Befolkningstal!D6</f>
        <v>2935892</v>
      </c>
    </row>
    <row r="185" spans="1:9" hidden="1" x14ac:dyDescent="0.55000000000000004">
      <c r="A185" t="s">
        <v>23</v>
      </c>
      <c r="B185" t="s">
        <v>184</v>
      </c>
      <c r="D185" t="s">
        <v>184</v>
      </c>
      <c r="E185" s="156" t="s">
        <v>183</v>
      </c>
      <c r="F185" t="str">
        <f>CONCATENATE("Areal-",LOWER(B185))</f>
        <v>Areal-basisskov</v>
      </c>
      <c r="G185" s="108">
        <f>IF($A185="Vestdanmark",SUMIFS(IF(G$2=År1,Skovbrug!$C$21:$C$41,IF(G$2=År2,Skovbrug!$D$21:$D$41,Skovbrug!$E$21:$E$41)),Skovbrug!$A$21:$A$41,'Direkte input'!$B185,Skovbrug!$B$21:$B$41,'Direkte input'!$E185),SUMIFS(IF(G$2=År1,Skovbrug!$F$21:$F$41,IF(G$2=År2,Skovbrug!$G$21:$G$41,Skovbrug!$H$21:$H$41)),Skovbrug!$A$21:$A$41,'Direkte input'!$B185,Skovbrug!$B$21:$B$41,'Direkte input'!$E185))</f>
        <v>434670</v>
      </c>
      <c r="H185" s="108">
        <f>IF($A185="Vestdanmark",SUMIFS(IF(H$2=År1,Skovbrug!$C$21:$C$41,IF(H$2=År2,Skovbrug!$D$21:$D$41,Skovbrug!$E$21:$E$41)),Skovbrug!$A$21:$A$41,'Direkte input'!$B185,Skovbrug!$B$21:$B$41,'Direkte input'!$E185),SUMIFS(IF(H$2=År1,Skovbrug!$F$21:$F$41,IF(H$2=År2,Skovbrug!$G$21:$G$41,Skovbrug!$H$21:$H$41)),Skovbrug!$A$21:$A$41,'Direkte input'!$B185,Skovbrug!$B$21:$B$41,'Direkte input'!$E185))</f>
        <v>411351.94520750927</v>
      </c>
      <c r="I185" s="108">
        <f>IF($A185="Vestdanmark",SUMIFS(IF(I$2=År1,Skovbrug!$C$21:$C$41,IF(I$2=År2,Skovbrug!$D$21:$D$41,Skovbrug!$E$21:$E$41)),Skovbrug!$A$21:$A$41,'Direkte input'!$B185,Skovbrug!$B$21:$B$41,'Direkte input'!$E185),SUMIFS(IF(I$2=År1,Skovbrug!$F$21:$F$41,IF(I$2=År2,Skovbrug!$G$21:$G$41,Skovbrug!$H$21:$H$41)),Skovbrug!$A$21:$A$41,'Direkte input'!$B185,Skovbrug!$B$21:$B$41,'Direkte input'!$E185))</f>
        <v>372113.28071606322</v>
      </c>
    </row>
    <row r="186" spans="1:9" hidden="1" x14ac:dyDescent="0.55000000000000004">
      <c r="A186" t="s">
        <v>23</v>
      </c>
      <c r="B186" t="s">
        <v>178</v>
      </c>
      <c r="D186" t="s">
        <v>178</v>
      </c>
      <c r="E186">
        <v>10</v>
      </c>
      <c r="F186" t="str">
        <f t="shared" ref="F186:F205" si="16">CONCATENATE("Areal-",LOWER(B186),"-",E186)</f>
        <v>Areal-skovtype1-10</v>
      </c>
      <c r="G186" s="108">
        <f>IF($A186="Vestdanmark",SUMIFS(IF(G$2=År1,Skovbrug!$C$21:$C$41,IF(G$2=År2,Skovbrug!$D$21:$D$41,Skovbrug!$E$21:$E$41)),Skovbrug!$A$21:$A$41,'Direkte input'!$B186,Skovbrug!$B$21:$B$41,'Direkte input'!$E186),SUMIFS(IF(G$2=År1,Skovbrug!$F$21:$F$41,IF(G$2=År2,Skovbrug!$G$21:$G$41,Skovbrug!$H$21:$H$41)),Skovbrug!$A$21:$A$41,'Direkte input'!$B186,Skovbrug!$B$21:$B$41,'Direkte input'!$E186))</f>
        <v>0</v>
      </c>
      <c r="H186" s="108">
        <f>IF($A186="Vestdanmark",SUMIFS(IF(H$2=År1,Skovbrug!$C$21:$C$41,IF(H$2=År2,Skovbrug!$D$21:$D$41,Skovbrug!$E$21:$E$41)),Skovbrug!$A$21:$A$41,'Direkte input'!$B186,Skovbrug!$B$21:$B$41,'Direkte input'!$E186),SUMIFS(IF(H$2=År1,Skovbrug!$F$21:$F$41,IF(H$2=År2,Skovbrug!$G$21:$G$41,Skovbrug!$H$21:$H$41)),Skovbrug!$A$21:$A$41,'Direkte input'!$B186,Skovbrug!$B$21:$B$41,'Direkte input'!$E186))</f>
        <v>38349.661358783756</v>
      </c>
      <c r="I186" s="108">
        <f>IF($A186="Vestdanmark",SUMIFS(IF(I$2=År1,Skovbrug!$C$21:$C$41,IF(I$2=År2,Skovbrug!$D$21:$D$41,Skovbrug!$E$21:$E$41)),Skovbrug!$A$21:$A$41,'Direkte input'!$B186,Skovbrug!$B$21:$B$41,'Direkte input'!$E186),SUMIFS(IF(I$2=År1,Skovbrug!$F$21:$F$41,IF(I$2=År2,Skovbrug!$G$21:$G$41,Skovbrug!$H$21:$H$41)),Skovbrug!$A$21:$A$41,'Direkte input'!$B186,Skovbrug!$B$21:$B$41,'Direkte input'!$E186))</f>
        <v>36770.761974969762</v>
      </c>
    </row>
    <row r="187" spans="1:9" hidden="1" x14ac:dyDescent="0.55000000000000004">
      <c r="A187" t="s">
        <v>23</v>
      </c>
      <c r="B187" t="s">
        <v>178</v>
      </c>
      <c r="D187" t="s">
        <v>178</v>
      </c>
      <c r="E187">
        <v>20</v>
      </c>
      <c r="F187" t="str">
        <f t="shared" si="16"/>
        <v>Areal-skovtype1-20</v>
      </c>
      <c r="G187" s="108">
        <f>IF($A187="Vestdanmark",SUMIFS(IF(G$2=År1,Skovbrug!$C$21:$C$41,IF(G$2=År2,Skovbrug!$D$21:$D$41,Skovbrug!$E$21:$E$41)),Skovbrug!$A$21:$A$41,'Direkte input'!$B187,Skovbrug!$B$21:$B$41,'Direkte input'!$E187),SUMIFS(IF(G$2=År1,Skovbrug!$F$21:$F$41,IF(G$2=År2,Skovbrug!$G$21:$G$41,Skovbrug!$H$21:$H$41)),Skovbrug!$A$21:$A$41,'Direkte input'!$B187,Skovbrug!$B$21:$B$41,'Direkte input'!$E187))</f>
        <v>0</v>
      </c>
      <c r="H187" s="108">
        <f>IF($A187="Vestdanmark",SUMIFS(IF(H$2=År1,Skovbrug!$C$21:$C$41,IF(H$2=År2,Skovbrug!$D$21:$D$41,Skovbrug!$E$21:$E$41)),Skovbrug!$A$21:$A$41,'Direkte input'!$B187,Skovbrug!$B$21:$B$41,'Direkte input'!$E187),SUMIFS(IF(H$2=År1,Skovbrug!$F$21:$F$41,IF(H$2=År2,Skovbrug!$G$21:$G$41,Skovbrug!$H$21:$H$41)),Skovbrug!$A$21:$A$41,'Direkte input'!$B187,Skovbrug!$B$21:$B$41,'Direkte input'!$E187))</f>
        <v>3834.9661358783751</v>
      </c>
      <c r="I187" s="108">
        <f>IF($A187="Vestdanmark",SUMIFS(IF(I$2=År1,Skovbrug!$C$21:$C$41,IF(I$2=År2,Skovbrug!$D$21:$D$41,Skovbrug!$E$21:$E$41)),Skovbrug!$A$21:$A$41,'Direkte input'!$B187,Skovbrug!$B$21:$B$41,'Direkte input'!$E187),SUMIFS(IF(I$2=År1,Skovbrug!$F$21:$F$41,IF(I$2=År2,Skovbrug!$G$21:$G$41,Skovbrug!$H$21:$H$41)),Skovbrug!$A$21:$A$41,'Direkte input'!$B187,Skovbrug!$B$21:$B$41,'Direkte input'!$E187))</f>
        <v>36770.761974969762</v>
      </c>
    </row>
    <row r="188" spans="1:9" hidden="1" x14ac:dyDescent="0.55000000000000004">
      <c r="A188" t="s">
        <v>23</v>
      </c>
      <c r="B188" t="s">
        <v>178</v>
      </c>
      <c r="D188" t="s">
        <v>178</v>
      </c>
      <c r="E188">
        <v>30</v>
      </c>
      <c r="F188" t="str">
        <f t="shared" si="16"/>
        <v>Areal-skovtype1-30</v>
      </c>
      <c r="G188" s="108">
        <f>IF($A188="Vestdanmark",SUMIFS(IF(G$2=År1,Skovbrug!$C$21:$C$41,IF(G$2=År2,Skovbrug!$D$21:$D$41,Skovbrug!$E$21:$E$41)),Skovbrug!$A$21:$A$41,'Direkte input'!$B188,Skovbrug!$B$21:$B$41,'Direkte input'!$E188),SUMIFS(IF(G$2=År1,Skovbrug!$F$21:$F$41,IF(G$2=År2,Skovbrug!$G$21:$G$41,Skovbrug!$H$21:$H$41)),Skovbrug!$A$21:$A$41,'Direkte input'!$B188,Skovbrug!$B$21:$B$41,'Direkte input'!$E188))</f>
        <v>0</v>
      </c>
      <c r="H188" s="108">
        <f>IF($A188="Vestdanmark",SUMIFS(IF(H$2=År1,Skovbrug!$C$21:$C$41,IF(H$2=År2,Skovbrug!$D$21:$D$41,Skovbrug!$E$21:$E$41)),Skovbrug!$A$21:$A$41,'Direkte input'!$B188,Skovbrug!$B$21:$B$41,'Direkte input'!$E188),SUMIFS(IF(H$2=År1,Skovbrug!$F$21:$F$41,IF(H$2=År2,Skovbrug!$G$21:$G$41,Skovbrug!$H$21:$H$41)),Skovbrug!$A$21:$A$41,'Direkte input'!$B188,Skovbrug!$B$21:$B$41,'Direkte input'!$E188))</f>
        <v>0</v>
      </c>
      <c r="I188" s="108">
        <f>IF($A188="Vestdanmark",SUMIFS(IF(I$2=År1,Skovbrug!$C$21:$C$41,IF(I$2=År2,Skovbrug!$D$21:$D$41,Skovbrug!$E$21:$E$41)),Skovbrug!$A$21:$A$41,'Direkte input'!$B188,Skovbrug!$B$21:$B$41,'Direkte input'!$E188),SUMIFS(IF(I$2=År1,Skovbrug!$F$21:$F$41,IF(I$2=År2,Skovbrug!$G$21:$G$41,Skovbrug!$H$21:$H$41)),Skovbrug!$A$21:$A$41,'Direkte input'!$B188,Skovbrug!$B$21:$B$41,'Direkte input'!$E188))</f>
        <v>38349.661358783756</v>
      </c>
    </row>
    <row r="189" spans="1:9" hidden="1" x14ac:dyDescent="0.55000000000000004">
      <c r="A189" t="s">
        <v>23</v>
      </c>
      <c r="B189" t="s">
        <v>178</v>
      </c>
      <c r="D189" t="s">
        <v>178</v>
      </c>
      <c r="E189">
        <v>40</v>
      </c>
      <c r="F189" t="str">
        <f t="shared" si="16"/>
        <v>Areal-skovtype1-40</v>
      </c>
      <c r="G189" s="108">
        <f>IF($A189="Vestdanmark",SUMIFS(IF(G$2=År1,Skovbrug!$C$21:$C$41,IF(G$2=År2,Skovbrug!$D$21:$D$41,Skovbrug!$E$21:$E$41)),Skovbrug!$A$21:$A$41,'Direkte input'!$B189,Skovbrug!$B$21:$B$41,'Direkte input'!$E189),SUMIFS(IF(G$2=År1,Skovbrug!$F$21:$F$41,IF(G$2=År2,Skovbrug!$G$21:$G$41,Skovbrug!$H$21:$H$41)),Skovbrug!$A$21:$A$41,'Direkte input'!$B189,Skovbrug!$B$21:$B$41,'Direkte input'!$E189))</f>
        <v>0</v>
      </c>
      <c r="H189" s="108">
        <f>IF($A189="Vestdanmark",SUMIFS(IF(H$2=År1,Skovbrug!$C$21:$C$41,IF(H$2=År2,Skovbrug!$D$21:$D$41,Skovbrug!$E$21:$E$41)),Skovbrug!$A$21:$A$41,'Direkte input'!$B189,Skovbrug!$B$21:$B$41,'Direkte input'!$E189),SUMIFS(IF(H$2=År1,Skovbrug!$F$21:$F$41,IF(H$2=År2,Skovbrug!$G$21:$G$41,Skovbrug!$H$21:$H$41)),Skovbrug!$A$21:$A$41,'Direkte input'!$B189,Skovbrug!$B$21:$B$41,'Direkte input'!$E189))</f>
        <v>0</v>
      </c>
      <c r="I189" s="108">
        <f>IF($A189="Vestdanmark",SUMIFS(IF(I$2=År1,Skovbrug!$C$21:$C$41,IF(I$2=År2,Skovbrug!$D$21:$D$41,Skovbrug!$E$21:$E$41)),Skovbrug!$A$21:$A$41,'Direkte input'!$B189,Skovbrug!$B$21:$B$41,'Direkte input'!$E189),SUMIFS(IF(I$2=År1,Skovbrug!$F$21:$F$41,IF(I$2=År2,Skovbrug!$G$21:$G$41,Skovbrug!$H$21:$H$41)),Skovbrug!$A$21:$A$41,'Direkte input'!$B189,Skovbrug!$B$21:$B$41,'Direkte input'!$E189))</f>
        <v>3834.9661358783751</v>
      </c>
    </row>
    <row r="190" spans="1:9" hidden="1" x14ac:dyDescent="0.55000000000000004">
      <c r="A190" t="s">
        <v>23</v>
      </c>
      <c r="B190" t="s">
        <v>179</v>
      </c>
      <c r="D190" t="s">
        <v>179</v>
      </c>
      <c r="E190">
        <v>10</v>
      </c>
      <c r="F190" t="str">
        <f t="shared" si="16"/>
        <v>Areal-skovtype2-10</v>
      </c>
      <c r="G190" s="108">
        <f>IF($A190="Vestdanmark",SUMIFS(IF(G$2=År1,Skovbrug!$C$21:$C$41,IF(G$2=År2,Skovbrug!$D$21:$D$41,Skovbrug!$E$21:$E$41)),Skovbrug!$A$21:$A$41,'Direkte input'!$B190,Skovbrug!$B$21:$B$41,'Direkte input'!$E190),SUMIFS(IF(G$2=År1,Skovbrug!$F$21:$F$41,IF(G$2=År2,Skovbrug!$G$21:$G$41,Skovbrug!$H$21:$H$41)),Skovbrug!$A$21:$A$41,'Direkte input'!$B190,Skovbrug!$B$21:$B$41,'Direkte input'!$E190))</f>
        <v>0</v>
      </c>
      <c r="H190" s="108">
        <f>IF($A190="Vestdanmark",SUMIFS(IF(H$2=År1,Skovbrug!$C$21:$C$41,IF(H$2=År2,Skovbrug!$D$21:$D$41,Skovbrug!$E$21:$E$41)),Skovbrug!$A$21:$A$41,'Direkte input'!$B190,Skovbrug!$B$21:$B$41,'Direkte input'!$E190),SUMIFS(IF(H$2=År1,Skovbrug!$F$21:$F$41,IF(H$2=År2,Skovbrug!$G$21:$G$41,Skovbrug!$H$21:$H$41)),Skovbrug!$A$21:$A$41,'Direkte input'!$B190,Skovbrug!$B$21:$B$41,'Direkte input'!$E190))</f>
        <v>0</v>
      </c>
      <c r="I190" s="108">
        <f>IF($A190="Vestdanmark",SUMIFS(IF(I$2=År1,Skovbrug!$C$21:$C$41,IF(I$2=År2,Skovbrug!$D$21:$D$41,Skovbrug!$E$21:$E$41)),Skovbrug!$A$21:$A$41,'Direkte input'!$B190,Skovbrug!$B$21:$B$41,'Direkte input'!$E190),SUMIFS(IF(I$2=År1,Skovbrug!$F$21:$F$41,IF(I$2=År2,Skovbrug!$G$21:$G$41,Skovbrug!$H$21:$H$41)),Skovbrug!$A$21:$A$41,'Direkte input'!$B190,Skovbrug!$B$21:$B$41,'Direkte input'!$E190))</f>
        <v>0</v>
      </c>
    </row>
    <row r="191" spans="1:9" hidden="1" x14ac:dyDescent="0.55000000000000004">
      <c r="A191" t="s">
        <v>23</v>
      </c>
      <c r="B191" t="s">
        <v>179</v>
      </c>
      <c r="D191" t="s">
        <v>179</v>
      </c>
      <c r="E191">
        <v>20</v>
      </c>
      <c r="F191" t="str">
        <f t="shared" si="16"/>
        <v>Areal-skovtype2-20</v>
      </c>
      <c r="G191" s="108">
        <f>IF($A191="Vestdanmark",SUMIFS(IF(G$2=År1,Skovbrug!$C$21:$C$41,IF(G$2=År2,Skovbrug!$D$21:$D$41,Skovbrug!$E$21:$E$41)),Skovbrug!$A$21:$A$41,'Direkte input'!$B191,Skovbrug!$B$21:$B$41,'Direkte input'!$E191),SUMIFS(IF(G$2=År1,Skovbrug!$F$21:$F$41,IF(G$2=År2,Skovbrug!$G$21:$G$41,Skovbrug!$H$21:$H$41)),Skovbrug!$A$21:$A$41,'Direkte input'!$B191,Skovbrug!$B$21:$B$41,'Direkte input'!$E191))</f>
        <v>0</v>
      </c>
      <c r="H191" s="108">
        <f>IF($A191="Vestdanmark",SUMIFS(IF(H$2=År1,Skovbrug!$C$21:$C$41,IF(H$2=År2,Skovbrug!$D$21:$D$41,Skovbrug!$E$21:$E$41)),Skovbrug!$A$21:$A$41,'Direkte input'!$B191,Skovbrug!$B$21:$B$41,'Direkte input'!$E191),SUMIFS(IF(H$2=År1,Skovbrug!$F$21:$F$41,IF(H$2=År2,Skovbrug!$G$21:$G$41,Skovbrug!$H$21:$H$41)),Skovbrug!$A$21:$A$41,'Direkte input'!$B191,Skovbrug!$B$21:$B$41,'Direkte input'!$E191))</f>
        <v>0</v>
      </c>
      <c r="I191" s="108">
        <f>IF($A191="Vestdanmark",SUMIFS(IF(I$2=År1,Skovbrug!$C$21:$C$41,IF(I$2=År2,Skovbrug!$D$21:$D$41,Skovbrug!$E$21:$E$41)),Skovbrug!$A$21:$A$41,'Direkte input'!$B191,Skovbrug!$B$21:$B$41,'Direkte input'!$E191),SUMIFS(IF(I$2=År1,Skovbrug!$F$21:$F$41,IF(I$2=År2,Skovbrug!$G$21:$G$41,Skovbrug!$H$21:$H$41)),Skovbrug!$A$21:$A$41,'Direkte input'!$B191,Skovbrug!$B$21:$B$41,'Direkte input'!$E191))</f>
        <v>0</v>
      </c>
    </row>
    <row r="192" spans="1:9" hidden="1" x14ac:dyDescent="0.55000000000000004">
      <c r="A192" t="s">
        <v>23</v>
      </c>
      <c r="B192" t="s">
        <v>179</v>
      </c>
      <c r="D192" t="s">
        <v>179</v>
      </c>
      <c r="E192">
        <v>30</v>
      </c>
      <c r="F192" t="str">
        <f t="shared" si="16"/>
        <v>Areal-skovtype2-30</v>
      </c>
      <c r="G192" s="108">
        <f>IF($A192="Vestdanmark",SUMIFS(IF(G$2=År1,Skovbrug!$C$21:$C$41,IF(G$2=År2,Skovbrug!$D$21:$D$41,Skovbrug!$E$21:$E$41)),Skovbrug!$A$21:$A$41,'Direkte input'!$B192,Skovbrug!$B$21:$B$41,'Direkte input'!$E192),SUMIFS(IF(G$2=År1,Skovbrug!$F$21:$F$41,IF(G$2=År2,Skovbrug!$G$21:$G$41,Skovbrug!$H$21:$H$41)),Skovbrug!$A$21:$A$41,'Direkte input'!$B192,Skovbrug!$B$21:$B$41,'Direkte input'!$E192))</f>
        <v>0</v>
      </c>
      <c r="H192" s="108">
        <f>IF($A192="Vestdanmark",SUMIFS(IF(H$2=År1,Skovbrug!$C$21:$C$41,IF(H$2=År2,Skovbrug!$D$21:$D$41,Skovbrug!$E$21:$E$41)),Skovbrug!$A$21:$A$41,'Direkte input'!$B192,Skovbrug!$B$21:$B$41,'Direkte input'!$E192),SUMIFS(IF(H$2=År1,Skovbrug!$F$21:$F$41,IF(H$2=År2,Skovbrug!$G$21:$G$41,Skovbrug!$H$21:$H$41)),Skovbrug!$A$21:$A$41,'Direkte input'!$B192,Skovbrug!$B$21:$B$41,'Direkte input'!$E192))</f>
        <v>0</v>
      </c>
      <c r="I192" s="108">
        <f>IF($A192="Vestdanmark",SUMIFS(IF(I$2=År1,Skovbrug!$C$21:$C$41,IF(I$2=År2,Skovbrug!$D$21:$D$41,Skovbrug!$E$21:$E$41)),Skovbrug!$A$21:$A$41,'Direkte input'!$B192,Skovbrug!$B$21:$B$41,'Direkte input'!$E192),SUMIFS(IF(I$2=År1,Skovbrug!$F$21:$F$41,IF(I$2=År2,Skovbrug!$G$21:$G$41,Skovbrug!$H$21:$H$41)),Skovbrug!$A$21:$A$41,'Direkte input'!$B192,Skovbrug!$B$21:$B$41,'Direkte input'!$E192))</f>
        <v>0</v>
      </c>
    </row>
    <row r="193" spans="1:9" hidden="1" x14ac:dyDescent="0.55000000000000004">
      <c r="A193" t="s">
        <v>23</v>
      </c>
      <c r="B193" t="s">
        <v>179</v>
      </c>
      <c r="D193" t="s">
        <v>179</v>
      </c>
      <c r="E193">
        <v>40</v>
      </c>
      <c r="F193" t="str">
        <f t="shared" si="16"/>
        <v>Areal-skovtype2-40</v>
      </c>
      <c r="G193" s="108">
        <f>IF($A193="Vestdanmark",SUMIFS(IF(G$2=År1,Skovbrug!$C$21:$C$41,IF(G$2=År2,Skovbrug!$D$21:$D$41,Skovbrug!$E$21:$E$41)),Skovbrug!$A$21:$A$41,'Direkte input'!$B193,Skovbrug!$B$21:$B$41,'Direkte input'!$E193),SUMIFS(IF(G$2=År1,Skovbrug!$F$21:$F$41,IF(G$2=År2,Skovbrug!$G$21:$G$41,Skovbrug!$H$21:$H$41)),Skovbrug!$A$21:$A$41,'Direkte input'!$B193,Skovbrug!$B$21:$B$41,'Direkte input'!$E193))</f>
        <v>0</v>
      </c>
      <c r="H193" s="108">
        <f>IF($A193="Vestdanmark",SUMIFS(IF(H$2=År1,Skovbrug!$C$21:$C$41,IF(H$2=År2,Skovbrug!$D$21:$D$41,Skovbrug!$E$21:$E$41)),Skovbrug!$A$21:$A$41,'Direkte input'!$B193,Skovbrug!$B$21:$B$41,'Direkte input'!$E193),SUMIFS(IF(H$2=År1,Skovbrug!$F$21:$F$41,IF(H$2=År2,Skovbrug!$G$21:$G$41,Skovbrug!$H$21:$H$41)),Skovbrug!$A$21:$A$41,'Direkte input'!$B193,Skovbrug!$B$21:$B$41,'Direkte input'!$E193))</f>
        <v>0</v>
      </c>
      <c r="I193" s="108">
        <f>IF($A193="Vestdanmark",SUMIFS(IF(I$2=År1,Skovbrug!$C$21:$C$41,IF(I$2=År2,Skovbrug!$D$21:$D$41,Skovbrug!$E$21:$E$41)),Skovbrug!$A$21:$A$41,'Direkte input'!$B193,Skovbrug!$B$21:$B$41,'Direkte input'!$E193),SUMIFS(IF(I$2=År1,Skovbrug!$F$21:$F$41,IF(I$2=År2,Skovbrug!$G$21:$G$41,Skovbrug!$H$21:$H$41)),Skovbrug!$A$21:$A$41,'Direkte input'!$B193,Skovbrug!$B$21:$B$41,'Direkte input'!$E193))</f>
        <v>0</v>
      </c>
    </row>
    <row r="194" spans="1:9" hidden="1" x14ac:dyDescent="0.55000000000000004">
      <c r="A194" t="s">
        <v>23</v>
      </c>
      <c r="B194" t="s">
        <v>180</v>
      </c>
      <c r="D194" t="s">
        <v>180</v>
      </c>
      <c r="E194">
        <v>10</v>
      </c>
      <c r="F194" t="str">
        <f t="shared" si="16"/>
        <v>Areal-skovtype3-10</v>
      </c>
      <c r="G194" s="108">
        <f>IF($A194="Vestdanmark",SUMIFS(IF(G$2=År1,Skovbrug!$C$21:$C$41,IF(G$2=År2,Skovbrug!$D$21:$D$41,Skovbrug!$E$21:$E$41)),Skovbrug!$A$21:$A$41,'Direkte input'!$B194,Skovbrug!$B$21:$B$41,'Direkte input'!$E194),SUMIFS(IF(G$2=År1,Skovbrug!$F$21:$F$41,IF(G$2=År2,Skovbrug!$G$21:$G$41,Skovbrug!$H$21:$H$41)),Skovbrug!$A$21:$A$41,'Direkte input'!$B194,Skovbrug!$B$21:$B$41,'Direkte input'!$E194))</f>
        <v>0</v>
      </c>
      <c r="H194" s="108">
        <f>IF($A194="Vestdanmark",SUMIFS(IF(H$2=År1,Skovbrug!$C$21:$C$41,IF(H$2=År2,Skovbrug!$D$21:$D$41,Skovbrug!$E$21:$E$41)),Skovbrug!$A$21:$A$41,'Direkte input'!$B194,Skovbrug!$B$21:$B$41,'Direkte input'!$E194),SUMIFS(IF(H$2=År1,Skovbrug!$F$21:$F$41,IF(H$2=År2,Skovbrug!$G$21:$G$41,Skovbrug!$H$21:$H$41)),Skovbrug!$A$21:$A$41,'Direkte input'!$B194,Skovbrug!$B$21:$B$41,'Direkte input'!$E194))</f>
        <v>0</v>
      </c>
      <c r="I194" s="108">
        <f>IF($A194="Vestdanmark",SUMIFS(IF(I$2=År1,Skovbrug!$C$21:$C$41,IF(I$2=År2,Skovbrug!$D$21:$D$41,Skovbrug!$E$21:$E$41)),Skovbrug!$A$21:$A$41,'Direkte input'!$B194,Skovbrug!$B$21:$B$41,'Direkte input'!$E194),SUMIFS(IF(I$2=År1,Skovbrug!$F$21:$F$41,IF(I$2=År2,Skovbrug!$G$21:$G$41,Skovbrug!$H$21:$H$41)),Skovbrug!$A$21:$A$41,'Direkte input'!$B194,Skovbrug!$B$21:$B$41,'Direkte input'!$E194))</f>
        <v>0</v>
      </c>
    </row>
    <row r="195" spans="1:9" hidden="1" x14ac:dyDescent="0.55000000000000004">
      <c r="A195" t="s">
        <v>23</v>
      </c>
      <c r="B195" t="s">
        <v>180</v>
      </c>
      <c r="D195" t="s">
        <v>180</v>
      </c>
      <c r="E195">
        <v>20</v>
      </c>
      <c r="F195" t="str">
        <f t="shared" si="16"/>
        <v>Areal-skovtype3-20</v>
      </c>
      <c r="G195" s="108">
        <f>IF($A195="Vestdanmark",SUMIFS(IF(G$2=År1,Skovbrug!$C$21:$C$41,IF(G$2=År2,Skovbrug!$D$21:$D$41,Skovbrug!$E$21:$E$41)),Skovbrug!$A$21:$A$41,'Direkte input'!$B195,Skovbrug!$B$21:$B$41,'Direkte input'!$E195),SUMIFS(IF(G$2=År1,Skovbrug!$F$21:$F$41,IF(G$2=År2,Skovbrug!$G$21:$G$41,Skovbrug!$H$21:$H$41)),Skovbrug!$A$21:$A$41,'Direkte input'!$B195,Skovbrug!$B$21:$B$41,'Direkte input'!$E195))</f>
        <v>0</v>
      </c>
      <c r="H195" s="108">
        <f>IF($A195="Vestdanmark",SUMIFS(IF(H$2=År1,Skovbrug!$C$21:$C$41,IF(H$2=År2,Skovbrug!$D$21:$D$41,Skovbrug!$E$21:$E$41)),Skovbrug!$A$21:$A$41,'Direkte input'!$B195,Skovbrug!$B$21:$B$41,'Direkte input'!$E195),SUMIFS(IF(H$2=År1,Skovbrug!$F$21:$F$41,IF(H$2=År2,Skovbrug!$G$21:$G$41,Skovbrug!$H$21:$H$41)),Skovbrug!$A$21:$A$41,'Direkte input'!$B195,Skovbrug!$B$21:$B$41,'Direkte input'!$E195))</f>
        <v>0</v>
      </c>
      <c r="I195" s="108">
        <f>IF($A195="Vestdanmark",SUMIFS(IF(I$2=År1,Skovbrug!$C$21:$C$41,IF(I$2=År2,Skovbrug!$D$21:$D$41,Skovbrug!$E$21:$E$41)),Skovbrug!$A$21:$A$41,'Direkte input'!$B195,Skovbrug!$B$21:$B$41,'Direkte input'!$E195),SUMIFS(IF(I$2=År1,Skovbrug!$F$21:$F$41,IF(I$2=År2,Skovbrug!$G$21:$G$41,Skovbrug!$H$21:$H$41)),Skovbrug!$A$21:$A$41,'Direkte input'!$B195,Skovbrug!$B$21:$B$41,'Direkte input'!$E195))</f>
        <v>0</v>
      </c>
    </row>
    <row r="196" spans="1:9" hidden="1" x14ac:dyDescent="0.55000000000000004">
      <c r="A196" t="s">
        <v>23</v>
      </c>
      <c r="B196" t="s">
        <v>180</v>
      </c>
      <c r="D196" t="s">
        <v>180</v>
      </c>
      <c r="E196">
        <v>30</v>
      </c>
      <c r="F196" t="str">
        <f t="shared" si="16"/>
        <v>Areal-skovtype3-30</v>
      </c>
      <c r="G196" s="108">
        <f>IF($A196="Vestdanmark",SUMIFS(IF(G$2=År1,Skovbrug!$C$21:$C$41,IF(G$2=År2,Skovbrug!$D$21:$D$41,Skovbrug!$E$21:$E$41)),Skovbrug!$A$21:$A$41,'Direkte input'!$B196,Skovbrug!$B$21:$B$41,'Direkte input'!$E196),SUMIFS(IF(G$2=År1,Skovbrug!$F$21:$F$41,IF(G$2=År2,Skovbrug!$G$21:$G$41,Skovbrug!$H$21:$H$41)),Skovbrug!$A$21:$A$41,'Direkte input'!$B196,Skovbrug!$B$21:$B$41,'Direkte input'!$E196))</f>
        <v>0</v>
      </c>
      <c r="H196" s="108">
        <f>IF($A196="Vestdanmark",SUMIFS(IF(H$2=År1,Skovbrug!$C$21:$C$41,IF(H$2=År2,Skovbrug!$D$21:$D$41,Skovbrug!$E$21:$E$41)),Skovbrug!$A$21:$A$41,'Direkte input'!$B196,Skovbrug!$B$21:$B$41,'Direkte input'!$E196),SUMIFS(IF(H$2=År1,Skovbrug!$F$21:$F$41,IF(H$2=År2,Skovbrug!$G$21:$G$41,Skovbrug!$H$21:$H$41)),Skovbrug!$A$21:$A$41,'Direkte input'!$B196,Skovbrug!$B$21:$B$41,'Direkte input'!$E196))</f>
        <v>0</v>
      </c>
      <c r="I196" s="108">
        <f>IF($A196="Vestdanmark",SUMIFS(IF(I$2=År1,Skovbrug!$C$21:$C$41,IF(I$2=År2,Skovbrug!$D$21:$D$41,Skovbrug!$E$21:$E$41)),Skovbrug!$A$21:$A$41,'Direkte input'!$B196,Skovbrug!$B$21:$B$41,'Direkte input'!$E196),SUMIFS(IF(I$2=År1,Skovbrug!$F$21:$F$41,IF(I$2=År2,Skovbrug!$G$21:$G$41,Skovbrug!$H$21:$H$41)),Skovbrug!$A$21:$A$41,'Direkte input'!$B196,Skovbrug!$B$21:$B$41,'Direkte input'!$E196))</f>
        <v>0</v>
      </c>
    </row>
    <row r="197" spans="1:9" hidden="1" x14ac:dyDescent="0.55000000000000004">
      <c r="A197" t="s">
        <v>23</v>
      </c>
      <c r="B197" t="s">
        <v>180</v>
      </c>
      <c r="D197" t="s">
        <v>180</v>
      </c>
      <c r="E197">
        <v>40</v>
      </c>
      <c r="F197" t="str">
        <f t="shared" si="16"/>
        <v>Areal-skovtype3-40</v>
      </c>
      <c r="G197" s="108">
        <f>IF($A197="Vestdanmark",SUMIFS(IF(G$2=År1,Skovbrug!$C$21:$C$41,IF(G$2=År2,Skovbrug!$D$21:$D$41,Skovbrug!$E$21:$E$41)),Skovbrug!$A$21:$A$41,'Direkte input'!$B197,Skovbrug!$B$21:$B$41,'Direkte input'!$E197),SUMIFS(IF(G$2=År1,Skovbrug!$F$21:$F$41,IF(G$2=År2,Skovbrug!$G$21:$G$41,Skovbrug!$H$21:$H$41)),Skovbrug!$A$21:$A$41,'Direkte input'!$B197,Skovbrug!$B$21:$B$41,'Direkte input'!$E197))</f>
        <v>0</v>
      </c>
      <c r="H197" s="108">
        <f>IF($A197="Vestdanmark",SUMIFS(IF(H$2=År1,Skovbrug!$C$21:$C$41,IF(H$2=År2,Skovbrug!$D$21:$D$41,Skovbrug!$E$21:$E$41)),Skovbrug!$A$21:$A$41,'Direkte input'!$B197,Skovbrug!$B$21:$B$41,'Direkte input'!$E197),SUMIFS(IF(H$2=År1,Skovbrug!$F$21:$F$41,IF(H$2=År2,Skovbrug!$G$21:$G$41,Skovbrug!$H$21:$H$41)),Skovbrug!$A$21:$A$41,'Direkte input'!$B197,Skovbrug!$B$21:$B$41,'Direkte input'!$E197))</f>
        <v>0</v>
      </c>
      <c r="I197" s="108">
        <f>IF($A197="Vestdanmark",SUMIFS(IF(I$2=År1,Skovbrug!$C$21:$C$41,IF(I$2=År2,Skovbrug!$D$21:$D$41,Skovbrug!$E$21:$E$41)),Skovbrug!$A$21:$A$41,'Direkte input'!$B197,Skovbrug!$B$21:$B$41,'Direkte input'!$E197),SUMIFS(IF(I$2=År1,Skovbrug!$F$21:$F$41,IF(I$2=År2,Skovbrug!$G$21:$G$41,Skovbrug!$H$21:$H$41)),Skovbrug!$A$21:$A$41,'Direkte input'!$B197,Skovbrug!$B$21:$B$41,'Direkte input'!$E197))</f>
        <v>0</v>
      </c>
    </row>
    <row r="198" spans="1:9" hidden="1" x14ac:dyDescent="0.55000000000000004">
      <c r="A198" t="s">
        <v>23</v>
      </c>
      <c r="B198" t="s">
        <v>181</v>
      </c>
      <c r="D198" t="s">
        <v>181</v>
      </c>
      <c r="E198">
        <v>10</v>
      </c>
      <c r="F198" t="str">
        <f t="shared" si="16"/>
        <v>Areal-skovtype4-10</v>
      </c>
      <c r="G198" s="108">
        <f>IF($A198="Vestdanmark",SUMIFS(IF(G$2=År1,Skovbrug!$C$21:$C$41,IF(G$2=År2,Skovbrug!$D$21:$D$41,Skovbrug!$E$21:$E$41)),Skovbrug!$A$21:$A$41,'Direkte input'!$B198,Skovbrug!$B$21:$B$41,'Direkte input'!$E198),SUMIFS(IF(G$2=År1,Skovbrug!$F$21:$F$41,IF(G$2=År2,Skovbrug!$G$21:$G$41,Skovbrug!$H$21:$H$41)),Skovbrug!$A$21:$A$41,'Direkte input'!$B198,Skovbrug!$B$21:$B$41,'Direkte input'!$E198))</f>
        <v>0</v>
      </c>
      <c r="H198" s="108">
        <f>IF($A198="Vestdanmark",SUMIFS(IF(H$2=År1,Skovbrug!$C$21:$C$41,IF(H$2=År2,Skovbrug!$D$21:$D$41,Skovbrug!$E$21:$E$41)),Skovbrug!$A$21:$A$41,'Direkte input'!$B198,Skovbrug!$B$21:$B$41,'Direkte input'!$E198),SUMIFS(IF(H$2=År1,Skovbrug!$F$21:$F$41,IF(H$2=År2,Skovbrug!$G$21:$G$41,Skovbrug!$H$21:$H$41)),Skovbrug!$A$21:$A$41,'Direkte input'!$B198,Skovbrug!$B$21:$B$41,'Direkte input'!$E198))</f>
        <v>0</v>
      </c>
      <c r="I198" s="108">
        <f>IF($A198="Vestdanmark",SUMIFS(IF(I$2=År1,Skovbrug!$C$21:$C$41,IF(I$2=År2,Skovbrug!$D$21:$D$41,Skovbrug!$E$21:$E$41)),Skovbrug!$A$21:$A$41,'Direkte input'!$B198,Skovbrug!$B$21:$B$41,'Direkte input'!$E198),SUMIFS(IF(I$2=År1,Skovbrug!$F$21:$F$41,IF(I$2=År2,Skovbrug!$G$21:$G$41,Skovbrug!$H$21:$H$41)),Skovbrug!$A$21:$A$41,'Direkte input'!$B198,Skovbrug!$B$21:$B$41,'Direkte input'!$E198))</f>
        <v>0</v>
      </c>
    </row>
    <row r="199" spans="1:9" hidden="1" x14ac:dyDescent="0.55000000000000004">
      <c r="A199" t="s">
        <v>23</v>
      </c>
      <c r="B199" t="s">
        <v>181</v>
      </c>
      <c r="D199" t="s">
        <v>181</v>
      </c>
      <c r="E199">
        <v>20</v>
      </c>
      <c r="F199" t="str">
        <f t="shared" si="16"/>
        <v>Areal-skovtype4-20</v>
      </c>
      <c r="G199" s="108">
        <f>IF($A199="Vestdanmark",SUMIFS(IF(G$2=År1,Skovbrug!$C$21:$C$41,IF(G$2=År2,Skovbrug!$D$21:$D$41,Skovbrug!$E$21:$E$41)),Skovbrug!$A$21:$A$41,'Direkte input'!$B199,Skovbrug!$B$21:$B$41,'Direkte input'!$E199),SUMIFS(IF(G$2=År1,Skovbrug!$F$21:$F$41,IF(G$2=År2,Skovbrug!$G$21:$G$41,Skovbrug!$H$21:$H$41)),Skovbrug!$A$21:$A$41,'Direkte input'!$B199,Skovbrug!$B$21:$B$41,'Direkte input'!$E199))</f>
        <v>0</v>
      </c>
      <c r="H199" s="108">
        <f>IF($A199="Vestdanmark",SUMIFS(IF(H$2=År1,Skovbrug!$C$21:$C$41,IF(H$2=År2,Skovbrug!$D$21:$D$41,Skovbrug!$E$21:$E$41)),Skovbrug!$A$21:$A$41,'Direkte input'!$B199,Skovbrug!$B$21:$B$41,'Direkte input'!$E199),SUMIFS(IF(H$2=År1,Skovbrug!$F$21:$F$41,IF(H$2=År2,Skovbrug!$G$21:$G$41,Skovbrug!$H$21:$H$41)),Skovbrug!$A$21:$A$41,'Direkte input'!$B199,Skovbrug!$B$21:$B$41,'Direkte input'!$E199))</f>
        <v>0</v>
      </c>
      <c r="I199" s="108">
        <f>IF($A199="Vestdanmark",SUMIFS(IF(I$2=År1,Skovbrug!$C$21:$C$41,IF(I$2=År2,Skovbrug!$D$21:$D$41,Skovbrug!$E$21:$E$41)),Skovbrug!$A$21:$A$41,'Direkte input'!$B199,Skovbrug!$B$21:$B$41,'Direkte input'!$E199),SUMIFS(IF(I$2=År1,Skovbrug!$F$21:$F$41,IF(I$2=År2,Skovbrug!$G$21:$G$41,Skovbrug!$H$21:$H$41)),Skovbrug!$A$21:$A$41,'Direkte input'!$B199,Skovbrug!$B$21:$B$41,'Direkte input'!$E199))</f>
        <v>0</v>
      </c>
    </row>
    <row r="200" spans="1:9" hidden="1" x14ac:dyDescent="0.55000000000000004">
      <c r="A200" t="s">
        <v>23</v>
      </c>
      <c r="B200" t="s">
        <v>181</v>
      </c>
      <c r="D200" t="s">
        <v>181</v>
      </c>
      <c r="E200">
        <v>30</v>
      </c>
      <c r="F200" t="str">
        <f t="shared" si="16"/>
        <v>Areal-skovtype4-30</v>
      </c>
      <c r="G200" s="108">
        <f>IF($A200="Vestdanmark",SUMIFS(IF(G$2=År1,Skovbrug!$C$21:$C$41,IF(G$2=År2,Skovbrug!$D$21:$D$41,Skovbrug!$E$21:$E$41)),Skovbrug!$A$21:$A$41,'Direkte input'!$B200,Skovbrug!$B$21:$B$41,'Direkte input'!$E200),SUMIFS(IF(G$2=År1,Skovbrug!$F$21:$F$41,IF(G$2=År2,Skovbrug!$G$21:$G$41,Skovbrug!$H$21:$H$41)),Skovbrug!$A$21:$A$41,'Direkte input'!$B200,Skovbrug!$B$21:$B$41,'Direkte input'!$E200))</f>
        <v>0</v>
      </c>
      <c r="H200" s="108">
        <f>IF($A200="Vestdanmark",SUMIFS(IF(H$2=År1,Skovbrug!$C$21:$C$41,IF(H$2=År2,Skovbrug!$D$21:$D$41,Skovbrug!$E$21:$E$41)),Skovbrug!$A$21:$A$41,'Direkte input'!$B200,Skovbrug!$B$21:$B$41,'Direkte input'!$E200),SUMIFS(IF(H$2=År1,Skovbrug!$F$21:$F$41,IF(H$2=År2,Skovbrug!$G$21:$G$41,Skovbrug!$H$21:$H$41)),Skovbrug!$A$21:$A$41,'Direkte input'!$B200,Skovbrug!$B$21:$B$41,'Direkte input'!$E200))</f>
        <v>0</v>
      </c>
      <c r="I200" s="108">
        <f>IF($A200="Vestdanmark",SUMIFS(IF(I$2=År1,Skovbrug!$C$21:$C$41,IF(I$2=År2,Skovbrug!$D$21:$D$41,Skovbrug!$E$21:$E$41)),Skovbrug!$A$21:$A$41,'Direkte input'!$B200,Skovbrug!$B$21:$B$41,'Direkte input'!$E200),SUMIFS(IF(I$2=År1,Skovbrug!$F$21:$F$41,IF(I$2=År2,Skovbrug!$G$21:$G$41,Skovbrug!$H$21:$H$41)),Skovbrug!$A$21:$A$41,'Direkte input'!$B200,Skovbrug!$B$21:$B$41,'Direkte input'!$E200))</f>
        <v>0</v>
      </c>
    </row>
    <row r="201" spans="1:9" hidden="1" x14ac:dyDescent="0.55000000000000004">
      <c r="A201" t="s">
        <v>23</v>
      </c>
      <c r="B201" t="s">
        <v>181</v>
      </c>
      <c r="D201" t="s">
        <v>181</v>
      </c>
      <c r="E201">
        <v>40</v>
      </c>
      <c r="F201" t="str">
        <f t="shared" si="16"/>
        <v>Areal-skovtype4-40</v>
      </c>
      <c r="G201" s="108">
        <f>IF($A201="Vestdanmark",SUMIFS(IF(G$2=År1,Skovbrug!$C$21:$C$41,IF(G$2=År2,Skovbrug!$D$21:$D$41,Skovbrug!$E$21:$E$41)),Skovbrug!$A$21:$A$41,'Direkte input'!$B201,Skovbrug!$B$21:$B$41,'Direkte input'!$E201),SUMIFS(IF(G$2=År1,Skovbrug!$F$21:$F$41,IF(G$2=År2,Skovbrug!$G$21:$G$41,Skovbrug!$H$21:$H$41)),Skovbrug!$A$21:$A$41,'Direkte input'!$B201,Skovbrug!$B$21:$B$41,'Direkte input'!$E201))</f>
        <v>0</v>
      </c>
      <c r="H201" s="108">
        <f>IF($A201="Vestdanmark",SUMIFS(IF(H$2=År1,Skovbrug!$C$21:$C$41,IF(H$2=År2,Skovbrug!$D$21:$D$41,Skovbrug!$E$21:$E$41)),Skovbrug!$A$21:$A$41,'Direkte input'!$B201,Skovbrug!$B$21:$B$41,'Direkte input'!$E201),SUMIFS(IF(H$2=År1,Skovbrug!$F$21:$F$41,IF(H$2=År2,Skovbrug!$G$21:$G$41,Skovbrug!$H$21:$H$41)),Skovbrug!$A$21:$A$41,'Direkte input'!$B201,Skovbrug!$B$21:$B$41,'Direkte input'!$E201))</f>
        <v>0</v>
      </c>
      <c r="I201" s="108">
        <f>IF($A201="Vestdanmark",SUMIFS(IF(I$2=År1,Skovbrug!$C$21:$C$41,IF(I$2=År2,Skovbrug!$D$21:$D$41,Skovbrug!$E$21:$E$41)),Skovbrug!$A$21:$A$41,'Direkte input'!$B201,Skovbrug!$B$21:$B$41,'Direkte input'!$E201),SUMIFS(IF(I$2=År1,Skovbrug!$F$21:$F$41,IF(I$2=År2,Skovbrug!$G$21:$G$41,Skovbrug!$H$21:$H$41)),Skovbrug!$A$21:$A$41,'Direkte input'!$B201,Skovbrug!$B$21:$B$41,'Direkte input'!$E201))</f>
        <v>0</v>
      </c>
    </row>
    <row r="202" spans="1:9" hidden="1" x14ac:dyDescent="0.55000000000000004">
      <c r="A202" t="s">
        <v>23</v>
      </c>
      <c r="B202" t="s">
        <v>182</v>
      </c>
      <c r="D202" t="s">
        <v>182</v>
      </c>
      <c r="E202">
        <v>10</v>
      </c>
      <c r="F202" t="str">
        <f t="shared" si="16"/>
        <v>Areal-skovtype5-10</v>
      </c>
      <c r="G202" s="108">
        <f>IF($A202="Vestdanmark",SUMIFS(IF(G$2=År1,Skovbrug!$C$21:$C$41,IF(G$2=År2,Skovbrug!$D$21:$D$41,Skovbrug!$E$21:$E$41)),Skovbrug!$A$21:$A$41,'Direkte input'!$B202,Skovbrug!$B$21:$B$41,'Direkte input'!$E202),SUMIFS(IF(G$2=År1,Skovbrug!$F$21:$F$41,IF(G$2=År2,Skovbrug!$G$21:$G$41,Skovbrug!$H$21:$H$41)),Skovbrug!$A$21:$A$41,'Direkte input'!$B202,Skovbrug!$B$21:$B$41,'Direkte input'!$E202))</f>
        <v>0</v>
      </c>
      <c r="H202" s="108">
        <f>IF($A202="Vestdanmark",SUMIFS(IF(H$2=År1,Skovbrug!$C$21:$C$41,IF(H$2=År2,Skovbrug!$D$21:$D$41,Skovbrug!$E$21:$E$41)),Skovbrug!$A$21:$A$41,'Direkte input'!$B202,Skovbrug!$B$21:$B$41,'Direkte input'!$E202),SUMIFS(IF(H$2=År1,Skovbrug!$F$21:$F$41,IF(H$2=År2,Skovbrug!$G$21:$G$41,Skovbrug!$H$21:$H$41)),Skovbrug!$A$21:$A$41,'Direkte input'!$B202,Skovbrug!$B$21:$B$41,'Direkte input'!$E202))</f>
        <v>0</v>
      </c>
      <c r="I202" s="108">
        <f>IF($A202="Vestdanmark",SUMIFS(IF(I$2=År1,Skovbrug!$C$21:$C$41,IF(I$2=År2,Skovbrug!$D$21:$D$41,Skovbrug!$E$21:$E$41)),Skovbrug!$A$21:$A$41,'Direkte input'!$B202,Skovbrug!$B$21:$B$41,'Direkte input'!$E202),SUMIFS(IF(I$2=År1,Skovbrug!$F$21:$F$41,IF(I$2=År2,Skovbrug!$G$21:$G$41,Skovbrug!$H$21:$H$41)),Skovbrug!$A$21:$A$41,'Direkte input'!$B202,Skovbrug!$B$21:$B$41,'Direkte input'!$E202))</f>
        <v>0</v>
      </c>
    </row>
    <row r="203" spans="1:9" hidden="1" x14ac:dyDescent="0.55000000000000004">
      <c r="A203" t="s">
        <v>23</v>
      </c>
      <c r="B203" t="s">
        <v>182</v>
      </c>
      <c r="D203" t="s">
        <v>182</v>
      </c>
      <c r="E203">
        <v>20</v>
      </c>
      <c r="F203" t="str">
        <f t="shared" si="16"/>
        <v>Areal-skovtype5-20</v>
      </c>
      <c r="G203" s="108">
        <f>IF($A203="Vestdanmark",SUMIFS(IF(G$2=År1,Skovbrug!$C$21:$C$41,IF(G$2=År2,Skovbrug!$D$21:$D$41,Skovbrug!$E$21:$E$41)),Skovbrug!$A$21:$A$41,'Direkte input'!$B203,Skovbrug!$B$21:$B$41,'Direkte input'!$E203),SUMIFS(IF(G$2=År1,Skovbrug!$F$21:$F$41,IF(G$2=År2,Skovbrug!$G$21:$G$41,Skovbrug!$H$21:$H$41)),Skovbrug!$A$21:$A$41,'Direkte input'!$B203,Skovbrug!$B$21:$B$41,'Direkte input'!$E203))</f>
        <v>0</v>
      </c>
      <c r="H203" s="108">
        <f>IF($A203="Vestdanmark",SUMIFS(IF(H$2=År1,Skovbrug!$C$21:$C$41,IF(H$2=År2,Skovbrug!$D$21:$D$41,Skovbrug!$E$21:$E$41)),Skovbrug!$A$21:$A$41,'Direkte input'!$B203,Skovbrug!$B$21:$B$41,'Direkte input'!$E203),SUMIFS(IF(H$2=År1,Skovbrug!$F$21:$F$41,IF(H$2=År2,Skovbrug!$G$21:$G$41,Skovbrug!$H$21:$H$41)),Skovbrug!$A$21:$A$41,'Direkte input'!$B203,Skovbrug!$B$21:$B$41,'Direkte input'!$E203))</f>
        <v>0</v>
      </c>
      <c r="I203" s="108">
        <f>IF($A203="Vestdanmark",SUMIFS(IF(I$2=År1,Skovbrug!$C$21:$C$41,IF(I$2=År2,Skovbrug!$D$21:$D$41,Skovbrug!$E$21:$E$41)),Skovbrug!$A$21:$A$41,'Direkte input'!$B203,Skovbrug!$B$21:$B$41,'Direkte input'!$E203),SUMIFS(IF(I$2=År1,Skovbrug!$F$21:$F$41,IF(I$2=År2,Skovbrug!$G$21:$G$41,Skovbrug!$H$21:$H$41)),Skovbrug!$A$21:$A$41,'Direkte input'!$B203,Skovbrug!$B$21:$B$41,'Direkte input'!$E203))</f>
        <v>0</v>
      </c>
    </row>
    <row r="204" spans="1:9" hidden="1" x14ac:dyDescent="0.55000000000000004">
      <c r="A204" t="s">
        <v>23</v>
      </c>
      <c r="B204" t="s">
        <v>182</v>
      </c>
      <c r="D204" t="s">
        <v>182</v>
      </c>
      <c r="E204">
        <v>30</v>
      </c>
      <c r="F204" t="str">
        <f t="shared" si="16"/>
        <v>Areal-skovtype5-30</v>
      </c>
      <c r="G204" s="108">
        <f>IF($A204="Vestdanmark",SUMIFS(IF(G$2=År1,Skovbrug!$C$21:$C$41,IF(G$2=År2,Skovbrug!$D$21:$D$41,Skovbrug!$E$21:$E$41)),Skovbrug!$A$21:$A$41,'Direkte input'!$B204,Skovbrug!$B$21:$B$41,'Direkte input'!$E204),SUMIFS(IF(G$2=År1,Skovbrug!$F$21:$F$41,IF(G$2=År2,Skovbrug!$G$21:$G$41,Skovbrug!$H$21:$H$41)),Skovbrug!$A$21:$A$41,'Direkte input'!$B204,Skovbrug!$B$21:$B$41,'Direkte input'!$E204))</f>
        <v>0</v>
      </c>
      <c r="H204" s="108">
        <f>IF($A204="Vestdanmark",SUMIFS(IF(H$2=År1,Skovbrug!$C$21:$C$41,IF(H$2=År2,Skovbrug!$D$21:$D$41,Skovbrug!$E$21:$E$41)),Skovbrug!$A$21:$A$41,'Direkte input'!$B204,Skovbrug!$B$21:$B$41,'Direkte input'!$E204),SUMIFS(IF(H$2=År1,Skovbrug!$F$21:$F$41,IF(H$2=År2,Skovbrug!$G$21:$G$41,Skovbrug!$H$21:$H$41)),Skovbrug!$A$21:$A$41,'Direkte input'!$B204,Skovbrug!$B$21:$B$41,'Direkte input'!$E204))</f>
        <v>0</v>
      </c>
      <c r="I204" s="108">
        <f>IF($A204="Vestdanmark",SUMIFS(IF(I$2=År1,Skovbrug!$C$21:$C$41,IF(I$2=År2,Skovbrug!$D$21:$D$41,Skovbrug!$E$21:$E$41)),Skovbrug!$A$21:$A$41,'Direkte input'!$B204,Skovbrug!$B$21:$B$41,'Direkte input'!$E204),SUMIFS(IF(I$2=År1,Skovbrug!$F$21:$F$41,IF(I$2=År2,Skovbrug!$G$21:$G$41,Skovbrug!$H$21:$H$41)),Skovbrug!$A$21:$A$41,'Direkte input'!$B204,Skovbrug!$B$21:$B$41,'Direkte input'!$E204))</f>
        <v>0</v>
      </c>
    </row>
    <row r="205" spans="1:9" hidden="1" x14ac:dyDescent="0.55000000000000004">
      <c r="A205" t="s">
        <v>23</v>
      </c>
      <c r="B205" t="s">
        <v>182</v>
      </c>
      <c r="D205" t="s">
        <v>182</v>
      </c>
      <c r="E205">
        <v>40</v>
      </c>
      <c r="F205" t="str">
        <f t="shared" si="16"/>
        <v>Areal-skovtype5-40</v>
      </c>
      <c r="G205" s="108">
        <f>IF($A205="Vestdanmark",SUMIFS(IF(G$2=År1,Skovbrug!$C$21:$C$41,IF(G$2=År2,Skovbrug!$D$21:$D$41,Skovbrug!$E$21:$E$41)),Skovbrug!$A$21:$A$41,'Direkte input'!$B205,Skovbrug!$B$21:$B$41,'Direkte input'!$E205),SUMIFS(IF(G$2=År1,Skovbrug!$F$21:$F$41,IF(G$2=År2,Skovbrug!$G$21:$G$41,Skovbrug!$H$21:$H$41)),Skovbrug!$A$21:$A$41,'Direkte input'!$B205,Skovbrug!$B$21:$B$41,'Direkte input'!$E205))</f>
        <v>0</v>
      </c>
      <c r="H205" s="108">
        <f>IF($A205="Vestdanmark",SUMIFS(IF(H$2=År1,Skovbrug!$C$21:$C$41,IF(H$2=År2,Skovbrug!$D$21:$D$41,Skovbrug!$E$21:$E$41)),Skovbrug!$A$21:$A$41,'Direkte input'!$B205,Skovbrug!$B$21:$B$41,'Direkte input'!$E205),SUMIFS(IF(H$2=År1,Skovbrug!$F$21:$F$41,IF(H$2=År2,Skovbrug!$G$21:$G$41,Skovbrug!$H$21:$H$41)),Skovbrug!$A$21:$A$41,'Direkte input'!$B205,Skovbrug!$B$21:$B$41,'Direkte input'!$E205))</f>
        <v>0</v>
      </c>
      <c r="I205" s="108">
        <f>IF($A205="Vestdanmark",SUMIFS(IF(I$2=År1,Skovbrug!$C$21:$C$41,IF(I$2=År2,Skovbrug!$D$21:$D$41,Skovbrug!$E$21:$E$41)),Skovbrug!$A$21:$A$41,'Direkte input'!$B205,Skovbrug!$B$21:$B$41,'Direkte input'!$E205),SUMIFS(IF(I$2=År1,Skovbrug!$F$21:$F$41,IF(I$2=År2,Skovbrug!$G$21:$G$41,Skovbrug!$H$21:$H$41)),Skovbrug!$A$21:$A$41,'Direkte input'!$B205,Skovbrug!$B$21:$B$41,'Direkte input'!$E205))</f>
        <v>0</v>
      </c>
    </row>
    <row r="206" spans="1:9" hidden="1" x14ac:dyDescent="0.55000000000000004">
      <c r="A206" t="s">
        <v>24</v>
      </c>
      <c r="B206" t="s">
        <v>184</v>
      </c>
      <c r="D206" t="s">
        <v>184</v>
      </c>
      <c r="E206" t="s">
        <v>183</v>
      </c>
      <c r="F206" t="str">
        <f>CONCATENATE("Areal-",LOWER(B206))</f>
        <v>Areal-basisskov</v>
      </c>
      <c r="G206" s="108">
        <f>IF($A206="Vestdanmark",SUMIFS(IF(G$2=År1,Skovbrug!$C$21:$C$41,IF(G$2=År2,Skovbrug!$D$21:$D$41,Skovbrug!$E$21:$E$41)),Skovbrug!$A$21:$A$41,'Direkte input'!$B206,Skovbrug!$B$21:$B$41,'Direkte input'!$E206),SUMIFS(IF(G$2=År1,Skovbrug!$F$21:$F$41,IF(G$2=År2,Skovbrug!$G$21:$G$41,Skovbrug!$H$21:$H$41)),Skovbrug!$A$21:$A$41,'Direkte input'!$B206,Skovbrug!$B$21:$B$41,'Direkte input'!$E206))</f>
        <v>127230</v>
      </c>
      <c r="H206" s="108">
        <f>IF($A206="Vestdanmark",SUMIFS(IF(H$2=År1,Skovbrug!$C$21:$C$41,IF(H$2=År2,Skovbrug!$D$21:$D$41,Skovbrug!$E$21:$E$41)),Skovbrug!$A$21:$A$41,'Direkte input'!$B206,Skovbrug!$B$21:$B$41,'Direkte input'!$E206),SUMIFS(IF(H$2=År1,Skovbrug!$F$21:$F$41,IF(H$2=År2,Skovbrug!$G$21:$G$41,Skovbrug!$H$21:$H$41)),Skovbrug!$A$21:$A$41,'Direkte input'!$B206,Skovbrug!$B$21:$B$41,'Direkte input'!$E206))</f>
        <v>120404.69318966437</v>
      </c>
      <c r="I206" s="108">
        <f>IF($A206="Vestdanmark",SUMIFS(IF(I$2=År1,Skovbrug!$C$21:$C$41,IF(I$2=År2,Skovbrug!$D$21:$D$41,Skovbrug!$E$21:$E$41)),Skovbrug!$A$21:$A$41,'Direkte input'!$B206,Skovbrug!$B$21:$B$41,'Direkte input'!$E206),SUMIFS(IF(I$2=År1,Skovbrug!$F$21:$F$41,IF(I$2=År2,Skovbrug!$G$21:$G$41,Skovbrug!$H$21:$H$41)),Skovbrug!$A$21:$A$41,'Direkte input'!$B206,Skovbrug!$B$21:$B$41,'Direkte input'!$E206))</f>
        <v>108919.34733362029</v>
      </c>
    </row>
    <row r="207" spans="1:9" hidden="1" x14ac:dyDescent="0.55000000000000004">
      <c r="A207" t="s">
        <v>24</v>
      </c>
      <c r="B207" t="s">
        <v>178</v>
      </c>
      <c r="D207" t="s">
        <v>178</v>
      </c>
      <c r="E207">
        <v>10</v>
      </c>
      <c r="F207" t="str">
        <f t="shared" ref="F207:F226" si="17">CONCATENATE("Areal-",LOWER(B207),"-",E207)</f>
        <v>Areal-skovtype1-10</v>
      </c>
      <c r="G207" s="108">
        <f>IF($A207="Vestdanmark",SUMIFS(IF(G$2=År1,Skovbrug!$C$21:$C$41,IF(G$2=År2,Skovbrug!$D$21:$D$41,Skovbrug!$E$21:$E$41)),Skovbrug!$A$21:$A$41,'Direkte input'!$B207,Skovbrug!$B$21:$B$41,'Direkte input'!$E207),SUMIFS(IF(G$2=År1,Skovbrug!$F$21:$F$41,IF(G$2=År2,Skovbrug!$G$21:$G$41,Skovbrug!$H$21:$H$41)),Skovbrug!$A$21:$A$41,'Direkte input'!$B207,Skovbrug!$B$21:$B$41,'Direkte input'!$E207))</f>
        <v>0</v>
      </c>
      <c r="H207" s="108">
        <f>IF($A207="Vestdanmark",SUMIFS(IF(H$2=År1,Skovbrug!$C$21:$C$41,IF(H$2=År2,Skovbrug!$D$21:$D$41,Skovbrug!$E$21:$E$41)),Skovbrug!$A$21:$A$41,'Direkte input'!$B207,Skovbrug!$B$21:$B$41,'Direkte input'!$E207),SUMIFS(IF(H$2=År1,Skovbrug!$F$21:$F$41,IF(H$2=År2,Skovbrug!$G$21:$G$41,Skovbrug!$H$21:$H$41)),Skovbrug!$A$21:$A$41,'Direkte input'!$B207,Skovbrug!$B$21:$B$41,'Direkte input'!$E207))</f>
        <v>8053.3946437856575</v>
      </c>
      <c r="I207" s="108">
        <f>IF($A207="Vestdanmark",SUMIFS(IF(I$2=År1,Skovbrug!$C$21:$C$41,IF(I$2=År2,Skovbrug!$D$21:$D$41,Skovbrug!$E$21:$E$41)),Skovbrug!$A$21:$A$41,'Direkte input'!$B207,Skovbrug!$B$21:$B$41,'Direkte input'!$E207),SUMIFS(IF(I$2=År1,Skovbrug!$F$21:$F$41,IF(I$2=År2,Skovbrug!$G$21:$G$41,Skovbrug!$H$21:$H$41)),Skovbrug!$A$21:$A$41,'Direkte input'!$B207,Skovbrug!$B$21:$B$41,'Direkte input'!$E207))</f>
        <v>7591.2431987752934</v>
      </c>
    </row>
    <row r="208" spans="1:9" hidden="1" x14ac:dyDescent="0.55000000000000004">
      <c r="A208" t="s">
        <v>24</v>
      </c>
      <c r="B208" t="s">
        <v>178</v>
      </c>
      <c r="D208" t="s">
        <v>178</v>
      </c>
      <c r="E208">
        <v>20</v>
      </c>
      <c r="F208" t="str">
        <f t="shared" si="17"/>
        <v>Areal-skovtype1-20</v>
      </c>
      <c r="G208" s="108">
        <f>IF($A208="Vestdanmark",SUMIFS(IF(G$2=År1,Skovbrug!$C$21:$C$41,IF(G$2=År2,Skovbrug!$D$21:$D$41,Skovbrug!$E$21:$E$41)),Skovbrug!$A$21:$A$41,'Direkte input'!$B208,Skovbrug!$B$21:$B$41,'Direkte input'!$E208),SUMIFS(IF(G$2=År1,Skovbrug!$F$21:$F$41,IF(G$2=År2,Skovbrug!$G$21:$G$41,Skovbrug!$H$21:$H$41)),Skovbrug!$A$21:$A$41,'Direkte input'!$B208,Skovbrug!$B$21:$B$41,'Direkte input'!$E208))</f>
        <v>0</v>
      </c>
      <c r="H208" s="108">
        <f>IF($A208="Vestdanmark",SUMIFS(IF(H$2=År1,Skovbrug!$C$21:$C$41,IF(H$2=År2,Skovbrug!$D$21:$D$41,Skovbrug!$E$21:$E$41)),Skovbrug!$A$21:$A$41,'Direkte input'!$B208,Skovbrug!$B$21:$B$41,'Direkte input'!$E208),SUMIFS(IF(H$2=År1,Skovbrug!$F$21:$F$41,IF(H$2=År2,Skovbrug!$G$21:$G$41,Skovbrug!$H$21:$H$41)),Skovbrug!$A$21:$A$41,'Direkte input'!$B208,Skovbrug!$B$21:$B$41,'Direkte input'!$E208))</f>
        <v>805.33946437856571</v>
      </c>
      <c r="I208" s="108">
        <f>IF($A208="Vestdanmark",SUMIFS(IF(I$2=År1,Skovbrug!$C$21:$C$41,IF(I$2=År2,Skovbrug!$D$21:$D$41,Skovbrug!$E$21:$E$41)),Skovbrug!$A$21:$A$41,'Direkte input'!$B208,Skovbrug!$B$21:$B$41,'Direkte input'!$E208),SUMIFS(IF(I$2=År1,Skovbrug!$F$21:$F$41,IF(I$2=År2,Skovbrug!$G$21:$G$41,Skovbrug!$H$21:$H$41)),Skovbrug!$A$21:$A$41,'Direkte input'!$B208,Skovbrug!$B$21:$B$41,'Direkte input'!$E208))</f>
        <v>7591.2431987752934</v>
      </c>
    </row>
    <row r="209" spans="1:9" hidden="1" x14ac:dyDescent="0.55000000000000004">
      <c r="A209" t="s">
        <v>24</v>
      </c>
      <c r="B209" t="s">
        <v>178</v>
      </c>
      <c r="D209" t="s">
        <v>178</v>
      </c>
      <c r="E209">
        <v>30</v>
      </c>
      <c r="F209" t="str">
        <f t="shared" si="17"/>
        <v>Areal-skovtype1-30</v>
      </c>
      <c r="G209" s="108">
        <f>IF($A209="Vestdanmark",SUMIFS(IF(G$2=År1,Skovbrug!$C$21:$C$41,IF(G$2=År2,Skovbrug!$D$21:$D$41,Skovbrug!$E$21:$E$41)),Skovbrug!$A$21:$A$41,'Direkte input'!$B209,Skovbrug!$B$21:$B$41,'Direkte input'!$E209),SUMIFS(IF(G$2=År1,Skovbrug!$F$21:$F$41,IF(G$2=År2,Skovbrug!$G$21:$G$41,Skovbrug!$H$21:$H$41)),Skovbrug!$A$21:$A$41,'Direkte input'!$B209,Skovbrug!$B$21:$B$41,'Direkte input'!$E209))</f>
        <v>0</v>
      </c>
      <c r="H209" s="108">
        <f>IF($A209="Vestdanmark",SUMIFS(IF(H$2=År1,Skovbrug!$C$21:$C$41,IF(H$2=År2,Skovbrug!$D$21:$D$41,Skovbrug!$E$21:$E$41)),Skovbrug!$A$21:$A$41,'Direkte input'!$B209,Skovbrug!$B$21:$B$41,'Direkte input'!$E209),SUMIFS(IF(H$2=År1,Skovbrug!$F$21:$F$41,IF(H$2=År2,Skovbrug!$G$21:$G$41,Skovbrug!$H$21:$H$41)),Skovbrug!$A$21:$A$41,'Direkte input'!$B209,Skovbrug!$B$21:$B$41,'Direkte input'!$E209))</f>
        <v>0</v>
      </c>
      <c r="I209" s="108">
        <f>IF($A209="Vestdanmark",SUMIFS(IF(I$2=År1,Skovbrug!$C$21:$C$41,IF(I$2=År2,Skovbrug!$D$21:$D$41,Skovbrug!$E$21:$E$41)),Skovbrug!$A$21:$A$41,'Direkte input'!$B209,Skovbrug!$B$21:$B$41,'Direkte input'!$E209),SUMIFS(IF(I$2=År1,Skovbrug!$F$21:$F$41,IF(I$2=År2,Skovbrug!$G$21:$G$41,Skovbrug!$H$21:$H$41)),Skovbrug!$A$21:$A$41,'Direkte input'!$B209,Skovbrug!$B$21:$B$41,'Direkte input'!$E209))</f>
        <v>8053.3946437856575</v>
      </c>
    </row>
    <row r="210" spans="1:9" hidden="1" x14ac:dyDescent="0.55000000000000004">
      <c r="A210" t="s">
        <v>24</v>
      </c>
      <c r="B210" t="s">
        <v>178</v>
      </c>
      <c r="D210" t="s">
        <v>178</v>
      </c>
      <c r="E210">
        <v>40</v>
      </c>
      <c r="F210" t="str">
        <f t="shared" si="17"/>
        <v>Areal-skovtype1-40</v>
      </c>
      <c r="G210" s="108">
        <f>IF($A210="Vestdanmark",SUMIFS(IF(G$2=År1,Skovbrug!$C$21:$C$41,IF(G$2=År2,Skovbrug!$D$21:$D$41,Skovbrug!$E$21:$E$41)),Skovbrug!$A$21:$A$41,'Direkte input'!$B210,Skovbrug!$B$21:$B$41,'Direkte input'!$E210),SUMIFS(IF(G$2=År1,Skovbrug!$F$21:$F$41,IF(G$2=År2,Skovbrug!$G$21:$G$41,Skovbrug!$H$21:$H$41)),Skovbrug!$A$21:$A$41,'Direkte input'!$B210,Skovbrug!$B$21:$B$41,'Direkte input'!$E210))</f>
        <v>0</v>
      </c>
      <c r="H210" s="108">
        <f>IF($A210="Vestdanmark",SUMIFS(IF(H$2=År1,Skovbrug!$C$21:$C$41,IF(H$2=År2,Skovbrug!$D$21:$D$41,Skovbrug!$E$21:$E$41)),Skovbrug!$A$21:$A$41,'Direkte input'!$B210,Skovbrug!$B$21:$B$41,'Direkte input'!$E210),SUMIFS(IF(H$2=År1,Skovbrug!$F$21:$F$41,IF(H$2=År2,Skovbrug!$G$21:$G$41,Skovbrug!$H$21:$H$41)),Skovbrug!$A$21:$A$41,'Direkte input'!$B210,Skovbrug!$B$21:$B$41,'Direkte input'!$E210))</f>
        <v>0</v>
      </c>
      <c r="I210" s="108">
        <f>IF($A210="Vestdanmark",SUMIFS(IF(I$2=År1,Skovbrug!$C$21:$C$41,IF(I$2=År2,Skovbrug!$D$21:$D$41,Skovbrug!$E$21:$E$41)),Skovbrug!$A$21:$A$41,'Direkte input'!$B210,Skovbrug!$B$21:$B$41,'Direkte input'!$E210),SUMIFS(IF(I$2=År1,Skovbrug!$F$21:$F$41,IF(I$2=År2,Skovbrug!$G$21:$G$41,Skovbrug!$H$21:$H$41)),Skovbrug!$A$21:$A$41,'Direkte input'!$B210,Skovbrug!$B$21:$B$41,'Direkte input'!$E210))</f>
        <v>805.33946437856571</v>
      </c>
    </row>
    <row r="211" spans="1:9" hidden="1" x14ac:dyDescent="0.55000000000000004">
      <c r="A211" t="s">
        <v>24</v>
      </c>
      <c r="B211" t="s">
        <v>179</v>
      </c>
      <c r="D211" t="s">
        <v>179</v>
      </c>
      <c r="E211">
        <v>10</v>
      </c>
      <c r="F211" t="str">
        <f t="shared" si="17"/>
        <v>Areal-skovtype2-10</v>
      </c>
      <c r="G211" s="108">
        <f>IF($A211="Vestdanmark",SUMIFS(IF(G$2=År1,Skovbrug!$C$21:$C$41,IF(G$2=År2,Skovbrug!$D$21:$D$41,Skovbrug!$E$21:$E$41)),Skovbrug!$A$21:$A$41,'Direkte input'!$B211,Skovbrug!$B$21:$B$41,'Direkte input'!$E211),SUMIFS(IF(G$2=År1,Skovbrug!$F$21:$F$41,IF(G$2=År2,Skovbrug!$G$21:$G$41,Skovbrug!$H$21:$H$41)),Skovbrug!$A$21:$A$41,'Direkte input'!$B211,Skovbrug!$B$21:$B$41,'Direkte input'!$E211))</f>
        <v>0</v>
      </c>
      <c r="H211" s="108">
        <f>IF($A211="Vestdanmark",SUMIFS(IF(H$2=År1,Skovbrug!$C$21:$C$41,IF(H$2=År2,Skovbrug!$D$21:$D$41,Skovbrug!$E$21:$E$41)),Skovbrug!$A$21:$A$41,'Direkte input'!$B211,Skovbrug!$B$21:$B$41,'Direkte input'!$E211),SUMIFS(IF(H$2=År1,Skovbrug!$F$21:$F$41,IF(H$2=År2,Skovbrug!$G$21:$G$41,Skovbrug!$H$21:$H$41)),Skovbrug!$A$21:$A$41,'Direkte input'!$B211,Skovbrug!$B$21:$B$41,'Direkte input'!$E211))</f>
        <v>0</v>
      </c>
      <c r="I211" s="108">
        <f>IF($A211="Vestdanmark",SUMIFS(IF(I$2=År1,Skovbrug!$C$21:$C$41,IF(I$2=År2,Skovbrug!$D$21:$D$41,Skovbrug!$E$21:$E$41)),Skovbrug!$A$21:$A$41,'Direkte input'!$B211,Skovbrug!$B$21:$B$41,'Direkte input'!$E211),SUMIFS(IF(I$2=År1,Skovbrug!$F$21:$F$41,IF(I$2=År2,Skovbrug!$G$21:$G$41,Skovbrug!$H$21:$H$41)),Skovbrug!$A$21:$A$41,'Direkte input'!$B211,Skovbrug!$B$21:$B$41,'Direkte input'!$E211))</f>
        <v>0</v>
      </c>
    </row>
    <row r="212" spans="1:9" hidden="1" x14ac:dyDescent="0.55000000000000004">
      <c r="A212" t="s">
        <v>24</v>
      </c>
      <c r="B212" t="s">
        <v>179</v>
      </c>
      <c r="D212" t="s">
        <v>179</v>
      </c>
      <c r="E212">
        <v>20</v>
      </c>
      <c r="F212" t="str">
        <f t="shared" si="17"/>
        <v>Areal-skovtype2-20</v>
      </c>
      <c r="G212" s="108">
        <f>IF($A212="Vestdanmark",SUMIFS(IF(G$2=År1,Skovbrug!$C$21:$C$41,IF(G$2=År2,Skovbrug!$D$21:$D$41,Skovbrug!$E$21:$E$41)),Skovbrug!$A$21:$A$41,'Direkte input'!$B212,Skovbrug!$B$21:$B$41,'Direkte input'!$E212),SUMIFS(IF(G$2=År1,Skovbrug!$F$21:$F$41,IF(G$2=År2,Skovbrug!$G$21:$G$41,Skovbrug!$H$21:$H$41)),Skovbrug!$A$21:$A$41,'Direkte input'!$B212,Skovbrug!$B$21:$B$41,'Direkte input'!$E212))</f>
        <v>0</v>
      </c>
      <c r="H212" s="108">
        <f>IF($A212="Vestdanmark",SUMIFS(IF(H$2=År1,Skovbrug!$C$21:$C$41,IF(H$2=År2,Skovbrug!$D$21:$D$41,Skovbrug!$E$21:$E$41)),Skovbrug!$A$21:$A$41,'Direkte input'!$B212,Skovbrug!$B$21:$B$41,'Direkte input'!$E212),SUMIFS(IF(H$2=År1,Skovbrug!$F$21:$F$41,IF(H$2=År2,Skovbrug!$G$21:$G$41,Skovbrug!$H$21:$H$41)),Skovbrug!$A$21:$A$41,'Direkte input'!$B212,Skovbrug!$B$21:$B$41,'Direkte input'!$E212))</f>
        <v>0</v>
      </c>
      <c r="I212" s="108">
        <f>IF($A212="Vestdanmark",SUMIFS(IF(I$2=År1,Skovbrug!$C$21:$C$41,IF(I$2=År2,Skovbrug!$D$21:$D$41,Skovbrug!$E$21:$E$41)),Skovbrug!$A$21:$A$41,'Direkte input'!$B212,Skovbrug!$B$21:$B$41,'Direkte input'!$E212),SUMIFS(IF(I$2=År1,Skovbrug!$F$21:$F$41,IF(I$2=År2,Skovbrug!$G$21:$G$41,Skovbrug!$H$21:$H$41)),Skovbrug!$A$21:$A$41,'Direkte input'!$B212,Skovbrug!$B$21:$B$41,'Direkte input'!$E212))</f>
        <v>0</v>
      </c>
    </row>
    <row r="213" spans="1:9" hidden="1" x14ac:dyDescent="0.55000000000000004">
      <c r="A213" t="s">
        <v>24</v>
      </c>
      <c r="B213" t="s">
        <v>179</v>
      </c>
      <c r="D213" t="s">
        <v>179</v>
      </c>
      <c r="E213">
        <v>30</v>
      </c>
      <c r="F213" t="str">
        <f t="shared" si="17"/>
        <v>Areal-skovtype2-30</v>
      </c>
      <c r="G213" s="108">
        <f>IF($A213="Vestdanmark",SUMIFS(IF(G$2=År1,Skovbrug!$C$21:$C$41,IF(G$2=År2,Skovbrug!$D$21:$D$41,Skovbrug!$E$21:$E$41)),Skovbrug!$A$21:$A$41,'Direkte input'!$B213,Skovbrug!$B$21:$B$41,'Direkte input'!$E213),SUMIFS(IF(G$2=År1,Skovbrug!$F$21:$F$41,IF(G$2=År2,Skovbrug!$G$21:$G$41,Skovbrug!$H$21:$H$41)),Skovbrug!$A$21:$A$41,'Direkte input'!$B213,Skovbrug!$B$21:$B$41,'Direkte input'!$E213))</f>
        <v>0</v>
      </c>
      <c r="H213" s="108">
        <f>IF($A213="Vestdanmark",SUMIFS(IF(H$2=År1,Skovbrug!$C$21:$C$41,IF(H$2=År2,Skovbrug!$D$21:$D$41,Skovbrug!$E$21:$E$41)),Skovbrug!$A$21:$A$41,'Direkte input'!$B213,Skovbrug!$B$21:$B$41,'Direkte input'!$E213),SUMIFS(IF(H$2=År1,Skovbrug!$F$21:$F$41,IF(H$2=År2,Skovbrug!$G$21:$G$41,Skovbrug!$H$21:$H$41)),Skovbrug!$A$21:$A$41,'Direkte input'!$B213,Skovbrug!$B$21:$B$41,'Direkte input'!$E213))</f>
        <v>0</v>
      </c>
      <c r="I213" s="108">
        <f>IF($A213="Vestdanmark",SUMIFS(IF(I$2=År1,Skovbrug!$C$21:$C$41,IF(I$2=År2,Skovbrug!$D$21:$D$41,Skovbrug!$E$21:$E$41)),Skovbrug!$A$21:$A$41,'Direkte input'!$B213,Skovbrug!$B$21:$B$41,'Direkte input'!$E213),SUMIFS(IF(I$2=År1,Skovbrug!$F$21:$F$41,IF(I$2=År2,Skovbrug!$G$21:$G$41,Skovbrug!$H$21:$H$41)),Skovbrug!$A$21:$A$41,'Direkte input'!$B213,Skovbrug!$B$21:$B$41,'Direkte input'!$E213))</f>
        <v>0</v>
      </c>
    </row>
    <row r="214" spans="1:9" hidden="1" x14ac:dyDescent="0.55000000000000004">
      <c r="A214" t="s">
        <v>24</v>
      </c>
      <c r="B214" t="s">
        <v>179</v>
      </c>
      <c r="D214" t="s">
        <v>179</v>
      </c>
      <c r="E214">
        <v>40</v>
      </c>
      <c r="F214" t="str">
        <f t="shared" si="17"/>
        <v>Areal-skovtype2-40</v>
      </c>
      <c r="G214" s="108">
        <f>IF($A214="Vestdanmark",SUMIFS(IF(G$2=År1,Skovbrug!$C$21:$C$41,IF(G$2=År2,Skovbrug!$D$21:$D$41,Skovbrug!$E$21:$E$41)),Skovbrug!$A$21:$A$41,'Direkte input'!$B214,Skovbrug!$B$21:$B$41,'Direkte input'!$E214),SUMIFS(IF(G$2=År1,Skovbrug!$F$21:$F$41,IF(G$2=År2,Skovbrug!$G$21:$G$41,Skovbrug!$H$21:$H$41)),Skovbrug!$A$21:$A$41,'Direkte input'!$B214,Skovbrug!$B$21:$B$41,'Direkte input'!$E214))</f>
        <v>0</v>
      </c>
      <c r="H214" s="108">
        <f>IF($A214="Vestdanmark",SUMIFS(IF(H$2=År1,Skovbrug!$C$21:$C$41,IF(H$2=År2,Skovbrug!$D$21:$D$41,Skovbrug!$E$21:$E$41)),Skovbrug!$A$21:$A$41,'Direkte input'!$B214,Skovbrug!$B$21:$B$41,'Direkte input'!$E214),SUMIFS(IF(H$2=År1,Skovbrug!$F$21:$F$41,IF(H$2=År2,Skovbrug!$G$21:$G$41,Skovbrug!$H$21:$H$41)),Skovbrug!$A$21:$A$41,'Direkte input'!$B214,Skovbrug!$B$21:$B$41,'Direkte input'!$E214))</f>
        <v>0</v>
      </c>
      <c r="I214" s="108">
        <f>IF($A214="Vestdanmark",SUMIFS(IF(I$2=År1,Skovbrug!$C$21:$C$41,IF(I$2=År2,Skovbrug!$D$21:$D$41,Skovbrug!$E$21:$E$41)),Skovbrug!$A$21:$A$41,'Direkte input'!$B214,Skovbrug!$B$21:$B$41,'Direkte input'!$E214),SUMIFS(IF(I$2=År1,Skovbrug!$F$21:$F$41,IF(I$2=År2,Skovbrug!$G$21:$G$41,Skovbrug!$H$21:$H$41)),Skovbrug!$A$21:$A$41,'Direkte input'!$B214,Skovbrug!$B$21:$B$41,'Direkte input'!$E214))</f>
        <v>0</v>
      </c>
    </row>
    <row r="215" spans="1:9" hidden="1" x14ac:dyDescent="0.55000000000000004">
      <c r="A215" t="s">
        <v>24</v>
      </c>
      <c r="B215" t="s">
        <v>180</v>
      </c>
      <c r="D215" t="s">
        <v>180</v>
      </c>
      <c r="E215">
        <v>10</v>
      </c>
      <c r="F215" t="str">
        <f t="shared" si="17"/>
        <v>Areal-skovtype3-10</v>
      </c>
      <c r="G215" s="108">
        <f>IF($A215="Vestdanmark",SUMIFS(IF(G$2=År1,Skovbrug!$C$21:$C$41,IF(G$2=År2,Skovbrug!$D$21:$D$41,Skovbrug!$E$21:$E$41)),Skovbrug!$A$21:$A$41,'Direkte input'!$B215,Skovbrug!$B$21:$B$41,'Direkte input'!$E215),SUMIFS(IF(G$2=År1,Skovbrug!$F$21:$F$41,IF(G$2=År2,Skovbrug!$G$21:$G$41,Skovbrug!$H$21:$H$41)),Skovbrug!$A$21:$A$41,'Direkte input'!$B215,Skovbrug!$B$21:$B$41,'Direkte input'!$E215))</f>
        <v>0</v>
      </c>
      <c r="H215" s="108">
        <f>IF($A215="Vestdanmark",SUMIFS(IF(H$2=År1,Skovbrug!$C$21:$C$41,IF(H$2=År2,Skovbrug!$D$21:$D$41,Skovbrug!$E$21:$E$41)),Skovbrug!$A$21:$A$41,'Direkte input'!$B215,Skovbrug!$B$21:$B$41,'Direkte input'!$E215),SUMIFS(IF(H$2=År1,Skovbrug!$F$21:$F$41,IF(H$2=År2,Skovbrug!$G$21:$G$41,Skovbrug!$H$21:$H$41)),Skovbrug!$A$21:$A$41,'Direkte input'!$B215,Skovbrug!$B$21:$B$41,'Direkte input'!$E215))</f>
        <v>0</v>
      </c>
      <c r="I215" s="108">
        <f>IF($A215="Vestdanmark",SUMIFS(IF(I$2=År1,Skovbrug!$C$21:$C$41,IF(I$2=År2,Skovbrug!$D$21:$D$41,Skovbrug!$E$21:$E$41)),Skovbrug!$A$21:$A$41,'Direkte input'!$B215,Skovbrug!$B$21:$B$41,'Direkte input'!$E215),SUMIFS(IF(I$2=År1,Skovbrug!$F$21:$F$41,IF(I$2=År2,Skovbrug!$G$21:$G$41,Skovbrug!$H$21:$H$41)),Skovbrug!$A$21:$A$41,'Direkte input'!$B215,Skovbrug!$B$21:$B$41,'Direkte input'!$E215))</f>
        <v>0</v>
      </c>
    </row>
    <row r="216" spans="1:9" hidden="1" x14ac:dyDescent="0.55000000000000004">
      <c r="A216" t="s">
        <v>24</v>
      </c>
      <c r="B216" t="s">
        <v>180</v>
      </c>
      <c r="D216" t="s">
        <v>180</v>
      </c>
      <c r="E216">
        <v>20</v>
      </c>
      <c r="F216" t="str">
        <f t="shared" si="17"/>
        <v>Areal-skovtype3-20</v>
      </c>
      <c r="G216" s="108">
        <f>IF($A216="Vestdanmark",SUMIFS(IF(G$2=År1,Skovbrug!$C$21:$C$41,IF(G$2=År2,Skovbrug!$D$21:$D$41,Skovbrug!$E$21:$E$41)),Skovbrug!$A$21:$A$41,'Direkte input'!$B216,Skovbrug!$B$21:$B$41,'Direkte input'!$E216),SUMIFS(IF(G$2=År1,Skovbrug!$F$21:$F$41,IF(G$2=År2,Skovbrug!$G$21:$G$41,Skovbrug!$H$21:$H$41)),Skovbrug!$A$21:$A$41,'Direkte input'!$B216,Skovbrug!$B$21:$B$41,'Direkte input'!$E216))</f>
        <v>0</v>
      </c>
      <c r="H216" s="108">
        <f>IF($A216="Vestdanmark",SUMIFS(IF(H$2=År1,Skovbrug!$C$21:$C$41,IF(H$2=År2,Skovbrug!$D$21:$D$41,Skovbrug!$E$21:$E$41)),Skovbrug!$A$21:$A$41,'Direkte input'!$B216,Skovbrug!$B$21:$B$41,'Direkte input'!$E216),SUMIFS(IF(H$2=År1,Skovbrug!$F$21:$F$41,IF(H$2=År2,Skovbrug!$G$21:$G$41,Skovbrug!$H$21:$H$41)),Skovbrug!$A$21:$A$41,'Direkte input'!$B216,Skovbrug!$B$21:$B$41,'Direkte input'!$E216))</f>
        <v>0</v>
      </c>
      <c r="I216" s="108">
        <f>IF($A216="Vestdanmark",SUMIFS(IF(I$2=År1,Skovbrug!$C$21:$C$41,IF(I$2=År2,Skovbrug!$D$21:$D$41,Skovbrug!$E$21:$E$41)),Skovbrug!$A$21:$A$41,'Direkte input'!$B216,Skovbrug!$B$21:$B$41,'Direkte input'!$E216),SUMIFS(IF(I$2=År1,Skovbrug!$F$21:$F$41,IF(I$2=År2,Skovbrug!$G$21:$G$41,Skovbrug!$H$21:$H$41)),Skovbrug!$A$21:$A$41,'Direkte input'!$B216,Skovbrug!$B$21:$B$41,'Direkte input'!$E216))</f>
        <v>0</v>
      </c>
    </row>
    <row r="217" spans="1:9" hidden="1" x14ac:dyDescent="0.55000000000000004">
      <c r="A217" t="s">
        <v>24</v>
      </c>
      <c r="B217" t="s">
        <v>180</v>
      </c>
      <c r="D217" t="s">
        <v>180</v>
      </c>
      <c r="E217">
        <v>30</v>
      </c>
      <c r="F217" t="str">
        <f t="shared" si="17"/>
        <v>Areal-skovtype3-30</v>
      </c>
      <c r="G217" s="108">
        <f>IF($A217="Vestdanmark",SUMIFS(IF(G$2=År1,Skovbrug!$C$21:$C$41,IF(G$2=År2,Skovbrug!$D$21:$D$41,Skovbrug!$E$21:$E$41)),Skovbrug!$A$21:$A$41,'Direkte input'!$B217,Skovbrug!$B$21:$B$41,'Direkte input'!$E217),SUMIFS(IF(G$2=År1,Skovbrug!$F$21:$F$41,IF(G$2=År2,Skovbrug!$G$21:$G$41,Skovbrug!$H$21:$H$41)),Skovbrug!$A$21:$A$41,'Direkte input'!$B217,Skovbrug!$B$21:$B$41,'Direkte input'!$E217))</f>
        <v>0</v>
      </c>
      <c r="H217" s="108">
        <f>IF($A217="Vestdanmark",SUMIFS(IF(H$2=År1,Skovbrug!$C$21:$C$41,IF(H$2=År2,Skovbrug!$D$21:$D$41,Skovbrug!$E$21:$E$41)),Skovbrug!$A$21:$A$41,'Direkte input'!$B217,Skovbrug!$B$21:$B$41,'Direkte input'!$E217),SUMIFS(IF(H$2=År1,Skovbrug!$F$21:$F$41,IF(H$2=År2,Skovbrug!$G$21:$G$41,Skovbrug!$H$21:$H$41)),Skovbrug!$A$21:$A$41,'Direkte input'!$B217,Skovbrug!$B$21:$B$41,'Direkte input'!$E217))</f>
        <v>0</v>
      </c>
      <c r="I217" s="108">
        <f>IF($A217="Vestdanmark",SUMIFS(IF(I$2=År1,Skovbrug!$C$21:$C$41,IF(I$2=År2,Skovbrug!$D$21:$D$41,Skovbrug!$E$21:$E$41)),Skovbrug!$A$21:$A$41,'Direkte input'!$B217,Skovbrug!$B$21:$B$41,'Direkte input'!$E217),SUMIFS(IF(I$2=År1,Skovbrug!$F$21:$F$41,IF(I$2=År2,Skovbrug!$G$21:$G$41,Skovbrug!$H$21:$H$41)),Skovbrug!$A$21:$A$41,'Direkte input'!$B217,Skovbrug!$B$21:$B$41,'Direkte input'!$E217))</f>
        <v>0</v>
      </c>
    </row>
    <row r="218" spans="1:9" hidden="1" x14ac:dyDescent="0.55000000000000004">
      <c r="A218" t="s">
        <v>24</v>
      </c>
      <c r="B218" t="s">
        <v>180</v>
      </c>
      <c r="D218" t="s">
        <v>180</v>
      </c>
      <c r="E218">
        <v>40</v>
      </c>
      <c r="F218" t="str">
        <f t="shared" si="17"/>
        <v>Areal-skovtype3-40</v>
      </c>
      <c r="G218" s="108">
        <f>IF($A218="Vestdanmark",SUMIFS(IF(G$2=År1,Skovbrug!$C$21:$C$41,IF(G$2=År2,Skovbrug!$D$21:$D$41,Skovbrug!$E$21:$E$41)),Skovbrug!$A$21:$A$41,'Direkte input'!$B218,Skovbrug!$B$21:$B$41,'Direkte input'!$E218),SUMIFS(IF(G$2=År1,Skovbrug!$F$21:$F$41,IF(G$2=År2,Skovbrug!$G$21:$G$41,Skovbrug!$H$21:$H$41)),Skovbrug!$A$21:$A$41,'Direkte input'!$B218,Skovbrug!$B$21:$B$41,'Direkte input'!$E218))</f>
        <v>0</v>
      </c>
      <c r="H218" s="108">
        <f>IF($A218="Vestdanmark",SUMIFS(IF(H$2=År1,Skovbrug!$C$21:$C$41,IF(H$2=År2,Skovbrug!$D$21:$D$41,Skovbrug!$E$21:$E$41)),Skovbrug!$A$21:$A$41,'Direkte input'!$B218,Skovbrug!$B$21:$B$41,'Direkte input'!$E218),SUMIFS(IF(H$2=År1,Skovbrug!$F$21:$F$41,IF(H$2=År2,Skovbrug!$G$21:$G$41,Skovbrug!$H$21:$H$41)),Skovbrug!$A$21:$A$41,'Direkte input'!$B218,Skovbrug!$B$21:$B$41,'Direkte input'!$E218))</f>
        <v>0</v>
      </c>
      <c r="I218" s="108">
        <f>IF($A218="Vestdanmark",SUMIFS(IF(I$2=År1,Skovbrug!$C$21:$C$41,IF(I$2=År2,Skovbrug!$D$21:$D$41,Skovbrug!$E$21:$E$41)),Skovbrug!$A$21:$A$41,'Direkte input'!$B218,Skovbrug!$B$21:$B$41,'Direkte input'!$E218),SUMIFS(IF(I$2=År1,Skovbrug!$F$21:$F$41,IF(I$2=År2,Skovbrug!$G$21:$G$41,Skovbrug!$H$21:$H$41)),Skovbrug!$A$21:$A$41,'Direkte input'!$B218,Skovbrug!$B$21:$B$41,'Direkte input'!$E218))</f>
        <v>0</v>
      </c>
    </row>
    <row r="219" spans="1:9" hidden="1" x14ac:dyDescent="0.55000000000000004">
      <c r="A219" t="s">
        <v>24</v>
      </c>
      <c r="B219" t="s">
        <v>181</v>
      </c>
      <c r="D219" t="s">
        <v>181</v>
      </c>
      <c r="E219">
        <v>10</v>
      </c>
      <c r="F219" t="str">
        <f t="shared" si="17"/>
        <v>Areal-skovtype4-10</v>
      </c>
      <c r="G219" s="108">
        <f>IF($A219="Vestdanmark",SUMIFS(IF(G$2=År1,Skovbrug!$C$21:$C$41,IF(G$2=År2,Skovbrug!$D$21:$D$41,Skovbrug!$E$21:$E$41)),Skovbrug!$A$21:$A$41,'Direkte input'!$B219,Skovbrug!$B$21:$B$41,'Direkte input'!$E219),SUMIFS(IF(G$2=År1,Skovbrug!$F$21:$F$41,IF(G$2=År2,Skovbrug!$G$21:$G$41,Skovbrug!$H$21:$H$41)),Skovbrug!$A$21:$A$41,'Direkte input'!$B219,Skovbrug!$B$21:$B$41,'Direkte input'!$E219))</f>
        <v>0</v>
      </c>
      <c r="H219" s="108">
        <f>IF($A219="Vestdanmark",SUMIFS(IF(H$2=År1,Skovbrug!$C$21:$C$41,IF(H$2=År2,Skovbrug!$D$21:$D$41,Skovbrug!$E$21:$E$41)),Skovbrug!$A$21:$A$41,'Direkte input'!$B219,Skovbrug!$B$21:$B$41,'Direkte input'!$E219),SUMIFS(IF(H$2=År1,Skovbrug!$F$21:$F$41,IF(H$2=År2,Skovbrug!$G$21:$G$41,Skovbrug!$H$21:$H$41)),Skovbrug!$A$21:$A$41,'Direkte input'!$B219,Skovbrug!$B$21:$B$41,'Direkte input'!$E219))</f>
        <v>0</v>
      </c>
      <c r="I219" s="108">
        <f>IF($A219="Vestdanmark",SUMIFS(IF(I$2=År1,Skovbrug!$C$21:$C$41,IF(I$2=År2,Skovbrug!$D$21:$D$41,Skovbrug!$E$21:$E$41)),Skovbrug!$A$21:$A$41,'Direkte input'!$B219,Skovbrug!$B$21:$B$41,'Direkte input'!$E219),SUMIFS(IF(I$2=År1,Skovbrug!$F$21:$F$41,IF(I$2=År2,Skovbrug!$G$21:$G$41,Skovbrug!$H$21:$H$41)),Skovbrug!$A$21:$A$41,'Direkte input'!$B219,Skovbrug!$B$21:$B$41,'Direkte input'!$E219))</f>
        <v>0</v>
      </c>
    </row>
    <row r="220" spans="1:9" hidden="1" x14ac:dyDescent="0.55000000000000004">
      <c r="A220" t="s">
        <v>24</v>
      </c>
      <c r="B220" t="s">
        <v>181</v>
      </c>
      <c r="D220" t="s">
        <v>181</v>
      </c>
      <c r="E220">
        <v>20</v>
      </c>
      <c r="F220" t="str">
        <f t="shared" si="17"/>
        <v>Areal-skovtype4-20</v>
      </c>
      <c r="G220" s="108">
        <f>IF($A220="Vestdanmark",SUMIFS(IF(G$2=År1,Skovbrug!$C$21:$C$41,IF(G$2=År2,Skovbrug!$D$21:$D$41,Skovbrug!$E$21:$E$41)),Skovbrug!$A$21:$A$41,'Direkte input'!$B220,Skovbrug!$B$21:$B$41,'Direkte input'!$E220),SUMIFS(IF(G$2=År1,Skovbrug!$F$21:$F$41,IF(G$2=År2,Skovbrug!$G$21:$G$41,Skovbrug!$H$21:$H$41)),Skovbrug!$A$21:$A$41,'Direkte input'!$B220,Skovbrug!$B$21:$B$41,'Direkte input'!$E220))</f>
        <v>0</v>
      </c>
      <c r="H220" s="108">
        <f>IF($A220="Vestdanmark",SUMIFS(IF(H$2=År1,Skovbrug!$C$21:$C$41,IF(H$2=År2,Skovbrug!$D$21:$D$41,Skovbrug!$E$21:$E$41)),Skovbrug!$A$21:$A$41,'Direkte input'!$B220,Skovbrug!$B$21:$B$41,'Direkte input'!$E220),SUMIFS(IF(H$2=År1,Skovbrug!$F$21:$F$41,IF(H$2=År2,Skovbrug!$G$21:$G$41,Skovbrug!$H$21:$H$41)),Skovbrug!$A$21:$A$41,'Direkte input'!$B220,Skovbrug!$B$21:$B$41,'Direkte input'!$E220))</f>
        <v>0</v>
      </c>
      <c r="I220" s="108">
        <f>IF($A220="Vestdanmark",SUMIFS(IF(I$2=År1,Skovbrug!$C$21:$C$41,IF(I$2=År2,Skovbrug!$D$21:$D$41,Skovbrug!$E$21:$E$41)),Skovbrug!$A$21:$A$41,'Direkte input'!$B220,Skovbrug!$B$21:$B$41,'Direkte input'!$E220),SUMIFS(IF(I$2=År1,Skovbrug!$F$21:$F$41,IF(I$2=År2,Skovbrug!$G$21:$G$41,Skovbrug!$H$21:$H$41)),Skovbrug!$A$21:$A$41,'Direkte input'!$B220,Skovbrug!$B$21:$B$41,'Direkte input'!$E220))</f>
        <v>0</v>
      </c>
    </row>
    <row r="221" spans="1:9" hidden="1" x14ac:dyDescent="0.55000000000000004">
      <c r="A221" t="s">
        <v>24</v>
      </c>
      <c r="B221" t="s">
        <v>181</v>
      </c>
      <c r="D221" t="s">
        <v>181</v>
      </c>
      <c r="E221">
        <v>30</v>
      </c>
      <c r="F221" t="str">
        <f t="shared" si="17"/>
        <v>Areal-skovtype4-30</v>
      </c>
      <c r="G221" s="108">
        <f>IF($A221="Vestdanmark",SUMIFS(IF(G$2=År1,Skovbrug!$C$21:$C$41,IF(G$2=År2,Skovbrug!$D$21:$D$41,Skovbrug!$E$21:$E$41)),Skovbrug!$A$21:$A$41,'Direkte input'!$B221,Skovbrug!$B$21:$B$41,'Direkte input'!$E221),SUMIFS(IF(G$2=År1,Skovbrug!$F$21:$F$41,IF(G$2=År2,Skovbrug!$G$21:$G$41,Skovbrug!$H$21:$H$41)),Skovbrug!$A$21:$A$41,'Direkte input'!$B221,Skovbrug!$B$21:$B$41,'Direkte input'!$E221))</f>
        <v>0</v>
      </c>
      <c r="H221" s="108">
        <f>IF($A221="Vestdanmark",SUMIFS(IF(H$2=År1,Skovbrug!$C$21:$C$41,IF(H$2=År2,Skovbrug!$D$21:$D$41,Skovbrug!$E$21:$E$41)),Skovbrug!$A$21:$A$41,'Direkte input'!$B221,Skovbrug!$B$21:$B$41,'Direkte input'!$E221),SUMIFS(IF(H$2=År1,Skovbrug!$F$21:$F$41,IF(H$2=År2,Skovbrug!$G$21:$G$41,Skovbrug!$H$21:$H$41)),Skovbrug!$A$21:$A$41,'Direkte input'!$B221,Skovbrug!$B$21:$B$41,'Direkte input'!$E221))</f>
        <v>0</v>
      </c>
      <c r="I221" s="108">
        <f>IF($A221="Vestdanmark",SUMIFS(IF(I$2=År1,Skovbrug!$C$21:$C$41,IF(I$2=År2,Skovbrug!$D$21:$D$41,Skovbrug!$E$21:$E$41)),Skovbrug!$A$21:$A$41,'Direkte input'!$B221,Skovbrug!$B$21:$B$41,'Direkte input'!$E221),SUMIFS(IF(I$2=År1,Skovbrug!$F$21:$F$41,IF(I$2=År2,Skovbrug!$G$21:$G$41,Skovbrug!$H$21:$H$41)),Skovbrug!$A$21:$A$41,'Direkte input'!$B221,Skovbrug!$B$21:$B$41,'Direkte input'!$E221))</f>
        <v>0</v>
      </c>
    </row>
    <row r="222" spans="1:9" hidden="1" x14ac:dyDescent="0.55000000000000004">
      <c r="A222" t="s">
        <v>24</v>
      </c>
      <c r="B222" t="s">
        <v>181</v>
      </c>
      <c r="D222" t="s">
        <v>181</v>
      </c>
      <c r="E222">
        <v>40</v>
      </c>
      <c r="F222" t="str">
        <f t="shared" si="17"/>
        <v>Areal-skovtype4-40</v>
      </c>
      <c r="G222" s="108">
        <f>IF($A222="Vestdanmark",SUMIFS(IF(G$2=År1,Skovbrug!$C$21:$C$41,IF(G$2=År2,Skovbrug!$D$21:$D$41,Skovbrug!$E$21:$E$41)),Skovbrug!$A$21:$A$41,'Direkte input'!$B222,Skovbrug!$B$21:$B$41,'Direkte input'!$E222),SUMIFS(IF(G$2=År1,Skovbrug!$F$21:$F$41,IF(G$2=År2,Skovbrug!$G$21:$G$41,Skovbrug!$H$21:$H$41)),Skovbrug!$A$21:$A$41,'Direkte input'!$B222,Skovbrug!$B$21:$B$41,'Direkte input'!$E222))</f>
        <v>0</v>
      </c>
      <c r="H222" s="108">
        <f>IF($A222="Vestdanmark",SUMIFS(IF(H$2=År1,Skovbrug!$C$21:$C$41,IF(H$2=År2,Skovbrug!$D$21:$D$41,Skovbrug!$E$21:$E$41)),Skovbrug!$A$21:$A$41,'Direkte input'!$B222,Skovbrug!$B$21:$B$41,'Direkte input'!$E222),SUMIFS(IF(H$2=År1,Skovbrug!$F$21:$F$41,IF(H$2=År2,Skovbrug!$G$21:$G$41,Skovbrug!$H$21:$H$41)),Skovbrug!$A$21:$A$41,'Direkte input'!$B222,Skovbrug!$B$21:$B$41,'Direkte input'!$E222))</f>
        <v>0</v>
      </c>
      <c r="I222" s="108">
        <f>IF($A222="Vestdanmark",SUMIFS(IF(I$2=År1,Skovbrug!$C$21:$C$41,IF(I$2=År2,Skovbrug!$D$21:$D$41,Skovbrug!$E$21:$E$41)),Skovbrug!$A$21:$A$41,'Direkte input'!$B222,Skovbrug!$B$21:$B$41,'Direkte input'!$E222),SUMIFS(IF(I$2=År1,Skovbrug!$F$21:$F$41,IF(I$2=År2,Skovbrug!$G$21:$G$41,Skovbrug!$H$21:$H$41)),Skovbrug!$A$21:$A$41,'Direkte input'!$B222,Skovbrug!$B$21:$B$41,'Direkte input'!$E222))</f>
        <v>0</v>
      </c>
    </row>
    <row r="223" spans="1:9" hidden="1" x14ac:dyDescent="0.55000000000000004">
      <c r="A223" t="s">
        <v>24</v>
      </c>
      <c r="B223" t="s">
        <v>182</v>
      </c>
      <c r="D223" t="s">
        <v>182</v>
      </c>
      <c r="E223">
        <v>10</v>
      </c>
      <c r="F223" t="str">
        <f t="shared" si="17"/>
        <v>Areal-skovtype5-10</v>
      </c>
      <c r="G223" s="108">
        <f>IF($A223="Vestdanmark",SUMIFS(IF(G$2=År1,Skovbrug!$C$21:$C$41,IF(G$2=År2,Skovbrug!$D$21:$D$41,Skovbrug!$E$21:$E$41)),Skovbrug!$A$21:$A$41,'Direkte input'!$B223,Skovbrug!$B$21:$B$41,'Direkte input'!$E223),SUMIFS(IF(G$2=År1,Skovbrug!$F$21:$F$41,IF(G$2=År2,Skovbrug!$G$21:$G$41,Skovbrug!$H$21:$H$41)),Skovbrug!$A$21:$A$41,'Direkte input'!$B223,Skovbrug!$B$21:$B$41,'Direkte input'!$E223))</f>
        <v>0</v>
      </c>
      <c r="H223" s="108">
        <f>IF($A223="Vestdanmark",SUMIFS(IF(H$2=År1,Skovbrug!$C$21:$C$41,IF(H$2=År2,Skovbrug!$D$21:$D$41,Skovbrug!$E$21:$E$41)),Skovbrug!$A$21:$A$41,'Direkte input'!$B223,Skovbrug!$B$21:$B$41,'Direkte input'!$E223),SUMIFS(IF(H$2=År1,Skovbrug!$F$21:$F$41,IF(H$2=År2,Skovbrug!$G$21:$G$41,Skovbrug!$H$21:$H$41)),Skovbrug!$A$21:$A$41,'Direkte input'!$B223,Skovbrug!$B$21:$B$41,'Direkte input'!$E223))</f>
        <v>0</v>
      </c>
      <c r="I223" s="108">
        <f>IF($A223="Vestdanmark",SUMIFS(IF(I$2=År1,Skovbrug!$C$21:$C$41,IF(I$2=År2,Skovbrug!$D$21:$D$41,Skovbrug!$E$21:$E$41)),Skovbrug!$A$21:$A$41,'Direkte input'!$B223,Skovbrug!$B$21:$B$41,'Direkte input'!$E223),SUMIFS(IF(I$2=År1,Skovbrug!$F$21:$F$41,IF(I$2=År2,Skovbrug!$G$21:$G$41,Skovbrug!$H$21:$H$41)),Skovbrug!$A$21:$A$41,'Direkte input'!$B223,Skovbrug!$B$21:$B$41,'Direkte input'!$E223))</f>
        <v>0</v>
      </c>
    </row>
    <row r="224" spans="1:9" hidden="1" x14ac:dyDescent="0.55000000000000004">
      <c r="A224" t="s">
        <v>24</v>
      </c>
      <c r="B224" t="s">
        <v>182</v>
      </c>
      <c r="D224" t="s">
        <v>182</v>
      </c>
      <c r="E224">
        <v>20</v>
      </c>
      <c r="F224" t="str">
        <f t="shared" si="17"/>
        <v>Areal-skovtype5-20</v>
      </c>
      <c r="G224" s="108">
        <f>IF($A224="Vestdanmark",SUMIFS(IF(G$2=År1,Skovbrug!$C$21:$C$41,IF(G$2=År2,Skovbrug!$D$21:$D$41,Skovbrug!$E$21:$E$41)),Skovbrug!$A$21:$A$41,'Direkte input'!$B224,Skovbrug!$B$21:$B$41,'Direkte input'!$E224),SUMIFS(IF(G$2=År1,Skovbrug!$F$21:$F$41,IF(G$2=År2,Skovbrug!$G$21:$G$41,Skovbrug!$H$21:$H$41)),Skovbrug!$A$21:$A$41,'Direkte input'!$B224,Skovbrug!$B$21:$B$41,'Direkte input'!$E224))</f>
        <v>0</v>
      </c>
      <c r="H224" s="108">
        <f>IF($A224="Vestdanmark",SUMIFS(IF(H$2=År1,Skovbrug!$C$21:$C$41,IF(H$2=År2,Skovbrug!$D$21:$D$41,Skovbrug!$E$21:$E$41)),Skovbrug!$A$21:$A$41,'Direkte input'!$B224,Skovbrug!$B$21:$B$41,'Direkte input'!$E224),SUMIFS(IF(H$2=År1,Skovbrug!$F$21:$F$41,IF(H$2=År2,Skovbrug!$G$21:$G$41,Skovbrug!$H$21:$H$41)),Skovbrug!$A$21:$A$41,'Direkte input'!$B224,Skovbrug!$B$21:$B$41,'Direkte input'!$E224))</f>
        <v>0</v>
      </c>
      <c r="I224" s="108">
        <f>IF($A224="Vestdanmark",SUMIFS(IF(I$2=År1,Skovbrug!$C$21:$C$41,IF(I$2=År2,Skovbrug!$D$21:$D$41,Skovbrug!$E$21:$E$41)),Skovbrug!$A$21:$A$41,'Direkte input'!$B224,Skovbrug!$B$21:$B$41,'Direkte input'!$E224),SUMIFS(IF(I$2=År1,Skovbrug!$F$21:$F$41,IF(I$2=År2,Skovbrug!$G$21:$G$41,Skovbrug!$H$21:$H$41)),Skovbrug!$A$21:$A$41,'Direkte input'!$B224,Skovbrug!$B$21:$B$41,'Direkte input'!$E224))</f>
        <v>0</v>
      </c>
    </row>
    <row r="225" spans="1:9" hidden="1" x14ac:dyDescent="0.55000000000000004">
      <c r="A225" t="s">
        <v>24</v>
      </c>
      <c r="B225" t="s">
        <v>182</v>
      </c>
      <c r="D225" t="s">
        <v>182</v>
      </c>
      <c r="E225">
        <v>30</v>
      </c>
      <c r="F225" t="str">
        <f t="shared" si="17"/>
        <v>Areal-skovtype5-30</v>
      </c>
      <c r="G225" s="108">
        <f>IF($A225="Vestdanmark",SUMIFS(IF(G$2=År1,Skovbrug!$C$21:$C$41,IF(G$2=År2,Skovbrug!$D$21:$D$41,Skovbrug!$E$21:$E$41)),Skovbrug!$A$21:$A$41,'Direkte input'!$B225,Skovbrug!$B$21:$B$41,'Direkte input'!$E225),SUMIFS(IF(G$2=År1,Skovbrug!$F$21:$F$41,IF(G$2=År2,Skovbrug!$G$21:$G$41,Skovbrug!$H$21:$H$41)),Skovbrug!$A$21:$A$41,'Direkte input'!$B225,Skovbrug!$B$21:$B$41,'Direkte input'!$E225))</f>
        <v>0</v>
      </c>
      <c r="H225" s="108">
        <f>IF($A225="Vestdanmark",SUMIFS(IF(H$2=År1,Skovbrug!$C$21:$C$41,IF(H$2=År2,Skovbrug!$D$21:$D$41,Skovbrug!$E$21:$E$41)),Skovbrug!$A$21:$A$41,'Direkte input'!$B225,Skovbrug!$B$21:$B$41,'Direkte input'!$E225),SUMIFS(IF(H$2=År1,Skovbrug!$F$21:$F$41,IF(H$2=År2,Skovbrug!$G$21:$G$41,Skovbrug!$H$21:$H$41)),Skovbrug!$A$21:$A$41,'Direkte input'!$B225,Skovbrug!$B$21:$B$41,'Direkte input'!$E225))</f>
        <v>0</v>
      </c>
      <c r="I225" s="108">
        <f>IF($A225="Vestdanmark",SUMIFS(IF(I$2=År1,Skovbrug!$C$21:$C$41,IF(I$2=År2,Skovbrug!$D$21:$D$41,Skovbrug!$E$21:$E$41)),Skovbrug!$A$21:$A$41,'Direkte input'!$B225,Skovbrug!$B$21:$B$41,'Direkte input'!$E225),SUMIFS(IF(I$2=År1,Skovbrug!$F$21:$F$41,IF(I$2=År2,Skovbrug!$G$21:$G$41,Skovbrug!$H$21:$H$41)),Skovbrug!$A$21:$A$41,'Direkte input'!$B225,Skovbrug!$B$21:$B$41,'Direkte input'!$E225))</f>
        <v>0</v>
      </c>
    </row>
    <row r="226" spans="1:9" hidden="1" x14ac:dyDescent="0.55000000000000004">
      <c r="A226" t="s">
        <v>24</v>
      </c>
      <c r="B226" t="s">
        <v>182</v>
      </c>
      <c r="D226" t="s">
        <v>182</v>
      </c>
      <c r="E226">
        <v>40</v>
      </c>
      <c r="F226" t="str">
        <f t="shared" si="17"/>
        <v>Areal-skovtype5-40</v>
      </c>
      <c r="G226" s="108">
        <f>IF($A226="Vestdanmark",SUMIFS(IF(G$2=År1,Skovbrug!$C$21:$C$41,IF(G$2=År2,Skovbrug!$D$21:$D$41,Skovbrug!$E$21:$E$41)),Skovbrug!$A$21:$A$41,'Direkte input'!$B226,Skovbrug!$B$21:$B$41,'Direkte input'!$E226),SUMIFS(IF(G$2=År1,Skovbrug!$F$21:$F$41,IF(G$2=År2,Skovbrug!$G$21:$G$41,Skovbrug!$H$21:$H$41)),Skovbrug!$A$21:$A$41,'Direkte input'!$B226,Skovbrug!$B$21:$B$41,'Direkte input'!$E226))</f>
        <v>0</v>
      </c>
      <c r="H226" s="108">
        <f>IF($A226="Vestdanmark",SUMIFS(IF(H$2=År1,Skovbrug!$C$21:$C$41,IF(H$2=År2,Skovbrug!$D$21:$D$41,Skovbrug!$E$21:$E$41)),Skovbrug!$A$21:$A$41,'Direkte input'!$B226,Skovbrug!$B$21:$B$41,'Direkte input'!$E226),SUMIFS(IF(H$2=År1,Skovbrug!$F$21:$F$41,IF(H$2=År2,Skovbrug!$G$21:$G$41,Skovbrug!$H$21:$H$41)),Skovbrug!$A$21:$A$41,'Direkte input'!$B226,Skovbrug!$B$21:$B$41,'Direkte input'!$E226))</f>
        <v>0</v>
      </c>
      <c r="I226" s="108">
        <f>IF($A226="Vestdanmark",SUMIFS(IF(I$2=År1,Skovbrug!$C$21:$C$41,IF(I$2=År2,Skovbrug!$D$21:$D$41,Skovbrug!$E$21:$E$41)),Skovbrug!$A$21:$A$41,'Direkte input'!$B226,Skovbrug!$B$21:$B$41,'Direkte input'!$E226),SUMIFS(IF(I$2=År1,Skovbrug!$F$21:$F$41,IF(I$2=År2,Skovbrug!$G$21:$G$41,Skovbrug!$H$21:$H$41)),Skovbrug!$A$21:$A$41,'Direkte input'!$B226,Skovbrug!$B$21:$B$41,'Direkte input'!$E226))</f>
        <v>0</v>
      </c>
    </row>
    <row r="227" spans="1:9" x14ac:dyDescent="0.55000000000000004">
      <c r="A227" t="s">
        <v>23</v>
      </c>
      <c r="B227" t="s">
        <v>99</v>
      </c>
      <c r="F227" t="str">
        <f>CONCATENATE(B227,"eareal")</f>
        <v>Muslingeareal</v>
      </c>
      <c r="G227" s="107">
        <f>SUMIFS(Havbrug!C$4:C$7,Havbrug!$A$4:$A$7,'Direkte input'!$B227,Havbrug!$B$4:$B$7,'Direkte input'!$A227)*SUMIFS(Havbrug!$F$4:$F$7,Havbrug!$A$4:$A$7,'Direkte input'!$B227,Havbrug!$B$4:$B$7,'Direkte input'!$A227)</f>
        <v>440.29999999999995</v>
      </c>
      <c r="H227" s="107">
        <f>SUMIFS(Havbrug!D$4:D$7,Havbrug!$A$4:$A$7,'Direkte input'!$B227,Havbrug!$B$4:$B$7,'Direkte input'!$A227)*SUMIFS(Havbrug!$F$4:$F$7,Havbrug!$A$4:$A$7,'Direkte input'!$B227,Havbrug!$B$4:$B$7,'Direkte input'!$A227)</f>
        <v>72634.700000000026</v>
      </c>
      <c r="I227" s="107">
        <f>SUMIFS(Havbrug!E$4:E$7,Havbrug!$A$4:$A$7,'Direkte input'!$B227,Havbrug!$B$4:$B$7,'Direkte input'!$A227)*SUMIFS(Havbrug!$F$4:$F$7,Havbrug!$A$4:$A$7,'Direkte input'!$B227,Havbrug!$B$4:$B$7,'Direkte input'!$A227)</f>
        <v>97569.000000000029</v>
      </c>
    </row>
    <row r="228" spans="1:9" x14ac:dyDescent="0.55000000000000004">
      <c r="A228" t="s">
        <v>24</v>
      </c>
      <c r="B228" t="s">
        <v>99</v>
      </c>
      <c r="F228" t="str">
        <f>CONCATENATE(B228,"eareal")</f>
        <v>Muslingeareal</v>
      </c>
      <c r="G228" s="107">
        <f>SUMIFS(Havbrug!C$4:C$7,Havbrug!$A$4:$A$7,'Direkte input'!$B228,Havbrug!$B$4:$B$7,'Direkte input'!$A228)*SUMIFS(Havbrug!$F$4:$F$7,Havbrug!$A$4:$A$7,'Direkte input'!$B228,Havbrug!$B$4:$B$7,'Direkte input'!$A228)</f>
        <v>0.6</v>
      </c>
      <c r="H228" s="107">
        <f>SUMIFS(Havbrug!D$4:D$7,Havbrug!$A$4:$A$7,'Direkte input'!$B228,Havbrug!$B$4:$B$7,'Direkte input'!$A228)*SUMIFS(Havbrug!$F$4:$F$7,Havbrug!$A$4:$A$7,'Direkte input'!$B228,Havbrug!$B$4:$B$7,'Direkte input'!$A228)</f>
        <v>1624.8</v>
      </c>
      <c r="I228" s="107">
        <f>SUMIFS(Havbrug!E$4:E$7,Havbrug!$A$4:$A$7,'Direkte input'!$B228,Havbrug!$B$4:$B$7,'Direkte input'!$A228)*SUMIFS(Havbrug!$F$4:$F$7,Havbrug!$A$4:$A$7,'Direkte input'!$B228,Havbrug!$B$4:$B$7,'Direkte input'!$A228)</f>
        <v>24372</v>
      </c>
    </row>
    <row r="229" spans="1:9" x14ac:dyDescent="0.55000000000000004">
      <c r="A229" t="s">
        <v>23</v>
      </c>
      <c r="B229" t="s">
        <v>100</v>
      </c>
      <c r="F229" t="str">
        <f>CONCATENATE(B229,"farmareal")</f>
        <v>Tangfarmareal</v>
      </c>
      <c r="G229" s="107">
        <f>SUMIFS(Havbrug!C$4:C$7,Havbrug!$A$4:$A$7,'Direkte input'!$B229,Havbrug!$B$4:$B$7,'Direkte input'!$A229)*SUMIFS(Havbrug!$F$4:$F$7,Havbrug!$A$4:$A$7,'Direkte input'!$B229,Havbrug!$B$4:$B$7,'Direkte input'!$A229)</f>
        <v>17</v>
      </c>
      <c r="H229" s="107">
        <f>SUMIFS(Havbrug!D$4:D$7,Havbrug!$A$4:$A$7,'Direkte input'!$B229,Havbrug!$B$4:$B$7,'Direkte input'!$A229)*SUMIFS(Havbrug!$F$4:$F$7,Havbrug!$A$4:$A$7,'Direkte input'!$B229,Havbrug!$B$4:$B$7,'Direkte input'!$A229)</f>
        <v>480</v>
      </c>
      <c r="I229" s="107">
        <f>SUMIFS(Havbrug!E$4:E$7,Havbrug!$A$4:$A$7,'Direkte input'!$B229,Havbrug!$B$4:$B$7,'Direkte input'!$A229)*SUMIFS(Havbrug!$F$4:$F$7,Havbrug!$A$4:$A$7,'Direkte input'!$B229,Havbrug!$B$4:$B$7,'Direkte input'!$A229)</f>
        <v>600</v>
      </c>
    </row>
    <row r="230" spans="1:9" x14ac:dyDescent="0.55000000000000004">
      <c r="A230" t="s">
        <v>24</v>
      </c>
      <c r="B230" t="s">
        <v>100</v>
      </c>
      <c r="F230" t="str">
        <f>CONCATENATE(B230,"farmareal")</f>
        <v>Tangfarmareal</v>
      </c>
      <c r="G230" s="107">
        <f>SUMIFS(Havbrug!C$4:C$7,Havbrug!$A$4:$A$7,'Direkte input'!$B230,Havbrug!$B$4:$B$7,'Direkte input'!$A230)*SUMIFS(Havbrug!$F$4:$F$7,Havbrug!$A$4:$A$7,'Direkte input'!$B230,Havbrug!$B$4:$B$7,'Direkte input'!$A230)</f>
        <v>0</v>
      </c>
      <c r="H230" s="107">
        <f>SUMIFS(Havbrug!D$4:D$7,Havbrug!$A$4:$A$7,'Direkte input'!$B230,Havbrug!$B$4:$B$7,'Direkte input'!$A230)*SUMIFS(Havbrug!$F$4:$F$7,Havbrug!$A$4:$A$7,'Direkte input'!$B230,Havbrug!$B$4:$B$7,'Direkte input'!$A230)</f>
        <v>160</v>
      </c>
      <c r="I230" s="107">
        <f>SUMIFS(Havbrug!E$4:E$7,Havbrug!$A$4:$A$7,'Direkte input'!$B230,Havbrug!$B$4:$B$7,'Direkte input'!$A230)*SUMIFS(Havbrug!$F$4:$F$7,Havbrug!$A$4:$A$7,'Direkte input'!$B230,Havbrug!$B$4:$B$7,'Direkte input'!$A230)</f>
        <v>200</v>
      </c>
    </row>
  </sheetData>
  <autoFilter ref="A2:I230" xr:uid="{E65CCAA6-B7D2-4926-A470-3639DE0D1070}">
    <filterColumn colId="5">
      <filters>
        <filter val="Muslingeareal"/>
        <filter val="Tangfarmareal"/>
      </filters>
    </filterColumn>
  </autoFilter>
  <phoneticPr fontId="1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F61F-9FCA-417C-BBAD-AB47A8A15D61}">
  <sheetPr codeName="Sheet24" filterMode="1">
    <tabColor rgb="FFFF0000"/>
  </sheetPr>
  <dimension ref="A1:R415"/>
  <sheetViews>
    <sheetView topLeftCell="A46" workbookViewId="0">
      <selection activeCell="E63" activeCellId="1" sqref="E21 E63"/>
    </sheetView>
  </sheetViews>
  <sheetFormatPr defaultRowHeight="14.4" x14ac:dyDescent="0.55000000000000004"/>
  <cols>
    <col min="5" max="5" width="10.68359375" bestFit="1" customWidth="1"/>
    <col min="18" max="18" width="14.578125" bestFit="1" customWidth="1"/>
  </cols>
  <sheetData>
    <row r="1" spans="1:13" x14ac:dyDescent="0.55000000000000004">
      <c r="A1" t="s">
        <v>174</v>
      </c>
      <c r="B1" t="s">
        <v>64</v>
      </c>
      <c r="C1" t="s">
        <v>129</v>
      </c>
      <c r="D1" t="s">
        <v>58</v>
      </c>
      <c r="E1" t="s">
        <v>156</v>
      </c>
      <c r="F1" t="s">
        <v>326</v>
      </c>
      <c r="G1" t="s">
        <v>226</v>
      </c>
      <c r="I1" s="157" t="s">
        <v>191</v>
      </c>
      <c r="J1" s="157"/>
      <c r="K1" s="157"/>
      <c r="L1" s="157"/>
      <c r="M1" s="157"/>
    </row>
    <row r="2" spans="1:13" x14ac:dyDescent="0.55000000000000004">
      <c r="A2" t="s">
        <v>128</v>
      </c>
      <c r="B2" t="s">
        <v>23</v>
      </c>
      <c r="C2" s="12" t="str">
        <f>Adfærd!A17</f>
        <v>Korn</v>
      </c>
      <c r="D2">
        <f t="shared" ref="D2:D15" si="0">År1</f>
        <v>2019</v>
      </c>
      <c r="E2" s="76">
        <f>IF(A2="Fødevarer",VLOOKUP(C2,Adfærd!$A$17:$D$30,MATCH(D2,Adfærd!$A$16:$D$16,0),FALSE)*365.25*VLOOKUP(B2,[1]Befolkningstal!$A$4:$D$6,MATCH(D2,[1]Befolkningstal!$A$3:$D$3,0),FALSE)/1000000/(1-Adfærd!B$12),IF(A2="Biogas",,))</f>
        <v>286329.90483694919</v>
      </c>
    </row>
    <row r="3" spans="1:13" x14ac:dyDescent="0.55000000000000004">
      <c r="A3" t="s">
        <v>128</v>
      </c>
      <c r="B3" t="s">
        <v>23</v>
      </c>
      <c r="C3" s="12" t="str">
        <f>Adfærd!A18</f>
        <v>Grøntsager</v>
      </c>
      <c r="D3">
        <f t="shared" si="0"/>
        <v>2019</v>
      </c>
      <c r="E3" s="76">
        <f>IF(A3="Fødevarer",VLOOKUP(C3,Adfærd!$A$17:$D$30,MATCH(D3,Adfærd!$A$16:$D$16,0),FALSE)*365.25*VLOOKUP(B3,[1]Befolkningstal!$A$4:$D$6,MATCH(D3,[1]Befolkningstal!$A$3:$D$3,0),FALSE)/1000000/(1-Adfærd!B$12),IF(A3="Biogas",,))</f>
        <v>261374.54615849949</v>
      </c>
    </row>
    <row r="4" spans="1:13" x14ac:dyDescent="0.55000000000000004">
      <c r="A4" t="s">
        <v>128</v>
      </c>
      <c r="B4" t="s">
        <v>23</v>
      </c>
      <c r="C4" s="12" t="str">
        <f>Adfærd!A19</f>
        <v>Kartofler</v>
      </c>
      <c r="D4">
        <f t="shared" si="0"/>
        <v>2019</v>
      </c>
      <c r="E4" s="76">
        <f>IF(A4="Fødevarer",VLOOKUP(C4,Adfærd!$A$17:$D$30,MATCH(D4,Adfærd!$A$16:$D$16,0),FALSE)*365.25*VLOOKUP(B4,[1]Befolkningstal!$A$4:$D$6,MATCH(D4,[1]Befolkningstal!$A$3:$D$3,0),FALSE)/1000000/(1-Adfærd!B$12),IF(A4="Biogas",,))</f>
        <v>119523.03367046962</v>
      </c>
    </row>
    <row r="5" spans="1:13" x14ac:dyDescent="0.55000000000000004">
      <c r="A5" t="s">
        <v>128</v>
      </c>
      <c r="B5" t="s">
        <v>23</v>
      </c>
      <c r="C5" s="12" t="str">
        <f>Adfærd!A20</f>
        <v>Svinekød</v>
      </c>
      <c r="D5">
        <f t="shared" si="0"/>
        <v>2019</v>
      </c>
      <c r="E5" s="76">
        <f>IF(A5="Fødevarer",VLOOKUP(C5,Adfærd!$A$17:$D$30,MATCH(D5,Adfærd!$A$16:$D$16,0),FALSE)*365.25*VLOOKUP(B5,[1]Befolkningstal!$A$4:$D$6,MATCH(D5,[1]Befolkningstal!$A$3:$D$3,0),FALSE)/1000000/(1-Adfærd!B$12),IF(A5="Biogas",,))</f>
        <v>117920.63695532705</v>
      </c>
    </row>
    <row r="6" spans="1:13" x14ac:dyDescent="0.55000000000000004">
      <c r="A6" t="s">
        <v>128</v>
      </c>
      <c r="B6" t="s">
        <v>23</v>
      </c>
      <c r="C6" s="12" t="str">
        <f>Adfærd!A21</f>
        <v>Oksekød</v>
      </c>
      <c r="D6">
        <f t="shared" si="0"/>
        <v>2019</v>
      </c>
      <c r="E6" s="76">
        <f>IF(A6="Fødevarer",VLOOKUP(C6,Adfærd!$A$17:$D$30,MATCH(D6,Adfærd!$A$16:$D$16,0),FALSE)*365.25*VLOOKUP(B6,[1]Befolkningstal!$A$4:$D$6,MATCH(D6,[1]Befolkningstal!$A$3:$D$3,0),FALSE)/1000000/(1-Adfærd!B$12),IF(A6="Biogas",,))</f>
        <v>58080.313724265572</v>
      </c>
    </row>
    <row r="7" spans="1:13" x14ac:dyDescent="0.55000000000000004">
      <c r="A7" t="s">
        <v>128</v>
      </c>
      <c r="B7" t="s">
        <v>23</v>
      </c>
      <c r="C7" s="12" t="str">
        <f>Adfærd!A22</f>
        <v>Bælgsæd</v>
      </c>
      <c r="D7">
        <f t="shared" si="0"/>
        <v>2019</v>
      </c>
      <c r="E7" s="76">
        <f>IF(A7="Fødevarer",VLOOKUP(C7,Adfærd!$A$17:$D$30,MATCH(D7,Adfærd!$A$16:$D$16,0),FALSE)*365.25*VLOOKUP(B7,[1]Befolkningstal!$A$4:$D$6,MATCH(D7,[1]Befolkningstal!$A$3:$D$3,0),FALSE)/1000000/(1-Adfærd!B$12),IF(A7="Biogas",,))</f>
        <v>0</v>
      </c>
    </row>
    <row r="8" spans="1:13" x14ac:dyDescent="0.55000000000000004">
      <c r="A8" t="s">
        <v>128</v>
      </c>
      <c r="B8" t="s">
        <v>23</v>
      </c>
      <c r="C8" s="12" t="str">
        <f>Adfærd!A23</f>
        <v>Muslinger</v>
      </c>
      <c r="D8">
        <f t="shared" si="0"/>
        <v>2019</v>
      </c>
      <c r="E8" s="76">
        <f>IF(A8="Fødevarer",VLOOKUP(C8,Adfærd!$A$17:$D$30,MATCH(D8,Adfærd!$A$16:$D$16,0),FALSE)*365.25*VLOOKUP(B8,[1]Befolkningstal!$A$4:$D$6,MATCH(D8,[1]Befolkningstal!$A$3:$D$3,0),FALSE)/1000000/(1-Adfærd!B$12),IF(A8="Biogas",,))</f>
        <v>0</v>
      </c>
    </row>
    <row r="9" spans="1:13" x14ac:dyDescent="0.55000000000000004">
      <c r="A9" t="s">
        <v>128</v>
      </c>
      <c r="B9" t="s">
        <v>23</v>
      </c>
      <c r="C9" s="12" t="str">
        <f>Adfærd!A24</f>
        <v>Tang</v>
      </c>
      <c r="D9">
        <f t="shared" si="0"/>
        <v>2019</v>
      </c>
      <c r="E9" s="76">
        <f>IF(A9="Fødevarer",VLOOKUP(C9,Adfærd!$A$17:$D$30,MATCH(D9,Adfærd!$A$16:$D$16,0),FALSE)*365.25*VLOOKUP(B9,[1]Befolkningstal!$A$4:$D$6,MATCH(D9,[1]Befolkningstal!$A$3:$D$3,0),FALSE)/1000000/(1-Adfærd!B$12),IF(A9="Biogas",,))</f>
        <v>0</v>
      </c>
    </row>
    <row r="10" spans="1:13" x14ac:dyDescent="0.55000000000000004">
      <c r="A10" t="s">
        <v>128</v>
      </c>
      <c r="B10" t="s">
        <v>23</v>
      </c>
      <c r="C10" s="12" t="str">
        <f>Adfærd!A25</f>
        <v>Kunstigt kød</v>
      </c>
      <c r="D10">
        <f t="shared" si="0"/>
        <v>2019</v>
      </c>
      <c r="E10" s="76">
        <f>IF(A10="Fødevarer",VLOOKUP(C10,Adfærd!$A$17:$D$30,MATCH(D10,Adfærd!$A$16:$D$16,0),FALSE)*365.25*VLOOKUP(B10,[1]Befolkningstal!$A$4:$D$6,MATCH(D10,[1]Befolkningstal!$A$3:$D$3,0),FALSE)/1000000/(1-Adfærd!B$12),IF(A10="Biogas",,))</f>
        <v>0</v>
      </c>
    </row>
    <row r="11" spans="1:13" x14ac:dyDescent="0.55000000000000004">
      <c r="A11" t="s">
        <v>128</v>
      </c>
      <c r="B11" t="s">
        <v>23</v>
      </c>
      <c r="C11" s="12" t="str">
        <f>Adfærd!A26</f>
        <v>Mejeriprodukter</v>
      </c>
      <c r="D11">
        <f t="shared" si="0"/>
        <v>2019</v>
      </c>
      <c r="E11" s="76">
        <f>IF(A11="Fødevarer",VLOOKUP(C11,Adfærd!$A$17:$D$30,MATCH(D11,Adfærd!$A$16:$D$16,0),FALSE)*365.25*VLOOKUP(B11,[1]Befolkningstal!$A$4:$D$6,MATCH(D11,[1]Befolkningstal!$A$3:$D$3,0),FALSE)/1000000/(1-Adfærd!B$12),IF(A11="Biogas",,))</f>
        <v>457077.09579476295</v>
      </c>
    </row>
    <row r="12" spans="1:13" x14ac:dyDescent="0.55000000000000004">
      <c r="A12" t="s">
        <v>128</v>
      </c>
      <c r="B12" t="s">
        <v>23</v>
      </c>
      <c r="C12" s="12" t="str">
        <f>Adfærd!A27</f>
        <v>Fjerkrækød</v>
      </c>
      <c r="D12">
        <f t="shared" si="0"/>
        <v>2019</v>
      </c>
      <c r="E12" s="76">
        <f>IF(A12="Fødevarer",VLOOKUP(C12,Adfærd!$A$17:$D$30,MATCH(D12,Adfærd!$A$16:$D$16,0),FALSE)*365.25*VLOOKUP(B12,[1]Befolkningstal!$A$4:$D$6,MATCH(D12,[1]Befolkningstal!$A$3:$D$3,0),FALSE)/1000000/(1-Adfærd!B$12),IF(A12="Biogas",,))</f>
        <v>34149.438191562753</v>
      </c>
    </row>
    <row r="13" spans="1:13" x14ac:dyDescent="0.55000000000000004">
      <c r="A13" t="s">
        <v>128</v>
      </c>
      <c r="B13" t="s">
        <v>23</v>
      </c>
      <c r="C13" s="12" t="str">
        <f>Adfærd!A28</f>
        <v>Æg</v>
      </c>
      <c r="D13">
        <f t="shared" si="0"/>
        <v>2019</v>
      </c>
      <c r="E13" s="76">
        <f>IF(A13="Fødevarer",VLOOKUP(C13,Adfærd!$A$17:$D$30,MATCH(D13,Adfærd!$A$16:$D$16,0),FALSE)*365.25*VLOOKUP(B13,[1]Befolkningstal!$A$4:$D$6,MATCH(D13,[1]Befolkningstal!$A$3:$D$3,0),FALSE)/1000000/(1-Adfærd!B$12),IF(A13="Biogas",,))</f>
        <v>31522.55833067331</v>
      </c>
    </row>
    <row r="14" spans="1:13" x14ac:dyDescent="0.55000000000000004">
      <c r="A14" t="s">
        <v>128</v>
      </c>
      <c r="B14" t="s">
        <v>23</v>
      </c>
      <c r="C14" s="12" t="str">
        <f>Adfærd!A29</f>
        <v>Frugt</v>
      </c>
      <c r="D14">
        <f t="shared" si="0"/>
        <v>2019</v>
      </c>
      <c r="E14" s="76">
        <f>IF(A14="Fødevarer",VLOOKUP(C14,Adfærd!$A$17:$D$30,MATCH(D14,Adfærd!$A$16:$D$16,0),FALSE)*365.25*VLOOKUP(B14,[1]Befolkningstal!$A$4:$D$6,MATCH(D14,[1]Befolkningstal!$A$3:$D$3,0),FALSE)/1000000/(1-Adfærd!B$12),IF(A14="Biogas",,))</f>
        <v>249553.58678449702</v>
      </c>
    </row>
    <row r="15" spans="1:13" x14ac:dyDescent="0.55000000000000004">
      <c r="A15" t="s">
        <v>128</v>
      </c>
      <c r="B15" t="s">
        <v>23</v>
      </c>
      <c r="C15" s="12" t="str">
        <f>Adfærd!A30</f>
        <v>Fisk</v>
      </c>
      <c r="D15">
        <f t="shared" si="0"/>
        <v>2019</v>
      </c>
      <c r="E15" s="76">
        <f>IF(A15="Fødevarer",VLOOKUP(C15,Adfærd!$A$17:$D$30,MATCH(D15,Adfærd!$A$16:$D$16,0),FALSE)*365.25*VLOOKUP(B15,[1]Befolkningstal!$A$4:$D$6,MATCH(D15,[1]Befolkningstal!$A$3:$D$3,0),FALSE)/1000000/(1-Adfærd!B$12),IF(A15="Biogas",,))</f>
        <v>48597.277426454682</v>
      </c>
    </row>
    <row r="16" spans="1:13" x14ac:dyDescent="0.55000000000000004">
      <c r="A16" t="s">
        <v>128</v>
      </c>
      <c r="B16" t="s">
        <v>23</v>
      </c>
      <c r="C16" s="12" t="str">
        <f>Adfærd!A17</f>
        <v>Korn</v>
      </c>
      <c r="D16">
        <f t="shared" ref="D16:D29" si="1">År2</f>
        <v>2030</v>
      </c>
      <c r="E16" s="76">
        <f>VLOOKUP(C16,Adfærd!$A$17:$D$30,MATCH(D16,Adfærd!$A$16:$D$16,0),FALSE)*365.25*VLOOKUP(B16,[1]Befolkningstal!$A$4:$D$6,MATCH(D16,[1]Befolkningstal!$A$3:$D$3,0),FALSE)/1000000/(1-Adfærd!B$12)</f>
        <v>295933.04302308214</v>
      </c>
    </row>
    <row r="17" spans="1:5" x14ac:dyDescent="0.55000000000000004">
      <c r="A17" t="s">
        <v>128</v>
      </c>
      <c r="B17" t="s">
        <v>23</v>
      </c>
      <c r="C17" s="12" t="str">
        <f>Adfærd!A18</f>
        <v>Grøntsager</v>
      </c>
      <c r="D17">
        <f t="shared" si="1"/>
        <v>2030</v>
      </c>
      <c r="E17" s="76">
        <f>VLOOKUP(C17,Adfærd!$A$17:$D$30,MATCH(D17,Adfærd!$A$16:$D$16,0),FALSE)*365.25*VLOOKUP(B17,[1]Befolkningstal!$A$4:$D$6,MATCH(D17,[1]Befolkningstal!$A$3:$D$3,0),FALSE)/1000000/(1-Adfærd!B$12)</f>
        <v>270140.71358529059</v>
      </c>
    </row>
    <row r="18" spans="1:5" x14ac:dyDescent="0.55000000000000004">
      <c r="A18" t="s">
        <v>128</v>
      </c>
      <c r="B18" t="s">
        <v>23</v>
      </c>
      <c r="C18" s="12" t="str">
        <f>Adfærd!A19</f>
        <v>Kartofler</v>
      </c>
      <c r="D18">
        <f t="shared" si="1"/>
        <v>2030</v>
      </c>
      <c r="E18" s="76">
        <f>VLOOKUP(C18,Adfærd!$A$17:$D$30,MATCH(D18,Adfærd!$A$16:$D$16,0),FALSE)*365.25*VLOOKUP(B18,[1]Befolkningstal!$A$4:$D$6,MATCH(D18,[1]Befolkningstal!$A$3:$D$3,0),FALSE)/1000000/(1-Adfærd!B$12)</f>
        <v>123531.68309679118</v>
      </c>
    </row>
    <row r="19" spans="1:5" x14ac:dyDescent="0.55000000000000004">
      <c r="A19" t="s">
        <v>128</v>
      </c>
      <c r="B19" t="s">
        <v>23</v>
      </c>
      <c r="C19" s="12" t="str">
        <f>Adfærd!A20</f>
        <v>Svinekød</v>
      </c>
      <c r="D19">
        <f t="shared" si="1"/>
        <v>2030</v>
      </c>
      <c r="E19" s="76">
        <f>VLOOKUP(C19,Adfærd!$A$17:$D$30,MATCH(D19,Adfærd!$A$16:$D$16,0),FALSE)*365.25*VLOOKUP(B19,[1]Befolkningstal!$A$4:$D$6,MATCH(D19,[1]Befolkningstal!$A$3:$D$3,0),FALSE)/1000000/(1-Adfærd!B$12)</f>
        <v>121875.54404868034</v>
      </c>
    </row>
    <row r="20" spans="1:5" x14ac:dyDescent="0.55000000000000004">
      <c r="A20" t="s">
        <v>128</v>
      </c>
      <c r="B20" t="s">
        <v>23</v>
      </c>
      <c r="C20" s="12" t="str">
        <f>Adfærd!A21</f>
        <v>Oksekød</v>
      </c>
      <c r="D20">
        <f t="shared" si="1"/>
        <v>2030</v>
      </c>
      <c r="E20" s="76">
        <f>VLOOKUP(C20,Adfærd!$A$17:$D$30,MATCH(D20,Adfærd!$A$16:$D$16,0),FALSE)*365.25*VLOOKUP(B20,[1]Befolkningstal!$A$4:$D$6,MATCH(D20,[1]Befolkningstal!$A$3:$D$3,0),FALSE)/1000000/(1-Adfærd!B$12)</f>
        <v>60028.253038902265</v>
      </c>
    </row>
    <row r="21" spans="1:5" x14ac:dyDescent="0.55000000000000004">
      <c r="A21" t="s">
        <v>128</v>
      </c>
      <c r="B21" t="s">
        <v>23</v>
      </c>
      <c r="C21" s="12" t="str">
        <f>Adfærd!A22</f>
        <v>Bælgsæd</v>
      </c>
      <c r="D21">
        <f t="shared" si="1"/>
        <v>2030</v>
      </c>
      <c r="E21" s="76">
        <f>VLOOKUP(C21,Adfærd!$A$17:$D$30,MATCH(D21,Adfærd!$A$16:$D$16,0),FALSE)*365.25*VLOOKUP(B21,[1]Befolkningstal!$A$4:$D$6,MATCH(D21,[1]Befolkningstal!$A$3:$D$3,0),FALSE)/1000000/(1-Adfærd!B$12)</f>
        <v>0</v>
      </c>
    </row>
    <row r="22" spans="1:5" x14ac:dyDescent="0.55000000000000004">
      <c r="A22" t="s">
        <v>128</v>
      </c>
      <c r="B22" t="s">
        <v>23</v>
      </c>
      <c r="C22" s="12" t="str">
        <f>Adfærd!A23</f>
        <v>Muslinger</v>
      </c>
      <c r="D22">
        <f t="shared" si="1"/>
        <v>2030</v>
      </c>
      <c r="E22" s="76">
        <f>VLOOKUP(C22,Adfærd!$A$17:$D$30,MATCH(D22,Adfærd!$A$16:$D$16,0),FALSE)*365.25*VLOOKUP(B22,[1]Befolkningstal!$A$4:$D$6,MATCH(D22,[1]Befolkningstal!$A$3:$D$3,0),FALSE)/1000000/(1-Adfærd!B$12)</f>
        <v>0</v>
      </c>
    </row>
    <row r="23" spans="1:5" x14ac:dyDescent="0.55000000000000004">
      <c r="A23" t="s">
        <v>128</v>
      </c>
      <c r="B23" t="s">
        <v>23</v>
      </c>
      <c r="C23" s="12" t="str">
        <f>Adfærd!A24</f>
        <v>Tang</v>
      </c>
      <c r="D23">
        <f t="shared" si="1"/>
        <v>2030</v>
      </c>
      <c r="E23" s="76">
        <f>VLOOKUP(C23,Adfærd!$A$17:$D$30,MATCH(D23,Adfærd!$A$16:$D$16,0),FALSE)*365.25*VLOOKUP(B23,[1]Befolkningstal!$A$4:$D$6,MATCH(D23,[1]Befolkningstal!$A$3:$D$3,0),FALSE)/1000000/(1-Adfærd!B$12)</f>
        <v>0</v>
      </c>
    </row>
    <row r="24" spans="1:5" x14ac:dyDescent="0.55000000000000004">
      <c r="A24" t="s">
        <v>128</v>
      </c>
      <c r="B24" t="s">
        <v>23</v>
      </c>
      <c r="C24" s="12" t="str">
        <f>Adfærd!A25</f>
        <v>Kunstigt kød</v>
      </c>
      <c r="D24">
        <f t="shared" si="1"/>
        <v>2030</v>
      </c>
      <c r="E24" s="76">
        <f>VLOOKUP(C24,Adfærd!$A$17:$D$30,MATCH(D24,Adfærd!$A$16:$D$16,0),FALSE)*365.25*VLOOKUP(B24,[1]Befolkningstal!$A$4:$D$6,MATCH(D24,[1]Befolkningstal!$A$3:$D$3,0),FALSE)/1000000/(1-Adfærd!B$12)</f>
        <v>0</v>
      </c>
    </row>
    <row r="25" spans="1:5" x14ac:dyDescent="0.55000000000000004">
      <c r="A25" t="s">
        <v>128</v>
      </c>
      <c r="B25" t="s">
        <v>23</v>
      </c>
      <c r="C25" s="12" t="str">
        <f>Adfærd!A26</f>
        <v>Mejeriprodukter</v>
      </c>
      <c r="D25">
        <f t="shared" si="1"/>
        <v>2030</v>
      </c>
      <c r="E25" s="76">
        <f>VLOOKUP(C25,Adfærd!$A$17:$D$30,MATCH(D25,Adfærd!$A$16:$D$16,0),FALSE)*365.25*VLOOKUP(B25,[1]Befolkningstal!$A$4:$D$6,MATCH(D25,[1]Befolkningstal!$A$3:$D$3,0),FALSE)/1000000/(1-Adfærd!B$12)</f>
        <v>472406.87601849809</v>
      </c>
    </row>
    <row r="26" spans="1:5" x14ac:dyDescent="0.55000000000000004">
      <c r="A26" t="s">
        <v>128</v>
      </c>
      <c r="B26" t="s">
        <v>23</v>
      </c>
      <c r="C26" s="12" t="str">
        <f>Adfærd!A27</f>
        <v>Fjerkrækød</v>
      </c>
      <c r="D26">
        <f t="shared" si="1"/>
        <v>2030</v>
      </c>
      <c r="E26" s="76">
        <f>VLOOKUP(C26,Adfærd!$A$17:$D$30,MATCH(D26,Adfærd!$A$16:$D$16,0),FALSE)*365.25*VLOOKUP(B26,[1]Befolkningstal!$A$4:$D$6,MATCH(D26,[1]Befolkningstal!$A$3:$D$3,0),FALSE)/1000000/(1-Adfærd!B$12)</f>
        <v>35294.766599083188</v>
      </c>
    </row>
    <row r="27" spans="1:5" x14ac:dyDescent="0.55000000000000004">
      <c r="A27" t="s">
        <v>128</v>
      </c>
      <c r="B27" t="s">
        <v>23</v>
      </c>
      <c r="C27" s="12" t="str">
        <f>Adfærd!A28</f>
        <v>Æg</v>
      </c>
      <c r="D27">
        <f t="shared" si="1"/>
        <v>2030</v>
      </c>
      <c r="E27" s="76">
        <f>VLOOKUP(C27,Adfærd!$A$17:$D$30,MATCH(D27,Adfærd!$A$16:$D$16,0),FALSE)*365.25*VLOOKUP(B27,[1]Befolkningstal!$A$4:$D$6,MATCH(D27,[1]Befolkningstal!$A$3:$D$3,0),FALSE)/1000000/(1-Adfærd!B$12)</f>
        <v>32579.784552999867</v>
      </c>
    </row>
    <row r="28" spans="1:5" x14ac:dyDescent="0.55000000000000004">
      <c r="A28" t="s">
        <v>128</v>
      </c>
      <c r="B28" t="s">
        <v>23</v>
      </c>
      <c r="C28" s="12" t="str">
        <f>Adfærd!A29</f>
        <v>Frugt</v>
      </c>
      <c r="D28">
        <f t="shared" si="1"/>
        <v>2030</v>
      </c>
      <c r="E28" s="76">
        <f>VLOOKUP(C28,Adfærd!$A$17:$D$30,MATCH(D28,Adfærd!$A$16:$D$16,0),FALSE)*365.25*VLOOKUP(B28,[1]Befolkningstal!$A$4:$D$6,MATCH(D28,[1]Befolkningstal!$A$3:$D$3,0),FALSE)/1000000/(1-Adfærd!B$12)</f>
        <v>257923.29437791562</v>
      </c>
    </row>
    <row r="29" spans="1:5" x14ac:dyDescent="0.55000000000000004">
      <c r="A29" t="s">
        <v>128</v>
      </c>
      <c r="B29" t="s">
        <v>23</v>
      </c>
      <c r="C29" s="12" t="str">
        <f>Adfærd!A30</f>
        <v>Fisk</v>
      </c>
      <c r="D29">
        <f t="shared" si="1"/>
        <v>2030</v>
      </c>
      <c r="E29" s="76">
        <f>VLOOKUP(C29,Adfærd!$A$17:$D$30,MATCH(D29,Adfærd!$A$16:$D$16,0),FALSE)*365.25*VLOOKUP(B29,[1]Befolkningstal!$A$4:$D$6,MATCH(D29,[1]Befolkningstal!$A$3:$D$3,0),FALSE)/1000000/(1-Adfærd!B$12)</f>
        <v>50227.167852541468</v>
      </c>
    </row>
    <row r="30" spans="1:5" x14ac:dyDescent="0.55000000000000004">
      <c r="A30" t="s">
        <v>128</v>
      </c>
      <c r="B30" t="s">
        <v>23</v>
      </c>
      <c r="C30" s="12" t="str">
        <f>Adfærd!A17</f>
        <v>Korn</v>
      </c>
      <c r="D30">
        <f t="shared" ref="D30:D43" si="2">År3</f>
        <v>2050</v>
      </c>
      <c r="E30" s="76">
        <f>VLOOKUP(C30,Adfærd!$A$17:$D$30,MATCH(D30,Adfærd!$A$16:$D$16,0),FALSE)*365.25*VLOOKUP(B30,[1]Befolkningstal!$A$4:$D$6,MATCH(D30,[1]Befolkningstal!$A$3:$D$3,0),FALSE)/1000000/(1-Adfærd!B$12)</f>
        <v>307470.55071854044</v>
      </c>
    </row>
    <row r="31" spans="1:5" x14ac:dyDescent="0.55000000000000004">
      <c r="A31" t="s">
        <v>128</v>
      </c>
      <c r="B31" t="s">
        <v>23</v>
      </c>
      <c r="C31" s="12" t="str">
        <f>Adfærd!A18</f>
        <v>Grøntsager</v>
      </c>
      <c r="D31">
        <f t="shared" si="2"/>
        <v>2050</v>
      </c>
      <c r="E31" s="76">
        <f>VLOOKUP(C31,Adfærd!$A$17:$D$30,MATCH(D31,Adfærd!$A$16:$D$16,0),FALSE)*365.25*VLOOKUP(B31,[1]Befolkningstal!$A$4:$D$6,MATCH(D31,[1]Befolkningstal!$A$3:$D$3,0),FALSE)/1000000/(1-Adfærd!B$12)</f>
        <v>280672.65868343826</v>
      </c>
    </row>
    <row r="32" spans="1:5" x14ac:dyDescent="0.55000000000000004">
      <c r="A32" t="s">
        <v>128</v>
      </c>
      <c r="B32" t="s">
        <v>23</v>
      </c>
      <c r="C32" s="12" t="str">
        <f>Adfærd!A19</f>
        <v>Kartofler</v>
      </c>
      <c r="D32">
        <f t="shared" si="2"/>
        <v>2050</v>
      </c>
      <c r="E32" s="76">
        <f>VLOOKUP(C32,Adfærd!$A$17:$D$30,MATCH(D32,Adfærd!$A$16:$D$16,0),FALSE)*365.25*VLOOKUP(B32,[1]Befolkningstal!$A$4:$D$6,MATCH(D32,[1]Befolkningstal!$A$3:$D$3,0),FALSE)/1000000/(1-Adfærd!B$12)</f>
        <v>128347.79869443661</v>
      </c>
    </row>
    <row r="33" spans="1:5" x14ac:dyDescent="0.55000000000000004">
      <c r="A33" t="s">
        <v>128</v>
      </c>
      <c r="B33" t="s">
        <v>23</v>
      </c>
      <c r="C33" s="12" t="str">
        <f>Adfærd!A20</f>
        <v>Svinekød</v>
      </c>
      <c r="D33">
        <f t="shared" si="2"/>
        <v>2050</v>
      </c>
      <c r="E33" s="76">
        <f>VLOOKUP(C33,Adfærd!$A$17:$D$30,MATCH(D33,Adfærd!$A$16:$D$16,0),FALSE)*365.25*VLOOKUP(B33,[1]Befolkningstal!$A$4:$D$6,MATCH(D33,[1]Befolkningstal!$A$3:$D$3,0),FALSE)/1000000/(1-Adfærd!B$12)</f>
        <v>126627.09194270898</v>
      </c>
    </row>
    <row r="34" spans="1:5" x14ac:dyDescent="0.55000000000000004">
      <c r="A34" t="s">
        <v>128</v>
      </c>
      <c r="B34" t="s">
        <v>23</v>
      </c>
      <c r="C34" s="12" t="str">
        <f>Adfærd!A21</f>
        <v>Oksekød</v>
      </c>
      <c r="D34">
        <f t="shared" si="2"/>
        <v>2050</v>
      </c>
      <c r="E34" s="76">
        <f>VLOOKUP(C34,Adfærd!$A$17:$D$30,MATCH(D34,Adfærd!$A$16:$D$16,0),FALSE)*365.25*VLOOKUP(B34,[1]Befolkningstal!$A$4:$D$6,MATCH(D34,[1]Befolkningstal!$A$3:$D$3,0),FALSE)/1000000/(1-Adfærd!B$12)</f>
        <v>62368.567673274578</v>
      </c>
    </row>
    <row r="35" spans="1:5" x14ac:dyDescent="0.55000000000000004">
      <c r="A35" t="s">
        <v>128</v>
      </c>
      <c r="B35" t="s">
        <v>23</v>
      </c>
      <c r="C35" s="12" t="str">
        <f>Adfærd!A22</f>
        <v>Bælgsæd</v>
      </c>
      <c r="D35">
        <f t="shared" si="2"/>
        <v>2050</v>
      </c>
      <c r="E35" s="76">
        <f>VLOOKUP(C35,Adfærd!$A$17:$D$30,MATCH(D35,Adfærd!$A$16:$D$16,0),FALSE)*365.25*VLOOKUP(B35,[1]Befolkningstal!$A$4:$D$6,MATCH(D35,[1]Befolkningstal!$A$3:$D$3,0),FALSE)/1000000/(1-Adfærd!B$12)</f>
        <v>0</v>
      </c>
    </row>
    <row r="36" spans="1:5" x14ac:dyDescent="0.55000000000000004">
      <c r="A36" t="s">
        <v>128</v>
      </c>
      <c r="B36" t="s">
        <v>23</v>
      </c>
      <c r="C36" s="12" t="str">
        <f>Adfærd!A23</f>
        <v>Muslinger</v>
      </c>
      <c r="D36">
        <f t="shared" si="2"/>
        <v>2050</v>
      </c>
      <c r="E36" s="76">
        <f>VLOOKUP(C36,Adfærd!$A$17:$D$30,MATCH(D36,Adfærd!$A$16:$D$16,0),FALSE)*365.25*VLOOKUP(B36,[1]Befolkningstal!$A$4:$D$6,MATCH(D36,[1]Befolkningstal!$A$3:$D$3,0),FALSE)/1000000/(1-Adfærd!B$12)</f>
        <v>0</v>
      </c>
    </row>
    <row r="37" spans="1:5" x14ac:dyDescent="0.55000000000000004">
      <c r="A37" t="s">
        <v>128</v>
      </c>
      <c r="B37" t="s">
        <v>23</v>
      </c>
      <c r="C37" s="12" t="str">
        <f>Adfærd!A24</f>
        <v>Tang</v>
      </c>
      <c r="D37">
        <f t="shared" si="2"/>
        <v>2050</v>
      </c>
      <c r="E37" s="76">
        <f>VLOOKUP(C37,Adfærd!$A$17:$D$30,MATCH(D37,Adfærd!$A$16:$D$16,0),FALSE)*365.25*VLOOKUP(B37,[1]Befolkningstal!$A$4:$D$6,MATCH(D37,[1]Befolkningstal!$A$3:$D$3,0),FALSE)/1000000/(1-Adfærd!B$12)</f>
        <v>0</v>
      </c>
    </row>
    <row r="38" spans="1:5" x14ac:dyDescent="0.55000000000000004">
      <c r="A38" t="s">
        <v>128</v>
      </c>
      <c r="B38" t="s">
        <v>23</v>
      </c>
      <c r="C38" s="12" t="str">
        <f>Adfærd!A25</f>
        <v>Kunstigt kød</v>
      </c>
      <c r="D38">
        <f t="shared" si="2"/>
        <v>2050</v>
      </c>
      <c r="E38" s="76">
        <f>VLOOKUP(C38,Adfærd!$A$17:$D$30,MATCH(D38,Adfærd!$A$16:$D$16,0),FALSE)*365.25*VLOOKUP(B38,[1]Befolkningstal!$A$4:$D$6,MATCH(D38,[1]Befolkningstal!$A$3:$D$3,0),FALSE)/1000000/(1-Adfærd!B$12)</f>
        <v>0</v>
      </c>
    </row>
    <row r="39" spans="1:5" x14ac:dyDescent="0.55000000000000004">
      <c r="A39" t="s">
        <v>128</v>
      </c>
      <c r="B39" t="s">
        <v>23</v>
      </c>
      <c r="C39" s="12" t="str">
        <f>Adfærd!A26</f>
        <v>Mejeriprodukter</v>
      </c>
      <c r="D39">
        <f t="shared" si="2"/>
        <v>2050</v>
      </c>
      <c r="E39" s="76">
        <f>VLOOKUP(C39,Adfærd!$A$17:$D$30,MATCH(D39,Adfærd!$A$16:$D$16,0),FALSE)*365.25*VLOOKUP(B39,[1]Befolkningstal!$A$4:$D$6,MATCH(D39,[1]Befolkningstal!$A$3:$D$3,0),FALSE)/1000000/(1-Adfærd!B$12)</f>
        <v>490824.54885344987</v>
      </c>
    </row>
    <row r="40" spans="1:5" x14ac:dyDescent="0.55000000000000004">
      <c r="A40" t="s">
        <v>128</v>
      </c>
      <c r="B40" t="s">
        <v>23</v>
      </c>
      <c r="C40" s="12" t="str">
        <f>Adfærd!A27</f>
        <v>Fjerkrækød</v>
      </c>
      <c r="D40">
        <f t="shared" si="2"/>
        <v>2050</v>
      </c>
      <c r="E40" s="76">
        <f>VLOOKUP(C40,Adfærd!$A$17:$D$30,MATCH(D40,Adfærd!$A$16:$D$16,0),FALSE)*365.25*VLOOKUP(B40,[1]Befolkningstal!$A$4:$D$6,MATCH(D40,[1]Befolkningstal!$A$3:$D$3,0),FALSE)/1000000/(1-Adfærd!B$12)</f>
        <v>36670.799626981883</v>
      </c>
    </row>
    <row r="41" spans="1:5" x14ac:dyDescent="0.55000000000000004">
      <c r="A41" t="s">
        <v>128</v>
      </c>
      <c r="B41" t="s">
        <v>23</v>
      </c>
      <c r="C41" s="12" t="str">
        <f>Adfærd!A28</f>
        <v>Æg</v>
      </c>
      <c r="D41">
        <f t="shared" si="2"/>
        <v>2050</v>
      </c>
      <c r="E41" s="76">
        <f>VLOOKUP(C41,Adfærd!$A$17:$D$30,MATCH(D41,Adfærd!$A$16:$D$16,0),FALSE)*365.25*VLOOKUP(B41,[1]Befolkningstal!$A$4:$D$6,MATCH(D41,[1]Befolkningstal!$A$3:$D$3,0),FALSE)/1000000/(1-Adfærd!B$12)</f>
        <v>33849.968886444818</v>
      </c>
    </row>
    <row r="42" spans="1:5" x14ac:dyDescent="0.55000000000000004">
      <c r="A42" t="s">
        <v>128</v>
      </c>
      <c r="B42" t="s">
        <v>23</v>
      </c>
      <c r="C42" s="12" t="str">
        <f>Adfærd!A29</f>
        <v>Frugt</v>
      </c>
      <c r="D42">
        <f t="shared" si="2"/>
        <v>2050</v>
      </c>
      <c r="E42" s="76">
        <f>VLOOKUP(C42,Adfærd!$A$17:$D$30,MATCH(D42,Adfærd!$A$16:$D$16,0),FALSE)*365.25*VLOOKUP(B42,[1]Befolkningstal!$A$4:$D$6,MATCH(D42,[1]Befolkningstal!$A$3:$D$3,0),FALSE)/1000000/(1-Adfærd!B$12)</f>
        <v>267978.92035102146</v>
      </c>
    </row>
    <row r="43" spans="1:5" x14ac:dyDescent="0.55000000000000004">
      <c r="A43" t="s">
        <v>128</v>
      </c>
      <c r="B43" t="s">
        <v>23</v>
      </c>
      <c r="C43" s="12" t="str">
        <f>Adfærd!A30</f>
        <v>Fisk</v>
      </c>
      <c r="D43">
        <f t="shared" si="2"/>
        <v>2050</v>
      </c>
      <c r="E43" s="76">
        <f>VLOOKUP(C43,Adfærd!$A$17:$D$30,MATCH(D43,Adfærd!$A$16:$D$16,0),FALSE)*365.25*VLOOKUP(B43,[1]Befolkningstal!$A$4:$D$6,MATCH(D43,[1]Befolkningstal!$A$3:$D$3,0),FALSE)/1000000/(1-Adfærd!B$12)</f>
        <v>52185.36869993576</v>
      </c>
    </row>
    <row r="44" spans="1:5" x14ac:dyDescent="0.55000000000000004">
      <c r="A44" t="s">
        <v>128</v>
      </c>
      <c r="B44" t="s">
        <v>24</v>
      </c>
      <c r="C44" s="12" t="str">
        <f>Adfærd!A17</f>
        <v>Korn</v>
      </c>
      <c r="D44">
        <f t="shared" ref="D44:D57" si="3">År1</f>
        <v>2019</v>
      </c>
      <c r="E44" s="76">
        <f>VLOOKUP(C44,Adfærd!$A$17:$D$30,MATCH(D44,Adfærd!$A$16:$D$16,0),FALSE)*365.25*VLOOKUP(B44,[1]Befolkningstal!$A$4:$D$6,MATCH(D44,[1]Befolkningstal!$A$3:$D$3,0),FALSE)/1000000/(1-Adfærd!B$12)</f>
        <v>244164.92559492172</v>
      </c>
    </row>
    <row r="45" spans="1:5" x14ac:dyDescent="0.55000000000000004">
      <c r="A45" t="s">
        <v>128</v>
      </c>
      <c r="B45" t="s">
        <v>24</v>
      </c>
      <c r="C45" s="12" t="str">
        <f>Adfærd!A18</f>
        <v>Grøntsager</v>
      </c>
      <c r="D45">
        <f t="shared" si="3"/>
        <v>2019</v>
      </c>
      <c r="E45" s="76">
        <f>VLOOKUP(C45,Adfærd!$A$17:$D$30,MATCH(D45,Adfærd!$A$16:$D$16,0),FALSE)*365.25*VLOOKUP(B45,[1]Befolkningstal!$A$4:$D$6,MATCH(D45,[1]Befolkningstal!$A$3:$D$3,0),FALSE)/1000000/(1-Adfærd!B$12)</f>
        <v>222884.49629995148</v>
      </c>
    </row>
    <row r="46" spans="1:5" x14ac:dyDescent="0.55000000000000004">
      <c r="A46" t="s">
        <v>128</v>
      </c>
      <c r="B46" t="s">
        <v>24</v>
      </c>
      <c r="C46" s="12" t="str">
        <f>Adfærd!A19</f>
        <v>Kartofler</v>
      </c>
      <c r="D46">
        <f t="shared" si="3"/>
        <v>2019</v>
      </c>
      <c r="E46" s="76">
        <f>VLOOKUP(C46,Adfærd!$A$17:$D$30,MATCH(D46,Adfærd!$A$16:$D$16,0),FALSE)*365.25*VLOOKUP(B46,[1]Befolkningstal!$A$4:$D$6,MATCH(D46,[1]Befolkningstal!$A$3:$D$3,0),FALSE)/1000000/(1-Adfærd!B$12)</f>
        <v>101922.05609696274</v>
      </c>
    </row>
    <row r="47" spans="1:5" x14ac:dyDescent="0.55000000000000004">
      <c r="A47" t="s">
        <v>128</v>
      </c>
      <c r="B47" t="s">
        <v>24</v>
      </c>
      <c r="C47" s="12" t="str">
        <f>Adfærd!A20</f>
        <v>Svinekød</v>
      </c>
      <c r="D47">
        <f t="shared" si="3"/>
        <v>2019</v>
      </c>
      <c r="E47" s="76">
        <f>VLOOKUP(C47,Adfærd!$A$17:$D$30,MATCH(D47,Adfærd!$A$16:$D$16,0),FALSE)*365.25*VLOOKUP(B47,[1]Befolkningstal!$A$4:$D$6,MATCH(D47,[1]Befolkningstal!$A$3:$D$3,0),FALSE)/1000000/(1-Adfærd!B$12)</f>
        <v>100555.62853170674</v>
      </c>
    </row>
    <row r="48" spans="1:5" x14ac:dyDescent="0.55000000000000004">
      <c r="A48" t="s">
        <v>128</v>
      </c>
      <c r="B48" t="s">
        <v>24</v>
      </c>
      <c r="C48" s="12" t="str">
        <f>Adfærd!A21</f>
        <v>Oksekød</v>
      </c>
      <c r="D48">
        <f t="shared" si="3"/>
        <v>2019</v>
      </c>
      <c r="E48" s="76">
        <f>VLOOKUP(C48,Adfærd!$A$17:$D$30,MATCH(D48,Adfærd!$A$16:$D$16,0),FALSE)*365.25*VLOOKUP(B48,[1]Befolkningstal!$A$4:$D$6,MATCH(D48,[1]Befolkningstal!$A$3:$D$3,0),FALSE)/1000000/(1-Adfærd!B$12)</f>
        <v>49527.399127557059</v>
      </c>
    </row>
    <row r="49" spans="1:5" x14ac:dyDescent="0.55000000000000004">
      <c r="A49" t="s">
        <v>128</v>
      </c>
      <c r="B49" t="s">
        <v>24</v>
      </c>
      <c r="C49" s="12" t="str">
        <f>Adfærd!A22</f>
        <v>Bælgsæd</v>
      </c>
      <c r="D49">
        <f t="shared" si="3"/>
        <v>2019</v>
      </c>
      <c r="E49" s="76">
        <f>VLOOKUP(C49,Adfærd!$A$17:$D$30,MATCH(D49,Adfærd!$A$16:$D$16,0),FALSE)*365.25*VLOOKUP(B49,[1]Befolkningstal!$A$4:$D$6,MATCH(D49,[1]Befolkningstal!$A$3:$D$3,0),FALSE)/1000000/(1-Adfærd!B$12)</f>
        <v>0</v>
      </c>
    </row>
    <row r="50" spans="1:5" x14ac:dyDescent="0.55000000000000004">
      <c r="A50" t="s">
        <v>128</v>
      </c>
      <c r="B50" t="s">
        <v>24</v>
      </c>
      <c r="C50" s="12" t="str">
        <f>Adfærd!A23</f>
        <v>Muslinger</v>
      </c>
      <c r="D50">
        <f t="shared" si="3"/>
        <v>2019</v>
      </c>
      <c r="E50" s="76">
        <f>VLOOKUP(C50,Adfærd!$A$17:$D$30,MATCH(D50,Adfærd!$A$16:$D$16,0),FALSE)*365.25*VLOOKUP(B50,[1]Befolkningstal!$A$4:$D$6,MATCH(D50,[1]Befolkningstal!$A$3:$D$3,0),FALSE)/1000000/(1-Adfærd!B$12)</f>
        <v>0</v>
      </c>
    </row>
    <row r="51" spans="1:5" x14ac:dyDescent="0.55000000000000004">
      <c r="A51" t="s">
        <v>128</v>
      </c>
      <c r="B51" t="s">
        <v>24</v>
      </c>
      <c r="C51" s="12" t="str">
        <f>Adfærd!A24</f>
        <v>Tang</v>
      </c>
      <c r="D51">
        <f t="shared" si="3"/>
        <v>2019</v>
      </c>
      <c r="E51" s="76">
        <f>VLOOKUP(C51,Adfærd!$A$17:$D$30,MATCH(D51,Adfærd!$A$16:$D$16,0),FALSE)*365.25*VLOOKUP(B51,[1]Befolkningstal!$A$4:$D$6,MATCH(D51,[1]Befolkningstal!$A$3:$D$3,0),FALSE)/1000000/(1-Adfærd!B$12)</f>
        <v>0</v>
      </c>
    </row>
    <row r="52" spans="1:5" x14ac:dyDescent="0.55000000000000004">
      <c r="A52" t="s">
        <v>128</v>
      </c>
      <c r="B52" t="s">
        <v>24</v>
      </c>
      <c r="C52" s="12" t="str">
        <f>Adfærd!A25</f>
        <v>Kunstigt kød</v>
      </c>
      <c r="D52">
        <f t="shared" si="3"/>
        <v>2019</v>
      </c>
      <c r="E52" s="76">
        <f>VLOOKUP(C52,Adfærd!$A$17:$D$30,MATCH(D52,Adfærd!$A$16:$D$16,0),FALSE)*365.25*VLOOKUP(B52,[1]Befolkningstal!$A$4:$D$6,MATCH(D52,[1]Befolkningstal!$A$3:$D$3,0),FALSE)/1000000/(1-Adfærd!B$12)</f>
        <v>0</v>
      </c>
    </row>
    <row r="53" spans="1:5" x14ac:dyDescent="0.55000000000000004">
      <c r="A53" t="s">
        <v>128</v>
      </c>
      <c r="B53" t="s">
        <v>24</v>
      </c>
      <c r="C53" s="12" t="str">
        <f>Adfærd!A26</f>
        <v>Mejeriprodukter</v>
      </c>
      <c r="D53">
        <f t="shared" si="3"/>
        <v>2019</v>
      </c>
      <c r="E53" s="76">
        <f>VLOOKUP(C53,Adfærd!$A$17:$D$30,MATCH(D53,Adfærd!$A$16:$D$16,0),FALSE)*365.25*VLOOKUP(B53,[1]Befolkningstal!$A$4:$D$6,MATCH(D53,[1]Befolkningstal!$A$3:$D$3,0),FALSE)/1000000/(1-Adfærd!B$12)</f>
        <v>389767.86287629709</v>
      </c>
    </row>
    <row r="54" spans="1:5" x14ac:dyDescent="0.55000000000000004">
      <c r="A54" t="s">
        <v>128</v>
      </c>
      <c r="B54" t="s">
        <v>24</v>
      </c>
      <c r="C54" s="12" t="str">
        <f>Adfærd!A27</f>
        <v>Fjerkrækød</v>
      </c>
      <c r="D54">
        <f t="shared" si="3"/>
        <v>2019</v>
      </c>
      <c r="E54" s="76">
        <f>VLOOKUP(C54,Adfærd!$A$17:$D$30,MATCH(D54,Adfærd!$A$16:$D$16,0),FALSE)*365.25*VLOOKUP(B54,[1]Befolkningstal!$A$4:$D$6,MATCH(D54,[1]Befolkningstal!$A$3:$D$3,0),FALSE)/1000000/(1-Adfærd!B$12)</f>
        <v>29120.587456275069</v>
      </c>
    </row>
    <row r="55" spans="1:5" x14ac:dyDescent="0.55000000000000004">
      <c r="A55" t="s">
        <v>128</v>
      </c>
      <c r="B55" t="s">
        <v>24</v>
      </c>
      <c r="C55" s="12" t="str">
        <f>Adfærd!A28</f>
        <v>Æg</v>
      </c>
      <c r="D55">
        <f t="shared" si="3"/>
        <v>2019</v>
      </c>
      <c r="E55" s="76">
        <f>VLOOKUP(C55,Adfærd!$A$17:$D$30,MATCH(D55,Adfærd!$A$16:$D$16,0),FALSE)*365.25*VLOOKUP(B55,[1]Befolkningstal!$A$4:$D$6,MATCH(D55,[1]Befolkningstal!$A$3:$D$3,0),FALSE)/1000000/(1-Adfærd!B$12)</f>
        <v>26880.542267330831</v>
      </c>
    </row>
    <row r="56" spans="1:5" x14ac:dyDescent="0.55000000000000004">
      <c r="A56" t="s">
        <v>128</v>
      </c>
      <c r="B56" t="s">
        <v>24</v>
      </c>
      <c r="C56" s="12" t="str">
        <f>Adfærd!A29</f>
        <v>Frugt</v>
      </c>
      <c r="D56">
        <f t="shared" si="3"/>
        <v>2019</v>
      </c>
      <c r="E56" s="76">
        <f>VLOOKUP(C56,Adfærd!$A$17:$D$30,MATCH(D56,Adfærd!$A$16:$D$16,0),FALSE)*365.25*VLOOKUP(B56,[1]Befolkningstal!$A$4:$D$6,MATCH(D56,[1]Befolkningstal!$A$3:$D$3,0),FALSE)/1000000/(1-Adfærd!B$12)</f>
        <v>212804.29294970242</v>
      </c>
    </row>
    <row r="57" spans="1:5" x14ac:dyDescent="0.55000000000000004">
      <c r="A57" t="s">
        <v>128</v>
      </c>
      <c r="B57" t="s">
        <v>24</v>
      </c>
      <c r="C57" s="12" t="str">
        <f>Adfærd!A30</f>
        <v>Fisk</v>
      </c>
      <c r="D57">
        <f t="shared" si="3"/>
        <v>2019</v>
      </c>
      <c r="E57" s="76">
        <f>VLOOKUP(C57,Adfærd!$A$17:$D$30,MATCH(D57,Adfærd!$A$16:$D$16,0),FALSE)*365.25*VLOOKUP(B57,[1]Befolkningstal!$A$4:$D$6,MATCH(D57,[1]Befolkningstal!$A$3:$D$3,0),FALSE)/1000000/(1-Adfærd!B$12)</f>
        <v>41440.835995468369</v>
      </c>
    </row>
    <row r="58" spans="1:5" x14ac:dyDescent="0.55000000000000004">
      <c r="A58" t="s">
        <v>128</v>
      </c>
      <c r="B58" t="s">
        <v>24</v>
      </c>
      <c r="C58" s="12" t="str">
        <f>Adfærd!A17</f>
        <v>Korn</v>
      </c>
      <c r="D58">
        <f t="shared" ref="D58:D71" si="4">År2</f>
        <v>2030</v>
      </c>
      <c r="E58" s="76">
        <f>VLOOKUP(C58,Adfærd!$A$17:$D$30,MATCH(D58,Adfærd!$A$16:$D$16,0),FALSE)*365.25*VLOOKUP(B58,[1]Befolkningstal!$A$4:$D$6,MATCH(D58,[1]Befolkningstal!$A$3:$D$3,0),FALSE)/1000000/(1-Adfærd!B$12)</f>
        <v>256234.83946537593</v>
      </c>
    </row>
    <row r="59" spans="1:5" x14ac:dyDescent="0.55000000000000004">
      <c r="A59" t="s">
        <v>128</v>
      </c>
      <c r="B59" t="s">
        <v>24</v>
      </c>
      <c r="C59" s="12" t="str">
        <f>Adfærd!A18</f>
        <v>Grøntsager</v>
      </c>
      <c r="D59">
        <f t="shared" si="4"/>
        <v>2030</v>
      </c>
      <c r="E59" s="76">
        <f>VLOOKUP(C59,Adfærd!$A$17:$D$30,MATCH(D59,Adfærd!$A$16:$D$16,0),FALSE)*365.25*VLOOKUP(B59,[1]Befolkningstal!$A$4:$D$6,MATCH(D59,[1]Befolkningstal!$A$3:$D$3,0),FALSE)/1000000/(1-Adfærd!B$12)</f>
        <v>233902.44520004498</v>
      </c>
    </row>
    <row r="60" spans="1:5" x14ac:dyDescent="0.55000000000000004">
      <c r="A60" t="s">
        <v>128</v>
      </c>
      <c r="B60" t="s">
        <v>24</v>
      </c>
      <c r="C60" s="12" t="str">
        <f>Adfærd!A19</f>
        <v>Kartofler</v>
      </c>
      <c r="D60">
        <f t="shared" si="4"/>
        <v>2030</v>
      </c>
      <c r="E60" s="76">
        <f>VLOOKUP(C60,Adfærd!$A$17:$D$30,MATCH(D60,Adfærd!$A$16:$D$16,0),FALSE)*365.25*VLOOKUP(B60,[1]Befolkningstal!$A$4:$D$6,MATCH(D60,[1]Befolkningstal!$A$3:$D$3,0),FALSE)/1000000/(1-Adfærd!B$12)</f>
        <v>106960.41463921656</v>
      </c>
    </row>
    <row r="61" spans="1:5" x14ac:dyDescent="0.55000000000000004">
      <c r="A61" t="s">
        <v>128</v>
      </c>
      <c r="B61" t="s">
        <v>24</v>
      </c>
      <c r="C61" s="12" t="str">
        <f>Adfærd!A20</f>
        <v>Svinekød</v>
      </c>
      <c r="D61">
        <f t="shared" si="4"/>
        <v>2030</v>
      </c>
      <c r="E61" s="76">
        <f>VLOOKUP(C61,Adfærd!$A$17:$D$30,MATCH(D61,Adfærd!$A$16:$D$16,0),FALSE)*365.25*VLOOKUP(B61,[1]Befolkningstal!$A$4:$D$6,MATCH(D61,[1]Befolkningstal!$A$3:$D$3,0),FALSE)/1000000/(1-Adfærd!B$12)</f>
        <v>105526.43984954793</v>
      </c>
    </row>
    <row r="62" spans="1:5" x14ac:dyDescent="0.55000000000000004">
      <c r="A62" t="s">
        <v>128</v>
      </c>
      <c r="B62" t="s">
        <v>24</v>
      </c>
      <c r="C62" s="12" t="str">
        <f>Adfærd!A21</f>
        <v>Oksekød</v>
      </c>
      <c r="D62">
        <f t="shared" si="4"/>
        <v>2030</v>
      </c>
      <c r="E62" s="76">
        <f>VLOOKUP(C62,Adfærd!$A$17:$D$30,MATCH(D62,Adfærd!$A$16:$D$16,0),FALSE)*365.25*VLOOKUP(B62,[1]Befolkningstal!$A$4:$D$6,MATCH(D62,[1]Befolkningstal!$A$3:$D$3,0),FALSE)/1000000/(1-Adfærd!B$12)</f>
        <v>51975.70917962808</v>
      </c>
    </row>
    <row r="63" spans="1:5" x14ac:dyDescent="0.55000000000000004">
      <c r="A63" t="s">
        <v>128</v>
      </c>
      <c r="B63" t="s">
        <v>24</v>
      </c>
      <c r="C63" s="12" t="str">
        <f>Adfærd!A22</f>
        <v>Bælgsæd</v>
      </c>
      <c r="D63">
        <f t="shared" si="4"/>
        <v>2030</v>
      </c>
      <c r="E63" s="76">
        <f>VLOOKUP(C63,Adfærd!$A$17:$D$30,MATCH(D63,Adfærd!$A$16:$D$16,0),FALSE)*365.25*VLOOKUP(B63,[1]Befolkningstal!$A$4:$D$6,MATCH(D63,[1]Befolkningstal!$A$3:$D$3,0),FALSE)/1000000/(1-Adfærd!B$12)</f>
        <v>0</v>
      </c>
    </row>
    <row r="64" spans="1:5" x14ac:dyDescent="0.55000000000000004">
      <c r="A64" t="s">
        <v>128</v>
      </c>
      <c r="B64" t="s">
        <v>24</v>
      </c>
      <c r="C64" s="12" t="str">
        <f>Adfærd!A23</f>
        <v>Muslinger</v>
      </c>
      <c r="D64">
        <f t="shared" si="4"/>
        <v>2030</v>
      </c>
      <c r="E64" s="76">
        <f>VLOOKUP(C64,Adfærd!$A$17:$D$30,MATCH(D64,Adfærd!$A$16:$D$16,0),FALSE)*365.25*VLOOKUP(B64,[1]Befolkningstal!$A$4:$D$6,MATCH(D64,[1]Befolkningstal!$A$3:$D$3,0),FALSE)/1000000/(1-Adfærd!B$12)</f>
        <v>0</v>
      </c>
    </row>
    <row r="65" spans="1:5" x14ac:dyDescent="0.55000000000000004">
      <c r="A65" t="s">
        <v>128</v>
      </c>
      <c r="B65" t="s">
        <v>24</v>
      </c>
      <c r="C65" s="12" t="str">
        <f>Adfærd!A24</f>
        <v>Tang</v>
      </c>
      <c r="D65">
        <f t="shared" si="4"/>
        <v>2030</v>
      </c>
      <c r="E65" s="76">
        <f>VLOOKUP(C65,Adfærd!$A$17:$D$30,MATCH(D65,Adfærd!$A$16:$D$16,0),FALSE)*365.25*VLOOKUP(B65,[1]Befolkningstal!$A$4:$D$6,MATCH(D65,[1]Befolkningstal!$A$3:$D$3,0),FALSE)/1000000/(1-Adfærd!B$12)</f>
        <v>0</v>
      </c>
    </row>
    <row r="66" spans="1:5" x14ac:dyDescent="0.55000000000000004">
      <c r="A66" t="s">
        <v>128</v>
      </c>
      <c r="B66" t="s">
        <v>24</v>
      </c>
      <c r="C66" s="12" t="str">
        <f>Adfærd!A25</f>
        <v>Kunstigt kød</v>
      </c>
      <c r="D66">
        <f t="shared" si="4"/>
        <v>2030</v>
      </c>
      <c r="E66" s="76">
        <f>VLOOKUP(C66,Adfærd!$A$17:$D$30,MATCH(D66,Adfærd!$A$16:$D$16,0),FALSE)*365.25*VLOOKUP(B66,[1]Befolkningstal!$A$4:$D$6,MATCH(D66,[1]Befolkningstal!$A$3:$D$3,0),FALSE)/1000000/(1-Adfærd!B$12)</f>
        <v>0</v>
      </c>
    </row>
    <row r="67" spans="1:5" x14ac:dyDescent="0.55000000000000004">
      <c r="A67" t="s">
        <v>128</v>
      </c>
      <c r="B67" t="s">
        <v>24</v>
      </c>
      <c r="C67" s="12" t="str">
        <f>Adfærd!A26</f>
        <v>Mejeriprodukter</v>
      </c>
      <c r="D67">
        <f t="shared" si="4"/>
        <v>2030</v>
      </c>
      <c r="E67" s="76">
        <f>VLOOKUP(C67,Adfærd!$A$17:$D$30,MATCH(D67,Adfærd!$A$16:$D$16,0),FALSE)*365.25*VLOOKUP(B67,[1]Befolkningstal!$A$4:$D$6,MATCH(D67,[1]Befolkningstal!$A$3:$D$3,0),FALSE)/1000000/(1-Adfærd!B$12)</f>
        <v>409035.43180711387</v>
      </c>
    </row>
    <row r="68" spans="1:5" x14ac:dyDescent="0.55000000000000004">
      <c r="A68" t="s">
        <v>128</v>
      </c>
      <c r="B68" t="s">
        <v>24</v>
      </c>
      <c r="C68" s="12" t="str">
        <f>Adfærd!A27</f>
        <v>Fjerkrækød</v>
      </c>
      <c r="D68">
        <f t="shared" si="4"/>
        <v>2030</v>
      </c>
      <c r="E68" s="76">
        <f>VLOOKUP(C68,Adfærd!$A$17:$D$30,MATCH(D68,Adfærd!$A$16:$D$16,0),FALSE)*365.25*VLOOKUP(B68,[1]Befolkningstal!$A$4:$D$6,MATCH(D68,[1]Befolkningstal!$A$3:$D$3,0),FALSE)/1000000/(1-Adfærd!B$12)</f>
        <v>30560.118468347584</v>
      </c>
    </row>
    <row r="69" spans="1:5" x14ac:dyDescent="0.55000000000000004">
      <c r="A69" t="s">
        <v>128</v>
      </c>
      <c r="B69" t="s">
        <v>24</v>
      </c>
      <c r="C69" s="12" t="str">
        <f>Adfærd!A28</f>
        <v>Æg</v>
      </c>
      <c r="D69">
        <f t="shared" si="4"/>
        <v>2030</v>
      </c>
      <c r="E69" s="76">
        <f>VLOOKUP(C69,Adfærd!$A$17:$D$30,MATCH(D69,Adfærd!$A$16:$D$16,0),FALSE)*365.25*VLOOKUP(B69,[1]Befolkningstal!$A$4:$D$6,MATCH(D69,[1]Befolkningstal!$A$3:$D$3,0),FALSE)/1000000/(1-Adfærd!B$12)</f>
        <v>28209.340124628539</v>
      </c>
    </row>
    <row r="70" spans="1:5" x14ac:dyDescent="0.55000000000000004">
      <c r="A70" t="s">
        <v>128</v>
      </c>
      <c r="B70" t="s">
        <v>24</v>
      </c>
      <c r="C70" s="12" t="str">
        <f>Adfærd!A29</f>
        <v>Frugt</v>
      </c>
      <c r="D70">
        <f t="shared" si="4"/>
        <v>2030</v>
      </c>
      <c r="E70" s="76">
        <f>VLOOKUP(C70,Adfærd!$A$17:$D$30,MATCH(D70,Adfærd!$A$16:$D$16,0),FALSE)*365.25*VLOOKUP(B70,[1]Befolkningstal!$A$4:$D$6,MATCH(D70,[1]Befolkningstal!$A$3:$D$3,0),FALSE)/1000000/(1-Adfærd!B$12)</f>
        <v>223323.94265330929</v>
      </c>
    </row>
    <row r="71" spans="1:5" x14ac:dyDescent="0.55000000000000004">
      <c r="A71" t="s">
        <v>128</v>
      </c>
      <c r="B71" t="s">
        <v>24</v>
      </c>
      <c r="C71" s="12" t="str">
        <f>Adfærd!A30</f>
        <v>Fisk</v>
      </c>
      <c r="D71">
        <f t="shared" si="4"/>
        <v>2030</v>
      </c>
      <c r="E71" s="76">
        <f>VLOOKUP(C71,Adfærd!$A$17:$D$30,MATCH(D71,Adfærd!$A$16:$D$16,0),FALSE)*365.25*VLOOKUP(B71,[1]Befolkningstal!$A$4:$D$6,MATCH(D71,[1]Befolkningstal!$A$3:$D$3,0),FALSE)/1000000/(1-Adfærd!B$12)</f>
        <v>43489.39935880233</v>
      </c>
    </row>
    <row r="72" spans="1:5" x14ac:dyDescent="0.55000000000000004">
      <c r="A72" t="s">
        <v>128</v>
      </c>
      <c r="B72" t="s">
        <v>24</v>
      </c>
      <c r="C72" s="12" t="str">
        <f>Adfærd!A17</f>
        <v>Korn</v>
      </c>
      <c r="D72">
        <f t="shared" ref="D72:D85" si="5">År3</f>
        <v>2050</v>
      </c>
      <c r="E72" s="76">
        <f>VLOOKUP(C72,Adfærd!$A$17:$D$30,MATCH(D72,Adfærd!$A$16:$D$16,0),FALSE)*365.25*VLOOKUP(B72,[1]Befolkningstal!$A$4:$D$6,MATCH(D72,[1]Befolkningstal!$A$3:$D$3,0),FALSE)/1000000/(1-Adfærd!B$12)</f>
        <v>268249.01834925939</v>
      </c>
    </row>
    <row r="73" spans="1:5" x14ac:dyDescent="0.55000000000000004">
      <c r="A73" t="s">
        <v>128</v>
      </c>
      <c r="B73" t="s">
        <v>24</v>
      </c>
      <c r="C73" s="12" t="str">
        <f>Adfærd!A18</f>
        <v>Grøntsager</v>
      </c>
      <c r="D73">
        <f t="shared" si="5"/>
        <v>2050</v>
      </c>
      <c r="E73" s="76">
        <f>VLOOKUP(C73,Adfærd!$A$17:$D$30,MATCH(D73,Adfærd!$A$16:$D$16,0),FALSE)*365.25*VLOOKUP(B73,[1]Befolkningstal!$A$4:$D$6,MATCH(D73,[1]Befolkningstal!$A$3:$D$3,0),FALSE)/1000000/(1-Adfærd!B$12)</f>
        <v>244869.51675001203</v>
      </c>
    </row>
    <row r="74" spans="1:5" x14ac:dyDescent="0.55000000000000004">
      <c r="A74" t="s">
        <v>128</v>
      </c>
      <c r="B74" t="s">
        <v>24</v>
      </c>
      <c r="C74" s="12" t="str">
        <f>Adfærd!A19</f>
        <v>Kartofler</v>
      </c>
      <c r="D74">
        <f t="shared" si="5"/>
        <v>2050</v>
      </c>
      <c r="E74" s="76">
        <f>VLOOKUP(C74,Adfærd!$A$17:$D$30,MATCH(D74,Adfærd!$A$16:$D$16,0),FALSE)*365.25*VLOOKUP(B74,[1]Befolkningstal!$A$4:$D$6,MATCH(D74,[1]Befolkningstal!$A$3:$D$3,0),FALSE)/1000000/(1-Adfærd!B$12)</f>
        <v>111975.50765955324</v>
      </c>
    </row>
    <row r="75" spans="1:5" x14ac:dyDescent="0.55000000000000004">
      <c r="A75" t="s">
        <v>128</v>
      </c>
      <c r="B75" t="s">
        <v>24</v>
      </c>
      <c r="C75" s="12" t="str">
        <f>Adfærd!A20</f>
        <v>Svinekød</v>
      </c>
      <c r="D75">
        <f t="shared" si="5"/>
        <v>2050</v>
      </c>
      <c r="E75" s="76">
        <f>VLOOKUP(C75,Adfærd!$A$17:$D$30,MATCH(D75,Adfærd!$A$16:$D$16,0),FALSE)*365.25*VLOOKUP(B75,[1]Befolkningstal!$A$4:$D$6,MATCH(D75,[1]Befolkningstal!$A$3:$D$3,0),FALSE)/1000000/(1-Adfærd!B$12)</f>
        <v>110474.29755686472</v>
      </c>
    </row>
    <row r="76" spans="1:5" x14ac:dyDescent="0.55000000000000004">
      <c r="A76" t="s">
        <v>128</v>
      </c>
      <c r="B76" t="s">
        <v>24</v>
      </c>
      <c r="C76" s="12" t="str">
        <f>Adfærd!A21</f>
        <v>Oksekød</v>
      </c>
      <c r="D76">
        <f t="shared" si="5"/>
        <v>2050</v>
      </c>
      <c r="E76" s="76">
        <f>VLOOKUP(C76,Adfærd!$A$17:$D$30,MATCH(D76,Adfærd!$A$16:$D$16,0),FALSE)*365.25*VLOOKUP(B76,[1]Befolkningstal!$A$4:$D$6,MATCH(D76,[1]Befolkningstal!$A$3:$D$3,0),FALSE)/1000000/(1-Adfærd!B$12)</f>
        <v>54412.71372203785</v>
      </c>
    </row>
    <row r="77" spans="1:5" x14ac:dyDescent="0.55000000000000004">
      <c r="A77" t="s">
        <v>128</v>
      </c>
      <c r="B77" t="s">
        <v>24</v>
      </c>
      <c r="C77" s="12" t="str">
        <f>Adfærd!A22</f>
        <v>Bælgsæd</v>
      </c>
      <c r="D77">
        <f t="shared" si="5"/>
        <v>2050</v>
      </c>
      <c r="E77" s="76">
        <f>VLOOKUP(C77,Adfærd!$A$17:$D$30,MATCH(D77,Adfærd!$A$16:$D$16,0),FALSE)*365.25*VLOOKUP(B77,[1]Befolkningstal!$A$4:$D$6,MATCH(D77,[1]Befolkningstal!$A$3:$D$3,0),FALSE)/1000000/(1-Adfærd!B$12)</f>
        <v>0</v>
      </c>
    </row>
    <row r="78" spans="1:5" x14ac:dyDescent="0.55000000000000004">
      <c r="A78" t="s">
        <v>128</v>
      </c>
      <c r="B78" t="s">
        <v>24</v>
      </c>
      <c r="C78" s="12" t="str">
        <f>Adfærd!A23</f>
        <v>Muslinger</v>
      </c>
      <c r="D78">
        <f t="shared" si="5"/>
        <v>2050</v>
      </c>
      <c r="E78" s="76">
        <f>VLOOKUP(C78,Adfærd!$A$17:$D$30,MATCH(D78,Adfærd!$A$16:$D$16,0),FALSE)*365.25*VLOOKUP(B78,[1]Befolkningstal!$A$4:$D$6,MATCH(D78,[1]Befolkningstal!$A$3:$D$3,0),FALSE)/1000000/(1-Adfærd!B$12)</f>
        <v>0</v>
      </c>
    </row>
    <row r="79" spans="1:5" x14ac:dyDescent="0.55000000000000004">
      <c r="A79" t="s">
        <v>128</v>
      </c>
      <c r="B79" t="s">
        <v>24</v>
      </c>
      <c r="C79" s="12" t="str">
        <f>Adfærd!A24</f>
        <v>Tang</v>
      </c>
      <c r="D79">
        <f t="shared" si="5"/>
        <v>2050</v>
      </c>
      <c r="E79" s="76">
        <f>VLOOKUP(C79,Adfærd!$A$17:$D$30,MATCH(D79,Adfærd!$A$16:$D$16,0),FALSE)*365.25*VLOOKUP(B79,[1]Befolkningstal!$A$4:$D$6,MATCH(D79,[1]Befolkningstal!$A$3:$D$3,0),FALSE)/1000000/(1-Adfærd!B$12)</f>
        <v>0</v>
      </c>
    </row>
    <row r="80" spans="1:5" x14ac:dyDescent="0.55000000000000004">
      <c r="A80" t="s">
        <v>128</v>
      </c>
      <c r="B80" t="s">
        <v>24</v>
      </c>
      <c r="C80" s="12" t="str">
        <f>Adfærd!A25</f>
        <v>Kunstigt kød</v>
      </c>
      <c r="D80">
        <f t="shared" si="5"/>
        <v>2050</v>
      </c>
      <c r="E80" s="76">
        <f>VLOOKUP(C80,Adfærd!$A$17:$D$30,MATCH(D80,Adfærd!$A$16:$D$16,0),FALSE)*365.25*VLOOKUP(B80,[1]Befolkningstal!$A$4:$D$6,MATCH(D80,[1]Befolkningstal!$A$3:$D$3,0),FALSE)/1000000/(1-Adfærd!B$12)</f>
        <v>0</v>
      </c>
    </row>
    <row r="81" spans="1:5" x14ac:dyDescent="0.55000000000000004">
      <c r="A81" t="s">
        <v>128</v>
      </c>
      <c r="B81" t="s">
        <v>24</v>
      </c>
      <c r="C81" s="12" t="str">
        <f>Adfærd!A26</f>
        <v>Mejeriprodukter</v>
      </c>
      <c r="D81">
        <f t="shared" si="5"/>
        <v>2050</v>
      </c>
      <c r="E81" s="76">
        <f>VLOOKUP(C81,Adfærd!$A$17:$D$30,MATCH(D81,Adfærd!$A$16:$D$16,0),FALSE)*365.25*VLOOKUP(B81,[1]Befolkningstal!$A$4:$D$6,MATCH(D81,[1]Befolkningstal!$A$3:$D$3,0),FALSE)/1000000/(1-Adfærd!B$12)</f>
        <v>428214.02929147833</v>
      </c>
    </row>
    <row r="82" spans="1:5" x14ac:dyDescent="0.55000000000000004">
      <c r="A82" t="s">
        <v>128</v>
      </c>
      <c r="B82" t="s">
        <v>24</v>
      </c>
      <c r="C82" s="12" t="str">
        <f>Adfærd!A27</f>
        <v>Fjerkrækød</v>
      </c>
      <c r="D82">
        <f t="shared" si="5"/>
        <v>2050</v>
      </c>
      <c r="E82" s="76">
        <f>VLOOKUP(C82,Adfærd!$A$17:$D$30,MATCH(D82,Adfærd!$A$16:$D$16,0),FALSE)*365.25*VLOOKUP(B82,[1]Befolkningstal!$A$4:$D$6,MATCH(D82,[1]Befolkningstal!$A$3:$D$3,0),FALSE)/1000000/(1-Adfærd!B$12)</f>
        <v>31993.002188443785</v>
      </c>
    </row>
    <row r="83" spans="1:5" x14ac:dyDescent="0.55000000000000004">
      <c r="A83" t="s">
        <v>128</v>
      </c>
      <c r="B83" t="s">
        <v>24</v>
      </c>
      <c r="C83" s="12" t="str">
        <f>Adfærd!A28</f>
        <v>Æg</v>
      </c>
      <c r="D83">
        <f t="shared" si="5"/>
        <v>2050</v>
      </c>
      <c r="E83" s="76">
        <f>VLOOKUP(C83,Adfærd!$A$17:$D$30,MATCH(D83,Adfærd!$A$16:$D$16,0),FALSE)*365.25*VLOOKUP(B83,[1]Befolkningstal!$A$4:$D$6,MATCH(D83,[1]Befolkningstal!$A$3:$D$3,0),FALSE)/1000000/(1-Adfærd!B$12)</f>
        <v>29532.002020101954</v>
      </c>
    </row>
    <row r="84" spans="1:5" x14ac:dyDescent="0.55000000000000004">
      <c r="A84" t="s">
        <v>128</v>
      </c>
      <c r="B84" t="s">
        <v>24</v>
      </c>
      <c r="C84" s="12" t="str">
        <f>Adfærd!A29</f>
        <v>Frugt</v>
      </c>
      <c r="D84">
        <f t="shared" si="5"/>
        <v>2050</v>
      </c>
      <c r="E84" s="76">
        <f>VLOOKUP(C84,Adfærd!$A$17:$D$30,MATCH(D84,Adfærd!$A$16:$D$16,0),FALSE)*365.25*VLOOKUP(B84,[1]Befolkningstal!$A$4:$D$6,MATCH(D84,[1]Befolkningstal!$A$3:$D$3,0),FALSE)/1000000/(1-Adfærd!B$12)</f>
        <v>233795.01599247381</v>
      </c>
    </row>
    <row r="85" spans="1:5" x14ac:dyDescent="0.55000000000000004">
      <c r="A85" t="s">
        <v>128</v>
      </c>
      <c r="B85" t="s">
        <v>24</v>
      </c>
      <c r="C85" s="12" t="str">
        <f>Adfærd!A30</f>
        <v>Fisk</v>
      </c>
      <c r="D85">
        <f t="shared" si="5"/>
        <v>2050</v>
      </c>
      <c r="E85" s="76">
        <f>VLOOKUP(C85,Adfærd!$A$17:$D$30,MATCH(D85,Adfærd!$A$16:$D$16,0),FALSE)*365.25*VLOOKUP(B85,[1]Befolkningstal!$A$4:$D$6,MATCH(D85,[1]Befolkningstal!$A$3:$D$3,0),FALSE)/1000000/(1-Adfærd!B$12)</f>
        <v>45528.503114323845</v>
      </c>
    </row>
    <row r="86" spans="1:5" hidden="1" x14ac:dyDescent="0.55000000000000004">
      <c r="A86" t="s">
        <v>110</v>
      </c>
      <c r="B86" t="s">
        <v>23</v>
      </c>
      <c r="C86" s="100" t="str">
        <f>Biogasanlæg!A12</f>
        <v>Svinegylle</v>
      </c>
      <c r="D86">
        <f t="shared" ref="D86:D102" si="6">År1</f>
        <v>2019</v>
      </c>
      <c r="E86">
        <f>IF(B86="Vestdanmark",VLOOKUP(C86,Biogasanlæg!$A$39:$E$55,MATCH(D86,Biogasanlæg!$A$38:$E$38,0),FALSE),VLOOKUP(C86,Biogasanlæg!$I$39:$M$55,MATCH(D86,Biogasanlæg!$I$38:$M$38,0),FALSE))</f>
        <v>2534442.072977222</v>
      </c>
    </row>
    <row r="87" spans="1:5" hidden="1" x14ac:dyDescent="0.55000000000000004">
      <c r="A87" t="s">
        <v>110</v>
      </c>
      <c r="B87" t="s">
        <v>23</v>
      </c>
      <c r="C87" s="100" t="str">
        <f>Biogasanlæg!A13</f>
        <v>Kvæggylle</v>
      </c>
      <c r="D87">
        <f t="shared" si="6"/>
        <v>2019</v>
      </c>
      <c r="E87">
        <f>IF(B87="Vestdanmark",VLOOKUP(C87,Biogasanlæg!$A$39:$E$55,MATCH(D87,Biogasanlæg!$A$38:$E$38,0),FALSE),VLOOKUP(C87,Biogasanlæg!$I$39:$M$55,MATCH(D87,Biogasanlæg!$I$38:$M$38,0),FALSE))</f>
        <v>4066864.6068164087</v>
      </c>
    </row>
    <row r="88" spans="1:5" hidden="1" x14ac:dyDescent="0.55000000000000004">
      <c r="A88" t="s">
        <v>110</v>
      </c>
      <c r="B88" t="s">
        <v>23</v>
      </c>
      <c r="C88" s="100" t="str">
        <f>Biogasanlæg!A14</f>
        <v>Fjerkrægylle</v>
      </c>
      <c r="D88">
        <f t="shared" si="6"/>
        <v>2019</v>
      </c>
      <c r="E88">
        <f>IF(B88="Vestdanmark",VLOOKUP(C88,Biogasanlæg!$A$39:$E$55,MATCH(D88,Biogasanlæg!$A$38:$E$38,0),FALSE),VLOOKUP(C88,Biogasanlæg!$I$39:$M$55,MATCH(D88,Biogasanlæg!$I$38:$M$38,0),FALSE))</f>
        <v>4103.8061780475591</v>
      </c>
    </row>
    <row r="89" spans="1:5" hidden="1" x14ac:dyDescent="0.55000000000000004">
      <c r="A89" t="s">
        <v>110</v>
      </c>
      <c r="B89" t="s">
        <v>23</v>
      </c>
      <c r="C89" s="100" t="str">
        <f>Biogasanlæg!A15</f>
        <v>Spildevandsslam</v>
      </c>
      <c r="D89">
        <f t="shared" si="6"/>
        <v>2019</v>
      </c>
      <c r="E89">
        <f>IF(B89="Vestdanmark",VLOOKUP(C89,Biogasanlæg!$A$39:$E$55,MATCH(D89,Biogasanlæg!$A$38:$E$38,0),FALSE),VLOOKUP(C89,Biogasanlæg!$I$39:$M$55,MATCH(D89,Biogasanlæg!$I$38:$M$38,0),FALSE))</f>
        <v>1460182.5874658169</v>
      </c>
    </row>
    <row r="90" spans="1:5" hidden="1" x14ac:dyDescent="0.55000000000000004">
      <c r="A90" t="s">
        <v>110</v>
      </c>
      <c r="B90" t="s">
        <v>23</v>
      </c>
      <c r="C90" s="100" t="str">
        <f>Biogasanlæg!A18</f>
        <v>Bioaffald</v>
      </c>
      <c r="D90">
        <f t="shared" si="6"/>
        <v>2019</v>
      </c>
      <c r="E90">
        <f ca="1">IF(B90="Vestdanmark",VLOOKUP(C90,Biogasanlæg!$A$39:$E$55,MATCH(D90,Biogasanlæg!$A$38:$E$38,0),FALSE),VLOOKUP(C90,Biogasanlæg!$I$39:$M$55,MATCH(D90,Biogasanlæg!$I$38:$M$38,0),FALSE))</f>
        <v>393543.64426779439</v>
      </c>
    </row>
    <row r="91" spans="1:5" hidden="1" x14ac:dyDescent="0.55000000000000004">
      <c r="A91" t="s">
        <v>110</v>
      </c>
      <c r="B91" t="s">
        <v>23</v>
      </c>
      <c r="C91" s="100" t="str">
        <f>Biogasanlæg!A19</f>
        <v>Industriaffald</v>
      </c>
      <c r="D91">
        <f t="shared" si="6"/>
        <v>2019</v>
      </c>
      <c r="E91">
        <f>IF(B91="Vestdanmark",VLOOKUP(C91,Biogasanlæg!$A$39:$E$55,MATCH(D91,Biogasanlæg!$A$38:$E$38,0),FALSE),VLOOKUP(C91,Biogasanlæg!$I$39:$M$55,MATCH(D91,Biogasanlæg!$I$38:$M$38,0),FALSE))</f>
        <v>716103.75203569303</v>
      </c>
    </row>
    <row r="92" spans="1:5" hidden="1" x14ac:dyDescent="0.55000000000000004">
      <c r="A92" t="s">
        <v>110</v>
      </c>
      <c r="B92" t="s">
        <v>23</v>
      </c>
      <c r="C92" s="100" t="str">
        <f>Biogasanlæg!A16</f>
        <v>Dybstrøelse</v>
      </c>
      <c r="D92">
        <f t="shared" si="6"/>
        <v>2019</v>
      </c>
      <c r="E92">
        <f>IF(B92="Vestdanmark",VLOOKUP(C92,Biogasanlæg!$A$39:$E$55,MATCH(D92,Biogasanlæg!$A$38:$E$38,0),FALSE),VLOOKUP(C92,Biogasanlæg!$I$39:$M$55,MATCH(D92,Biogasanlæg!$I$38:$M$38,0),FALSE))</f>
        <v>671194.67155029252</v>
      </c>
    </row>
    <row r="93" spans="1:5" hidden="1" x14ac:dyDescent="0.55000000000000004">
      <c r="A93" t="s">
        <v>110</v>
      </c>
      <c r="B93" t="s">
        <v>23</v>
      </c>
      <c r="C93" s="100" t="str">
        <f>Biogasanlæg!A17</f>
        <v>Brun saft</v>
      </c>
      <c r="D93">
        <f t="shared" si="6"/>
        <v>2019</v>
      </c>
      <c r="E93">
        <f>IF(B93="Vestdanmark",VLOOKUP(C93,Biogasanlæg!$A$39:$E$55,MATCH(D93,Biogasanlæg!$A$38:$E$38,0),FALSE),VLOOKUP(C93,Biogasanlæg!$I$39:$M$55,MATCH(D93,Biogasanlæg!$I$38:$M$38,0),FALSE))</f>
        <v>0</v>
      </c>
    </row>
    <row r="94" spans="1:5" hidden="1" x14ac:dyDescent="0.55000000000000004">
      <c r="A94" t="s">
        <v>110</v>
      </c>
      <c r="B94" t="s">
        <v>23</v>
      </c>
      <c r="C94" s="100" t="str">
        <f>Biogasanlæg!A20</f>
        <v>Halm</v>
      </c>
      <c r="D94">
        <f t="shared" si="6"/>
        <v>2019</v>
      </c>
      <c r="E94" s="318">
        <f>IF(B94="Vestdanmark",VLOOKUP(C94,Biogasanlæg!$A$39:$E$55,MATCH(D94,Biogasanlæg!$A$38:$E$38,0),FALSE),VLOOKUP(C94,Biogasanlæg!$I$39:$M$55,MATCH(D94,Biogasanlæg!$I$38:$M$38,0),FALSE))</f>
        <v>53138.892747161146</v>
      </c>
    </row>
    <row r="95" spans="1:5" hidden="1" x14ac:dyDescent="0.55000000000000004">
      <c r="A95" t="s">
        <v>110</v>
      </c>
      <c r="B95" t="s">
        <v>23</v>
      </c>
      <c r="C95" s="100" t="str">
        <f>Biogasanlæg!A21</f>
        <v>Korn</v>
      </c>
      <c r="D95">
        <f t="shared" si="6"/>
        <v>2019</v>
      </c>
      <c r="E95">
        <f>IF(B95="Vestdanmark",VLOOKUP(C95,Biogasanlæg!$A$39:$E$55,MATCH(D95,Biogasanlæg!$A$38:$E$38,0),FALSE),VLOOKUP(C95,Biogasanlæg!$I$39:$M$55,MATCH(D95,Biogasanlæg!$I$38:$M$38,0),FALSE))</f>
        <v>2840.1853290986264</v>
      </c>
    </row>
    <row r="96" spans="1:5" hidden="1" x14ac:dyDescent="0.55000000000000004">
      <c r="A96" t="s">
        <v>110</v>
      </c>
      <c r="B96" t="s">
        <v>23</v>
      </c>
      <c r="C96" s="100" t="str">
        <f>Biogasanlæg!A22</f>
        <v>Græs</v>
      </c>
      <c r="D96">
        <f t="shared" si="6"/>
        <v>2019</v>
      </c>
      <c r="E96">
        <f>IF(B96="Vestdanmark",VLOOKUP(C96,Biogasanlæg!$A$39:$E$55,MATCH(D96,Biogasanlæg!$A$38:$E$38,0),FALSE),VLOOKUP(C96,Biogasanlæg!$I$39:$M$55,MATCH(D96,Biogasanlæg!$I$38:$M$38,0),FALSE))</f>
        <v>75746.163899662715</v>
      </c>
    </row>
    <row r="97" spans="1:5" hidden="1" x14ac:dyDescent="0.55000000000000004">
      <c r="A97" t="s">
        <v>110</v>
      </c>
      <c r="B97" t="s">
        <v>23</v>
      </c>
      <c r="C97" s="100" t="str">
        <f>Biogasanlæg!A23</f>
        <v>Majs</v>
      </c>
      <c r="D97">
        <f t="shared" si="6"/>
        <v>2019</v>
      </c>
      <c r="E97">
        <f>IF(B97="Vestdanmark",VLOOKUP(C97,Biogasanlæg!$A$39:$E$55,MATCH(D97,Biogasanlæg!$A$38:$E$38,0),FALSE),VLOOKUP(C97,Biogasanlæg!$I$39:$M$55,MATCH(D97,Biogasanlæg!$I$38:$M$38,0),FALSE))</f>
        <v>314821.43493156106</v>
      </c>
    </row>
    <row r="98" spans="1:5" hidden="1" x14ac:dyDescent="0.55000000000000004">
      <c r="A98" t="s">
        <v>110</v>
      </c>
      <c r="B98" t="s">
        <v>23</v>
      </c>
      <c r="C98" s="100" t="str">
        <f>Biogasanlæg!A24</f>
        <v>Roer</v>
      </c>
      <c r="D98">
        <f t="shared" si="6"/>
        <v>2019</v>
      </c>
      <c r="E98">
        <f>IF(B98="Vestdanmark",VLOOKUP(C98,Biogasanlæg!$A$39:$E$55,MATCH(D98,Biogasanlæg!$A$38:$E$38,0),FALSE),VLOOKUP(C98,Biogasanlæg!$I$39:$M$55,MATCH(D98,Biogasanlæg!$I$38:$M$38,0),FALSE))</f>
        <v>4101.0489241972273</v>
      </c>
    </row>
    <row r="99" spans="1:5" hidden="1" x14ac:dyDescent="0.55000000000000004">
      <c r="A99" t="s">
        <v>110</v>
      </c>
      <c r="B99" t="s">
        <v>23</v>
      </c>
      <c r="C99" s="100" t="str">
        <f>Biogasanlæg!A25</f>
        <v>Have/parkaffald</v>
      </c>
      <c r="D99">
        <f t="shared" si="6"/>
        <v>2019</v>
      </c>
      <c r="E99">
        <f>IF(B99="Vestdanmark",VLOOKUP(C99,Biogasanlæg!$A$39:$E$55,MATCH(D99,Biogasanlæg!$A$38:$E$38,0),FALSE),VLOOKUP(C99,Biogasanlæg!$I$39:$M$55,MATCH(D99,Biogasanlæg!$I$38:$M$38,0),FALSE))</f>
        <v>42.099811904105366</v>
      </c>
    </row>
    <row r="100" spans="1:5" hidden="1" x14ac:dyDescent="0.55000000000000004">
      <c r="A100" t="s">
        <v>110</v>
      </c>
      <c r="B100" t="s">
        <v>23</v>
      </c>
      <c r="C100" s="100" t="str">
        <f>Biogasanlæg!A26</f>
        <v>Glycerin</v>
      </c>
      <c r="D100">
        <f t="shared" si="6"/>
        <v>2019</v>
      </c>
      <c r="E100">
        <f>IF(B100="Vestdanmark",VLOOKUP(C100,Biogasanlæg!$A$39:$E$55,MATCH(D100,Biogasanlæg!$A$38:$E$38,0),FALSE),VLOOKUP(C100,Biogasanlæg!$I$39:$M$55,MATCH(D100,Biogasanlæg!$I$38:$M$38,0),FALSE))</f>
        <v>114193.60000000001</v>
      </c>
    </row>
    <row r="101" spans="1:5" hidden="1" x14ac:dyDescent="0.55000000000000004">
      <c r="A101" t="s">
        <v>110</v>
      </c>
      <c r="B101" t="s">
        <v>23</v>
      </c>
      <c r="C101" s="100" t="str">
        <f>Biogasanlæg!A27</f>
        <v>Muslinger</v>
      </c>
      <c r="D101">
        <f t="shared" si="6"/>
        <v>2019</v>
      </c>
      <c r="E101">
        <f>IF(B101="Vestdanmark",VLOOKUP(C101,Biogasanlæg!$A$39:$E$55,MATCH(D101,Biogasanlæg!$A$38:$E$38,0),FALSE),VLOOKUP(C101,Biogasanlæg!$I$39:$M$55,MATCH(D101,Biogasanlæg!$I$38:$M$38,0),FALSE))</f>
        <v>0</v>
      </c>
    </row>
    <row r="102" spans="1:5" hidden="1" x14ac:dyDescent="0.55000000000000004">
      <c r="A102" t="s">
        <v>110</v>
      </c>
      <c r="B102" t="s">
        <v>23</v>
      </c>
      <c r="C102" s="100" t="str">
        <f>Biogasanlæg!A28</f>
        <v>Tang</v>
      </c>
      <c r="D102">
        <f t="shared" si="6"/>
        <v>2019</v>
      </c>
      <c r="E102">
        <f>IF(B102="Vestdanmark",VLOOKUP(C102,Biogasanlæg!$A$39:$E$55,MATCH(D102,Biogasanlæg!$A$38:$E$38,0),FALSE),VLOOKUP(C102,Biogasanlæg!$I$39:$M$55,MATCH(D102,Biogasanlæg!$I$38:$M$38,0),FALSE))</f>
        <v>0</v>
      </c>
    </row>
    <row r="103" spans="1:5" hidden="1" x14ac:dyDescent="0.55000000000000004">
      <c r="A103" t="s">
        <v>110</v>
      </c>
      <c r="B103" t="s">
        <v>23</v>
      </c>
      <c r="C103" s="100" t="str">
        <f>Biogasanlæg!A12</f>
        <v>Svinegylle</v>
      </c>
      <c r="D103">
        <f t="shared" ref="D103:D119" si="7">År2</f>
        <v>2030</v>
      </c>
      <c r="E103">
        <f>IF(B103="Vestdanmark",VLOOKUP(C103,Biogasanlæg!$A$39:$E$55,MATCH(D103,Biogasanlæg!$A$38:$E$38,0),FALSE),VLOOKUP(C103,Biogasanlæg!$I$39:$M$55,MATCH(D103,Biogasanlæg!$I$38:$M$38,0),FALSE))</f>
        <v>7989661.5832169671</v>
      </c>
    </row>
    <row r="104" spans="1:5" hidden="1" x14ac:dyDescent="0.55000000000000004">
      <c r="A104" t="s">
        <v>110</v>
      </c>
      <c r="B104" t="s">
        <v>23</v>
      </c>
      <c r="C104" s="100" t="str">
        <f>Biogasanlæg!A13</f>
        <v>Kvæggylle</v>
      </c>
      <c r="D104">
        <f t="shared" si="7"/>
        <v>2030</v>
      </c>
      <c r="E104">
        <f>IF(B104="Vestdanmark",VLOOKUP(C104,Biogasanlæg!$A$39:$E$55,MATCH(D104,Biogasanlæg!$A$38:$E$38,0),FALSE),VLOOKUP(C104,Biogasanlæg!$I$39:$M$55,MATCH(D104,Biogasanlæg!$I$38:$M$38,0),FALSE))</f>
        <v>9867457.5006151944</v>
      </c>
    </row>
    <row r="105" spans="1:5" hidden="1" x14ac:dyDescent="0.55000000000000004">
      <c r="A105" t="s">
        <v>110</v>
      </c>
      <c r="B105" t="s">
        <v>23</v>
      </c>
      <c r="C105" s="100" t="str">
        <f>Biogasanlæg!A14</f>
        <v>Fjerkrægylle</v>
      </c>
      <c r="D105">
        <f t="shared" si="7"/>
        <v>2030</v>
      </c>
      <c r="E105">
        <f>IF(B105="Vestdanmark",VLOOKUP(C105,Biogasanlæg!$A$39:$E$55,MATCH(D105,Biogasanlæg!$A$38:$E$38,0),FALSE),VLOOKUP(C105,Biogasanlæg!$I$39:$M$55,MATCH(D105,Biogasanlæg!$I$38:$M$38,0),FALSE))</f>
        <v>4171.3630677727415</v>
      </c>
    </row>
    <row r="106" spans="1:5" hidden="1" x14ac:dyDescent="0.55000000000000004">
      <c r="A106" t="s">
        <v>110</v>
      </c>
      <c r="B106" t="s">
        <v>23</v>
      </c>
      <c r="C106" s="100" t="str">
        <f>Biogasanlæg!A15</f>
        <v>Spildevandsslam</v>
      </c>
      <c r="D106">
        <f t="shared" si="7"/>
        <v>2030</v>
      </c>
      <c r="E106">
        <f>IF(B106="Vestdanmark",VLOOKUP(C106,Biogasanlæg!$A$39:$E$55,MATCH(D106,Biogasanlæg!$A$38:$E$38,0),FALSE),VLOOKUP(C106,Biogasanlæg!$I$39:$M$55,MATCH(D106,Biogasanlæg!$I$38:$M$38,0),FALSE))</f>
        <v>1507101.1523820646</v>
      </c>
    </row>
    <row r="107" spans="1:5" hidden="1" x14ac:dyDescent="0.55000000000000004">
      <c r="A107" t="s">
        <v>110</v>
      </c>
      <c r="B107" t="s">
        <v>23</v>
      </c>
      <c r="C107" s="100" t="str">
        <f>Biogasanlæg!A18</f>
        <v>Bioaffald</v>
      </c>
      <c r="D107">
        <f t="shared" si="7"/>
        <v>2030</v>
      </c>
      <c r="E107">
        <f ca="1">IF(B107="Vestdanmark",VLOOKUP(C107,Biogasanlæg!$A$39:$E$55,MATCH(D107,Biogasanlæg!$A$38:$E$38,0),FALSE),VLOOKUP(C107,Biogasanlæg!$I$39:$M$55,MATCH(D107,Biogasanlæg!$I$38:$M$38,0),FALSE))</f>
        <v>195082.24112879002</v>
      </c>
    </row>
    <row r="108" spans="1:5" hidden="1" x14ac:dyDescent="0.55000000000000004">
      <c r="A108" t="s">
        <v>110</v>
      </c>
      <c r="B108" t="s">
        <v>23</v>
      </c>
      <c r="C108" s="100" t="str">
        <f>Biogasanlæg!A19</f>
        <v>Industriaffald</v>
      </c>
      <c r="D108">
        <f t="shared" si="7"/>
        <v>2030</v>
      </c>
      <c r="E108">
        <f>IF(B108="Vestdanmark",VLOOKUP(C108,Biogasanlæg!$A$39:$E$55,MATCH(D108,Biogasanlæg!$A$38:$E$38,0),FALSE),VLOOKUP(C108,Biogasanlæg!$I$39:$M$55,MATCH(D108,Biogasanlæg!$I$38:$M$38,0),FALSE))</f>
        <v>523057.13098607323</v>
      </c>
    </row>
    <row r="109" spans="1:5" hidden="1" x14ac:dyDescent="0.55000000000000004">
      <c r="A109" t="s">
        <v>110</v>
      </c>
      <c r="B109" t="s">
        <v>23</v>
      </c>
      <c r="C109" s="100" t="str">
        <f>Biogasanlæg!A16</f>
        <v>Dybstrøelse</v>
      </c>
      <c r="D109">
        <f t="shared" si="7"/>
        <v>2030</v>
      </c>
      <c r="E109">
        <f>IF(B109="Vestdanmark",VLOOKUP(C109,Biogasanlæg!$A$39:$E$55,MATCH(D109,Biogasanlæg!$A$38:$E$38,0),FALSE),VLOOKUP(C109,Biogasanlæg!$I$39:$M$55,MATCH(D109,Biogasanlæg!$I$38:$M$38,0),FALSE))</f>
        <v>1326462.9092294232</v>
      </c>
    </row>
    <row r="110" spans="1:5" hidden="1" x14ac:dyDescent="0.55000000000000004">
      <c r="A110" t="s">
        <v>110</v>
      </c>
      <c r="B110" t="s">
        <v>23</v>
      </c>
      <c r="C110" s="100" t="str">
        <f>Biogasanlæg!A17</f>
        <v>Brun saft</v>
      </c>
      <c r="D110">
        <f t="shared" si="7"/>
        <v>2030</v>
      </c>
      <c r="E110">
        <f>IF(B110="Vestdanmark",VLOOKUP(C110,Biogasanlæg!$A$39:$E$55,MATCH(D110,Biogasanlæg!$A$38:$E$38,0),FALSE),VLOOKUP(C110,Biogasanlæg!$I$39:$M$55,MATCH(D110,Biogasanlæg!$I$38:$M$38,0),FALSE))</f>
        <v>0</v>
      </c>
    </row>
    <row r="111" spans="1:5" hidden="1" x14ac:dyDescent="0.55000000000000004">
      <c r="A111" t="s">
        <v>110</v>
      </c>
      <c r="B111" t="s">
        <v>23</v>
      </c>
      <c r="C111" s="100" t="str">
        <f>Biogasanlæg!A20</f>
        <v>Halm</v>
      </c>
      <c r="D111">
        <f t="shared" si="7"/>
        <v>2030</v>
      </c>
      <c r="E111">
        <f>IF(B111="Vestdanmark",VLOOKUP(C111,Biogasanlæg!$A$39:$E$55,MATCH(D111,Biogasanlæg!$A$38:$E$38,0),FALSE),VLOOKUP(C111,Biogasanlæg!$I$39:$M$55,MATCH(D111,Biogasanlæg!$I$38:$M$38,0),FALSE))</f>
        <v>54131.009350127919</v>
      </c>
    </row>
    <row r="112" spans="1:5" hidden="1" x14ac:dyDescent="0.55000000000000004">
      <c r="A112" t="s">
        <v>110</v>
      </c>
      <c r="B112" t="s">
        <v>23</v>
      </c>
      <c r="C112" s="100" t="str">
        <f>Biogasanlæg!A21</f>
        <v>Korn</v>
      </c>
      <c r="D112">
        <f t="shared" si="7"/>
        <v>2030</v>
      </c>
      <c r="E112">
        <f>IF(B112="Vestdanmark",VLOOKUP(C112,Biogasanlæg!$A$39:$E$55,MATCH(D112,Biogasanlæg!$A$38:$E$38,0),FALSE),VLOOKUP(C112,Biogasanlæg!$I$39:$M$55,MATCH(D112,Biogasanlæg!$I$38:$M$38,0),FALSE))</f>
        <v>2883.4110214289831</v>
      </c>
    </row>
    <row r="113" spans="1:5" hidden="1" x14ac:dyDescent="0.55000000000000004">
      <c r="A113" t="s">
        <v>110</v>
      </c>
      <c r="B113" t="s">
        <v>23</v>
      </c>
      <c r="C113" s="100" t="str">
        <f>Biogasanlæg!A22</f>
        <v>Græs</v>
      </c>
      <c r="D113">
        <f t="shared" si="7"/>
        <v>2030</v>
      </c>
      <c r="E113">
        <f>IF(B113="Vestdanmark",VLOOKUP(C113,Biogasanlæg!$A$39:$E$55,MATCH(D113,Biogasanlæg!$A$38:$E$38,0),FALSE),VLOOKUP(C113,Biogasanlæg!$I$39:$M$55,MATCH(D113,Biogasanlæg!$I$38:$M$38,0),FALSE))</f>
        <v>75614.059561949907</v>
      </c>
    </row>
    <row r="114" spans="1:5" hidden="1" x14ac:dyDescent="0.55000000000000004">
      <c r="A114" t="s">
        <v>110</v>
      </c>
      <c r="B114" t="s">
        <v>23</v>
      </c>
      <c r="C114" s="100" t="str">
        <f>Biogasanlæg!A23</f>
        <v>Majs</v>
      </c>
      <c r="D114">
        <f t="shared" si="7"/>
        <v>2030</v>
      </c>
      <c r="E114">
        <f>IF(B114="Vestdanmark",VLOOKUP(C114,Biogasanlæg!$A$39:$E$55,MATCH(D114,Biogasanlæg!$A$38:$E$38,0),FALSE),VLOOKUP(C114,Biogasanlæg!$I$39:$M$55,MATCH(D114,Biogasanlæg!$I$38:$M$38,0),FALSE))</f>
        <v>314692.31350359169</v>
      </c>
    </row>
    <row r="115" spans="1:5" hidden="1" x14ac:dyDescent="0.55000000000000004">
      <c r="A115" t="s">
        <v>110</v>
      </c>
      <c r="B115" t="s">
        <v>23</v>
      </c>
      <c r="C115" s="100" t="str">
        <f>Biogasanlæg!A24</f>
        <v>Roer</v>
      </c>
      <c r="D115">
        <f t="shared" si="7"/>
        <v>2030</v>
      </c>
      <c r="E115">
        <f>IF(B115="Vestdanmark",VLOOKUP(C115,Biogasanlæg!$A$39:$E$55,MATCH(D115,Biogasanlæg!$A$38:$E$38,0),FALSE),VLOOKUP(C115,Biogasanlæg!$I$39:$M$55,MATCH(D115,Biogasanlæg!$I$38:$M$38,0),FALSE))</f>
        <v>4075.7207832735812</v>
      </c>
    </row>
    <row r="116" spans="1:5" hidden="1" x14ac:dyDescent="0.55000000000000004">
      <c r="A116" t="s">
        <v>110</v>
      </c>
      <c r="B116" t="s">
        <v>23</v>
      </c>
      <c r="C116" s="100" t="str">
        <f>Biogasanlæg!A25</f>
        <v>Have/parkaffald</v>
      </c>
      <c r="D116">
        <f t="shared" si="7"/>
        <v>2030</v>
      </c>
      <c r="E116">
        <f>IF(B116="Vestdanmark",VLOOKUP(C116,Biogasanlæg!$A$39:$E$55,MATCH(D116,Biogasanlæg!$A$38:$E$38,0),FALSE),VLOOKUP(C116,Biogasanlæg!$I$39:$M$55,MATCH(D116,Biogasanlæg!$I$38:$M$38,0),FALSE))</f>
        <v>41.80391161429587</v>
      </c>
    </row>
    <row r="117" spans="1:5" hidden="1" x14ac:dyDescent="0.55000000000000004">
      <c r="A117" t="s">
        <v>110</v>
      </c>
      <c r="B117" t="s">
        <v>23</v>
      </c>
      <c r="C117" s="100" t="str">
        <f>Biogasanlæg!A26</f>
        <v>Glycerin</v>
      </c>
      <c r="D117">
        <f t="shared" si="7"/>
        <v>2030</v>
      </c>
      <c r="E117">
        <f>IF(B117="Vestdanmark",VLOOKUP(C117,Biogasanlæg!$A$39:$E$55,MATCH(D117,Biogasanlæg!$A$38:$E$38,0),FALSE),VLOOKUP(C117,Biogasanlæg!$I$39:$M$55,MATCH(D117,Biogasanlæg!$I$38:$M$38,0),FALSE))</f>
        <v>114193.60000000001</v>
      </c>
    </row>
    <row r="118" spans="1:5" hidden="1" x14ac:dyDescent="0.55000000000000004">
      <c r="A118" t="s">
        <v>110</v>
      </c>
      <c r="B118" t="s">
        <v>23</v>
      </c>
      <c r="C118" s="100" t="str">
        <f>Biogasanlæg!A27</f>
        <v>Muslinger</v>
      </c>
      <c r="D118">
        <f t="shared" si="7"/>
        <v>2030</v>
      </c>
      <c r="E118">
        <f>IF(B118="Vestdanmark",VLOOKUP(C118,Biogasanlæg!$A$39:$E$55,MATCH(D118,Biogasanlæg!$A$38:$E$38,0),FALSE),VLOOKUP(C118,Biogasanlæg!$I$39:$M$55,MATCH(D118,Biogasanlæg!$I$38:$M$38,0),FALSE))</f>
        <v>0</v>
      </c>
    </row>
    <row r="119" spans="1:5" hidden="1" x14ac:dyDescent="0.55000000000000004">
      <c r="A119" t="s">
        <v>110</v>
      </c>
      <c r="B119" t="s">
        <v>23</v>
      </c>
      <c r="C119" s="100" t="str">
        <f>Biogasanlæg!A28</f>
        <v>Tang</v>
      </c>
      <c r="D119">
        <f t="shared" si="7"/>
        <v>2030</v>
      </c>
      <c r="E119">
        <f>IF(B119="Vestdanmark",VLOOKUP(C119,Biogasanlæg!$A$39:$E$55,MATCH(D119,Biogasanlæg!$A$38:$E$38,0),FALSE),VLOOKUP(C119,Biogasanlæg!$I$39:$M$55,MATCH(D119,Biogasanlæg!$I$38:$M$38,0),FALSE))</f>
        <v>0</v>
      </c>
    </row>
    <row r="120" spans="1:5" hidden="1" x14ac:dyDescent="0.55000000000000004">
      <c r="A120" t="s">
        <v>110</v>
      </c>
      <c r="B120" t="s">
        <v>23</v>
      </c>
      <c r="C120" s="102" t="str">
        <f>Biogasanlæg!A12</f>
        <v>Svinegylle</v>
      </c>
      <c r="D120">
        <f t="shared" ref="D120:D136" si="8">År3</f>
        <v>2050</v>
      </c>
      <c r="E120">
        <f>IF(B120="Vestdanmark",VLOOKUP(C120,Biogasanlæg!$A$39:$E$55,MATCH(D120,Biogasanlæg!$A$38:$E$38,0),FALSE),VLOOKUP(C120,Biogasanlæg!$I$39:$M$55,MATCH(D120,Biogasanlæg!$I$38:$M$38,0),FALSE))</f>
        <v>7649114.6368171675</v>
      </c>
    </row>
    <row r="121" spans="1:5" hidden="1" x14ac:dyDescent="0.55000000000000004">
      <c r="A121" t="s">
        <v>110</v>
      </c>
      <c r="B121" t="s">
        <v>23</v>
      </c>
      <c r="C121" s="102" t="str">
        <f>Biogasanlæg!A13</f>
        <v>Kvæggylle</v>
      </c>
      <c r="D121">
        <f t="shared" si="8"/>
        <v>2050</v>
      </c>
      <c r="E121">
        <f>IF(B121="Vestdanmark",VLOOKUP(C121,Biogasanlæg!$A$39:$E$55,MATCH(D121,Biogasanlæg!$A$38:$E$38,0),FALSE),VLOOKUP(C121,Biogasanlæg!$I$39:$M$55,MATCH(D121,Biogasanlæg!$I$38:$M$38,0),FALSE))</f>
        <v>9678908.9419378657</v>
      </c>
    </row>
    <row r="122" spans="1:5" hidden="1" x14ac:dyDescent="0.55000000000000004">
      <c r="A122" t="s">
        <v>110</v>
      </c>
      <c r="B122" t="s">
        <v>23</v>
      </c>
      <c r="C122" s="102" t="str">
        <f>Biogasanlæg!A14</f>
        <v>Fjerkrægylle</v>
      </c>
      <c r="D122">
        <f t="shared" si="8"/>
        <v>2050</v>
      </c>
      <c r="E122">
        <f>IF(B122="Vestdanmark",VLOOKUP(C122,Biogasanlæg!$A$39:$E$55,MATCH(D122,Biogasanlæg!$A$38:$E$38,0),FALSE),VLOOKUP(C122,Biogasanlæg!$I$39:$M$55,MATCH(D122,Biogasanlæg!$I$38:$M$38,0),FALSE))</f>
        <v>4307.7658612412106</v>
      </c>
    </row>
    <row r="123" spans="1:5" hidden="1" x14ac:dyDescent="0.55000000000000004">
      <c r="A123" t="s">
        <v>110</v>
      </c>
      <c r="B123" t="s">
        <v>23</v>
      </c>
      <c r="C123" s="102" t="str">
        <f>Biogasanlæg!A15</f>
        <v>Spildevandsslam</v>
      </c>
      <c r="D123">
        <f t="shared" si="8"/>
        <v>2050</v>
      </c>
      <c r="E123">
        <f>IF(B123="Vestdanmark",VLOOKUP(C123,Biogasanlæg!$A$39:$E$55,MATCH(D123,Biogasanlæg!$A$38:$E$38,0),FALSE),VLOOKUP(C123,Biogasanlæg!$I$39:$M$55,MATCH(D123,Biogasanlæg!$I$38:$M$38,0),FALSE))</f>
        <v>1563200.2483061554</v>
      </c>
    </row>
    <row r="124" spans="1:5" hidden="1" x14ac:dyDescent="0.55000000000000004">
      <c r="A124" t="s">
        <v>110</v>
      </c>
      <c r="B124" t="s">
        <v>23</v>
      </c>
      <c r="C124" s="102" t="str">
        <f>Biogasanlæg!A18</f>
        <v>Bioaffald</v>
      </c>
      <c r="D124">
        <f t="shared" si="8"/>
        <v>2050</v>
      </c>
      <c r="E124">
        <f ca="1">IF(B124="Vestdanmark",VLOOKUP(C124,Biogasanlæg!$A$39:$E$55,MATCH(D124,Biogasanlæg!$A$38:$E$38,0),FALSE),VLOOKUP(C124,Biogasanlæg!$I$39:$M$55,MATCH(D124,Biogasanlæg!$I$38:$M$38,0),FALSE))</f>
        <v>197484.23354298095</v>
      </c>
    </row>
    <row r="125" spans="1:5" hidden="1" x14ac:dyDescent="0.55000000000000004">
      <c r="A125" t="s">
        <v>110</v>
      </c>
      <c r="B125" t="s">
        <v>23</v>
      </c>
      <c r="C125" s="102" t="str">
        <f>Biogasanlæg!A19</f>
        <v>Industriaffald</v>
      </c>
      <c r="D125">
        <f t="shared" si="8"/>
        <v>2050</v>
      </c>
      <c r="E125">
        <f>IF(B125="Vestdanmark",VLOOKUP(C125,Biogasanlæg!$A$39:$E$55,MATCH(D125,Biogasanlæg!$A$38:$E$38,0),FALSE),VLOOKUP(C125,Biogasanlæg!$I$39:$M$55,MATCH(D125,Biogasanlæg!$I$38:$M$38,0),FALSE))</f>
        <v>519697.15308066551</v>
      </c>
    </row>
    <row r="126" spans="1:5" hidden="1" x14ac:dyDescent="0.55000000000000004">
      <c r="A126" t="s">
        <v>110</v>
      </c>
      <c r="B126" t="s">
        <v>23</v>
      </c>
      <c r="C126" s="102" t="str">
        <f>Biogasanlæg!A16</f>
        <v>Dybstrøelse</v>
      </c>
      <c r="D126">
        <f t="shared" si="8"/>
        <v>2050</v>
      </c>
      <c r="E126">
        <f>IF(B126="Vestdanmark",VLOOKUP(C126,Biogasanlæg!$A$39:$E$55,MATCH(D126,Biogasanlæg!$A$38:$E$38,0),FALSE),VLOOKUP(C126,Biogasanlæg!$I$39:$M$55,MATCH(D126,Biogasanlæg!$I$38:$M$38,0),FALSE))</f>
        <v>1388988.8638442878</v>
      </c>
    </row>
    <row r="127" spans="1:5" hidden="1" x14ac:dyDescent="0.55000000000000004">
      <c r="A127" t="s">
        <v>110</v>
      </c>
      <c r="B127" t="s">
        <v>23</v>
      </c>
      <c r="C127" s="102" t="str">
        <f>Biogasanlæg!A17</f>
        <v>Brun saft</v>
      </c>
      <c r="D127">
        <f t="shared" si="8"/>
        <v>2050</v>
      </c>
      <c r="E127">
        <f>IF(B127="Vestdanmark",VLOOKUP(C127,Biogasanlæg!$A$39:$E$55,MATCH(D127,Biogasanlæg!$A$38:$E$38,0),FALSE),VLOOKUP(C127,Biogasanlæg!$I$39:$M$55,MATCH(D127,Biogasanlæg!$I$38:$M$38,0),FALSE))</f>
        <v>0</v>
      </c>
    </row>
    <row r="128" spans="1:5" hidden="1" x14ac:dyDescent="0.55000000000000004">
      <c r="A128" t="s">
        <v>110</v>
      </c>
      <c r="B128" t="s">
        <v>23</v>
      </c>
      <c r="C128" s="102" t="str">
        <f>Biogasanlæg!A20</f>
        <v>Halm</v>
      </c>
      <c r="D128">
        <f t="shared" si="8"/>
        <v>2050</v>
      </c>
      <c r="E128">
        <f>IF(B128="Vestdanmark",VLOOKUP(C128,Biogasanlæg!$A$39:$E$55,MATCH(D128,Biogasanlæg!$A$38:$E$38,0),FALSE),VLOOKUP(C128,Biogasanlæg!$I$39:$M$55,MATCH(D128,Biogasanlæg!$I$38:$M$38,0),FALSE))</f>
        <v>52543.907435919093</v>
      </c>
    </row>
    <row r="129" spans="1:5" hidden="1" x14ac:dyDescent="0.55000000000000004">
      <c r="A129" t="s">
        <v>110</v>
      </c>
      <c r="B129" t="s">
        <v>23</v>
      </c>
      <c r="C129" s="102" t="str">
        <f>Biogasanlæg!A21</f>
        <v>Korn</v>
      </c>
      <c r="D129">
        <f t="shared" si="8"/>
        <v>2050</v>
      </c>
      <c r="E129">
        <f>IF(B129="Vestdanmark",VLOOKUP(C129,Biogasanlæg!$A$39:$E$55,MATCH(D129,Biogasanlæg!$A$38:$E$38,0),FALSE),VLOOKUP(C129,Biogasanlæg!$I$39:$M$55,MATCH(D129,Biogasanlæg!$I$38:$M$38,0),FALSE))</f>
        <v>2825.7560217041437</v>
      </c>
    </row>
    <row r="130" spans="1:5" hidden="1" x14ac:dyDescent="0.55000000000000004">
      <c r="A130" t="s">
        <v>110</v>
      </c>
      <c r="B130" t="s">
        <v>23</v>
      </c>
      <c r="C130" s="102" t="str">
        <f>Biogasanlæg!A22</f>
        <v>Græs</v>
      </c>
      <c r="D130">
        <f t="shared" si="8"/>
        <v>2050</v>
      </c>
      <c r="E130">
        <f>IF(B130="Vestdanmark",VLOOKUP(C130,Biogasanlæg!$A$39:$E$55,MATCH(D130,Biogasanlæg!$A$38:$E$38,0),FALSE),VLOOKUP(C130,Biogasanlæg!$I$39:$M$55,MATCH(D130,Biogasanlæg!$I$38:$M$38,0),FALSE))</f>
        <v>75527.053678542041</v>
      </c>
    </row>
    <row r="131" spans="1:5" hidden="1" x14ac:dyDescent="0.55000000000000004">
      <c r="A131" t="s">
        <v>110</v>
      </c>
      <c r="B131" t="s">
        <v>23</v>
      </c>
      <c r="C131" s="102" t="str">
        <f>Biogasanlæg!A23</f>
        <v>Majs</v>
      </c>
      <c r="D131">
        <f t="shared" si="8"/>
        <v>2050</v>
      </c>
      <c r="E131">
        <f>IF(B131="Vestdanmark",VLOOKUP(C131,Biogasanlæg!$A$39:$E$55,MATCH(D131,Biogasanlæg!$A$38:$E$38,0),FALSE),VLOOKUP(C131,Biogasanlæg!$I$39:$M$55,MATCH(D131,Biogasanlæg!$I$38:$M$38,0),FALSE))</f>
        <v>314525.12457946909</v>
      </c>
    </row>
    <row r="132" spans="1:5" hidden="1" x14ac:dyDescent="0.55000000000000004">
      <c r="A132" t="s">
        <v>110</v>
      </c>
      <c r="B132" t="s">
        <v>23</v>
      </c>
      <c r="C132" s="102" t="str">
        <f>Biogasanlæg!A24</f>
        <v>Roer</v>
      </c>
      <c r="D132">
        <f t="shared" si="8"/>
        <v>2050</v>
      </c>
      <c r="E132">
        <f>IF(B132="Vestdanmark",VLOOKUP(C132,Biogasanlæg!$A$39:$E$55,MATCH(D132,Biogasanlæg!$A$38:$E$38,0),FALSE),VLOOKUP(C132,Biogasanlæg!$I$39:$M$55,MATCH(D132,Biogasanlæg!$I$38:$M$38,0),FALSE))</f>
        <v>4034.07077562927</v>
      </c>
    </row>
    <row r="133" spans="1:5" hidden="1" x14ac:dyDescent="0.55000000000000004">
      <c r="A133" t="s">
        <v>110</v>
      </c>
      <c r="B133" t="s">
        <v>23</v>
      </c>
      <c r="C133" s="102" t="str">
        <f>Biogasanlæg!A25</f>
        <v>Have/parkaffald</v>
      </c>
      <c r="D133">
        <f t="shared" si="8"/>
        <v>2050</v>
      </c>
      <c r="E133">
        <f>IF(B133="Vestdanmark",VLOOKUP(C133,Biogasanlæg!$A$39:$E$55,MATCH(D133,Biogasanlæg!$A$38:$E$38,0),FALSE),VLOOKUP(C133,Biogasanlæg!$I$39:$M$55,MATCH(D133,Biogasanlæg!$I$38:$M$38,0),FALSE))</f>
        <v>41.656918132692169</v>
      </c>
    </row>
    <row r="134" spans="1:5" hidden="1" x14ac:dyDescent="0.55000000000000004">
      <c r="A134" t="s">
        <v>110</v>
      </c>
      <c r="B134" t="s">
        <v>23</v>
      </c>
      <c r="C134" s="102" t="str">
        <f>Biogasanlæg!A26</f>
        <v>Glycerin</v>
      </c>
      <c r="D134">
        <f t="shared" si="8"/>
        <v>2050</v>
      </c>
      <c r="E134">
        <f>IF(B134="Vestdanmark",VLOOKUP(C134,Biogasanlæg!$A$39:$E$55,MATCH(D134,Biogasanlæg!$A$38:$E$38,0),FALSE),VLOOKUP(C134,Biogasanlæg!$I$39:$M$55,MATCH(D134,Biogasanlæg!$I$38:$M$38,0),FALSE))</f>
        <v>114193.60000000001</v>
      </c>
    </row>
    <row r="135" spans="1:5" hidden="1" x14ac:dyDescent="0.55000000000000004">
      <c r="A135" t="s">
        <v>110</v>
      </c>
      <c r="B135" t="s">
        <v>23</v>
      </c>
      <c r="C135" s="102" t="str">
        <f>Biogasanlæg!A27</f>
        <v>Muslinger</v>
      </c>
      <c r="D135">
        <f t="shared" si="8"/>
        <v>2050</v>
      </c>
      <c r="E135">
        <f>IF(B135="Vestdanmark",VLOOKUP(C135,Biogasanlæg!$A$39:$E$55,MATCH(D135,Biogasanlæg!$A$38:$E$38,0),FALSE),VLOOKUP(C135,Biogasanlæg!$I$39:$M$55,MATCH(D135,Biogasanlæg!$I$38:$M$38,0),FALSE))</f>
        <v>0</v>
      </c>
    </row>
    <row r="136" spans="1:5" hidden="1" x14ac:dyDescent="0.55000000000000004">
      <c r="A136" t="s">
        <v>110</v>
      </c>
      <c r="B136" t="s">
        <v>23</v>
      </c>
      <c r="C136" s="102" t="str">
        <f>Biogasanlæg!A28</f>
        <v>Tang</v>
      </c>
      <c r="D136">
        <f t="shared" si="8"/>
        <v>2050</v>
      </c>
      <c r="E136">
        <f>IF(B136="Vestdanmark",VLOOKUP(C136,Biogasanlæg!$A$39:$E$55,MATCH(D136,Biogasanlæg!$A$38:$E$38,0),FALSE),VLOOKUP(C136,Biogasanlæg!$I$39:$M$55,MATCH(D136,Biogasanlæg!$I$38:$M$38,0),FALSE))</f>
        <v>0</v>
      </c>
    </row>
    <row r="137" spans="1:5" hidden="1" x14ac:dyDescent="0.55000000000000004">
      <c r="A137" t="s">
        <v>110</v>
      </c>
      <c r="B137" t="s">
        <v>24</v>
      </c>
      <c r="C137" s="102" t="str">
        <f>Biogasanlæg!A12</f>
        <v>Svinegylle</v>
      </c>
      <c r="D137">
        <f t="shared" ref="D137:D153" si="9">År1</f>
        <v>2019</v>
      </c>
      <c r="E137">
        <f>IF(B137="Vestdanmark",VLOOKUP(C137,Biogasanlæg!$A$39:$E$55,MATCH(D137,Biogasanlæg!$A$38:$E$38,0),FALSE),VLOOKUP(C137,Biogasanlæg!$I$39:$M$55,MATCH(D137,Biogasanlæg!$I$38:$M$38,0),FALSE))</f>
        <v>380427.26035611134</v>
      </c>
    </row>
    <row r="138" spans="1:5" hidden="1" x14ac:dyDescent="0.55000000000000004">
      <c r="A138" t="s">
        <v>110</v>
      </c>
      <c r="B138" t="s">
        <v>24</v>
      </c>
      <c r="C138" s="102" t="str">
        <f>Biogasanlæg!A13</f>
        <v>Kvæggylle</v>
      </c>
      <c r="D138">
        <f t="shared" si="9"/>
        <v>2019</v>
      </c>
      <c r="E138">
        <f>IF(B138="Vestdanmark",VLOOKUP(C138,Biogasanlæg!$A$39:$E$55,MATCH(D138,Biogasanlæg!$A$38:$E$38,0),FALSE),VLOOKUP(C138,Biogasanlæg!$I$39:$M$55,MATCH(D138,Biogasanlæg!$I$38:$M$38,0),FALSE))</f>
        <v>286645.05985025823</v>
      </c>
    </row>
    <row r="139" spans="1:5" hidden="1" x14ac:dyDescent="0.55000000000000004">
      <c r="A139" t="s">
        <v>110</v>
      </c>
      <c r="B139" t="s">
        <v>24</v>
      </c>
      <c r="C139" s="102" t="str">
        <f>Biogasanlæg!A14</f>
        <v>Fjerkrægylle</v>
      </c>
      <c r="D139">
        <f t="shared" si="9"/>
        <v>2019</v>
      </c>
      <c r="E139">
        <f>IF(B139="Vestdanmark",VLOOKUP(C139,Biogasanlæg!$A$39:$E$55,MATCH(D139,Biogasanlæg!$A$38:$E$38,0),FALSE),VLOOKUP(C139,Biogasanlæg!$I$39:$M$55,MATCH(D139,Biogasanlæg!$I$38:$M$38,0),FALSE))</f>
        <v>337.693821952441</v>
      </c>
    </row>
    <row r="140" spans="1:5" hidden="1" x14ac:dyDescent="0.55000000000000004">
      <c r="A140" t="s">
        <v>110</v>
      </c>
      <c r="B140" t="s">
        <v>24</v>
      </c>
      <c r="C140" s="102" t="str">
        <f>Biogasanlæg!A15</f>
        <v>Spildevandsslam</v>
      </c>
      <c r="D140">
        <f t="shared" si="9"/>
        <v>2019</v>
      </c>
      <c r="E140">
        <f>IF(B140="Vestdanmark",VLOOKUP(C140,Biogasanlæg!$A$39:$E$55,MATCH(D140,Biogasanlæg!$A$38:$E$38,0),FALSE),VLOOKUP(C140,Biogasanlæg!$I$39:$M$55,MATCH(D140,Biogasanlæg!$I$38:$M$38,0),FALSE))</f>
        <v>1208651.4125341829</v>
      </c>
    </row>
    <row r="141" spans="1:5" hidden="1" x14ac:dyDescent="0.55000000000000004">
      <c r="A141" t="s">
        <v>110</v>
      </c>
      <c r="B141" t="s">
        <v>24</v>
      </c>
      <c r="C141" s="102" t="str">
        <f>Biogasanlæg!A18</f>
        <v>Bioaffald</v>
      </c>
      <c r="D141">
        <f t="shared" si="9"/>
        <v>2019</v>
      </c>
      <c r="E141">
        <f ca="1">IF(B141="Vestdanmark",VLOOKUP(C141,Biogasanlæg!$A$39:$E$55,MATCH(D141,Biogasanlæg!$A$38:$E$38,0),FALSE),VLOOKUP(C141,Biogasanlæg!$I$39:$M$55,MATCH(D141,Biogasanlæg!$I$38:$M$38,0),FALSE))</f>
        <v>335590.35573220561</v>
      </c>
    </row>
    <row r="142" spans="1:5" hidden="1" x14ac:dyDescent="0.55000000000000004">
      <c r="A142" t="s">
        <v>110</v>
      </c>
      <c r="B142" t="s">
        <v>24</v>
      </c>
      <c r="C142" s="102" t="str">
        <f>Biogasanlæg!A19</f>
        <v>Industriaffald</v>
      </c>
      <c r="D142">
        <f t="shared" si="9"/>
        <v>2019</v>
      </c>
      <c r="E142">
        <f>IF(B142="Vestdanmark",VLOOKUP(C142,Biogasanlæg!$A$39:$E$55,MATCH(D142,Biogasanlæg!$A$38:$E$38,0),FALSE),VLOOKUP(C142,Biogasanlæg!$I$39:$M$55,MATCH(D142,Biogasanlæg!$I$38:$M$38,0),FALSE))</f>
        <v>279550.24796430691</v>
      </c>
    </row>
    <row r="143" spans="1:5" hidden="1" x14ac:dyDescent="0.55000000000000004">
      <c r="A143" t="s">
        <v>110</v>
      </c>
      <c r="B143" t="s">
        <v>24</v>
      </c>
      <c r="C143" s="102" t="str">
        <f>Biogasanlæg!A16</f>
        <v>Dybstrøelse</v>
      </c>
      <c r="D143">
        <f t="shared" si="9"/>
        <v>2019</v>
      </c>
      <c r="E143">
        <f>IF(B143="Vestdanmark",VLOOKUP(C143,Biogasanlæg!$A$39:$E$55,MATCH(D143,Biogasanlæg!$A$38:$E$38,0),FALSE),VLOOKUP(C143,Biogasanlæg!$I$39:$M$55,MATCH(D143,Biogasanlæg!$I$38:$M$38,0),FALSE))</f>
        <v>85892.328449707566</v>
      </c>
    </row>
    <row r="144" spans="1:5" hidden="1" x14ac:dyDescent="0.55000000000000004">
      <c r="A144" t="s">
        <v>110</v>
      </c>
      <c r="B144" t="s">
        <v>24</v>
      </c>
      <c r="C144" s="102" t="str">
        <f>Biogasanlæg!A17</f>
        <v>Brun saft</v>
      </c>
      <c r="D144">
        <f t="shared" si="9"/>
        <v>2019</v>
      </c>
      <c r="E144">
        <f>IF(B144="Vestdanmark",VLOOKUP(C144,Biogasanlæg!$A$39:$E$55,MATCH(D144,Biogasanlæg!$A$38:$E$38,0),FALSE),VLOOKUP(C144,Biogasanlæg!$I$39:$M$55,MATCH(D144,Biogasanlæg!$I$38:$M$38,0),FALSE))</f>
        <v>0</v>
      </c>
    </row>
    <row r="145" spans="1:5" hidden="1" x14ac:dyDescent="0.55000000000000004">
      <c r="A145" t="s">
        <v>110</v>
      </c>
      <c r="B145" t="s">
        <v>24</v>
      </c>
      <c r="C145" s="102" t="str">
        <f>Biogasanlæg!A20</f>
        <v>Halm</v>
      </c>
      <c r="D145">
        <f t="shared" si="9"/>
        <v>2019</v>
      </c>
      <c r="E145">
        <f>IF(B145="Vestdanmark",VLOOKUP(C145,Biogasanlæg!$A$39:$E$55,MATCH(D145,Biogasanlæg!$A$38:$E$38,0),FALSE),VLOOKUP(C145,Biogasanlæg!$I$39:$M$55,MATCH(D145,Biogasanlæg!$I$38:$M$38,0),FALSE))</f>
        <v>22795.107252838847</v>
      </c>
    </row>
    <row r="146" spans="1:5" hidden="1" x14ac:dyDescent="0.55000000000000004">
      <c r="A146" t="s">
        <v>110</v>
      </c>
      <c r="B146" t="s">
        <v>24</v>
      </c>
      <c r="C146" s="102" t="str">
        <f>Biogasanlæg!A21</f>
        <v>Korn</v>
      </c>
      <c r="D146">
        <f t="shared" si="9"/>
        <v>2019</v>
      </c>
      <c r="E146">
        <f>IF(B146="Vestdanmark",VLOOKUP(C146,Biogasanlæg!$A$39:$E$55,MATCH(D146,Biogasanlæg!$A$38:$E$38,0),FALSE),VLOOKUP(C146,Biogasanlæg!$I$39:$M$55,MATCH(D146,Biogasanlæg!$I$38:$M$38,0),FALSE))</f>
        <v>945.81467090137289</v>
      </c>
    </row>
    <row r="147" spans="1:5" hidden="1" x14ac:dyDescent="0.55000000000000004">
      <c r="A147" t="s">
        <v>110</v>
      </c>
      <c r="B147" t="s">
        <v>24</v>
      </c>
      <c r="C147" s="102" t="str">
        <f>Biogasanlæg!A22</f>
        <v>Græs</v>
      </c>
      <c r="D147">
        <f t="shared" si="9"/>
        <v>2019</v>
      </c>
      <c r="E147">
        <f>IF(B147="Vestdanmark",VLOOKUP(C147,Biogasanlæg!$A$39:$E$55,MATCH(D147,Biogasanlæg!$A$38:$E$38,0),FALSE),VLOOKUP(C147,Biogasanlæg!$I$39:$M$55,MATCH(D147,Biogasanlæg!$I$38:$M$38,0),FALSE))</f>
        <v>9930.836100337272</v>
      </c>
    </row>
    <row r="148" spans="1:5" hidden="1" x14ac:dyDescent="0.55000000000000004">
      <c r="A148" t="s">
        <v>110</v>
      </c>
      <c r="B148" t="s">
        <v>24</v>
      </c>
      <c r="C148" s="102" t="str">
        <f>Biogasanlæg!A23</f>
        <v>Majs</v>
      </c>
      <c r="D148">
        <f t="shared" si="9"/>
        <v>2019</v>
      </c>
      <c r="E148">
        <f>IF(B148="Vestdanmark",VLOOKUP(C148,Biogasanlæg!$A$39:$E$55,MATCH(D148,Biogasanlæg!$A$38:$E$38,0),FALSE),VLOOKUP(C148,Biogasanlæg!$I$39:$M$55,MATCH(D148,Biogasanlæg!$I$38:$M$38,0),FALSE))</f>
        <v>15204.565068438918</v>
      </c>
    </row>
    <row r="149" spans="1:5" hidden="1" x14ac:dyDescent="0.55000000000000004">
      <c r="A149" t="s">
        <v>110</v>
      </c>
      <c r="B149" t="s">
        <v>24</v>
      </c>
      <c r="C149" s="102" t="str">
        <f>Biogasanlæg!A24</f>
        <v>Roer</v>
      </c>
      <c r="D149">
        <f t="shared" si="9"/>
        <v>2019</v>
      </c>
      <c r="E149">
        <f>IF(B149="Vestdanmark",VLOOKUP(C149,Biogasanlæg!$A$39:$E$55,MATCH(D149,Biogasanlæg!$A$38:$E$38,0),FALSE),VLOOKUP(C149,Biogasanlæg!$I$39:$M$55,MATCH(D149,Biogasanlæg!$I$38:$M$38,0),FALSE))</f>
        <v>24543.951075802775</v>
      </c>
    </row>
    <row r="150" spans="1:5" hidden="1" x14ac:dyDescent="0.55000000000000004">
      <c r="A150" t="s">
        <v>110</v>
      </c>
      <c r="B150" t="s">
        <v>24</v>
      </c>
      <c r="C150" s="102" t="str">
        <f>Biogasanlæg!A25</f>
        <v>Have/parkaffald</v>
      </c>
      <c r="D150">
        <f t="shared" si="9"/>
        <v>2019</v>
      </c>
      <c r="E150">
        <f>IF(B150="Vestdanmark",VLOOKUP(C150,Biogasanlæg!$A$39:$E$55,MATCH(D150,Biogasanlæg!$A$38:$E$38,0),FALSE),VLOOKUP(C150,Biogasanlæg!$I$39:$M$55,MATCH(D150,Biogasanlæg!$I$38:$M$38,0),FALSE))</f>
        <v>35.900188095894634</v>
      </c>
    </row>
    <row r="151" spans="1:5" hidden="1" x14ac:dyDescent="0.55000000000000004">
      <c r="A151" t="s">
        <v>110</v>
      </c>
      <c r="B151" t="s">
        <v>24</v>
      </c>
      <c r="C151" s="102" t="str">
        <f>Biogasanlæg!A26</f>
        <v>Glycerin</v>
      </c>
      <c r="D151">
        <f t="shared" si="9"/>
        <v>2019</v>
      </c>
      <c r="E151">
        <f>IF(B151="Vestdanmark",VLOOKUP(C151,Biogasanlæg!$A$39:$E$55,MATCH(D151,Biogasanlæg!$A$38:$E$38,0),FALSE),VLOOKUP(C151,Biogasanlæg!$I$39:$M$55,MATCH(D151,Biogasanlæg!$I$38:$M$38,0),FALSE))</f>
        <v>28548.400000000001</v>
      </c>
    </row>
    <row r="152" spans="1:5" hidden="1" x14ac:dyDescent="0.55000000000000004">
      <c r="A152" t="s">
        <v>110</v>
      </c>
      <c r="B152" t="s">
        <v>24</v>
      </c>
      <c r="C152" s="102" t="str">
        <f>Biogasanlæg!A27</f>
        <v>Muslinger</v>
      </c>
      <c r="D152">
        <f t="shared" si="9"/>
        <v>2019</v>
      </c>
      <c r="E152">
        <f>IF(B152="Vestdanmark",VLOOKUP(C152,Biogasanlæg!$A$39:$E$55,MATCH(D152,Biogasanlæg!$A$38:$E$38,0),FALSE),VLOOKUP(C152,Biogasanlæg!$I$39:$M$55,MATCH(D152,Biogasanlæg!$I$38:$M$38,0),FALSE))</f>
        <v>0</v>
      </c>
    </row>
    <row r="153" spans="1:5" hidden="1" x14ac:dyDescent="0.55000000000000004">
      <c r="A153" t="s">
        <v>110</v>
      </c>
      <c r="B153" t="s">
        <v>24</v>
      </c>
      <c r="C153" s="102" t="str">
        <f>Biogasanlæg!A28</f>
        <v>Tang</v>
      </c>
      <c r="D153">
        <f t="shared" si="9"/>
        <v>2019</v>
      </c>
      <c r="E153">
        <f>IF(B153="Vestdanmark",VLOOKUP(C153,Biogasanlæg!$A$39:$E$55,MATCH(D153,Biogasanlæg!$A$38:$E$38,0),FALSE),VLOOKUP(C153,Biogasanlæg!$I$39:$M$55,MATCH(D153,Biogasanlæg!$I$38:$M$38,0),FALSE))</f>
        <v>0</v>
      </c>
    </row>
    <row r="154" spans="1:5" hidden="1" x14ac:dyDescent="0.55000000000000004">
      <c r="A154" t="s">
        <v>110</v>
      </c>
      <c r="B154" t="s">
        <v>24</v>
      </c>
      <c r="C154" s="102" t="str">
        <f>Biogasanlæg!A12</f>
        <v>Svinegylle</v>
      </c>
      <c r="D154">
        <f t="shared" ref="D154:D170" si="10">År2</f>
        <v>2030</v>
      </c>
      <c r="E154">
        <f>IF(B154="Vestdanmark",VLOOKUP(C154,Biogasanlæg!$A$39:$E$55,MATCH(D154,Biogasanlæg!$A$38:$E$38,0),FALSE),VLOOKUP(C154,Biogasanlæg!$I$39:$M$55,MATCH(D154,Biogasanlæg!$I$38:$M$38,0),FALSE))</f>
        <v>1157678.9141627084</v>
      </c>
    </row>
    <row r="155" spans="1:5" hidden="1" x14ac:dyDescent="0.55000000000000004">
      <c r="A155" t="s">
        <v>110</v>
      </c>
      <c r="B155" t="s">
        <v>24</v>
      </c>
      <c r="C155" s="102" t="str">
        <f>Biogasanlæg!A13</f>
        <v>Kvæggylle</v>
      </c>
      <c r="D155">
        <f t="shared" si="10"/>
        <v>2030</v>
      </c>
      <c r="E155">
        <f>IF(B155="Vestdanmark",VLOOKUP(C155,Biogasanlæg!$A$39:$E$55,MATCH(D155,Biogasanlæg!$A$38:$E$38,0),FALSE),VLOOKUP(C155,Biogasanlæg!$I$39:$M$55,MATCH(D155,Biogasanlæg!$I$38:$M$38,0),FALSE))</f>
        <v>701319.77122631879</v>
      </c>
    </row>
    <row r="156" spans="1:5" hidden="1" x14ac:dyDescent="0.55000000000000004">
      <c r="A156" t="s">
        <v>110</v>
      </c>
      <c r="B156" t="s">
        <v>24</v>
      </c>
      <c r="C156" s="102" t="str">
        <f>Biogasanlæg!A14</f>
        <v>Fjerkrægylle</v>
      </c>
      <c r="D156">
        <f t="shared" si="10"/>
        <v>2030</v>
      </c>
      <c r="E156">
        <f>IF(B156="Vestdanmark",VLOOKUP(C156,Biogasanlæg!$A$39:$E$55,MATCH(D156,Biogasanlæg!$A$38:$E$38,0),FALSE),VLOOKUP(C156,Biogasanlæg!$I$39:$M$55,MATCH(D156,Biogasanlæg!$I$38:$M$38,0),FALSE))</f>
        <v>350.10096257642732</v>
      </c>
    </row>
    <row r="157" spans="1:5" hidden="1" x14ac:dyDescent="0.55000000000000004">
      <c r="A157" t="s">
        <v>110</v>
      </c>
      <c r="B157" t="s">
        <v>24</v>
      </c>
      <c r="C157" s="102" t="str">
        <f>Biogasanlæg!A15</f>
        <v>Spildevandsslam</v>
      </c>
      <c r="D157">
        <f t="shared" si="10"/>
        <v>2030</v>
      </c>
      <c r="E157">
        <f>IF(B157="Vestdanmark",VLOOKUP(C157,Biogasanlæg!$A$39:$E$55,MATCH(D157,Biogasanlæg!$A$38:$E$38,0),FALSE),VLOOKUP(C157,Biogasanlæg!$I$39:$M$55,MATCH(D157,Biogasanlæg!$I$38:$M$38,0),FALSE))</f>
        <v>1268228.6485488336</v>
      </c>
    </row>
    <row r="158" spans="1:5" hidden="1" x14ac:dyDescent="0.55000000000000004">
      <c r="A158" t="s">
        <v>110</v>
      </c>
      <c r="B158" t="s">
        <v>24</v>
      </c>
      <c r="C158" s="102" t="str">
        <f>Biogasanlæg!A18</f>
        <v>Bioaffald</v>
      </c>
      <c r="D158">
        <f t="shared" si="10"/>
        <v>2030</v>
      </c>
      <c r="E158">
        <f ca="1">IF(B158="Vestdanmark",VLOOKUP(C158,Biogasanlæg!$A$39:$E$55,MATCH(D158,Biogasanlæg!$A$38:$E$38,0),FALSE),VLOOKUP(C158,Biogasanlæg!$I$39:$M$55,MATCH(D158,Biogasanlæg!$I$38:$M$38,0),FALSE))</f>
        <v>168912.75887120995</v>
      </c>
    </row>
    <row r="159" spans="1:5" hidden="1" x14ac:dyDescent="0.55000000000000004">
      <c r="A159" t="s">
        <v>110</v>
      </c>
      <c r="B159" t="s">
        <v>24</v>
      </c>
      <c r="C159" s="102" t="str">
        <f>Biogasanlæg!A19</f>
        <v>Industriaffald</v>
      </c>
      <c r="D159">
        <f t="shared" si="10"/>
        <v>2030</v>
      </c>
      <c r="E159">
        <f>IF(B159="Vestdanmark",VLOOKUP(C159,Biogasanlæg!$A$39:$E$55,MATCH(D159,Biogasanlæg!$A$38:$E$38,0),FALSE),VLOOKUP(C159,Biogasanlæg!$I$39:$M$55,MATCH(D159,Biogasanlæg!$I$38:$M$38,0),FALSE))</f>
        <v>202910.8690139266</v>
      </c>
    </row>
    <row r="160" spans="1:5" hidden="1" x14ac:dyDescent="0.55000000000000004">
      <c r="A160" t="s">
        <v>110</v>
      </c>
      <c r="B160" t="s">
        <v>24</v>
      </c>
      <c r="C160" s="102" t="str">
        <f>Biogasanlæg!A16</f>
        <v>Dybstrøelse</v>
      </c>
      <c r="D160">
        <f t="shared" si="10"/>
        <v>2030</v>
      </c>
      <c r="E160">
        <f>IF(B160="Vestdanmark",VLOOKUP(C160,Biogasanlæg!$A$39:$E$55,MATCH(D160,Biogasanlæg!$A$38:$E$38,0),FALSE),VLOOKUP(C160,Biogasanlæg!$I$39:$M$55,MATCH(D160,Biogasanlæg!$I$38:$M$38,0),FALSE))</f>
        <v>179027.55479609076</v>
      </c>
    </row>
    <row r="161" spans="1:5" hidden="1" x14ac:dyDescent="0.55000000000000004">
      <c r="A161" t="s">
        <v>110</v>
      </c>
      <c r="B161" t="s">
        <v>24</v>
      </c>
      <c r="C161" s="102" t="str">
        <f>Biogasanlæg!A17</f>
        <v>Brun saft</v>
      </c>
      <c r="D161">
        <f t="shared" si="10"/>
        <v>2030</v>
      </c>
      <c r="E161">
        <f>IF(B161="Vestdanmark",VLOOKUP(C161,Biogasanlæg!$A$39:$E$55,MATCH(D161,Biogasanlæg!$A$38:$E$38,0),FALSE),VLOOKUP(C161,Biogasanlæg!$I$39:$M$55,MATCH(D161,Biogasanlæg!$I$38:$M$38,0),FALSE))</f>
        <v>0</v>
      </c>
    </row>
    <row r="162" spans="1:5" hidden="1" x14ac:dyDescent="0.55000000000000004">
      <c r="A162" t="s">
        <v>110</v>
      </c>
      <c r="B162" t="s">
        <v>24</v>
      </c>
      <c r="C162" s="102" t="str">
        <f>Biogasanlæg!A20</f>
        <v>Halm</v>
      </c>
      <c r="D162">
        <f t="shared" si="10"/>
        <v>2030</v>
      </c>
      <c r="E162">
        <f>IF(B162="Vestdanmark",VLOOKUP(C162,Biogasanlæg!$A$39:$E$55,MATCH(D162,Biogasanlæg!$A$38:$E$38,0),FALSE),VLOOKUP(C162,Biogasanlæg!$I$39:$M$55,MATCH(D162,Biogasanlæg!$I$38:$M$38,0),FALSE))</f>
        <v>21802.990649872077</v>
      </c>
    </row>
    <row r="163" spans="1:5" hidden="1" x14ac:dyDescent="0.55000000000000004">
      <c r="A163" t="s">
        <v>110</v>
      </c>
      <c r="B163" t="s">
        <v>24</v>
      </c>
      <c r="C163" s="102" t="str">
        <f>Biogasanlæg!A21</f>
        <v>Korn</v>
      </c>
      <c r="D163">
        <f t="shared" si="10"/>
        <v>2030</v>
      </c>
      <c r="E163">
        <f>IF(B163="Vestdanmark",VLOOKUP(C163,Biogasanlæg!$A$39:$E$55,MATCH(D163,Biogasanlæg!$A$38:$E$38,0),FALSE),VLOOKUP(C163,Biogasanlæg!$I$39:$M$55,MATCH(D163,Biogasanlæg!$I$38:$M$38,0),FALSE))</f>
        <v>902.58897857101761</v>
      </c>
    </row>
    <row r="164" spans="1:5" hidden="1" x14ac:dyDescent="0.55000000000000004">
      <c r="A164" t="s">
        <v>110</v>
      </c>
      <c r="B164" t="s">
        <v>24</v>
      </c>
      <c r="C164" s="102" t="str">
        <f>Biogasanlæg!A22</f>
        <v>Græs</v>
      </c>
      <c r="D164">
        <f t="shared" si="10"/>
        <v>2030</v>
      </c>
      <c r="E164">
        <f>IF(B164="Vestdanmark",VLOOKUP(C164,Biogasanlæg!$A$39:$E$55,MATCH(D164,Biogasanlæg!$A$38:$E$38,0),FALSE),VLOOKUP(C164,Biogasanlæg!$I$39:$M$55,MATCH(D164,Biogasanlæg!$I$38:$M$38,0),FALSE))</f>
        <v>10062.940438050116</v>
      </c>
    </row>
    <row r="165" spans="1:5" hidden="1" x14ac:dyDescent="0.55000000000000004">
      <c r="A165" t="s">
        <v>110</v>
      </c>
      <c r="B165" t="s">
        <v>24</v>
      </c>
      <c r="C165" s="102" t="str">
        <f>Biogasanlæg!A23</f>
        <v>Majs</v>
      </c>
      <c r="D165">
        <f t="shared" si="10"/>
        <v>2030</v>
      </c>
      <c r="E165">
        <f>IF(B165="Vestdanmark",VLOOKUP(C165,Biogasanlæg!$A$39:$E$55,MATCH(D165,Biogasanlæg!$A$38:$E$38,0),FALSE),VLOOKUP(C165,Biogasanlæg!$I$39:$M$55,MATCH(D165,Biogasanlæg!$I$38:$M$38,0),FALSE))</f>
        <v>15333.686496408332</v>
      </c>
    </row>
    <row r="166" spans="1:5" hidden="1" x14ac:dyDescent="0.55000000000000004">
      <c r="A166" t="s">
        <v>110</v>
      </c>
      <c r="B166" t="s">
        <v>24</v>
      </c>
      <c r="C166" s="102" t="str">
        <f>Biogasanlæg!A24</f>
        <v>Roer</v>
      </c>
      <c r="D166">
        <f t="shared" si="10"/>
        <v>2030</v>
      </c>
      <c r="E166">
        <f>IF(B166="Vestdanmark",VLOOKUP(C166,Biogasanlæg!$A$39:$E$55,MATCH(D166,Biogasanlæg!$A$38:$E$38,0),FALSE),VLOOKUP(C166,Biogasanlæg!$I$39:$M$55,MATCH(D166,Biogasanlæg!$I$38:$M$38,0),FALSE))</f>
        <v>24569.279216726416</v>
      </c>
    </row>
    <row r="167" spans="1:5" hidden="1" x14ac:dyDescent="0.55000000000000004">
      <c r="A167" t="s">
        <v>110</v>
      </c>
      <c r="B167" t="s">
        <v>24</v>
      </c>
      <c r="C167" s="102" t="str">
        <f>Biogasanlæg!A25</f>
        <v>Have/parkaffald</v>
      </c>
      <c r="D167">
        <f t="shared" si="10"/>
        <v>2030</v>
      </c>
      <c r="E167">
        <f>IF(B167="Vestdanmark",VLOOKUP(C167,Biogasanlæg!$A$39:$E$55,MATCH(D167,Biogasanlæg!$A$38:$E$38,0),FALSE),VLOOKUP(C167,Biogasanlæg!$I$39:$M$55,MATCH(D167,Biogasanlæg!$I$38:$M$38,0),FALSE))</f>
        <v>36.19608838570413</v>
      </c>
    </row>
    <row r="168" spans="1:5" hidden="1" x14ac:dyDescent="0.55000000000000004">
      <c r="A168" t="s">
        <v>110</v>
      </c>
      <c r="B168" t="s">
        <v>24</v>
      </c>
      <c r="C168" s="102" t="str">
        <f>Biogasanlæg!A26</f>
        <v>Glycerin</v>
      </c>
      <c r="D168">
        <f t="shared" si="10"/>
        <v>2030</v>
      </c>
      <c r="E168">
        <f>IF(B168="Vestdanmark",VLOOKUP(C168,Biogasanlæg!$A$39:$E$55,MATCH(D168,Biogasanlæg!$A$38:$E$38,0),FALSE),VLOOKUP(C168,Biogasanlæg!$I$39:$M$55,MATCH(D168,Biogasanlæg!$I$38:$M$38,0),FALSE))</f>
        <v>28548.400000000001</v>
      </c>
    </row>
    <row r="169" spans="1:5" hidden="1" x14ac:dyDescent="0.55000000000000004">
      <c r="A169" t="s">
        <v>110</v>
      </c>
      <c r="B169" t="s">
        <v>24</v>
      </c>
      <c r="C169" s="102" t="str">
        <f>Biogasanlæg!A27</f>
        <v>Muslinger</v>
      </c>
      <c r="D169">
        <f t="shared" si="10"/>
        <v>2030</v>
      </c>
      <c r="E169">
        <f>IF(B169="Vestdanmark",VLOOKUP(C169,Biogasanlæg!$A$39:$E$55,MATCH(D169,Biogasanlæg!$A$38:$E$38,0),FALSE),VLOOKUP(C169,Biogasanlæg!$I$39:$M$55,MATCH(D169,Biogasanlæg!$I$38:$M$38,0),FALSE))</f>
        <v>0</v>
      </c>
    </row>
    <row r="170" spans="1:5" hidden="1" x14ac:dyDescent="0.55000000000000004">
      <c r="A170" t="s">
        <v>110</v>
      </c>
      <c r="B170" t="s">
        <v>24</v>
      </c>
      <c r="C170" s="102" t="str">
        <f>Biogasanlæg!A28</f>
        <v>Tang</v>
      </c>
      <c r="D170">
        <f t="shared" si="10"/>
        <v>2030</v>
      </c>
      <c r="E170">
        <f>IF(B170="Vestdanmark",VLOOKUP(C170,Biogasanlæg!$A$39:$E$55,MATCH(D170,Biogasanlæg!$A$38:$E$38,0),FALSE),VLOOKUP(C170,Biogasanlæg!$I$39:$M$55,MATCH(D170,Biogasanlæg!$I$38:$M$38,0),FALSE))</f>
        <v>0</v>
      </c>
    </row>
    <row r="171" spans="1:5" hidden="1" x14ac:dyDescent="0.55000000000000004">
      <c r="A171" t="s">
        <v>110</v>
      </c>
      <c r="B171" t="s">
        <v>24</v>
      </c>
      <c r="C171" s="102" t="str">
        <f>Biogasanlæg!A12</f>
        <v>Svinegylle</v>
      </c>
      <c r="D171">
        <f t="shared" ref="D171:D187" si="11">År3</f>
        <v>2050</v>
      </c>
      <c r="E171">
        <f>IF(B171="Vestdanmark",VLOOKUP(C171,Biogasanlæg!$A$39:$E$55,MATCH(D171,Biogasanlæg!$A$38:$E$38,0),FALSE),VLOOKUP(C171,Biogasanlæg!$I$39:$M$55,MATCH(D171,Biogasanlæg!$I$38:$M$38,0),FALSE))</f>
        <v>1108334.6440677529</v>
      </c>
    </row>
    <row r="172" spans="1:5" hidden="1" x14ac:dyDescent="0.55000000000000004">
      <c r="A172" t="s">
        <v>110</v>
      </c>
      <c r="B172" t="s">
        <v>24</v>
      </c>
      <c r="C172" s="102" t="str">
        <f>Biogasanlæg!A13</f>
        <v>Kvæggylle</v>
      </c>
      <c r="D172">
        <f t="shared" si="11"/>
        <v>2050</v>
      </c>
      <c r="E172">
        <f>IF(B172="Vestdanmark",VLOOKUP(C172,Biogasanlæg!$A$39:$E$55,MATCH(D172,Biogasanlæg!$A$38:$E$38,0),FALSE),VLOOKUP(C172,Biogasanlæg!$I$39:$M$55,MATCH(D172,Biogasanlæg!$I$38:$M$38,0),FALSE))</f>
        <v>687918.86911669304</v>
      </c>
    </row>
    <row r="173" spans="1:5" hidden="1" x14ac:dyDescent="0.55000000000000004">
      <c r="A173" t="s">
        <v>110</v>
      </c>
      <c r="B173" t="s">
        <v>24</v>
      </c>
      <c r="C173" s="102" t="str">
        <f>Biogasanlæg!A14</f>
        <v>Fjerkrægylle</v>
      </c>
      <c r="D173">
        <f t="shared" si="11"/>
        <v>2050</v>
      </c>
      <c r="E173">
        <f>IF(B173="Vestdanmark",VLOOKUP(C173,Biogasanlæg!$A$39:$E$55,MATCH(D173,Biogasanlæg!$A$38:$E$38,0),FALSE),VLOOKUP(C173,Biogasanlæg!$I$39:$M$55,MATCH(D173,Biogasanlæg!$I$38:$M$38,0),FALSE))</f>
        <v>361.54919868427658</v>
      </c>
    </row>
    <row r="174" spans="1:5" hidden="1" x14ac:dyDescent="0.55000000000000004">
      <c r="A174" t="s">
        <v>110</v>
      </c>
      <c r="B174" t="s">
        <v>24</v>
      </c>
      <c r="C174" s="102" t="str">
        <f>Biogasanlæg!A15</f>
        <v>Spildevandsslam</v>
      </c>
      <c r="D174">
        <f t="shared" si="11"/>
        <v>2050</v>
      </c>
      <c r="E174">
        <f>IF(B174="Vestdanmark",VLOOKUP(C174,Biogasanlæg!$A$39:$E$55,MATCH(D174,Biogasanlæg!$A$38:$E$38,0),FALSE),VLOOKUP(C174,Biogasanlæg!$I$39:$M$55,MATCH(D174,Biogasanlæg!$I$38:$M$38,0),FALSE))</f>
        <v>1327477.7098236387</v>
      </c>
    </row>
    <row r="175" spans="1:5" hidden="1" x14ac:dyDescent="0.55000000000000004">
      <c r="A175" t="s">
        <v>110</v>
      </c>
      <c r="B175" t="s">
        <v>24</v>
      </c>
      <c r="C175" s="102" t="str">
        <f>Biogasanlæg!A18</f>
        <v>Bioaffald</v>
      </c>
      <c r="D175">
        <f t="shared" si="11"/>
        <v>2050</v>
      </c>
      <c r="E175">
        <f ca="1">IF(B175="Vestdanmark",VLOOKUP(C175,Biogasanlæg!$A$39:$E$55,MATCH(D175,Biogasanlæg!$A$38:$E$38,0),FALSE),VLOOKUP(C175,Biogasanlæg!$I$39:$M$55,MATCH(D175,Biogasanlæg!$I$38:$M$38,0),FALSE))</f>
        <v>172292.76645701908</v>
      </c>
    </row>
    <row r="176" spans="1:5" hidden="1" x14ac:dyDescent="0.55000000000000004">
      <c r="A176" t="s">
        <v>110</v>
      </c>
      <c r="B176" t="s">
        <v>24</v>
      </c>
      <c r="C176" s="102" t="str">
        <f>Biogasanlæg!A19</f>
        <v>Industriaffald</v>
      </c>
      <c r="D176">
        <f t="shared" si="11"/>
        <v>2050</v>
      </c>
      <c r="E176">
        <f>IF(B176="Vestdanmark",VLOOKUP(C176,Biogasanlæg!$A$39:$E$55,MATCH(D176,Biogasanlæg!$A$38:$E$38,0),FALSE),VLOOKUP(C176,Biogasanlæg!$I$39:$M$55,MATCH(D176,Biogasanlæg!$I$38:$M$38,0),FALSE))</f>
        <v>203334.8469193347</v>
      </c>
    </row>
    <row r="177" spans="1:18" hidden="1" x14ac:dyDescent="0.55000000000000004">
      <c r="A177" t="s">
        <v>110</v>
      </c>
      <c r="B177" t="s">
        <v>24</v>
      </c>
      <c r="C177" s="102" t="str">
        <f>Biogasanlæg!A16</f>
        <v>Dybstrøelse</v>
      </c>
      <c r="D177">
        <f t="shared" si="11"/>
        <v>2050</v>
      </c>
      <c r="E177">
        <f>IF(B177="Vestdanmark",VLOOKUP(C177,Biogasanlæg!$A$39:$E$55,MATCH(D177,Biogasanlæg!$A$38:$E$38,0),FALSE),VLOOKUP(C177,Biogasanlæg!$I$39:$M$55,MATCH(D177,Biogasanlæg!$I$38:$M$38,0),FALSE))</f>
        <v>188529.05350799995</v>
      </c>
    </row>
    <row r="178" spans="1:18" hidden="1" x14ac:dyDescent="0.55000000000000004">
      <c r="A178" t="s">
        <v>110</v>
      </c>
      <c r="B178" t="s">
        <v>24</v>
      </c>
      <c r="C178" s="102" t="str">
        <f>Biogasanlæg!A17</f>
        <v>Brun saft</v>
      </c>
      <c r="D178">
        <f t="shared" si="11"/>
        <v>2050</v>
      </c>
      <c r="E178">
        <f>IF(B178="Vestdanmark",VLOOKUP(C178,Biogasanlæg!$A$39:$E$55,MATCH(D178,Biogasanlæg!$A$38:$E$38,0),FALSE),VLOOKUP(C178,Biogasanlæg!$I$39:$M$55,MATCH(D178,Biogasanlæg!$I$38:$M$38,0),FALSE))</f>
        <v>0</v>
      </c>
    </row>
    <row r="179" spans="1:18" hidden="1" x14ac:dyDescent="0.55000000000000004">
      <c r="A179" t="s">
        <v>110</v>
      </c>
      <c r="B179" t="s">
        <v>24</v>
      </c>
      <c r="C179" s="102" t="str">
        <f>Biogasanlæg!A20</f>
        <v>Halm</v>
      </c>
      <c r="D179">
        <f t="shared" si="11"/>
        <v>2050</v>
      </c>
      <c r="E179">
        <f>IF(B179="Vestdanmark",VLOOKUP(C179,Biogasanlæg!$A$39:$E$55,MATCH(D179,Biogasanlæg!$A$38:$E$38,0),FALSE),VLOOKUP(C179,Biogasanlæg!$I$39:$M$55,MATCH(D179,Biogasanlæg!$I$38:$M$38,0),FALSE))</f>
        <v>23390.092564080911</v>
      </c>
    </row>
    <row r="180" spans="1:18" hidden="1" x14ac:dyDescent="0.55000000000000004">
      <c r="A180" t="s">
        <v>110</v>
      </c>
      <c r="B180" t="s">
        <v>24</v>
      </c>
      <c r="C180" s="102" t="str">
        <f>Biogasanlæg!A21</f>
        <v>Korn</v>
      </c>
      <c r="D180">
        <f t="shared" si="11"/>
        <v>2050</v>
      </c>
      <c r="E180">
        <f>IF(B180="Vestdanmark",VLOOKUP(C180,Biogasanlæg!$A$39:$E$55,MATCH(D180,Biogasanlæg!$A$38:$E$38,0),FALSE),VLOOKUP(C180,Biogasanlæg!$I$39:$M$55,MATCH(D180,Biogasanlæg!$I$38:$M$38,0),FALSE))</f>
        <v>960.24397829585632</v>
      </c>
    </row>
    <row r="181" spans="1:18" hidden="1" x14ac:dyDescent="0.55000000000000004">
      <c r="A181" t="s">
        <v>110</v>
      </c>
      <c r="B181" t="s">
        <v>24</v>
      </c>
      <c r="C181" s="102" t="str">
        <f>Biogasanlæg!A22</f>
        <v>Græs</v>
      </c>
      <c r="D181">
        <f t="shared" si="11"/>
        <v>2050</v>
      </c>
      <c r="E181">
        <f>IF(B181="Vestdanmark",VLOOKUP(C181,Biogasanlæg!$A$39:$E$55,MATCH(D181,Biogasanlæg!$A$38:$E$38,0),FALSE),VLOOKUP(C181,Biogasanlæg!$I$39:$M$55,MATCH(D181,Biogasanlæg!$I$38:$M$38,0),FALSE))</f>
        <v>10149.946321457959</v>
      </c>
    </row>
    <row r="182" spans="1:18" hidden="1" x14ac:dyDescent="0.55000000000000004">
      <c r="A182" t="s">
        <v>110</v>
      </c>
      <c r="B182" t="s">
        <v>24</v>
      </c>
      <c r="C182" s="102" t="str">
        <f>Biogasanlæg!A23</f>
        <v>Majs</v>
      </c>
      <c r="D182">
        <f t="shared" si="11"/>
        <v>2050</v>
      </c>
      <c r="E182">
        <f>IF(B182="Vestdanmark",VLOOKUP(C182,Biogasanlæg!$A$39:$E$55,MATCH(D182,Biogasanlæg!$A$38:$E$38,0),FALSE),VLOOKUP(C182,Biogasanlæg!$I$39:$M$55,MATCH(D182,Biogasanlæg!$I$38:$M$38,0),FALSE))</f>
        <v>15500.875420530891</v>
      </c>
    </row>
    <row r="183" spans="1:18" hidden="1" x14ac:dyDescent="0.55000000000000004">
      <c r="A183" t="s">
        <v>110</v>
      </c>
      <c r="B183" t="s">
        <v>24</v>
      </c>
      <c r="C183" s="102" t="str">
        <f>Biogasanlæg!A24</f>
        <v>Roer</v>
      </c>
      <c r="D183">
        <f t="shared" si="11"/>
        <v>2050</v>
      </c>
      <c r="E183">
        <f>IF(B183="Vestdanmark",VLOOKUP(C183,Biogasanlæg!$A$39:$E$55,MATCH(D183,Biogasanlæg!$A$38:$E$38,0),FALSE),VLOOKUP(C183,Biogasanlæg!$I$39:$M$55,MATCH(D183,Biogasanlæg!$I$38:$M$38,0),FALSE))</f>
        <v>24610.929224370728</v>
      </c>
    </row>
    <row r="184" spans="1:18" hidden="1" x14ac:dyDescent="0.55000000000000004">
      <c r="A184" t="s">
        <v>110</v>
      </c>
      <c r="B184" t="s">
        <v>24</v>
      </c>
      <c r="C184" s="102" t="str">
        <f>Biogasanlæg!A25</f>
        <v>Have/parkaffald</v>
      </c>
      <c r="D184">
        <f t="shared" si="11"/>
        <v>2050</v>
      </c>
      <c r="E184">
        <f>IF(B184="Vestdanmark",VLOOKUP(C184,Biogasanlæg!$A$39:$E$55,MATCH(D184,Biogasanlæg!$A$38:$E$38,0),FALSE),VLOOKUP(C184,Biogasanlæg!$I$39:$M$55,MATCH(D184,Biogasanlæg!$I$38:$M$38,0),FALSE))</f>
        <v>36.343081867307831</v>
      </c>
    </row>
    <row r="185" spans="1:18" hidden="1" x14ac:dyDescent="0.55000000000000004">
      <c r="A185" t="s">
        <v>110</v>
      </c>
      <c r="B185" t="s">
        <v>24</v>
      </c>
      <c r="C185" s="102" t="str">
        <f>Biogasanlæg!A26</f>
        <v>Glycerin</v>
      </c>
      <c r="D185">
        <f t="shared" si="11"/>
        <v>2050</v>
      </c>
      <c r="E185">
        <f>IF(B185="Vestdanmark",VLOOKUP(C185,Biogasanlæg!$A$39:$E$55,MATCH(D185,Biogasanlæg!$A$38:$E$38,0),FALSE),VLOOKUP(C185,Biogasanlæg!$I$39:$M$55,MATCH(D185,Biogasanlæg!$I$38:$M$38,0),FALSE))</f>
        <v>28548.400000000001</v>
      </c>
    </row>
    <row r="186" spans="1:18" hidden="1" x14ac:dyDescent="0.55000000000000004">
      <c r="A186" t="s">
        <v>110</v>
      </c>
      <c r="B186" t="s">
        <v>24</v>
      </c>
      <c r="C186" s="102" t="str">
        <f>Biogasanlæg!A27</f>
        <v>Muslinger</v>
      </c>
      <c r="D186">
        <f t="shared" si="11"/>
        <v>2050</v>
      </c>
      <c r="E186">
        <f>IF(B186="Vestdanmark",VLOOKUP(C186,Biogasanlæg!$A$39:$E$55,MATCH(D186,Biogasanlæg!$A$38:$E$38,0),FALSE),VLOOKUP(C186,Biogasanlæg!$I$39:$M$55,MATCH(D186,Biogasanlæg!$I$38:$M$38,0),FALSE))</f>
        <v>0</v>
      </c>
    </row>
    <row r="187" spans="1:18" hidden="1" x14ac:dyDescent="0.55000000000000004">
      <c r="A187" t="s">
        <v>110</v>
      </c>
      <c r="B187" t="s">
        <v>24</v>
      </c>
      <c r="C187" s="102" t="str">
        <f>Biogasanlæg!A28</f>
        <v>Tang</v>
      </c>
      <c r="D187">
        <f t="shared" si="11"/>
        <v>2050</v>
      </c>
      <c r="E187">
        <f>IF(B187="Vestdanmark",VLOOKUP(C187,Biogasanlæg!$A$39:$E$55,MATCH(D187,Biogasanlæg!$A$38:$E$38,0),FALSE),VLOOKUP(C187,Biogasanlæg!$I$39:$M$55,MATCH(D187,Biogasanlæg!$I$38:$M$38,0),FALSE))</f>
        <v>0</v>
      </c>
    </row>
    <row r="188" spans="1:18" hidden="1" x14ac:dyDescent="0.55000000000000004">
      <c r="A188" s="101" t="s">
        <v>113</v>
      </c>
      <c r="B188" t="s">
        <v>23</v>
      </c>
      <c r="C188" s="102" t="str">
        <f>Fodersammensætning!A3</f>
        <v>Korn</v>
      </c>
      <c r="D188">
        <f t="shared" ref="D188:D202" si="12">År1</f>
        <v>2019</v>
      </c>
      <c r="E188" s="152">
        <f>VLOOKUP($C188,Fodersammensætning!A$3:E$17,MATCH(D188,Fodersammensætning!$A$2:$E$2,0),FALSE)*(-SUMIFS(IF(D188=År1,IF(B188="Vestdanmark",'Resultater - Vestdanmark'!H$3:H$482,'Resultater - Østdanmark'!H$3:H$482),IF(D188=År2,IF(B188="Vestdanmark",'Resultater - Vestdanmark'!I$3:I$482,'Resultater - Østdanmark'!I$3:I$482),IF(B188="Vestdanmark",'Resultater - Vestdanmark'!J$3:J$482,'Resultater - Østdanmark'!J$3:J$482))),'Resultater - Vestdanmark'!$F$3:$F$482,"Foder",'Resultater - Vestdanmark'!$A$3:$A$482,"&lt;&gt;Foderproduktion"))/SUMIFS(IF(D188=År1,'[1]Processer - data'!H$3:H$464,IF(D188=År2,'[1]Processer - data'!I$3:I$464,'[1]Processer - data'!J$3:J$464)),'[1]Processer - data'!$A$3:$A$464,"Foderproduktion",'[1]Processer - data'!$D$3:$D$464,$C188)</f>
        <v>5879215.2019956242</v>
      </c>
      <c r="G188" s="361"/>
    </row>
    <row r="189" spans="1:18" hidden="1" x14ac:dyDescent="0.55000000000000004">
      <c r="A189" s="101" t="s">
        <v>113</v>
      </c>
      <c r="B189" t="s">
        <v>23</v>
      </c>
      <c r="C189" s="102" t="str">
        <f>Fodersammensætning!A4</f>
        <v>Halm</v>
      </c>
      <c r="D189">
        <f t="shared" si="12"/>
        <v>2019</v>
      </c>
      <c r="E189" s="152">
        <f>VLOOKUP($C189,Fodersammensætning!A$3:E$17,MATCH(D189,Fodersammensætning!$A$2:$E$2,0),FALSE)*(-SUMIFS(IF(D189=År1,IF(B189="Vestdanmark",'Resultater - Vestdanmark'!H$3:H$482,'Resultater - Østdanmark'!H$3:H$482),IF(D189=År2,IF(B189="Vestdanmark",'Resultater - Vestdanmark'!I$3:I$482,'Resultater - Østdanmark'!I$3:I$482),IF(B189="Vestdanmark",'Resultater - Vestdanmark'!J$3:J$482,'Resultater - Østdanmark'!J$3:J$482))),'Resultater - Vestdanmark'!$F$3:$F$482,"Foder",'Resultater - Vestdanmark'!$A$3:$A$482,"&lt;&gt;Foderproduktion"))/SUMIFS(IF(D189=År1,'[1]Processer - data'!H$3:H$464,IF(D189=År2,'[1]Processer - data'!I$3:I$464,'[1]Processer - data'!J$3:J$464)),'[1]Processer - data'!$A$3:$A$464,"Foderproduktion",'[1]Processer - data'!$D$3:$D$464,$C189)</f>
        <v>773085.89354292618</v>
      </c>
      <c r="R189" s="99">
        <f>-SUMIFS('Resultater - Vestdanmark'!H$3:H$482,'Resultater - Vestdanmark'!$F$3:$F$482,"Foder",'Resultater - Vestdanmark'!$A$3:$A$482,"&lt;&gt;Foderproduktion")</f>
        <v>13228458157.530001</v>
      </c>
    </row>
    <row r="190" spans="1:18" hidden="1" x14ac:dyDescent="0.55000000000000004">
      <c r="A190" s="101" t="s">
        <v>113</v>
      </c>
      <c r="B190" t="s">
        <v>23</v>
      </c>
      <c r="C190" s="102" t="str">
        <f>Fodersammensætning!A5</f>
        <v>Kartofler</v>
      </c>
      <c r="D190">
        <f t="shared" si="12"/>
        <v>2019</v>
      </c>
      <c r="E190" s="152">
        <f>VLOOKUP($C190,Fodersammensætning!A$3:E$17,MATCH(D190,Fodersammensætning!$A$2:$E$2,0),FALSE)*(-SUMIFS(IF(D190=År1,IF(B190="Vestdanmark",'Resultater - Vestdanmark'!H$3:H$482,'Resultater - Østdanmark'!H$3:H$482),IF(D190=År2,IF(B190="Vestdanmark",'Resultater - Vestdanmark'!I$3:I$482,'Resultater - Østdanmark'!I$3:I$482),IF(B190="Vestdanmark",'Resultater - Vestdanmark'!J$3:J$482,'Resultater - Østdanmark'!J$3:J$482))),'Resultater - Vestdanmark'!$F$3:$F$482,"Foder",'Resultater - Vestdanmark'!$A$3:$A$482,"&lt;&gt;Foderproduktion"))/SUMIFS(IF(D190=År1,'[1]Processer - data'!H$3:H$464,IF(D190=År2,'[1]Processer - data'!I$3:I$464,'[1]Processer - data'!J$3:J$464)),'[1]Processer - data'!$A$3:$A$464,"Foderproduktion",'[1]Processer - data'!$D$3:$D$464,$C190)</f>
        <v>0</v>
      </c>
    </row>
    <row r="191" spans="1:18" hidden="1" x14ac:dyDescent="0.55000000000000004">
      <c r="A191" s="101" t="s">
        <v>113</v>
      </c>
      <c r="B191" t="s">
        <v>23</v>
      </c>
      <c r="C191" s="102" t="str">
        <f>Fodersammensætning!A6</f>
        <v>Bælgsæd</v>
      </c>
      <c r="D191">
        <f t="shared" si="12"/>
        <v>2019</v>
      </c>
      <c r="E191" s="152">
        <f>VLOOKUP($C191,Fodersammensætning!A$3:E$17,MATCH(D191,Fodersammensætning!$A$2:$E$2,0),FALSE)*(-SUMIFS(IF(D191=År1,IF(B191="Vestdanmark",'Resultater - Vestdanmark'!H$3:H$482,'Resultater - Østdanmark'!H$3:H$482),IF(D191=År2,IF(B191="Vestdanmark",'Resultater - Vestdanmark'!I$3:I$482,'Resultater - Østdanmark'!I$3:I$482),IF(B191="Vestdanmark",'Resultater - Vestdanmark'!J$3:J$482,'Resultater - Østdanmark'!J$3:J$482))),'Resultater - Vestdanmark'!$F$3:$F$482,"Foder",'Resultater - Vestdanmark'!$A$3:$A$482,"&lt;&gt;Foderproduktion"))/SUMIFS(IF(D191=År1,'[1]Processer - data'!H$3:H$464,IF(D191=År2,'[1]Processer - data'!I$3:I$464,'[1]Processer - data'!J$3:J$464)),'[1]Processer - data'!$A$3:$A$464,"Foderproduktion",'[1]Processer - data'!$D$3:$D$464,$C191)</f>
        <v>64498.47547519199</v>
      </c>
    </row>
    <row r="192" spans="1:18" hidden="1" x14ac:dyDescent="0.55000000000000004">
      <c r="A192" s="101" t="s">
        <v>113</v>
      </c>
      <c r="B192" t="s">
        <v>23</v>
      </c>
      <c r="C192" s="102" t="str">
        <f>Fodersammensætning!A7</f>
        <v>Roer</v>
      </c>
      <c r="D192">
        <f t="shared" si="12"/>
        <v>2019</v>
      </c>
      <c r="E192" s="152">
        <f>VLOOKUP($C192,Fodersammensætning!A$3:E$17,MATCH(D192,Fodersammensætning!$A$2:$E$2,0),FALSE)*(-SUMIFS(IF(D192=År1,IF(B192="Vestdanmark",'Resultater - Vestdanmark'!H$3:H$482,'Resultater - Østdanmark'!H$3:H$482),IF(D192=År2,IF(B192="Vestdanmark",'Resultater - Vestdanmark'!I$3:I$482,'Resultater - Østdanmark'!I$3:I$482),IF(B192="Vestdanmark",'Resultater - Vestdanmark'!J$3:J$482,'Resultater - Østdanmark'!J$3:J$482))),'Resultater - Vestdanmark'!$F$3:$F$482,"Foder",'Resultater - Vestdanmark'!$A$3:$A$482,"&lt;&gt;Foderproduktion"))/SUMIFS(IF(D192=År1,'[1]Processer - data'!H$3:H$464,IF(D192=År2,'[1]Processer - data'!I$3:I$464,'[1]Processer - data'!J$3:J$464)),'[1]Processer - data'!$A$3:$A$464,"Foderproduktion",'[1]Processer - data'!$D$3:$D$464,$C192)</f>
        <v>841167.61765562883</v>
      </c>
    </row>
    <row r="193" spans="1:7" hidden="1" x14ac:dyDescent="0.55000000000000004">
      <c r="A193" s="101" t="s">
        <v>113</v>
      </c>
      <c r="B193" t="s">
        <v>23</v>
      </c>
      <c r="C193" s="102" t="str">
        <f>Fodersammensætning!A8</f>
        <v>Majs</v>
      </c>
      <c r="D193">
        <f t="shared" si="12"/>
        <v>2019</v>
      </c>
      <c r="E193" s="152">
        <f>VLOOKUP($C193,Fodersammensætning!A$3:E$17,MATCH(D193,Fodersammensætning!$A$2:$E$2,0),FALSE)*(-SUMIFS(IF(D193=År1,IF(B193="Vestdanmark",'Resultater - Vestdanmark'!H$3:H$482,'Resultater - Østdanmark'!H$3:H$482),IF(D193=År2,IF(B193="Vestdanmark",'Resultater - Vestdanmark'!I$3:I$482,'Resultater - Østdanmark'!I$3:I$482),IF(B193="Vestdanmark",'Resultater - Vestdanmark'!J$3:J$482,'Resultater - Østdanmark'!J$3:J$482))),'Resultater - Vestdanmark'!$F$3:$F$482,"Foder",'Resultater - Vestdanmark'!$A$3:$A$482,"&lt;&gt;Foderproduktion"))/SUMIFS(IF(D193=År1,'[1]Processer - data'!H$3:H$464,IF(D193=År2,'[1]Processer - data'!I$3:I$464,'[1]Processer - data'!J$3:J$464)),'[1]Processer - data'!$A$3:$A$464,"Foderproduktion",'[1]Processer - data'!$D$3:$D$464,$C193)</f>
        <v>5657053.7864699634</v>
      </c>
    </row>
    <row r="194" spans="1:7" hidden="1" x14ac:dyDescent="0.55000000000000004">
      <c r="A194" s="101" t="s">
        <v>113</v>
      </c>
      <c r="B194" t="s">
        <v>23</v>
      </c>
      <c r="C194" s="102" t="str">
        <f>Fodersammensætning!A9</f>
        <v>Rapskage</v>
      </c>
      <c r="D194">
        <f t="shared" si="12"/>
        <v>2019</v>
      </c>
      <c r="E194" s="152">
        <f>VLOOKUP($C194,Fodersammensætning!A$3:E$17,MATCH(D194,Fodersammensætning!$A$2:$E$2,0),FALSE)*(-SUMIFS(IF(D194=År1,IF(B194="Vestdanmark",'Resultater - Vestdanmark'!H$3:H$482,'Resultater - Østdanmark'!H$3:H$482),IF(D194=År2,IF(B194="Vestdanmark",'Resultater - Vestdanmark'!I$3:I$482,'Resultater - Østdanmark'!I$3:I$482),IF(B194="Vestdanmark",'Resultater - Vestdanmark'!J$3:J$482,'Resultater - Østdanmark'!J$3:J$482))),'Resultater - Vestdanmark'!$F$3:$F$482,"Foder",'Resultater - Vestdanmark'!$A$3:$A$482,"&lt;&gt;Foderproduktion"))/SUMIFS(IF(D194=År1,'[1]Processer - data'!H$3:H$464,IF(D194=År2,'[1]Processer - data'!I$3:I$464,'[1]Processer - data'!J$3:J$464)),'[1]Processer - data'!$A$3:$A$464,"Foderproduktion",'[1]Processer - data'!$D$3:$D$464,$C194)</f>
        <v>214099.10609126228</v>
      </c>
    </row>
    <row r="195" spans="1:7" hidden="1" x14ac:dyDescent="0.55000000000000004">
      <c r="A195" s="101" t="s">
        <v>113</v>
      </c>
      <c r="B195" t="s">
        <v>23</v>
      </c>
      <c r="C195" s="102" t="str">
        <f>Fodersammensætning!A10</f>
        <v>Tang</v>
      </c>
      <c r="D195">
        <f t="shared" si="12"/>
        <v>2019</v>
      </c>
      <c r="E195" s="152">
        <f>VLOOKUP($C195,Fodersammensætning!A$3:E$17,MATCH(D195,Fodersammensætning!$A$2:$E$2,0),FALSE)*(-SUMIFS(IF(D195=År1,IF(B195="Vestdanmark",'Resultater - Vestdanmark'!H$3:H$482,'Resultater - Østdanmark'!H$3:H$482),IF(D195=År2,IF(B195="Vestdanmark",'Resultater - Vestdanmark'!I$3:I$482,'Resultater - Østdanmark'!I$3:I$482),IF(B195="Vestdanmark",'Resultater - Vestdanmark'!J$3:J$482,'Resultater - Østdanmark'!J$3:J$482))),'Resultater - Vestdanmark'!$F$3:$F$482,"Foder",'Resultater - Vestdanmark'!$A$3:$A$482,"&lt;&gt;Foderproduktion"))/SUMIFS(IF(D195=År1,'[1]Processer - data'!H$3:H$464,IF(D195=År2,'[1]Processer - data'!I$3:I$464,'[1]Processer - data'!J$3:J$464)),'[1]Processer - data'!$A$3:$A$464,"Foderproduktion",'[1]Processer - data'!$D$3:$D$464,$C195)</f>
        <v>0</v>
      </c>
    </row>
    <row r="196" spans="1:7" hidden="1" x14ac:dyDescent="0.55000000000000004">
      <c r="A196" s="101" t="s">
        <v>113</v>
      </c>
      <c r="B196" t="s">
        <v>23</v>
      </c>
      <c r="C196" s="102" t="str">
        <f>Fodersammensætning!A11</f>
        <v>Muslinger</v>
      </c>
      <c r="D196">
        <f t="shared" si="12"/>
        <v>2019</v>
      </c>
      <c r="E196" s="152">
        <f>VLOOKUP($C196,Fodersammensætning!A$3:E$17,MATCH(D196,Fodersammensætning!$A$2:$E$2,0),FALSE)*(-SUMIFS(IF(D196=År1,IF(B196="Vestdanmark",'Resultater - Vestdanmark'!H$3:H$482,'Resultater - Østdanmark'!H$3:H$482),IF(D196=År2,IF(B196="Vestdanmark",'Resultater - Vestdanmark'!I$3:I$482,'Resultater - Østdanmark'!I$3:I$482),IF(B196="Vestdanmark",'Resultater - Vestdanmark'!J$3:J$482,'Resultater - Østdanmark'!J$3:J$482))),'Resultater - Vestdanmark'!$F$3:$F$482,"Foder",'Resultater - Vestdanmark'!$A$3:$A$482,"&lt;&gt;Foderproduktion"))/SUMIFS(IF(D196=År1,'[1]Processer - data'!H$3:H$464,IF(D196=År2,'[1]Processer - data'!I$3:I$464,'[1]Processer - data'!J$3:J$464)),'[1]Processer - data'!$A$3:$A$464,"Foderproduktion",'[1]Processer - data'!$D$3:$D$464,$C196)</f>
        <v>0</v>
      </c>
    </row>
    <row r="197" spans="1:7" hidden="1" x14ac:dyDescent="0.55000000000000004">
      <c r="A197" s="101" t="s">
        <v>113</v>
      </c>
      <c r="B197" t="s">
        <v>23</v>
      </c>
      <c r="C197" s="102" t="str">
        <f>Fodersammensætning!A12</f>
        <v>Græs</v>
      </c>
      <c r="D197">
        <f t="shared" si="12"/>
        <v>2019</v>
      </c>
      <c r="E197" s="152">
        <f>VLOOKUP($C197,Fodersammensætning!A$3:E$17,MATCH(D197,Fodersammensætning!$A$2:$E$2,0),FALSE)*(-SUMIFS(IF(D197=År1,IF(B197="Vestdanmark",'Resultater - Vestdanmark'!H$3:H$482,'Resultater - Østdanmark'!H$3:H$482),IF(D197=År2,IF(B197="Vestdanmark",'Resultater - Vestdanmark'!I$3:I$482,'Resultater - Østdanmark'!I$3:I$482),IF(B197="Vestdanmark",'Resultater - Vestdanmark'!J$3:J$482,'Resultater - Østdanmark'!J$3:J$482))),'Resultater - Vestdanmark'!$F$3:$F$482,"Foder",'Resultater - Vestdanmark'!$A$3:$A$482,"&lt;&gt;Foderproduktion"))/SUMIFS(IF(D197=År1,'[1]Processer - data'!H$3:H$464,IF(D197=År2,'[1]Processer - data'!I$3:I$464,'[1]Processer - data'!J$3:J$464)),'[1]Processer - data'!$A$3:$A$464,"Foderproduktion",'[1]Processer - data'!$D$3:$D$464,$C197)</f>
        <v>12237689.9092583</v>
      </c>
    </row>
    <row r="198" spans="1:7" hidden="1" x14ac:dyDescent="0.55000000000000004">
      <c r="A198" s="101" t="s">
        <v>113</v>
      </c>
      <c r="B198" t="s">
        <v>23</v>
      </c>
      <c r="C198" s="102" t="str">
        <f>Fodersammensætning!A13</f>
        <v>Mælk til foder</v>
      </c>
      <c r="D198">
        <f t="shared" si="12"/>
        <v>2019</v>
      </c>
      <c r="E198" s="152">
        <f>VLOOKUP($C198,Fodersammensætning!A$3:E$17,MATCH(D198,Fodersammensætning!$A$2:$E$2,0),FALSE)*(-SUMIFS(IF(D198=År1,IF(B198="Vestdanmark",'Resultater - Vestdanmark'!H$3:H$482,'Resultater - Østdanmark'!H$3:H$482),IF(D198=År2,IF(B198="Vestdanmark",'Resultater - Vestdanmark'!I$3:I$482,'Resultater - Østdanmark'!I$3:I$482),IF(B198="Vestdanmark",'Resultater - Vestdanmark'!J$3:J$482,'Resultater - Østdanmark'!J$3:J$482))),'Resultater - Vestdanmark'!$F$3:$F$482,"Foder",'Resultater - Vestdanmark'!$A$3:$A$482,"&lt;&gt;Foderproduktion"))/SUMIFS(IF(D198=År1,'[1]Processer - data'!H$3:H$464,IF(D198=År2,'[1]Processer - data'!I$3:I$464,'[1]Processer - data'!J$3:J$464)),'[1]Processer - data'!$A$3:$A$464,"Foderproduktion",'[1]Processer - data'!$D$3:$D$464,$C198)</f>
        <v>1515714.1736670118</v>
      </c>
    </row>
    <row r="199" spans="1:7" hidden="1" x14ac:dyDescent="0.55000000000000004">
      <c r="A199" s="101" t="s">
        <v>113</v>
      </c>
      <c r="B199" t="s">
        <v>23</v>
      </c>
      <c r="C199" s="102" t="str">
        <f>Fodersammensætning!A14</f>
        <v>Fiberfraktion</v>
      </c>
      <c r="D199">
        <f t="shared" si="12"/>
        <v>2019</v>
      </c>
      <c r="E199" s="152">
        <f>VLOOKUP($C199,Fodersammensætning!A$3:E$17,MATCH(D199,Fodersammensætning!$A$2:$E$2,0),FALSE)*(-SUMIFS(IF(D199=År1,IF(B199="Vestdanmark",'Resultater - Vestdanmark'!H$3:H$482,'Resultater - Østdanmark'!H$3:H$482),IF(D199=År2,IF(B199="Vestdanmark",'Resultater - Vestdanmark'!I$3:I$482,'Resultater - Østdanmark'!I$3:I$482),IF(B199="Vestdanmark",'Resultater - Vestdanmark'!J$3:J$482,'Resultater - Østdanmark'!J$3:J$482))),'Resultater - Vestdanmark'!$F$3:$F$482,"Foder",'Resultater - Vestdanmark'!$A$3:$A$482,"&lt;&gt;Foderproduktion"))/SUMIFS(IF(D199=År1,'[1]Processer - data'!H$3:H$464,IF(D199=År2,'[1]Processer - data'!I$3:I$464,'[1]Processer - data'!J$3:J$464)),'[1]Processer - data'!$A$3:$A$464,"Foderproduktion",'[1]Processer - data'!$D$3:$D$464,$C199)</f>
        <v>0</v>
      </c>
    </row>
    <row r="200" spans="1:7" hidden="1" x14ac:dyDescent="0.55000000000000004">
      <c r="A200" s="101" t="s">
        <v>113</v>
      </c>
      <c r="B200" t="s">
        <v>23</v>
      </c>
      <c r="C200" s="102" t="str">
        <f>Fodersammensætning!A15</f>
        <v>Græsprotein</v>
      </c>
      <c r="D200">
        <f t="shared" si="12"/>
        <v>2019</v>
      </c>
      <c r="E200" s="152">
        <f>VLOOKUP($C200,Fodersammensætning!A$3:E$17,MATCH(D200,Fodersammensætning!$A$2:$E$2,0),FALSE)*(-SUMIFS(IF(D200=År1,IF(B200="Vestdanmark",'Resultater - Vestdanmark'!H$3:H$482,'Resultater - Østdanmark'!H$3:H$482),IF(D200=År2,IF(B200="Vestdanmark",'Resultater - Vestdanmark'!I$3:I$482,'Resultater - Østdanmark'!I$3:I$482),IF(B200="Vestdanmark",'Resultater - Vestdanmark'!J$3:J$482,'Resultater - Østdanmark'!J$3:J$482))),'Resultater - Vestdanmark'!$F$3:$F$482,"Foder",'Resultater - Vestdanmark'!$A$3:$A$482,"&lt;&gt;Foderproduktion"))/SUMIFS(IF(D200=År1,'[1]Processer - data'!H$3:H$464,IF(D200=År2,'[1]Processer - data'!I$3:I$464,'[1]Processer - data'!J$3:J$464)),'[1]Processer - data'!$A$3:$A$464,"Foderproduktion",'[1]Processer - data'!$D$3:$D$464,$C200)</f>
        <v>0</v>
      </c>
    </row>
    <row r="201" spans="1:7" hidden="1" x14ac:dyDescent="0.55000000000000004">
      <c r="A201" s="101" t="s">
        <v>113</v>
      </c>
      <c r="B201" t="s">
        <v>23</v>
      </c>
      <c r="C201" s="102" t="str">
        <f>Fodersammensætning!A16</f>
        <v>Slagteriaffald til foder</v>
      </c>
      <c r="D201">
        <f t="shared" si="12"/>
        <v>2019</v>
      </c>
      <c r="E201" s="152">
        <f>VLOOKUP($C201,Fodersammensætning!A$3:E$17,MATCH(D201,Fodersammensætning!$A$2:$E$2,0),FALSE)*(-SUMIFS(IF(D201=År1,IF(B201="Vestdanmark",'Resultater - Vestdanmark'!H$3:H$482,'Resultater - Østdanmark'!H$3:H$482),IF(D201=År2,IF(B201="Vestdanmark",'Resultater - Vestdanmark'!I$3:I$482,'Resultater - Østdanmark'!I$3:I$482),IF(B201="Vestdanmark",'Resultater - Vestdanmark'!J$3:J$482,'Resultater - Østdanmark'!J$3:J$482))),'Resultater - Vestdanmark'!$F$3:$F$482,"Foder",'Resultater - Vestdanmark'!$A$3:$A$482,"&lt;&gt;Foderproduktion"))/SUMIFS(IF(D201=År1,'[1]Processer - data'!H$3:H$464,IF(D201=År2,'[1]Processer - data'!I$3:I$464,'[1]Processer - data'!J$3:J$464)),'[1]Processer - data'!$A$3:$A$464,"Foderproduktion",'[1]Processer - data'!$D$3:$D$464,$C201)</f>
        <v>39415.735012617326</v>
      </c>
    </row>
    <row r="202" spans="1:7" hidden="1" x14ac:dyDescent="0.55000000000000004">
      <c r="A202" s="101" t="s">
        <v>113</v>
      </c>
      <c r="B202" t="s">
        <v>23</v>
      </c>
      <c r="C202" s="102" t="str">
        <f>Fodersammensætning!A17</f>
        <v>Import af foder</v>
      </c>
      <c r="D202">
        <f t="shared" si="12"/>
        <v>2019</v>
      </c>
      <c r="E202" s="152">
        <f>VLOOKUP($C202,Fodersammensætning!A$3:E$17,MATCH(D202,Fodersammensætning!$A$2:$E$2,0),FALSE)*(-SUMIFS(IF(D202=År1,IF(B202="Vestdanmark",'Resultater - Vestdanmark'!H$3:H$482,'Resultater - Østdanmark'!H$3:H$482),IF(D202=År2,IF(B202="Vestdanmark",'Resultater - Vestdanmark'!I$3:I$482,'Resultater - Østdanmark'!I$3:I$482),IF(B202="Vestdanmark",'Resultater - Vestdanmark'!J$3:J$482,'Resultater - Østdanmark'!J$3:J$482))),'Resultater - Vestdanmark'!$F$3:$F$482,"Foder",'Resultater - Vestdanmark'!$A$3:$A$482,"&lt;&gt;Foderproduktion"))/SUMIFS(IF(D202=År1,'[1]Processer - data'!H$3:H$464,IF(D202=År2,'[1]Processer - data'!I$3:I$464,'[1]Processer - data'!J$3:J$464)),'[1]Processer - data'!$A$3:$A$464,"Foderproduktion",'[1]Processer - data'!$D$3:$D$464,$C202)</f>
        <v>4828427.5390456235</v>
      </c>
    </row>
    <row r="203" spans="1:7" hidden="1" x14ac:dyDescent="0.55000000000000004">
      <c r="A203" s="101" t="s">
        <v>113</v>
      </c>
      <c r="B203" t="s">
        <v>23</v>
      </c>
      <c r="C203" s="102" t="str">
        <f>C188</f>
        <v>Korn</v>
      </c>
      <c r="D203">
        <f t="shared" ref="D203:D217" si="13">År2</f>
        <v>2030</v>
      </c>
      <c r="E203" s="152">
        <f>VLOOKUP($C203,Fodersammensætning!A$3:E$17,MATCH(D203,Fodersammensætning!$A$2:$E$2,0),FALSE)*(-SUMIFS(IF(D203=År1,IF(B203="Vestdanmark",'Resultater - Vestdanmark'!H$3:H$482,'Resultater - Østdanmark'!H$3:H$482),IF(D203=År2,IF(B203="Vestdanmark",'Resultater - Vestdanmark'!I$3:I$482,'Resultater - Østdanmark'!I$3:I$482),IF(B203="Vestdanmark",'Resultater - Vestdanmark'!J$3:J$482,'Resultater - Østdanmark'!J$3:J$482))),'Resultater - Vestdanmark'!$F$3:$F$482,"Foder",'Resultater - Vestdanmark'!$A$3:$A$482,"&lt;&gt;Foderproduktion"))/SUMIFS(IF(D203=År1,'[1]Processer - data'!H$3:H$464,IF(D203=År2,'[1]Processer - data'!I$3:I$464,'[1]Processer - data'!J$3:J$464)),'[1]Processer - data'!$A$3:$A$464,"Foderproduktion",'[1]Processer - data'!$D$3:$D$464,$C203)</f>
        <v>5879215.2019956233</v>
      </c>
      <c r="G203" s="361"/>
    </row>
    <row r="204" spans="1:7" hidden="1" x14ac:dyDescent="0.55000000000000004">
      <c r="A204" s="101" t="s">
        <v>113</v>
      </c>
      <c r="B204" t="s">
        <v>23</v>
      </c>
      <c r="C204" s="102" t="str">
        <f t="shared" ref="C204:C267" si="14">C189</f>
        <v>Halm</v>
      </c>
      <c r="D204">
        <f t="shared" si="13"/>
        <v>2030</v>
      </c>
      <c r="E204" s="152">
        <f>VLOOKUP($C204,Fodersammensætning!A$3:E$17,MATCH(D204,Fodersammensætning!$A$2:$E$2,0),FALSE)*(-SUMIFS(IF(D204=År1,IF(B204="Vestdanmark",'Resultater - Vestdanmark'!H$3:H$482,'Resultater - Østdanmark'!H$3:H$482),IF(D204=År2,IF(B204="Vestdanmark",'Resultater - Vestdanmark'!I$3:I$482,'Resultater - Østdanmark'!I$3:I$482),IF(B204="Vestdanmark",'Resultater - Vestdanmark'!J$3:J$482,'Resultater - Østdanmark'!J$3:J$482))),'Resultater - Vestdanmark'!$F$3:$F$482,"Foder",'Resultater - Vestdanmark'!$A$3:$A$482,"&lt;&gt;Foderproduktion"))/SUMIFS(IF(D204=År1,'[1]Processer - data'!H$3:H$464,IF(D204=År2,'[1]Processer - data'!I$3:I$464,'[1]Processer - data'!J$3:J$464)),'[1]Processer - data'!$A$3:$A$464,"Foderproduktion",'[1]Processer - data'!$D$3:$D$464,$C204)</f>
        <v>773085.89354292606</v>
      </c>
      <c r="G204" s="361"/>
    </row>
    <row r="205" spans="1:7" hidden="1" x14ac:dyDescent="0.55000000000000004">
      <c r="A205" s="101" t="s">
        <v>113</v>
      </c>
      <c r="B205" t="s">
        <v>23</v>
      </c>
      <c r="C205" s="102" t="str">
        <f t="shared" si="14"/>
        <v>Kartofler</v>
      </c>
      <c r="D205">
        <f t="shared" si="13"/>
        <v>2030</v>
      </c>
      <c r="E205" s="152">
        <f>VLOOKUP($C205,Fodersammensætning!A$3:E$17,MATCH(D205,Fodersammensætning!$A$2:$E$2,0),FALSE)*(-SUMIFS(IF(D205=År1,IF(B205="Vestdanmark",'Resultater - Vestdanmark'!H$3:H$482,'Resultater - Østdanmark'!H$3:H$482),IF(D205=År2,IF(B205="Vestdanmark",'Resultater - Vestdanmark'!I$3:I$482,'Resultater - Østdanmark'!I$3:I$482),IF(B205="Vestdanmark",'Resultater - Vestdanmark'!J$3:J$482,'Resultater - Østdanmark'!J$3:J$482))),'Resultater - Vestdanmark'!$F$3:$F$482,"Foder",'Resultater - Vestdanmark'!$A$3:$A$482,"&lt;&gt;Foderproduktion"))/SUMIFS(IF(D205=År1,'[1]Processer - data'!H$3:H$464,IF(D205=År2,'[1]Processer - data'!I$3:I$464,'[1]Processer - data'!J$3:J$464)),'[1]Processer - data'!$A$3:$A$464,"Foderproduktion",'[1]Processer - data'!$D$3:$D$464,$C205)</f>
        <v>0</v>
      </c>
      <c r="G205" s="361"/>
    </row>
    <row r="206" spans="1:7" hidden="1" x14ac:dyDescent="0.55000000000000004">
      <c r="A206" s="101" t="s">
        <v>113</v>
      </c>
      <c r="B206" t="s">
        <v>23</v>
      </c>
      <c r="C206" s="102" t="str">
        <f t="shared" si="14"/>
        <v>Bælgsæd</v>
      </c>
      <c r="D206">
        <f t="shared" si="13"/>
        <v>2030</v>
      </c>
      <c r="E206" s="152">
        <f>VLOOKUP($C206,Fodersammensætning!A$3:E$17,MATCH(D206,Fodersammensætning!$A$2:$E$2,0),FALSE)*(-SUMIFS(IF(D206=År1,IF(B206="Vestdanmark",'Resultater - Vestdanmark'!H$3:H$482,'Resultater - Østdanmark'!H$3:H$482),IF(D206=År2,IF(B206="Vestdanmark",'Resultater - Vestdanmark'!I$3:I$482,'Resultater - Østdanmark'!I$3:I$482),IF(B206="Vestdanmark",'Resultater - Vestdanmark'!J$3:J$482,'Resultater - Østdanmark'!J$3:J$482))),'Resultater - Vestdanmark'!$F$3:$F$482,"Foder",'Resultater - Vestdanmark'!$A$3:$A$482,"&lt;&gt;Foderproduktion"))/SUMIFS(IF(D206=År1,'[1]Processer - data'!H$3:H$464,IF(D206=År2,'[1]Processer - data'!I$3:I$464,'[1]Processer - data'!J$3:J$464)),'[1]Processer - data'!$A$3:$A$464,"Foderproduktion",'[1]Processer - data'!$D$3:$D$464,$C206)</f>
        <v>64498.475475191975</v>
      </c>
      <c r="G206" s="361"/>
    </row>
    <row r="207" spans="1:7" hidden="1" x14ac:dyDescent="0.55000000000000004">
      <c r="A207" s="101" t="s">
        <v>113</v>
      </c>
      <c r="B207" t="s">
        <v>23</v>
      </c>
      <c r="C207" s="102" t="str">
        <f t="shared" si="14"/>
        <v>Roer</v>
      </c>
      <c r="D207">
        <f t="shared" si="13"/>
        <v>2030</v>
      </c>
      <c r="E207" s="152">
        <f>VLOOKUP($C207,Fodersammensætning!A$3:E$17,MATCH(D207,Fodersammensætning!$A$2:$E$2,0),FALSE)*(-SUMIFS(IF(D207=År1,IF(B207="Vestdanmark",'Resultater - Vestdanmark'!H$3:H$482,'Resultater - Østdanmark'!H$3:H$482),IF(D207=År2,IF(B207="Vestdanmark",'Resultater - Vestdanmark'!I$3:I$482,'Resultater - Østdanmark'!I$3:I$482),IF(B207="Vestdanmark",'Resultater - Vestdanmark'!J$3:J$482,'Resultater - Østdanmark'!J$3:J$482))),'Resultater - Vestdanmark'!$F$3:$F$482,"Foder",'Resultater - Vestdanmark'!$A$3:$A$482,"&lt;&gt;Foderproduktion"))/SUMIFS(IF(D207=År1,'[1]Processer - data'!H$3:H$464,IF(D207=År2,'[1]Processer - data'!I$3:I$464,'[1]Processer - data'!J$3:J$464)),'[1]Processer - data'!$A$3:$A$464,"Foderproduktion",'[1]Processer - data'!$D$3:$D$464,$C207)</f>
        <v>841167.61765562883</v>
      </c>
      <c r="G207" s="361"/>
    </row>
    <row r="208" spans="1:7" hidden="1" x14ac:dyDescent="0.55000000000000004">
      <c r="A208" s="101" t="s">
        <v>113</v>
      </c>
      <c r="B208" t="s">
        <v>23</v>
      </c>
      <c r="C208" s="102" t="str">
        <f t="shared" si="14"/>
        <v>Majs</v>
      </c>
      <c r="D208">
        <f t="shared" si="13"/>
        <v>2030</v>
      </c>
      <c r="E208" s="152">
        <f>VLOOKUP($C208,Fodersammensætning!A$3:E$17,MATCH(D208,Fodersammensætning!$A$2:$E$2,0),FALSE)*(-SUMIFS(IF(D208=År1,IF(B208="Vestdanmark",'Resultater - Vestdanmark'!H$3:H$482,'Resultater - Østdanmark'!H$3:H$482),IF(D208=År2,IF(B208="Vestdanmark",'Resultater - Vestdanmark'!I$3:I$482,'Resultater - Østdanmark'!I$3:I$482),IF(B208="Vestdanmark",'Resultater - Vestdanmark'!J$3:J$482,'Resultater - Østdanmark'!J$3:J$482))),'Resultater - Vestdanmark'!$F$3:$F$482,"Foder",'Resultater - Vestdanmark'!$A$3:$A$482,"&lt;&gt;Foderproduktion"))/SUMIFS(IF(D208=År1,'[1]Processer - data'!H$3:H$464,IF(D208=År2,'[1]Processer - data'!I$3:I$464,'[1]Processer - data'!J$3:J$464)),'[1]Processer - data'!$A$3:$A$464,"Foderproduktion",'[1]Processer - data'!$D$3:$D$464,$C208)</f>
        <v>5657053.7864699624</v>
      </c>
      <c r="G208" s="361"/>
    </row>
    <row r="209" spans="1:7" hidden="1" x14ac:dyDescent="0.55000000000000004">
      <c r="A209" s="101" t="s">
        <v>113</v>
      </c>
      <c r="B209" t="s">
        <v>23</v>
      </c>
      <c r="C209" s="102" t="str">
        <f t="shared" si="14"/>
        <v>Rapskage</v>
      </c>
      <c r="D209">
        <f t="shared" si="13"/>
        <v>2030</v>
      </c>
      <c r="E209" s="152">
        <f>VLOOKUP($C209,Fodersammensætning!A$3:E$17,MATCH(D209,Fodersammensætning!$A$2:$E$2,0),FALSE)*(-SUMIFS(IF(D209=År1,IF(B209="Vestdanmark",'Resultater - Vestdanmark'!H$3:H$482,'Resultater - Østdanmark'!H$3:H$482),IF(D209=År2,IF(B209="Vestdanmark",'Resultater - Vestdanmark'!I$3:I$482,'Resultater - Østdanmark'!I$3:I$482),IF(B209="Vestdanmark",'Resultater - Vestdanmark'!J$3:J$482,'Resultater - Østdanmark'!J$3:J$482))),'Resultater - Vestdanmark'!$F$3:$F$482,"Foder",'Resultater - Vestdanmark'!$A$3:$A$482,"&lt;&gt;Foderproduktion"))/SUMIFS(IF(D209=År1,'[1]Processer - data'!H$3:H$464,IF(D209=År2,'[1]Processer - data'!I$3:I$464,'[1]Processer - data'!J$3:J$464)),'[1]Processer - data'!$A$3:$A$464,"Foderproduktion",'[1]Processer - data'!$D$3:$D$464,$C209)</f>
        <v>214099.10609126225</v>
      </c>
      <c r="G209" s="361"/>
    </row>
    <row r="210" spans="1:7" hidden="1" x14ac:dyDescent="0.55000000000000004">
      <c r="A210" s="101" t="s">
        <v>113</v>
      </c>
      <c r="B210" t="s">
        <v>23</v>
      </c>
      <c r="C210" s="102" t="str">
        <f t="shared" si="14"/>
        <v>Tang</v>
      </c>
      <c r="D210">
        <f t="shared" si="13"/>
        <v>2030</v>
      </c>
      <c r="E210" s="152">
        <f>VLOOKUP($C210,Fodersammensætning!A$3:E$17,MATCH(D210,Fodersammensætning!$A$2:$E$2,0),FALSE)*(-SUMIFS(IF(D210=År1,IF(B210="Vestdanmark",'Resultater - Vestdanmark'!H$3:H$482,'Resultater - Østdanmark'!H$3:H$482),IF(D210=År2,IF(B210="Vestdanmark",'Resultater - Vestdanmark'!I$3:I$482,'Resultater - Østdanmark'!I$3:I$482),IF(B210="Vestdanmark",'Resultater - Vestdanmark'!J$3:J$482,'Resultater - Østdanmark'!J$3:J$482))),'Resultater - Vestdanmark'!$F$3:$F$482,"Foder",'Resultater - Vestdanmark'!$A$3:$A$482,"&lt;&gt;Foderproduktion"))/SUMIFS(IF(D210=År1,'[1]Processer - data'!H$3:H$464,IF(D210=År2,'[1]Processer - data'!I$3:I$464,'[1]Processer - data'!J$3:J$464)),'[1]Processer - data'!$A$3:$A$464,"Foderproduktion",'[1]Processer - data'!$D$3:$D$464,$C210)</f>
        <v>0</v>
      </c>
      <c r="G210" s="361"/>
    </row>
    <row r="211" spans="1:7" hidden="1" x14ac:dyDescent="0.55000000000000004">
      <c r="A211" s="101" t="s">
        <v>113</v>
      </c>
      <c r="B211" t="s">
        <v>23</v>
      </c>
      <c r="C211" s="102" t="str">
        <f t="shared" si="14"/>
        <v>Muslinger</v>
      </c>
      <c r="D211">
        <f t="shared" si="13"/>
        <v>2030</v>
      </c>
      <c r="E211" s="152">
        <f>VLOOKUP($C211,Fodersammensætning!A$3:E$17,MATCH(D211,Fodersammensætning!$A$2:$E$2,0),FALSE)*(-SUMIFS(IF(D211=År1,IF(B211="Vestdanmark",'Resultater - Vestdanmark'!H$3:H$482,'Resultater - Østdanmark'!H$3:H$482),IF(D211=År2,IF(B211="Vestdanmark",'Resultater - Vestdanmark'!I$3:I$482,'Resultater - Østdanmark'!I$3:I$482),IF(B211="Vestdanmark",'Resultater - Vestdanmark'!J$3:J$482,'Resultater - Østdanmark'!J$3:J$482))),'Resultater - Vestdanmark'!$F$3:$F$482,"Foder",'Resultater - Vestdanmark'!$A$3:$A$482,"&lt;&gt;Foderproduktion"))/SUMIFS(IF(D211=År1,'[1]Processer - data'!H$3:H$464,IF(D211=År2,'[1]Processer - data'!I$3:I$464,'[1]Processer - data'!J$3:J$464)),'[1]Processer - data'!$A$3:$A$464,"Foderproduktion",'[1]Processer - data'!$D$3:$D$464,$C211)</f>
        <v>0</v>
      </c>
      <c r="G211" s="361"/>
    </row>
    <row r="212" spans="1:7" hidden="1" x14ac:dyDescent="0.55000000000000004">
      <c r="A212" s="101" t="s">
        <v>113</v>
      </c>
      <c r="B212" t="s">
        <v>23</v>
      </c>
      <c r="C212" s="102" t="str">
        <f t="shared" si="14"/>
        <v>Græs</v>
      </c>
      <c r="D212">
        <f t="shared" si="13"/>
        <v>2030</v>
      </c>
      <c r="E212" s="152">
        <f>VLOOKUP($C212,Fodersammensætning!A$3:E$17,MATCH(D212,Fodersammensætning!$A$2:$E$2,0),FALSE)*(-SUMIFS(IF(D212=År1,IF(B212="Vestdanmark",'Resultater - Vestdanmark'!H$3:H$482,'Resultater - Østdanmark'!H$3:H$482),IF(D212=År2,IF(B212="Vestdanmark",'Resultater - Vestdanmark'!I$3:I$482,'Resultater - Østdanmark'!I$3:I$482),IF(B212="Vestdanmark",'Resultater - Vestdanmark'!J$3:J$482,'Resultater - Østdanmark'!J$3:J$482))),'Resultater - Vestdanmark'!$F$3:$F$482,"Foder",'Resultater - Vestdanmark'!$A$3:$A$482,"&lt;&gt;Foderproduktion"))/SUMIFS(IF(D212=År1,'[1]Processer - data'!H$3:H$464,IF(D212=År2,'[1]Processer - data'!I$3:I$464,'[1]Processer - data'!J$3:J$464)),'[1]Processer - data'!$A$3:$A$464,"Foderproduktion",'[1]Processer - data'!$D$3:$D$464,$C212)</f>
        <v>12237689.909258299</v>
      </c>
      <c r="G212" s="361"/>
    </row>
    <row r="213" spans="1:7" hidden="1" x14ac:dyDescent="0.55000000000000004">
      <c r="A213" s="101" t="s">
        <v>113</v>
      </c>
      <c r="B213" t="s">
        <v>23</v>
      </c>
      <c r="C213" s="102" t="str">
        <f t="shared" si="14"/>
        <v>Mælk til foder</v>
      </c>
      <c r="D213">
        <f t="shared" si="13"/>
        <v>2030</v>
      </c>
      <c r="E213" s="152">
        <f>VLOOKUP($C213,Fodersammensætning!A$3:E$17,MATCH(D213,Fodersammensætning!$A$2:$E$2,0),FALSE)*(-SUMIFS(IF(D213=År1,IF(B213="Vestdanmark",'Resultater - Vestdanmark'!H$3:H$482,'Resultater - Østdanmark'!H$3:H$482),IF(D213=År2,IF(B213="Vestdanmark",'Resultater - Vestdanmark'!I$3:I$482,'Resultater - Østdanmark'!I$3:I$482),IF(B213="Vestdanmark",'Resultater - Vestdanmark'!J$3:J$482,'Resultater - Østdanmark'!J$3:J$482))),'Resultater - Vestdanmark'!$F$3:$F$482,"Foder",'Resultater - Vestdanmark'!$A$3:$A$482,"&lt;&gt;Foderproduktion"))/SUMIFS(IF(D213=År1,'[1]Processer - data'!H$3:H$464,IF(D213=År2,'[1]Processer - data'!I$3:I$464,'[1]Processer - data'!J$3:J$464)),'[1]Processer - data'!$A$3:$A$464,"Foderproduktion",'[1]Processer - data'!$D$3:$D$464,$C213)</f>
        <v>1515714.1736670113</v>
      </c>
      <c r="G213" s="361"/>
    </row>
    <row r="214" spans="1:7" hidden="1" x14ac:dyDescent="0.55000000000000004">
      <c r="A214" s="101" t="s">
        <v>113</v>
      </c>
      <c r="B214" t="s">
        <v>23</v>
      </c>
      <c r="C214" s="102" t="str">
        <f t="shared" si="14"/>
        <v>Fiberfraktion</v>
      </c>
      <c r="D214">
        <f t="shared" si="13"/>
        <v>2030</v>
      </c>
      <c r="E214" s="152">
        <f>VLOOKUP($C214,Fodersammensætning!A$3:E$17,MATCH(D214,Fodersammensætning!$A$2:$E$2,0),FALSE)*(-SUMIFS(IF(D214=År1,IF(B214="Vestdanmark",'Resultater - Vestdanmark'!H$3:H$482,'Resultater - Østdanmark'!H$3:H$482),IF(D214=År2,IF(B214="Vestdanmark",'Resultater - Vestdanmark'!I$3:I$482,'Resultater - Østdanmark'!I$3:I$482),IF(B214="Vestdanmark",'Resultater - Vestdanmark'!J$3:J$482,'Resultater - Østdanmark'!J$3:J$482))),'Resultater - Vestdanmark'!$F$3:$F$482,"Foder",'Resultater - Vestdanmark'!$A$3:$A$482,"&lt;&gt;Foderproduktion"))/SUMIFS(IF(D214=År1,'[1]Processer - data'!H$3:H$464,IF(D214=År2,'[1]Processer - data'!I$3:I$464,'[1]Processer - data'!J$3:J$464)),'[1]Processer - data'!$A$3:$A$464,"Foderproduktion",'[1]Processer - data'!$D$3:$D$464,$C214)</f>
        <v>0</v>
      </c>
      <c r="G214" s="361"/>
    </row>
    <row r="215" spans="1:7" hidden="1" x14ac:dyDescent="0.55000000000000004">
      <c r="A215" s="101" t="s">
        <v>113</v>
      </c>
      <c r="B215" t="s">
        <v>23</v>
      </c>
      <c r="C215" s="102" t="str">
        <f t="shared" si="14"/>
        <v>Græsprotein</v>
      </c>
      <c r="D215">
        <f t="shared" si="13"/>
        <v>2030</v>
      </c>
      <c r="E215" s="152">
        <f>VLOOKUP($C215,Fodersammensætning!A$3:E$17,MATCH(D215,Fodersammensætning!$A$2:$E$2,0),FALSE)*(-SUMIFS(IF(D215=År1,IF(B215="Vestdanmark",'Resultater - Vestdanmark'!H$3:H$482,'Resultater - Østdanmark'!H$3:H$482),IF(D215=År2,IF(B215="Vestdanmark",'Resultater - Vestdanmark'!I$3:I$482,'Resultater - Østdanmark'!I$3:I$482),IF(B215="Vestdanmark",'Resultater - Vestdanmark'!J$3:J$482,'Resultater - Østdanmark'!J$3:J$482))),'Resultater - Vestdanmark'!$F$3:$F$482,"Foder",'Resultater - Vestdanmark'!$A$3:$A$482,"&lt;&gt;Foderproduktion"))/SUMIFS(IF(D215=År1,'[1]Processer - data'!H$3:H$464,IF(D215=År2,'[1]Processer - data'!I$3:I$464,'[1]Processer - data'!J$3:J$464)),'[1]Processer - data'!$A$3:$A$464,"Foderproduktion",'[1]Processer - data'!$D$3:$D$464,$C215)</f>
        <v>0</v>
      </c>
      <c r="G215" s="361"/>
    </row>
    <row r="216" spans="1:7" hidden="1" x14ac:dyDescent="0.55000000000000004">
      <c r="A216" s="101" t="s">
        <v>113</v>
      </c>
      <c r="B216" t="s">
        <v>23</v>
      </c>
      <c r="C216" s="102" t="str">
        <f t="shared" si="14"/>
        <v>Slagteriaffald til foder</v>
      </c>
      <c r="D216">
        <f t="shared" si="13"/>
        <v>2030</v>
      </c>
      <c r="E216" s="152">
        <f>VLOOKUP($C216,Fodersammensætning!A$3:E$17,MATCH(D216,Fodersammensætning!$A$2:$E$2,0),FALSE)*(-SUMIFS(IF(D216=År1,IF(B216="Vestdanmark",'Resultater - Vestdanmark'!H$3:H$482,'Resultater - Østdanmark'!H$3:H$482),IF(D216=År2,IF(B216="Vestdanmark",'Resultater - Vestdanmark'!I$3:I$482,'Resultater - Østdanmark'!I$3:I$482),IF(B216="Vestdanmark",'Resultater - Vestdanmark'!J$3:J$482,'Resultater - Østdanmark'!J$3:J$482))),'Resultater - Vestdanmark'!$F$3:$F$482,"Foder",'Resultater - Vestdanmark'!$A$3:$A$482,"&lt;&gt;Foderproduktion"))/SUMIFS(IF(D216=År1,'[1]Processer - data'!H$3:H$464,IF(D216=År2,'[1]Processer - data'!I$3:I$464,'[1]Processer - data'!J$3:J$464)),'[1]Processer - data'!$A$3:$A$464,"Foderproduktion",'[1]Processer - data'!$D$3:$D$464,$C216)</f>
        <v>39415.735012617326</v>
      </c>
      <c r="G216" s="361"/>
    </row>
    <row r="217" spans="1:7" hidden="1" x14ac:dyDescent="0.55000000000000004">
      <c r="A217" s="101" t="s">
        <v>113</v>
      </c>
      <c r="B217" t="s">
        <v>23</v>
      </c>
      <c r="C217" s="102" t="str">
        <f t="shared" si="14"/>
        <v>Import af foder</v>
      </c>
      <c r="D217">
        <f t="shared" si="13"/>
        <v>2030</v>
      </c>
      <c r="E217" s="152">
        <f>VLOOKUP($C217,Fodersammensætning!A$3:E$17,MATCH(D217,Fodersammensætning!$A$2:$E$2,0),FALSE)*(-SUMIFS(IF(D217=År1,IF(B217="Vestdanmark",'Resultater - Vestdanmark'!H$3:H$482,'Resultater - Østdanmark'!H$3:H$482),IF(D217=År2,IF(B217="Vestdanmark",'Resultater - Vestdanmark'!I$3:I$482,'Resultater - Østdanmark'!I$3:I$482),IF(B217="Vestdanmark",'Resultater - Vestdanmark'!J$3:J$482,'Resultater - Østdanmark'!J$3:J$482))),'Resultater - Vestdanmark'!$F$3:$F$482,"Foder",'Resultater - Vestdanmark'!$A$3:$A$482,"&lt;&gt;Foderproduktion"))/SUMIFS(IF(D217=År1,'[1]Processer - data'!H$3:H$464,IF(D217=År2,'[1]Processer - data'!I$3:I$464,'[1]Processer - data'!J$3:J$464)),'[1]Processer - data'!$A$3:$A$464,"Foderproduktion",'[1]Processer - data'!$D$3:$D$464,$C217)</f>
        <v>4828427.5390456226</v>
      </c>
      <c r="G217" s="361"/>
    </row>
    <row r="218" spans="1:7" hidden="1" x14ac:dyDescent="0.55000000000000004">
      <c r="A218" s="101" t="s">
        <v>113</v>
      </c>
      <c r="B218" t="s">
        <v>23</v>
      </c>
      <c r="C218" s="102" t="str">
        <f t="shared" si="14"/>
        <v>Korn</v>
      </c>
      <c r="D218">
        <f t="shared" ref="D218:D232" si="15">År3</f>
        <v>2050</v>
      </c>
      <c r="E218" s="152">
        <f>VLOOKUP($C218,Fodersammensætning!A$3:E$17,MATCH(D218,Fodersammensætning!$A$2:$E$2,0),FALSE)*(-SUMIFS(IF(D218=År1,IF(B218="Vestdanmark",'Resultater - Vestdanmark'!H$3:H$482,'Resultater - Østdanmark'!H$3:H$482),IF(D218=År2,IF(B218="Vestdanmark",'Resultater - Vestdanmark'!I$3:I$482,'Resultater - Østdanmark'!I$3:I$482),IF(B218="Vestdanmark",'Resultater - Vestdanmark'!J$3:J$482,'Resultater - Østdanmark'!J$3:J$482))),'Resultater - Vestdanmark'!$F$3:$F$482,"Foder",'Resultater - Vestdanmark'!$A$3:$A$482,"&lt;&gt;Foderproduktion"))/SUMIFS(IF(D218=År1,'[1]Processer - data'!H$3:H$464,IF(D218=År2,'[1]Processer - data'!I$3:I$464,'[1]Processer - data'!J$3:J$464)),'[1]Processer - data'!$A$3:$A$464,"Foderproduktion",'[1]Processer - data'!$D$3:$D$464,$C218)</f>
        <v>5879215.2019956233</v>
      </c>
    </row>
    <row r="219" spans="1:7" hidden="1" x14ac:dyDescent="0.55000000000000004">
      <c r="A219" s="101" t="s">
        <v>113</v>
      </c>
      <c r="B219" t="s">
        <v>23</v>
      </c>
      <c r="C219" s="102" t="str">
        <f t="shared" si="14"/>
        <v>Halm</v>
      </c>
      <c r="D219">
        <f t="shared" si="15"/>
        <v>2050</v>
      </c>
      <c r="E219" s="152">
        <f>VLOOKUP($C219,Fodersammensætning!A$3:E$17,MATCH(D219,Fodersammensætning!$A$2:$E$2,0),FALSE)*(-SUMIFS(IF(D219=År1,IF(B219="Vestdanmark",'Resultater - Vestdanmark'!H$3:H$482,'Resultater - Østdanmark'!H$3:H$482),IF(D219=År2,IF(B219="Vestdanmark",'Resultater - Vestdanmark'!I$3:I$482,'Resultater - Østdanmark'!I$3:I$482),IF(B219="Vestdanmark",'Resultater - Vestdanmark'!J$3:J$482,'Resultater - Østdanmark'!J$3:J$482))),'Resultater - Vestdanmark'!$F$3:$F$482,"Foder",'Resultater - Vestdanmark'!$A$3:$A$482,"&lt;&gt;Foderproduktion"))/SUMIFS(IF(D219=År1,'[1]Processer - data'!H$3:H$464,IF(D219=År2,'[1]Processer - data'!I$3:I$464,'[1]Processer - data'!J$3:J$464)),'[1]Processer - data'!$A$3:$A$464,"Foderproduktion",'[1]Processer - data'!$D$3:$D$464,$C219)</f>
        <v>773085.89354292606</v>
      </c>
    </row>
    <row r="220" spans="1:7" hidden="1" x14ac:dyDescent="0.55000000000000004">
      <c r="A220" s="101" t="s">
        <v>113</v>
      </c>
      <c r="B220" t="s">
        <v>23</v>
      </c>
      <c r="C220" s="102" t="str">
        <f t="shared" si="14"/>
        <v>Kartofler</v>
      </c>
      <c r="D220">
        <f t="shared" si="15"/>
        <v>2050</v>
      </c>
      <c r="E220" s="152">
        <f>VLOOKUP($C220,Fodersammensætning!A$3:E$17,MATCH(D220,Fodersammensætning!$A$2:$E$2,0),FALSE)*(-SUMIFS(IF(D220=År1,IF(B220="Vestdanmark",'Resultater - Vestdanmark'!H$3:H$482,'Resultater - Østdanmark'!H$3:H$482),IF(D220=År2,IF(B220="Vestdanmark",'Resultater - Vestdanmark'!I$3:I$482,'Resultater - Østdanmark'!I$3:I$482),IF(B220="Vestdanmark",'Resultater - Vestdanmark'!J$3:J$482,'Resultater - Østdanmark'!J$3:J$482))),'Resultater - Vestdanmark'!$F$3:$F$482,"Foder",'Resultater - Vestdanmark'!$A$3:$A$482,"&lt;&gt;Foderproduktion"))/SUMIFS(IF(D220=År1,'[1]Processer - data'!H$3:H$464,IF(D220=År2,'[1]Processer - data'!I$3:I$464,'[1]Processer - data'!J$3:J$464)),'[1]Processer - data'!$A$3:$A$464,"Foderproduktion",'[1]Processer - data'!$D$3:$D$464,$C220)</f>
        <v>0</v>
      </c>
    </row>
    <row r="221" spans="1:7" hidden="1" x14ac:dyDescent="0.55000000000000004">
      <c r="A221" s="101" t="s">
        <v>113</v>
      </c>
      <c r="B221" t="s">
        <v>23</v>
      </c>
      <c r="C221" s="102" t="str">
        <f t="shared" si="14"/>
        <v>Bælgsæd</v>
      </c>
      <c r="D221">
        <f t="shared" si="15"/>
        <v>2050</v>
      </c>
      <c r="E221" s="152">
        <f>VLOOKUP($C221,Fodersammensætning!A$3:E$17,MATCH(D221,Fodersammensætning!$A$2:$E$2,0),FALSE)*(-SUMIFS(IF(D221=År1,IF(B221="Vestdanmark",'Resultater - Vestdanmark'!H$3:H$482,'Resultater - Østdanmark'!H$3:H$482),IF(D221=År2,IF(B221="Vestdanmark",'Resultater - Vestdanmark'!I$3:I$482,'Resultater - Østdanmark'!I$3:I$482),IF(B221="Vestdanmark",'Resultater - Vestdanmark'!J$3:J$482,'Resultater - Østdanmark'!J$3:J$482))),'Resultater - Vestdanmark'!$F$3:$F$482,"Foder",'Resultater - Vestdanmark'!$A$3:$A$482,"&lt;&gt;Foderproduktion"))/SUMIFS(IF(D221=År1,'[1]Processer - data'!H$3:H$464,IF(D221=År2,'[1]Processer - data'!I$3:I$464,'[1]Processer - data'!J$3:J$464)),'[1]Processer - data'!$A$3:$A$464,"Foderproduktion",'[1]Processer - data'!$D$3:$D$464,$C221)</f>
        <v>64498.475475191975</v>
      </c>
    </row>
    <row r="222" spans="1:7" hidden="1" x14ac:dyDescent="0.55000000000000004">
      <c r="A222" s="101" t="s">
        <v>113</v>
      </c>
      <c r="B222" t="s">
        <v>23</v>
      </c>
      <c r="C222" s="102" t="str">
        <f t="shared" si="14"/>
        <v>Roer</v>
      </c>
      <c r="D222">
        <f t="shared" si="15"/>
        <v>2050</v>
      </c>
      <c r="E222" s="152">
        <f>VLOOKUP($C222,Fodersammensætning!A$3:E$17,MATCH(D222,Fodersammensætning!$A$2:$E$2,0),FALSE)*(-SUMIFS(IF(D222=År1,IF(B222="Vestdanmark",'Resultater - Vestdanmark'!H$3:H$482,'Resultater - Østdanmark'!H$3:H$482),IF(D222=År2,IF(B222="Vestdanmark",'Resultater - Vestdanmark'!I$3:I$482,'Resultater - Østdanmark'!I$3:I$482),IF(B222="Vestdanmark",'Resultater - Vestdanmark'!J$3:J$482,'Resultater - Østdanmark'!J$3:J$482))),'Resultater - Vestdanmark'!$F$3:$F$482,"Foder",'Resultater - Vestdanmark'!$A$3:$A$482,"&lt;&gt;Foderproduktion"))/SUMIFS(IF(D222=År1,'[1]Processer - data'!H$3:H$464,IF(D222=År2,'[1]Processer - data'!I$3:I$464,'[1]Processer - data'!J$3:J$464)),'[1]Processer - data'!$A$3:$A$464,"Foderproduktion",'[1]Processer - data'!$D$3:$D$464,$C222)</f>
        <v>841167.61765562883</v>
      </c>
    </row>
    <row r="223" spans="1:7" hidden="1" x14ac:dyDescent="0.55000000000000004">
      <c r="A223" s="101" t="s">
        <v>113</v>
      </c>
      <c r="B223" t="s">
        <v>23</v>
      </c>
      <c r="C223" s="102" t="str">
        <f t="shared" si="14"/>
        <v>Majs</v>
      </c>
      <c r="D223">
        <f t="shared" si="15"/>
        <v>2050</v>
      </c>
      <c r="E223" s="152">
        <f>VLOOKUP($C223,Fodersammensætning!A$3:E$17,MATCH(D223,Fodersammensætning!$A$2:$E$2,0),FALSE)*(-SUMIFS(IF(D223=År1,IF(B223="Vestdanmark",'Resultater - Vestdanmark'!H$3:H$482,'Resultater - Østdanmark'!H$3:H$482),IF(D223=År2,IF(B223="Vestdanmark",'Resultater - Vestdanmark'!I$3:I$482,'Resultater - Østdanmark'!I$3:I$482),IF(B223="Vestdanmark",'Resultater - Vestdanmark'!J$3:J$482,'Resultater - Østdanmark'!J$3:J$482))),'Resultater - Vestdanmark'!$F$3:$F$482,"Foder",'Resultater - Vestdanmark'!$A$3:$A$482,"&lt;&gt;Foderproduktion"))/SUMIFS(IF(D223=År1,'[1]Processer - data'!H$3:H$464,IF(D223=År2,'[1]Processer - data'!I$3:I$464,'[1]Processer - data'!J$3:J$464)),'[1]Processer - data'!$A$3:$A$464,"Foderproduktion",'[1]Processer - data'!$D$3:$D$464,$C223)</f>
        <v>5657053.7864699624</v>
      </c>
    </row>
    <row r="224" spans="1:7" hidden="1" x14ac:dyDescent="0.55000000000000004">
      <c r="A224" s="101" t="s">
        <v>113</v>
      </c>
      <c r="B224" t="s">
        <v>23</v>
      </c>
      <c r="C224" s="102" t="str">
        <f t="shared" si="14"/>
        <v>Rapskage</v>
      </c>
      <c r="D224">
        <f t="shared" si="15"/>
        <v>2050</v>
      </c>
      <c r="E224" s="152">
        <f>VLOOKUP($C224,Fodersammensætning!A$3:E$17,MATCH(D224,Fodersammensætning!$A$2:$E$2,0),FALSE)*(-SUMIFS(IF(D224=År1,IF(B224="Vestdanmark",'Resultater - Vestdanmark'!H$3:H$482,'Resultater - Østdanmark'!H$3:H$482),IF(D224=År2,IF(B224="Vestdanmark",'Resultater - Vestdanmark'!I$3:I$482,'Resultater - Østdanmark'!I$3:I$482),IF(B224="Vestdanmark",'Resultater - Vestdanmark'!J$3:J$482,'Resultater - Østdanmark'!J$3:J$482))),'Resultater - Vestdanmark'!$F$3:$F$482,"Foder",'Resultater - Vestdanmark'!$A$3:$A$482,"&lt;&gt;Foderproduktion"))/SUMIFS(IF(D224=År1,'[1]Processer - data'!H$3:H$464,IF(D224=År2,'[1]Processer - data'!I$3:I$464,'[1]Processer - data'!J$3:J$464)),'[1]Processer - data'!$A$3:$A$464,"Foderproduktion",'[1]Processer - data'!$D$3:$D$464,$C224)</f>
        <v>214099.10609126225</v>
      </c>
    </row>
    <row r="225" spans="1:5" hidden="1" x14ac:dyDescent="0.55000000000000004">
      <c r="A225" s="101" t="s">
        <v>113</v>
      </c>
      <c r="B225" t="s">
        <v>23</v>
      </c>
      <c r="C225" s="102" t="str">
        <f t="shared" si="14"/>
        <v>Tang</v>
      </c>
      <c r="D225">
        <f t="shared" si="15"/>
        <v>2050</v>
      </c>
      <c r="E225" s="152">
        <f>VLOOKUP($C225,Fodersammensætning!A$3:E$17,MATCH(D225,Fodersammensætning!$A$2:$E$2,0),FALSE)*(-SUMIFS(IF(D225=År1,IF(B225="Vestdanmark",'Resultater - Vestdanmark'!H$3:H$482,'Resultater - Østdanmark'!H$3:H$482),IF(D225=År2,IF(B225="Vestdanmark",'Resultater - Vestdanmark'!I$3:I$482,'Resultater - Østdanmark'!I$3:I$482),IF(B225="Vestdanmark",'Resultater - Vestdanmark'!J$3:J$482,'Resultater - Østdanmark'!J$3:J$482))),'Resultater - Vestdanmark'!$F$3:$F$482,"Foder",'Resultater - Vestdanmark'!$A$3:$A$482,"&lt;&gt;Foderproduktion"))/SUMIFS(IF(D225=År1,'[1]Processer - data'!H$3:H$464,IF(D225=År2,'[1]Processer - data'!I$3:I$464,'[1]Processer - data'!J$3:J$464)),'[1]Processer - data'!$A$3:$A$464,"Foderproduktion",'[1]Processer - data'!$D$3:$D$464,$C225)</f>
        <v>0</v>
      </c>
    </row>
    <row r="226" spans="1:5" hidden="1" x14ac:dyDescent="0.55000000000000004">
      <c r="A226" s="101" t="s">
        <v>113</v>
      </c>
      <c r="B226" t="s">
        <v>23</v>
      </c>
      <c r="C226" s="102" t="str">
        <f t="shared" si="14"/>
        <v>Muslinger</v>
      </c>
      <c r="D226">
        <f t="shared" si="15"/>
        <v>2050</v>
      </c>
      <c r="E226" s="152">
        <f>VLOOKUP($C226,Fodersammensætning!A$3:E$17,MATCH(D226,Fodersammensætning!$A$2:$E$2,0),FALSE)*(-SUMIFS(IF(D226=År1,IF(B226="Vestdanmark",'Resultater - Vestdanmark'!H$3:H$482,'Resultater - Østdanmark'!H$3:H$482),IF(D226=År2,IF(B226="Vestdanmark",'Resultater - Vestdanmark'!I$3:I$482,'Resultater - Østdanmark'!I$3:I$482),IF(B226="Vestdanmark",'Resultater - Vestdanmark'!J$3:J$482,'Resultater - Østdanmark'!J$3:J$482))),'Resultater - Vestdanmark'!$F$3:$F$482,"Foder",'Resultater - Vestdanmark'!$A$3:$A$482,"&lt;&gt;Foderproduktion"))/SUMIFS(IF(D226=År1,'[1]Processer - data'!H$3:H$464,IF(D226=År2,'[1]Processer - data'!I$3:I$464,'[1]Processer - data'!J$3:J$464)),'[1]Processer - data'!$A$3:$A$464,"Foderproduktion",'[1]Processer - data'!$D$3:$D$464,$C226)</f>
        <v>0</v>
      </c>
    </row>
    <row r="227" spans="1:5" hidden="1" x14ac:dyDescent="0.55000000000000004">
      <c r="A227" s="101" t="s">
        <v>113</v>
      </c>
      <c r="B227" t="s">
        <v>23</v>
      </c>
      <c r="C227" s="102" t="str">
        <f t="shared" si="14"/>
        <v>Græs</v>
      </c>
      <c r="D227">
        <f t="shared" si="15"/>
        <v>2050</v>
      </c>
      <c r="E227" s="152">
        <f>VLOOKUP($C227,Fodersammensætning!A$3:E$17,MATCH(D227,Fodersammensætning!$A$2:$E$2,0),FALSE)*(-SUMIFS(IF(D227=År1,IF(B227="Vestdanmark",'Resultater - Vestdanmark'!H$3:H$482,'Resultater - Østdanmark'!H$3:H$482),IF(D227=År2,IF(B227="Vestdanmark",'Resultater - Vestdanmark'!I$3:I$482,'Resultater - Østdanmark'!I$3:I$482),IF(B227="Vestdanmark",'Resultater - Vestdanmark'!J$3:J$482,'Resultater - Østdanmark'!J$3:J$482))),'Resultater - Vestdanmark'!$F$3:$F$482,"Foder",'Resultater - Vestdanmark'!$A$3:$A$482,"&lt;&gt;Foderproduktion"))/SUMIFS(IF(D227=År1,'[1]Processer - data'!H$3:H$464,IF(D227=År2,'[1]Processer - data'!I$3:I$464,'[1]Processer - data'!J$3:J$464)),'[1]Processer - data'!$A$3:$A$464,"Foderproduktion",'[1]Processer - data'!$D$3:$D$464,$C227)</f>
        <v>12237689.909258299</v>
      </c>
    </row>
    <row r="228" spans="1:5" hidden="1" x14ac:dyDescent="0.55000000000000004">
      <c r="A228" s="101" t="s">
        <v>113</v>
      </c>
      <c r="B228" t="s">
        <v>23</v>
      </c>
      <c r="C228" s="102" t="str">
        <f t="shared" si="14"/>
        <v>Mælk til foder</v>
      </c>
      <c r="D228">
        <f t="shared" si="15"/>
        <v>2050</v>
      </c>
      <c r="E228" s="152">
        <f>VLOOKUP($C228,Fodersammensætning!A$3:E$17,MATCH(D228,Fodersammensætning!$A$2:$E$2,0),FALSE)*(-SUMIFS(IF(D228=År1,IF(B228="Vestdanmark",'Resultater - Vestdanmark'!H$3:H$482,'Resultater - Østdanmark'!H$3:H$482),IF(D228=År2,IF(B228="Vestdanmark",'Resultater - Vestdanmark'!I$3:I$482,'Resultater - Østdanmark'!I$3:I$482),IF(B228="Vestdanmark",'Resultater - Vestdanmark'!J$3:J$482,'Resultater - Østdanmark'!J$3:J$482))),'Resultater - Vestdanmark'!$F$3:$F$482,"Foder",'Resultater - Vestdanmark'!$A$3:$A$482,"&lt;&gt;Foderproduktion"))/SUMIFS(IF(D228=År1,'[1]Processer - data'!H$3:H$464,IF(D228=År2,'[1]Processer - data'!I$3:I$464,'[1]Processer - data'!J$3:J$464)),'[1]Processer - data'!$A$3:$A$464,"Foderproduktion",'[1]Processer - data'!$D$3:$D$464,$C228)</f>
        <v>1515714.1736670113</v>
      </c>
    </row>
    <row r="229" spans="1:5" hidden="1" x14ac:dyDescent="0.55000000000000004">
      <c r="A229" s="101" t="s">
        <v>113</v>
      </c>
      <c r="B229" t="s">
        <v>23</v>
      </c>
      <c r="C229" s="102" t="str">
        <f t="shared" si="14"/>
        <v>Fiberfraktion</v>
      </c>
      <c r="D229">
        <f t="shared" si="15"/>
        <v>2050</v>
      </c>
      <c r="E229" s="152">
        <f>VLOOKUP($C229,Fodersammensætning!A$3:E$17,MATCH(D229,Fodersammensætning!$A$2:$E$2,0),FALSE)*(-SUMIFS(IF(D229=År1,IF(B229="Vestdanmark",'Resultater - Vestdanmark'!H$3:H$482,'Resultater - Østdanmark'!H$3:H$482),IF(D229=År2,IF(B229="Vestdanmark",'Resultater - Vestdanmark'!I$3:I$482,'Resultater - Østdanmark'!I$3:I$482),IF(B229="Vestdanmark",'Resultater - Vestdanmark'!J$3:J$482,'Resultater - Østdanmark'!J$3:J$482))),'Resultater - Vestdanmark'!$F$3:$F$482,"Foder",'Resultater - Vestdanmark'!$A$3:$A$482,"&lt;&gt;Foderproduktion"))/SUMIFS(IF(D229=År1,'[1]Processer - data'!H$3:H$464,IF(D229=År2,'[1]Processer - data'!I$3:I$464,'[1]Processer - data'!J$3:J$464)),'[1]Processer - data'!$A$3:$A$464,"Foderproduktion",'[1]Processer - data'!$D$3:$D$464,$C229)</f>
        <v>0</v>
      </c>
    </row>
    <row r="230" spans="1:5" hidden="1" x14ac:dyDescent="0.55000000000000004">
      <c r="A230" s="101" t="s">
        <v>113</v>
      </c>
      <c r="B230" t="s">
        <v>23</v>
      </c>
      <c r="C230" s="102" t="str">
        <f t="shared" si="14"/>
        <v>Græsprotein</v>
      </c>
      <c r="D230">
        <f t="shared" si="15"/>
        <v>2050</v>
      </c>
      <c r="E230" s="152">
        <f>VLOOKUP($C230,Fodersammensætning!A$3:E$17,MATCH(D230,Fodersammensætning!$A$2:$E$2,0),FALSE)*(-SUMIFS(IF(D230=År1,IF(B230="Vestdanmark",'Resultater - Vestdanmark'!H$3:H$482,'Resultater - Østdanmark'!H$3:H$482),IF(D230=År2,IF(B230="Vestdanmark",'Resultater - Vestdanmark'!I$3:I$482,'Resultater - Østdanmark'!I$3:I$482),IF(B230="Vestdanmark",'Resultater - Vestdanmark'!J$3:J$482,'Resultater - Østdanmark'!J$3:J$482))),'Resultater - Vestdanmark'!$F$3:$F$482,"Foder",'Resultater - Vestdanmark'!$A$3:$A$482,"&lt;&gt;Foderproduktion"))/SUMIFS(IF(D230=År1,'[1]Processer - data'!H$3:H$464,IF(D230=År2,'[1]Processer - data'!I$3:I$464,'[1]Processer - data'!J$3:J$464)),'[1]Processer - data'!$A$3:$A$464,"Foderproduktion",'[1]Processer - data'!$D$3:$D$464,$C230)</f>
        <v>0</v>
      </c>
    </row>
    <row r="231" spans="1:5" hidden="1" x14ac:dyDescent="0.55000000000000004">
      <c r="A231" s="101" t="s">
        <v>113</v>
      </c>
      <c r="B231" t="s">
        <v>23</v>
      </c>
      <c r="C231" s="102" t="str">
        <f t="shared" si="14"/>
        <v>Slagteriaffald til foder</v>
      </c>
      <c r="D231">
        <f t="shared" si="15"/>
        <v>2050</v>
      </c>
      <c r="E231" s="152">
        <f>VLOOKUP($C231,Fodersammensætning!A$3:E$17,MATCH(D231,Fodersammensætning!$A$2:$E$2,0),FALSE)*(-SUMIFS(IF(D231=År1,IF(B231="Vestdanmark",'Resultater - Vestdanmark'!H$3:H$482,'Resultater - Østdanmark'!H$3:H$482),IF(D231=År2,IF(B231="Vestdanmark",'Resultater - Vestdanmark'!I$3:I$482,'Resultater - Østdanmark'!I$3:I$482),IF(B231="Vestdanmark",'Resultater - Vestdanmark'!J$3:J$482,'Resultater - Østdanmark'!J$3:J$482))),'Resultater - Vestdanmark'!$F$3:$F$482,"Foder",'Resultater - Vestdanmark'!$A$3:$A$482,"&lt;&gt;Foderproduktion"))/SUMIFS(IF(D231=År1,'[1]Processer - data'!H$3:H$464,IF(D231=År2,'[1]Processer - data'!I$3:I$464,'[1]Processer - data'!J$3:J$464)),'[1]Processer - data'!$A$3:$A$464,"Foderproduktion",'[1]Processer - data'!$D$3:$D$464,$C231)</f>
        <v>39415.735012617326</v>
      </c>
    </row>
    <row r="232" spans="1:5" hidden="1" x14ac:dyDescent="0.55000000000000004">
      <c r="A232" s="101" t="s">
        <v>113</v>
      </c>
      <c r="B232" t="s">
        <v>23</v>
      </c>
      <c r="C232" s="102" t="str">
        <f t="shared" si="14"/>
        <v>Import af foder</v>
      </c>
      <c r="D232">
        <f t="shared" si="15"/>
        <v>2050</v>
      </c>
      <c r="E232" s="152">
        <f>VLOOKUP($C232,Fodersammensætning!A$3:E$17,MATCH(D232,Fodersammensætning!$A$2:$E$2,0),FALSE)*(-SUMIFS(IF(D232=År1,IF(B232="Vestdanmark",'Resultater - Vestdanmark'!H$3:H$482,'Resultater - Østdanmark'!H$3:H$482),IF(D232=År2,IF(B232="Vestdanmark",'Resultater - Vestdanmark'!I$3:I$482,'Resultater - Østdanmark'!I$3:I$482),IF(B232="Vestdanmark",'Resultater - Vestdanmark'!J$3:J$482,'Resultater - Østdanmark'!J$3:J$482))),'Resultater - Vestdanmark'!$F$3:$F$482,"Foder",'Resultater - Vestdanmark'!$A$3:$A$482,"&lt;&gt;Foderproduktion"))/SUMIFS(IF(D232=År1,'[1]Processer - data'!H$3:H$464,IF(D232=År2,'[1]Processer - data'!I$3:I$464,'[1]Processer - data'!J$3:J$464)),'[1]Processer - data'!$A$3:$A$464,"Foderproduktion",'[1]Processer - data'!$D$3:$D$464,$C232)</f>
        <v>4828427.5390456226</v>
      </c>
    </row>
    <row r="233" spans="1:5" hidden="1" x14ac:dyDescent="0.55000000000000004">
      <c r="A233" s="101" t="s">
        <v>113</v>
      </c>
      <c r="B233" t="s">
        <v>24</v>
      </c>
      <c r="C233" s="102" t="str">
        <f t="shared" si="14"/>
        <v>Korn</v>
      </c>
      <c r="D233">
        <f t="shared" ref="D233:D247" si="16">År1</f>
        <v>2019</v>
      </c>
      <c r="E233" s="152">
        <f>VLOOKUP($C233,Fodersammensætning!A$3:E$17,MATCH(D233,Fodersammensætning!$A$2:$E$2,0),FALSE)*(-SUMIFS(IF(D233=År1,IF(B233="Vestdanmark",'Resultater - Vestdanmark'!H$3:H$482,'Resultater - Østdanmark'!H$3:H$482),IF(D233=År2,IF(B233="Vestdanmark",'Resultater - Vestdanmark'!I$3:I$482,'Resultater - Østdanmark'!I$3:I$482),IF(B233="Vestdanmark",'Resultater - Vestdanmark'!J$3:J$482,'Resultater - Østdanmark'!J$3:J$482))),'Resultater - Vestdanmark'!$F$3:$F$482,"Foder",'Resultater - Vestdanmark'!$A$3:$A$482,"&lt;&gt;Foderproduktion"))/SUMIFS(IF(D233=År1,'[1]Processer - data'!H$3:H$464,IF(D233=År2,'[1]Processer - data'!I$3:I$464,'[1]Processer - data'!J$3:J$464)),'[1]Processer - data'!$A$3:$A$464,"Foderproduktion",'[1]Processer - data'!$D$3:$D$464,$C233)</f>
        <v>721621.60770550335</v>
      </c>
    </row>
    <row r="234" spans="1:5" hidden="1" x14ac:dyDescent="0.55000000000000004">
      <c r="A234" s="101" t="s">
        <v>113</v>
      </c>
      <c r="B234" t="s">
        <v>24</v>
      </c>
      <c r="C234" s="102" t="str">
        <f t="shared" si="14"/>
        <v>Halm</v>
      </c>
      <c r="D234">
        <f t="shared" si="16"/>
        <v>2019</v>
      </c>
      <c r="E234" s="152">
        <f>VLOOKUP($C234,Fodersammensætning!A$3:E$17,MATCH(D234,Fodersammensætning!$A$2:$E$2,0),FALSE)*(-SUMIFS(IF(D234=År1,IF(B234="Vestdanmark",'Resultater - Vestdanmark'!H$3:H$482,'Resultater - Østdanmark'!H$3:H$482),IF(D234=År2,IF(B234="Vestdanmark",'Resultater - Vestdanmark'!I$3:I$482,'Resultater - Østdanmark'!I$3:I$482),IF(B234="Vestdanmark",'Resultater - Vestdanmark'!J$3:J$482,'Resultater - Østdanmark'!J$3:J$482))),'Resultater - Vestdanmark'!$F$3:$F$482,"Foder",'Resultater - Vestdanmark'!$A$3:$A$482,"&lt;&gt;Foderproduktion"))/SUMIFS(IF(D234=År1,'[1]Processer - data'!H$3:H$464,IF(D234=År2,'[1]Processer - data'!I$3:I$464,'[1]Processer - data'!J$3:J$464)),'[1]Processer - data'!$A$3:$A$464,"Foderproduktion",'[1]Processer - data'!$D$3:$D$464,$C234)</f>
        <v>94889.448034412548</v>
      </c>
    </row>
    <row r="235" spans="1:5" hidden="1" x14ac:dyDescent="0.55000000000000004">
      <c r="A235" s="101" t="s">
        <v>113</v>
      </c>
      <c r="B235" t="s">
        <v>24</v>
      </c>
      <c r="C235" s="102" t="str">
        <f t="shared" si="14"/>
        <v>Kartofler</v>
      </c>
      <c r="D235">
        <f t="shared" si="16"/>
        <v>2019</v>
      </c>
      <c r="E235" s="152">
        <f>VLOOKUP($C235,Fodersammensætning!A$3:E$17,MATCH(D235,Fodersammensætning!$A$2:$E$2,0),FALSE)*(-SUMIFS(IF(D235=År1,IF(B235="Vestdanmark",'Resultater - Vestdanmark'!H$3:H$482,'Resultater - Østdanmark'!H$3:H$482),IF(D235=År2,IF(B235="Vestdanmark",'Resultater - Vestdanmark'!I$3:I$482,'Resultater - Østdanmark'!I$3:I$482),IF(B235="Vestdanmark",'Resultater - Vestdanmark'!J$3:J$482,'Resultater - Østdanmark'!J$3:J$482))),'Resultater - Vestdanmark'!$F$3:$F$482,"Foder",'Resultater - Vestdanmark'!$A$3:$A$482,"&lt;&gt;Foderproduktion"))/SUMIFS(IF(D235=År1,'[1]Processer - data'!H$3:H$464,IF(D235=År2,'[1]Processer - data'!I$3:I$464,'[1]Processer - data'!J$3:J$464)),'[1]Processer - data'!$A$3:$A$464,"Foderproduktion",'[1]Processer - data'!$D$3:$D$464,$C235)</f>
        <v>0</v>
      </c>
    </row>
    <row r="236" spans="1:5" hidden="1" x14ac:dyDescent="0.55000000000000004">
      <c r="A236" s="101" t="s">
        <v>113</v>
      </c>
      <c r="B236" t="s">
        <v>24</v>
      </c>
      <c r="C236" s="102" t="str">
        <f t="shared" si="14"/>
        <v>Bælgsæd</v>
      </c>
      <c r="D236">
        <f t="shared" si="16"/>
        <v>2019</v>
      </c>
      <c r="E236" s="152">
        <f>VLOOKUP($C236,Fodersammensætning!A$3:E$17,MATCH(D236,Fodersammensætning!$A$2:$E$2,0),FALSE)*(-SUMIFS(IF(D236=År1,IF(B236="Vestdanmark",'Resultater - Vestdanmark'!H$3:H$482,'Resultater - Østdanmark'!H$3:H$482),IF(D236=År2,IF(B236="Vestdanmark",'Resultater - Vestdanmark'!I$3:I$482,'Resultater - Østdanmark'!I$3:I$482),IF(B236="Vestdanmark",'Resultater - Vestdanmark'!J$3:J$482,'Resultater - Østdanmark'!J$3:J$482))),'Resultater - Vestdanmark'!$F$3:$F$482,"Foder",'Resultater - Vestdanmark'!$A$3:$A$482,"&lt;&gt;Foderproduktion"))/SUMIFS(IF(D236=År1,'[1]Processer - data'!H$3:H$464,IF(D236=År2,'[1]Processer - data'!I$3:I$464,'[1]Processer - data'!J$3:J$464)),'[1]Processer - data'!$A$3:$A$464,"Foderproduktion",'[1]Processer - data'!$D$3:$D$464,$C236)</f>
        <v>7916.616753740097</v>
      </c>
    </row>
    <row r="237" spans="1:5" hidden="1" x14ac:dyDescent="0.55000000000000004">
      <c r="A237" s="101" t="s">
        <v>113</v>
      </c>
      <c r="B237" t="s">
        <v>24</v>
      </c>
      <c r="C237" s="102" t="str">
        <f t="shared" si="14"/>
        <v>Roer</v>
      </c>
      <c r="D237">
        <f t="shared" si="16"/>
        <v>2019</v>
      </c>
      <c r="E237" s="152">
        <f>VLOOKUP($C237,Fodersammensætning!A$3:E$17,MATCH(D237,Fodersammensætning!$A$2:$E$2,0),FALSE)*(-SUMIFS(IF(D237=År1,IF(B237="Vestdanmark",'Resultater - Vestdanmark'!H$3:H$482,'Resultater - Østdanmark'!H$3:H$482),IF(D237=År2,IF(B237="Vestdanmark",'Resultater - Vestdanmark'!I$3:I$482,'Resultater - Østdanmark'!I$3:I$482),IF(B237="Vestdanmark",'Resultater - Vestdanmark'!J$3:J$482,'Resultater - Østdanmark'!J$3:J$482))),'Resultater - Vestdanmark'!$F$3:$F$482,"Foder",'Resultater - Vestdanmark'!$A$3:$A$482,"&lt;&gt;Foderproduktion"))/SUMIFS(IF(D237=År1,'[1]Processer - data'!H$3:H$464,IF(D237=År2,'[1]Processer - data'!I$3:I$464,'[1]Processer - data'!J$3:J$464)),'[1]Processer - data'!$A$3:$A$464,"Foderproduktion",'[1]Processer - data'!$D$3:$D$464,$C237)</f>
        <v>103245.87683002709</v>
      </c>
    </row>
    <row r="238" spans="1:5" hidden="1" x14ac:dyDescent="0.55000000000000004">
      <c r="A238" s="101" t="s">
        <v>113</v>
      </c>
      <c r="B238" t="s">
        <v>24</v>
      </c>
      <c r="C238" s="102" t="str">
        <f t="shared" si="14"/>
        <v>Majs</v>
      </c>
      <c r="D238">
        <f t="shared" si="16"/>
        <v>2019</v>
      </c>
      <c r="E238" s="152">
        <f>VLOOKUP($C238,Fodersammensætning!A$3:E$17,MATCH(D238,Fodersammensætning!$A$2:$E$2,0),FALSE)*(-SUMIFS(IF(D238=År1,IF(B238="Vestdanmark",'Resultater - Vestdanmark'!H$3:H$482,'Resultater - Østdanmark'!H$3:H$482),IF(D238=År2,IF(B238="Vestdanmark",'Resultater - Vestdanmark'!I$3:I$482,'Resultater - Østdanmark'!I$3:I$482),IF(B238="Vestdanmark",'Resultater - Vestdanmark'!J$3:J$482,'Resultater - Østdanmark'!J$3:J$482))),'Resultater - Vestdanmark'!$F$3:$F$482,"Foder",'Resultater - Vestdanmark'!$A$3:$A$482,"&lt;&gt;Foderproduktion"))/SUMIFS(IF(D238=År1,'[1]Processer - data'!H$3:H$464,IF(D238=År2,'[1]Processer - data'!I$3:I$464,'[1]Processer - data'!J$3:J$464)),'[1]Processer - data'!$A$3:$A$464,"Foderproduktion",'[1]Processer - data'!$D$3:$D$464,$C238)</f>
        <v>694353.2611092875</v>
      </c>
    </row>
    <row r="239" spans="1:5" hidden="1" x14ac:dyDescent="0.55000000000000004">
      <c r="A239" s="101" t="s">
        <v>113</v>
      </c>
      <c r="B239" t="s">
        <v>24</v>
      </c>
      <c r="C239" s="102" t="str">
        <f t="shared" si="14"/>
        <v>Rapskage</v>
      </c>
      <c r="D239">
        <f t="shared" si="16"/>
        <v>2019</v>
      </c>
      <c r="E239" s="152">
        <f>VLOOKUP($C239,Fodersammensætning!A$3:E$17,MATCH(D239,Fodersammensætning!$A$2:$E$2,0),FALSE)*(-SUMIFS(IF(D239=År1,IF(B239="Vestdanmark",'Resultater - Vestdanmark'!H$3:H$482,'Resultater - Østdanmark'!H$3:H$482),IF(D239=År2,IF(B239="Vestdanmark",'Resultater - Vestdanmark'!I$3:I$482,'Resultater - Østdanmark'!I$3:I$482),IF(B239="Vestdanmark",'Resultater - Vestdanmark'!J$3:J$482,'Resultater - Østdanmark'!J$3:J$482))),'Resultater - Vestdanmark'!$F$3:$F$482,"Foder",'Resultater - Vestdanmark'!$A$3:$A$482,"&lt;&gt;Foderproduktion"))/SUMIFS(IF(D239=År1,'[1]Processer - data'!H$3:H$464,IF(D239=År2,'[1]Processer - data'!I$3:I$464,'[1]Processer - data'!J$3:J$464)),'[1]Processer - data'!$A$3:$A$464,"Foderproduktion",'[1]Processer - data'!$D$3:$D$464,$C239)</f>
        <v>26278.769501998373</v>
      </c>
    </row>
    <row r="240" spans="1:5" hidden="1" x14ac:dyDescent="0.55000000000000004">
      <c r="A240" s="101" t="s">
        <v>113</v>
      </c>
      <c r="B240" t="s">
        <v>24</v>
      </c>
      <c r="C240" s="102" t="str">
        <f t="shared" si="14"/>
        <v>Tang</v>
      </c>
      <c r="D240">
        <f t="shared" si="16"/>
        <v>2019</v>
      </c>
      <c r="E240" s="152">
        <f>VLOOKUP($C240,Fodersammensætning!A$3:E$17,MATCH(D240,Fodersammensætning!$A$2:$E$2,0),FALSE)*(-SUMIFS(IF(D240=År1,IF(B240="Vestdanmark",'Resultater - Vestdanmark'!H$3:H$482,'Resultater - Østdanmark'!H$3:H$482),IF(D240=År2,IF(B240="Vestdanmark",'Resultater - Vestdanmark'!I$3:I$482,'Resultater - Østdanmark'!I$3:I$482),IF(B240="Vestdanmark",'Resultater - Vestdanmark'!J$3:J$482,'Resultater - Østdanmark'!J$3:J$482))),'Resultater - Vestdanmark'!$F$3:$F$482,"Foder",'Resultater - Vestdanmark'!$A$3:$A$482,"&lt;&gt;Foderproduktion"))/SUMIFS(IF(D240=År1,'[1]Processer - data'!H$3:H$464,IF(D240=År2,'[1]Processer - data'!I$3:I$464,'[1]Processer - data'!J$3:J$464)),'[1]Processer - data'!$A$3:$A$464,"Foderproduktion",'[1]Processer - data'!$D$3:$D$464,$C240)</f>
        <v>0</v>
      </c>
    </row>
    <row r="241" spans="1:5" hidden="1" x14ac:dyDescent="0.55000000000000004">
      <c r="A241" s="101" t="s">
        <v>113</v>
      </c>
      <c r="B241" t="s">
        <v>24</v>
      </c>
      <c r="C241" s="102" t="str">
        <f t="shared" si="14"/>
        <v>Muslinger</v>
      </c>
      <c r="D241">
        <f t="shared" si="16"/>
        <v>2019</v>
      </c>
      <c r="E241" s="152">
        <f>VLOOKUP($C241,Fodersammensætning!A$3:E$17,MATCH(D241,Fodersammensætning!$A$2:$E$2,0),FALSE)*(-SUMIFS(IF(D241=År1,IF(B241="Vestdanmark",'Resultater - Vestdanmark'!H$3:H$482,'Resultater - Østdanmark'!H$3:H$482),IF(D241=År2,IF(B241="Vestdanmark",'Resultater - Vestdanmark'!I$3:I$482,'Resultater - Østdanmark'!I$3:I$482),IF(B241="Vestdanmark",'Resultater - Vestdanmark'!J$3:J$482,'Resultater - Østdanmark'!J$3:J$482))),'Resultater - Vestdanmark'!$F$3:$F$482,"Foder",'Resultater - Vestdanmark'!$A$3:$A$482,"&lt;&gt;Foderproduktion"))/SUMIFS(IF(D241=År1,'[1]Processer - data'!H$3:H$464,IF(D241=År2,'[1]Processer - data'!I$3:I$464,'[1]Processer - data'!J$3:J$464)),'[1]Processer - data'!$A$3:$A$464,"Foderproduktion",'[1]Processer - data'!$D$3:$D$464,$C241)</f>
        <v>0</v>
      </c>
    </row>
    <row r="242" spans="1:5" hidden="1" x14ac:dyDescent="0.55000000000000004">
      <c r="A242" s="101" t="s">
        <v>113</v>
      </c>
      <c r="B242" t="s">
        <v>24</v>
      </c>
      <c r="C242" s="102" t="str">
        <f t="shared" si="14"/>
        <v>Græs</v>
      </c>
      <c r="D242">
        <f t="shared" si="16"/>
        <v>2019</v>
      </c>
      <c r="E242" s="152">
        <f>VLOOKUP($C242,Fodersammensætning!A$3:E$17,MATCH(D242,Fodersammensætning!$A$2:$E$2,0),FALSE)*(-SUMIFS(IF(D242=År1,IF(B242="Vestdanmark",'Resultater - Vestdanmark'!H$3:H$482,'Resultater - Østdanmark'!H$3:H$482),IF(D242=År2,IF(B242="Vestdanmark",'Resultater - Vestdanmark'!I$3:I$482,'Resultater - Østdanmark'!I$3:I$482),IF(B242="Vestdanmark",'Resultater - Vestdanmark'!J$3:J$482,'Resultater - Østdanmark'!J$3:J$482))),'Resultater - Vestdanmark'!$F$3:$F$482,"Foder",'Resultater - Vestdanmark'!$A$3:$A$482,"&lt;&gt;Foderproduktion"))/SUMIFS(IF(D242=År1,'[1]Processer - data'!H$3:H$464,IF(D242=År2,'[1]Processer - data'!I$3:I$464,'[1]Processer - data'!J$3:J$464)),'[1]Processer - data'!$A$3:$A$464,"Foderproduktion",'[1]Processer - data'!$D$3:$D$464,$C242)</f>
        <v>1502068.0760117143</v>
      </c>
    </row>
    <row r="243" spans="1:5" hidden="1" x14ac:dyDescent="0.55000000000000004">
      <c r="A243" s="101" t="s">
        <v>113</v>
      </c>
      <c r="B243" t="s">
        <v>24</v>
      </c>
      <c r="C243" s="102" t="str">
        <f t="shared" si="14"/>
        <v>Mælk til foder</v>
      </c>
      <c r="D243">
        <f t="shared" si="16"/>
        <v>2019</v>
      </c>
      <c r="E243" s="152">
        <f>VLOOKUP($C243,Fodersammensætning!A$3:E$17,MATCH(D243,Fodersammensætning!$A$2:$E$2,0),FALSE)*(-SUMIFS(IF(D243=År1,IF(B243="Vestdanmark",'Resultater - Vestdanmark'!H$3:H$482,'Resultater - Østdanmark'!H$3:H$482),IF(D243=År2,IF(B243="Vestdanmark",'Resultater - Vestdanmark'!I$3:I$482,'Resultater - Østdanmark'!I$3:I$482),IF(B243="Vestdanmark",'Resultater - Vestdanmark'!J$3:J$482,'Resultater - Østdanmark'!J$3:J$482))),'Resultater - Vestdanmark'!$F$3:$F$482,"Foder",'Resultater - Vestdanmark'!$A$3:$A$482,"&lt;&gt;Foderproduktion"))/SUMIFS(IF(D243=År1,'[1]Processer - data'!H$3:H$464,IF(D243=År2,'[1]Processer - data'!I$3:I$464,'[1]Processer - data'!J$3:J$464)),'[1]Processer - data'!$A$3:$A$464,"Foderproduktion",'[1]Processer - data'!$D$3:$D$464,$C243)</f>
        <v>186040.49371289223</v>
      </c>
    </row>
    <row r="244" spans="1:5" hidden="1" x14ac:dyDescent="0.55000000000000004">
      <c r="A244" s="101" t="s">
        <v>113</v>
      </c>
      <c r="B244" t="s">
        <v>24</v>
      </c>
      <c r="C244" s="102" t="str">
        <f t="shared" si="14"/>
        <v>Fiberfraktion</v>
      </c>
      <c r="D244">
        <f t="shared" si="16"/>
        <v>2019</v>
      </c>
      <c r="E244" s="152">
        <f>VLOOKUP($C244,Fodersammensætning!A$3:E$17,MATCH(D244,Fodersammensætning!$A$2:$E$2,0),FALSE)*(-SUMIFS(IF(D244=År1,IF(B244="Vestdanmark",'Resultater - Vestdanmark'!H$3:H$482,'Resultater - Østdanmark'!H$3:H$482),IF(D244=År2,IF(B244="Vestdanmark",'Resultater - Vestdanmark'!I$3:I$482,'Resultater - Østdanmark'!I$3:I$482),IF(B244="Vestdanmark",'Resultater - Vestdanmark'!J$3:J$482,'Resultater - Østdanmark'!J$3:J$482))),'Resultater - Vestdanmark'!$F$3:$F$482,"Foder",'Resultater - Vestdanmark'!$A$3:$A$482,"&lt;&gt;Foderproduktion"))/SUMIFS(IF(D244=År1,'[1]Processer - data'!H$3:H$464,IF(D244=År2,'[1]Processer - data'!I$3:I$464,'[1]Processer - data'!J$3:J$464)),'[1]Processer - data'!$A$3:$A$464,"Foderproduktion",'[1]Processer - data'!$D$3:$D$464,$C244)</f>
        <v>0</v>
      </c>
    </row>
    <row r="245" spans="1:5" hidden="1" x14ac:dyDescent="0.55000000000000004">
      <c r="A245" s="101" t="s">
        <v>113</v>
      </c>
      <c r="B245" t="s">
        <v>24</v>
      </c>
      <c r="C245" s="102" t="str">
        <f t="shared" si="14"/>
        <v>Græsprotein</v>
      </c>
      <c r="D245">
        <f t="shared" si="16"/>
        <v>2019</v>
      </c>
      <c r="E245" s="152">
        <f>VLOOKUP($C245,Fodersammensætning!A$3:E$17,MATCH(D245,Fodersammensætning!$A$2:$E$2,0),FALSE)*(-SUMIFS(IF(D245=År1,IF(B245="Vestdanmark",'Resultater - Vestdanmark'!H$3:H$482,'Resultater - Østdanmark'!H$3:H$482),IF(D245=År2,IF(B245="Vestdanmark",'Resultater - Vestdanmark'!I$3:I$482,'Resultater - Østdanmark'!I$3:I$482),IF(B245="Vestdanmark",'Resultater - Vestdanmark'!J$3:J$482,'Resultater - Østdanmark'!J$3:J$482))),'Resultater - Vestdanmark'!$F$3:$F$482,"Foder",'Resultater - Vestdanmark'!$A$3:$A$482,"&lt;&gt;Foderproduktion"))/SUMIFS(IF(D245=År1,'[1]Processer - data'!H$3:H$464,IF(D245=År2,'[1]Processer - data'!I$3:I$464,'[1]Processer - data'!J$3:J$464)),'[1]Processer - data'!$A$3:$A$464,"Foderproduktion",'[1]Processer - data'!$D$3:$D$464,$C245)</f>
        <v>0</v>
      </c>
    </row>
    <row r="246" spans="1:5" hidden="1" x14ac:dyDescent="0.55000000000000004">
      <c r="A246" s="101" t="s">
        <v>113</v>
      </c>
      <c r="B246" t="s">
        <v>24</v>
      </c>
      <c r="C246" s="102" t="str">
        <f t="shared" si="14"/>
        <v>Slagteriaffald til foder</v>
      </c>
      <c r="D246">
        <f t="shared" si="16"/>
        <v>2019</v>
      </c>
      <c r="E246" s="152">
        <f>VLOOKUP($C246,Fodersammensætning!A$3:E$17,MATCH(D246,Fodersammensætning!$A$2:$E$2,0),FALSE)*(-SUMIFS(IF(D246=År1,IF(B246="Vestdanmark",'Resultater - Vestdanmark'!H$3:H$482,'Resultater - Østdanmark'!H$3:H$482),IF(D246=År2,IF(B246="Vestdanmark",'Resultater - Vestdanmark'!I$3:I$482,'Resultater - Østdanmark'!I$3:I$482),IF(B246="Vestdanmark",'Resultater - Vestdanmark'!J$3:J$482,'Resultater - Østdanmark'!J$3:J$482))),'Resultater - Vestdanmark'!$F$3:$F$482,"Foder",'Resultater - Vestdanmark'!$A$3:$A$482,"&lt;&gt;Foderproduktion"))/SUMIFS(IF(D246=År1,'[1]Processer - data'!H$3:H$464,IF(D246=År2,'[1]Processer - data'!I$3:I$464,'[1]Processer - data'!J$3:J$464)),'[1]Processer - data'!$A$3:$A$464,"Foderproduktion",'[1]Processer - data'!$D$3:$D$464,$C246)</f>
        <v>4837.9324606189475</v>
      </c>
    </row>
    <row r="247" spans="1:5" hidden="1" x14ac:dyDescent="0.55000000000000004">
      <c r="A247" s="101" t="s">
        <v>113</v>
      </c>
      <c r="B247" t="s">
        <v>24</v>
      </c>
      <c r="C247" s="102" t="str">
        <f t="shared" si="14"/>
        <v>Import af foder</v>
      </c>
      <c r="D247">
        <f t="shared" si="16"/>
        <v>2019</v>
      </c>
      <c r="E247" s="152">
        <f>VLOOKUP($C247,Fodersammensætning!A$3:E$17,MATCH(D247,Fodersammensætning!$A$2:$E$2,0),FALSE)*(-SUMIFS(IF(D247=År1,IF(B247="Vestdanmark",'Resultater - Vestdanmark'!H$3:H$482,'Resultater - Østdanmark'!H$3:H$482),IF(D247=År2,IF(B247="Vestdanmark",'Resultater - Vestdanmark'!I$3:I$482,'Resultater - Østdanmark'!I$3:I$482),IF(B247="Vestdanmark",'Resultater - Vestdanmark'!J$3:J$482,'Resultater - Østdanmark'!J$3:J$482))),'Resultater - Vestdanmark'!$F$3:$F$482,"Foder",'Resultater - Vestdanmark'!$A$3:$A$482,"&lt;&gt;Foderproduktion"))/SUMIFS(IF(D247=År1,'[1]Processer - data'!H$3:H$464,IF(D247=År2,'[1]Processer - data'!I$3:I$464,'[1]Processer - data'!J$3:J$464)),'[1]Processer - data'!$A$3:$A$464,"Foderproduktion",'[1]Processer - data'!$D$3:$D$464,$C247)</f>
        <v>592646.72642582108</v>
      </c>
    </row>
    <row r="248" spans="1:5" hidden="1" x14ac:dyDescent="0.55000000000000004">
      <c r="A248" s="101" t="s">
        <v>113</v>
      </c>
      <c r="B248" t="s">
        <v>24</v>
      </c>
      <c r="C248" s="102" t="str">
        <f t="shared" si="14"/>
        <v>Korn</v>
      </c>
      <c r="D248">
        <f t="shared" ref="D248:D262" si="17">År2</f>
        <v>2030</v>
      </c>
      <c r="E248" s="152">
        <f>VLOOKUP($C248,Fodersammensætning!A$3:E$17,MATCH(D248,Fodersammensætning!$A$2:$E$2,0),FALSE)*(-SUMIFS(IF(D248=År1,IF(B248="Vestdanmark",'Resultater - Vestdanmark'!H$3:H$482,'Resultater - Østdanmark'!H$3:H$482),IF(D248=År2,IF(B248="Vestdanmark",'Resultater - Vestdanmark'!I$3:I$482,'Resultater - Østdanmark'!I$3:I$482),IF(B248="Vestdanmark",'Resultater - Vestdanmark'!J$3:J$482,'Resultater - Østdanmark'!J$3:J$482))),'Resultater - Vestdanmark'!$F$3:$F$482,"Foder",'Resultater - Vestdanmark'!$A$3:$A$482,"&lt;&gt;Foderproduktion"))/SUMIFS(IF(D248=År1,'[1]Processer - data'!H$3:H$464,IF(D248=År2,'[1]Processer - data'!I$3:I$464,'[1]Processer - data'!J$3:J$464)),'[1]Processer - data'!$A$3:$A$464,"Foderproduktion",'[1]Processer - data'!$D$3:$D$464,$C248)</f>
        <v>721621.60770550347</v>
      </c>
    </row>
    <row r="249" spans="1:5" hidden="1" x14ac:dyDescent="0.55000000000000004">
      <c r="A249" s="101" t="s">
        <v>113</v>
      </c>
      <c r="B249" t="s">
        <v>24</v>
      </c>
      <c r="C249" s="102" t="str">
        <f t="shared" si="14"/>
        <v>Halm</v>
      </c>
      <c r="D249">
        <f t="shared" si="17"/>
        <v>2030</v>
      </c>
      <c r="E249" s="152">
        <f>VLOOKUP($C249,Fodersammensætning!A$3:E$17,MATCH(D249,Fodersammensætning!$A$2:$E$2,0),FALSE)*(-SUMIFS(IF(D249=År1,IF(B249="Vestdanmark",'Resultater - Vestdanmark'!H$3:H$482,'Resultater - Østdanmark'!H$3:H$482),IF(D249=År2,IF(B249="Vestdanmark",'Resultater - Vestdanmark'!I$3:I$482,'Resultater - Østdanmark'!I$3:I$482),IF(B249="Vestdanmark",'Resultater - Vestdanmark'!J$3:J$482,'Resultater - Østdanmark'!J$3:J$482))),'Resultater - Vestdanmark'!$F$3:$F$482,"Foder",'Resultater - Vestdanmark'!$A$3:$A$482,"&lt;&gt;Foderproduktion"))/SUMIFS(IF(D249=År1,'[1]Processer - data'!H$3:H$464,IF(D249=År2,'[1]Processer - data'!I$3:I$464,'[1]Processer - data'!J$3:J$464)),'[1]Processer - data'!$A$3:$A$464,"Foderproduktion",'[1]Processer - data'!$D$3:$D$464,$C249)</f>
        <v>94889.448034412562</v>
      </c>
    </row>
    <row r="250" spans="1:5" hidden="1" x14ac:dyDescent="0.55000000000000004">
      <c r="A250" s="101" t="s">
        <v>113</v>
      </c>
      <c r="B250" t="s">
        <v>24</v>
      </c>
      <c r="C250" s="102" t="str">
        <f t="shared" si="14"/>
        <v>Kartofler</v>
      </c>
      <c r="D250">
        <f t="shared" si="17"/>
        <v>2030</v>
      </c>
      <c r="E250" s="152">
        <f>VLOOKUP($C250,Fodersammensætning!A$3:E$17,MATCH(D250,Fodersammensætning!$A$2:$E$2,0),FALSE)*(-SUMIFS(IF(D250=År1,IF(B250="Vestdanmark",'Resultater - Vestdanmark'!H$3:H$482,'Resultater - Østdanmark'!H$3:H$482),IF(D250=År2,IF(B250="Vestdanmark",'Resultater - Vestdanmark'!I$3:I$482,'Resultater - Østdanmark'!I$3:I$482),IF(B250="Vestdanmark",'Resultater - Vestdanmark'!J$3:J$482,'Resultater - Østdanmark'!J$3:J$482))),'Resultater - Vestdanmark'!$F$3:$F$482,"Foder",'Resultater - Vestdanmark'!$A$3:$A$482,"&lt;&gt;Foderproduktion"))/SUMIFS(IF(D250=År1,'[1]Processer - data'!H$3:H$464,IF(D250=År2,'[1]Processer - data'!I$3:I$464,'[1]Processer - data'!J$3:J$464)),'[1]Processer - data'!$A$3:$A$464,"Foderproduktion",'[1]Processer - data'!$D$3:$D$464,$C250)</f>
        <v>0</v>
      </c>
    </row>
    <row r="251" spans="1:5" hidden="1" x14ac:dyDescent="0.55000000000000004">
      <c r="A251" s="101" t="s">
        <v>113</v>
      </c>
      <c r="B251" t="s">
        <v>24</v>
      </c>
      <c r="C251" s="102" t="str">
        <f t="shared" si="14"/>
        <v>Bælgsæd</v>
      </c>
      <c r="D251">
        <f t="shared" si="17"/>
        <v>2030</v>
      </c>
      <c r="E251" s="152">
        <f>VLOOKUP($C251,Fodersammensætning!A$3:E$17,MATCH(D251,Fodersammensætning!$A$2:$E$2,0),FALSE)*(-SUMIFS(IF(D251=År1,IF(B251="Vestdanmark",'Resultater - Vestdanmark'!H$3:H$482,'Resultater - Østdanmark'!H$3:H$482),IF(D251=År2,IF(B251="Vestdanmark",'Resultater - Vestdanmark'!I$3:I$482,'Resultater - Østdanmark'!I$3:I$482),IF(B251="Vestdanmark",'Resultater - Vestdanmark'!J$3:J$482,'Resultater - Østdanmark'!J$3:J$482))),'Resultater - Vestdanmark'!$F$3:$F$482,"Foder",'Resultater - Vestdanmark'!$A$3:$A$482,"&lt;&gt;Foderproduktion"))/SUMIFS(IF(D251=År1,'[1]Processer - data'!H$3:H$464,IF(D251=År2,'[1]Processer - data'!I$3:I$464,'[1]Processer - data'!J$3:J$464)),'[1]Processer - data'!$A$3:$A$464,"Foderproduktion",'[1]Processer - data'!$D$3:$D$464,$C251)</f>
        <v>7916.616753740097</v>
      </c>
    </row>
    <row r="252" spans="1:5" hidden="1" x14ac:dyDescent="0.55000000000000004">
      <c r="A252" s="101" t="s">
        <v>113</v>
      </c>
      <c r="B252" t="s">
        <v>24</v>
      </c>
      <c r="C252" s="102" t="str">
        <f t="shared" si="14"/>
        <v>Roer</v>
      </c>
      <c r="D252">
        <f t="shared" si="17"/>
        <v>2030</v>
      </c>
      <c r="E252" s="152">
        <f>VLOOKUP($C252,Fodersammensætning!A$3:E$17,MATCH(D252,Fodersammensætning!$A$2:$E$2,0),FALSE)*(-SUMIFS(IF(D252=År1,IF(B252="Vestdanmark",'Resultater - Vestdanmark'!H$3:H$482,'Resultater - Østdanmark'!H$3:H$482),IF(D252=År2,IF(B252="Vestdanmark",'Resultater - Vestdanmark'!I$3:I$482,'Resultater - Østdanmark'!I$3:I$482),IF(B252="Vestdanmark",'Resultater - Vestdanmark'!J$3:J$482,'Resultater - Østdanmark'!J$3:J$482))),'Resultater - Vestdanmark'!$F$3:$F$482,"Foder",'Resultater - Vestdanmark'!$A$3:$A$482,"&lt;&gt;Foderproduktion"))/SUMIFS(IF(D252=År1,'[1]Processer - data'!H$3:H$464,IF(D252=År2,'[1]Processer - data'!I$3:I$464,'[1]Processer - data'!J$3:J$464)),'[1]Processer - data'!$A$3:$A$464,"Foderproduktion",'[1]Processer - data'!$D$3:$D$464,$C252)</f>
        <v>103245.8768300271</v>
      </c>
    </row>
    <row r="253" spans="1:5" hidden="1" x14ac:dyDescent="0.55000000000000004">
      <c r="A253" s="101" t="s">
        <v>113</v>
      </c>
      <c r="B253" t="s">
        <v>24</v>
      </c>
      <c r="C253" s="102" t="str">
        <f t="shared" si="14"/>
        <v>Majs</v>
      </c>
      <c r="D253">
        <f t="shared" si="17"/>
        <v>2030</v>
      </c>
      <c r="E253" s="152">
        <f>VLOOKUP($C253,Fodersammensætning!A$3:E$17,MATCH(D253,Fodersammensætning!$A$2:$E$2,0),FALSE)*(-SUMIFS(IF(D253=År1,IF(B253="Vestdanmark",'Resultater - Vestdanmark'!H$3:H$482,'Resultater - Østdanmark'!H$3:H$482),IF(D253=År2,IF(B253="Vestdanmark",'Resultater - Vestdanmark'!I$3:I$482,'Resultater - Østdanmark'!I$3:I$482),IF(B253="Vestdanmark",'Resultater - Vestdanmark'!J$3:J$482,'Resultater - Østdanmark'!J$3:J$482))),'Resultater - Vestdanmark'!$F$3:$F$482,"Foder",'Resultater - Vestdanmark'!$A$3:$A$482,"&lt;&gt;Foderproduktion"))/SUMIFS(IF(D253=År1,'[1]Processer - data'!H$3:H$464,IF(D253=År2,'[1]Processer - data'!I$3:I$464,'[1]Processer - data'!J$3:J$464)),'[1]Processer - data'!$A$3:$A$464,"Foderproduktion",'[1]Processer - data'!$D$3:$D$464,$C253)</f>
        <v>694353.26110928762</v>
      </c>
    </row>
    <row r="254" spans="1:5" hidden="1" x14ac:dyDescent="0.55000000000000004">
      <c r="A254" s="101" t="s">
        <v>113</v>
      </c>
      <c r="B254" t="s">
        <v>24</v>
      </c>
      <c r="C254" s="102" t="str">
        <f t="shared" si="14"/>
        <v>Rapskage</v>
      </c>
      <c r="D254">
        <f t="shared" si="17"/>
        <v>2030</v>
      </c>
      <c r="E254" s="152">
        <f>VLOOKUP($C254,Fodersammensætning!A$3:E$17,MATCH(D254,Fodersammensætning!$A$2:$E$2,0),FALSE)*(-SUMIFS(IF(D254=År1,IF(B254="Vestdanmark",'Resultater - Vestdanmark'!H$3:H$482,'Resultater - Østdanmark'!H$3:H$482),IF(D254=År2,IF(B254="Vestdanmark",'Resultater - Vestdanmark'!I$3:I$482,'Resultater - Østdanmark'!I$3:I$482),IF(B254="Vestdanmark",'Resultater - Vestdanmark'!J$3:J$482,'Resultater - Østdanmark'!J$3:J$482))),'Resultater - Vestdanmark'!$F$3:$F$482,"Foder",'Resultater - Vestdanmark'!$A$3:$A$482,"&lt;&gt;Foderproduktion"))/SUMIFS(IF(D254=År1,'[1]Processer - data'!H$3:H$464,IF(D254=År2,'[1]Processer - data'!I$3:I$464,'[1]Processer - data'!J$3:J$464)),'[1]Processer - data'!$A$3:$A$464,"Foderproduktion",'[1]Processer - data'!$D$3:$D$464,$C254)</f>
        <v>26278.769501998377</v>
      </c>
    </row>
    <row r="255" spans="1:5" hidden="1" x14ac:dyDescent="0.55000000000000004">
      <c r="A255" s="101" t="s">
        <v>113</v>
      </c>
      <c r="B255" t="s">
        <v>24</v>
      </c>
      <c r="C255" s="102" t="str">
        <f t="shared" si="14"/>
        <v>Tang</v>
      </c>
      <c r="D255">
        <f t="shared" si="17"/>
        <v>2030</v>
      </c>
      <c r="E255" s="152">
        <f>VLOOKUP($C255,Fodersammensætning!A$3:E$17,MATCH(D255,Fodersammensætning!$A$2:$E$2,0),FALSE)*(-SUMIFS(IF(D255=År1,IF(B255="Vestdanmark",'Resultater - Vestdanmark'!H$3:H$482,'Resultater - Østdanmark'!H$3:H$482),IF(D255=År2,IF(B255="Vestdanmark",'Resultater - Vestdanmark'!I$3:I$482,'Resultater - Østdanmark'!I$3:I$482),IF(B255="Vestdanmark",'Resultater - Vestdanmark'!J$3:J$482,'Resultater - Østdanmark'!J$3:J$482))),'Resultater - Vestdanmark'!$F$3:$F$482,"Foder",'Resultater - Vestdanmark'!$A$3:$A$482,"&lt;&gt;Foderproduktion"))/SUMIFS(IF(D255=År1,'[1]Processer - data'!H$3:H$464,IF(D255=År2,'[1]Processer - data'!I$3:I$464,'[1]Processer - data'!J$3:J$464)),'[1]Processer - data'!$A$3:$A$464,"Foderproduktion",'[1]Processer - data'!$D$3:$D$464,$C255)</f>
        <v>0</v>
      </c>
    </row>
    <row r="256" spans="1:5" hidden="1" x14ac:dyDescent="0.55000000000000004">
      <c r="A256" s="101" t="s">
        <v>113</v>
      </c>
      <c r="B256" t="s">
        <v>24</v>
      </c>
      <c r="C256" s="102" t="str">
        <f t="shared" si="14"/>
        <v>Muslinger</v>
      </c>
      <c r="D256">
        <f t="shared" si="17"/>
        <v>2030</v>
      </c>
      <c r="E256" s="152">
        <f>VLOOKUP($C256,Fodersammensætning!A$3:E$17,MATCH(D256,Fodersammensætning!$A$2:$E$2,0),FALSE)*(-SUMIFS(IF(D256=År1,IF(B256="Vestdanmark",'Resultater - Vestdanmark'!H$3:H$482,'Resultater - Østdanmark'!H$3:H$482),IF(D256=År2,IF(B256="Vestdanmark",'Resultater - Vestdanmark'!I$3:I$482,'Resultater - Østdanmark'!I$3:I$482),IF(B256="Vestdanmark",'Resultater - Vestdanmark'!J$3:J$482,'Resultater - Østdanmark'!J$3:J$482))),'Resultater - Vestdanmark'!$F$3:$F$482,"Foder",'Resultater - Vestdanmark'!$A$3:$A$482,"&lt;&gt;Foderproduktion"))/SUMIFS(IF(D256=År1,'[1]Processer - data'!H$3:H$464,IF(D256=År2,'[1]Processer - data'!I$3:I$464,'[1]Processer - data'!J$3:J$464)),'[1]Processer - data'!$A$3:$A$464,"Foderproduktion",'[1]Processer - data'!$D$3:$D$464,$C256)</f>
        <v>0</v>
      </c>
    </row>
    <row r="257" spans="1:5" hidden="1" x14ac:dyDescent="0.55000000000000004">
      <c r="A257" s="101" t="s">
        <v>113</v>
      </c>
      <c r="B257" t="s">
        <v>24</v>
      </c>
      <c r="C257" s="102" t="str">
        <f t="shared" si="14"/>
        <v>Græs</v>
      </c>
      <c r="D257">
        <f t="shared" si="17"/>
        <v>2030</v>
      </c>
      <c r="E257" s="152">
        <f>VLOOKUP($C257,Fodersammensætning!A$3:E$17,MATCH(D257,Fodersammensætning!$A$2:$E$2,0),FALSE)*(-SUMIFS(IF(D257=År1,IF(B257="Vestdanmark",'Resultater - Vestdanmark'!H$3:H$482,'Resultater - Østdanmark'!H$3:H$482),IF(D257=År2,IF(B257="Vestdanmark",'Resultater - Vestdanmark'!I$3:I$482,'Resultater - Østdanmark'!I$3:I$482),IF(B257="Vestdanmark",'Resultater - Vestdanmark'!J$3:J$482,'Resultater - Østdanmark'!J$3:J$482))),'Resultater - Vestdanmark'!$F$3:$F$482,"Foder",'Resultater - Vestdanmark'!$A$3:$A$482,"&lt;&gt;Foderproduktion"))/SUMIFS(IF(D257=År1,'[1]Processer - data'!H$3:H$464,IF(D257=År2,'[1]Processer - data'!I$3:I$464,'[1]Processer - data'!J$3:J$464)),'[1]Processer - data'!$A$3:$A$464,"Foderproduktion",'[1]Processer - data'!$D$3:$D$464,$C257)</f>
        <v>1502068.0760117145</v>
      </c>
    </row>
    <row r="258" spans="1:5" hidden="1" x14ac:dyDescent="0.55000000000000004">
      <c r="A258" s="101" t="s">
        <v>113</v>
      </c>
      <c r="B258" t="s">
        <v>24</v>
      </c>
      <c r="C258" s="102" t="str">
        <f t="shared" si="14"/>
        <v>Mælk til foder</v>
      </c>
      <c r="D258">
        <f t="shared" si="17"/>
        <v>2030</v>
      </c>
      <c r="E258" s="152">
        <f>VLOOKUP($C258,Fodersammensætning!A$3:E$17,MATCH(D258,Fodersammensætning!$A$2:$E$2,0),FALSE)*(-SUMIFS(IF(D258=År1,IF(B258="Vestdanmark",'Resultater - Vestdanmark'!H$3:H$482,'Resultater - Østdanmark'!H$3:H$482),IF(D258=År2,IF(B258="Vestdanmark",'Resultater - Vestdanmark'!I$3:I$482,'Resultater - Østdanmark'!I$3:I$482),IF(B258="Vestdanmark",'Resultater - Vestdanmark'!J$3:J$482,'Resultater - Østdanmark'!J$3:J$482))),'Resultater - Vestdanmark'!$F$3:$F$482,"Foder",'Resultater - Vestdanmark'!$A$3:$A$482,"&lt;&gt;Foderproduktion"))/SUMIFS(IF(D258=År1,'[1]Processer - data'!H$3:H$464,IF(D258=År2,'[1]Processer - data'!I$3:I$464,'[1]Processer - data'!J$3:J$464)),'[1]Processer - data'!$A$3:$A$464,"Foderproduktion",'[1]Processer - data'!$D$3:$D$464,$C258)</f>
        <v>186040.49371289229</v>
      </c>
    </row>
    <row r="259" spans="1:5" hidden="1" x14ac:dyDescent="0.55000000000000004">
      <c r="A259" s="101" t="s">
        <v>113</v>
      </c>
      <c r="B259" t="s">
        <v>24</v>
      </c>
      <c r="C259" s="102" t="str">
        <f t="shared" si="14"/>
        <v>Fiberfraktion</v>
      </c>
      <c r="D259">
        <f t="shared" si="17"/>
        <v>2030</v>
      </c>
      <c r="E259" s="152">
        <f>VLOOKUP($C259,Fodersammensætning!A$3:E$17,MATCH(D259,Fodersammensætning!$A$2:$E$2,0),FALSE)*(-SUMIFS(IF(D259=År1,IF(B259="Vestdanmark",'Resultater - Vestdanmark'!H$3:H$482,'Resultater - Østdanmark'!H$3:H$482),IF(D259=År2,IF(B259="Vestdanmark",'Resultater - Vestdanmark'!I$3:I$482,'Resultater - Østdanmark'!I$3:I$482),IF(B259="Vestdanmark",'Resultater - Vestdanmark'!J$3:J$482,'Resultater - Østdanmark'!J$3:J$482))),'Resultater - Vestdanmark'!$F$3:$F$482,"Foder",'Resultater - Vestdanmark'!$A$3:$A$482,"&lt;&gt;Foderproduktion"))/SUMIFS(IF(D259=År1,'[1]Processer - data'!H$3:H$464,IF(D259=År2,'[1]Processer - data'!I$3:I$464,'[1]Processer - data'!J$3:J$464)),'[1]Processer - data'!$A$3:$A$464,"Foderproduktion",'[1]Processer - data'!$D$3:$D$464,$C259)</f>
        <v>0</v>
      </c>
    </row>
    <row r="260" spans="1:5" hidden="1" x14ac:dyDescent="0.55000000000000004">
      <c r="A260" s="101" t="s">
        <v>113</v>
      </c>
      <c r="B260" t="s">
        <v>24</v>
      </c>
      <c r="C260" s="102" t="str">
        <f t="shared" si="14"/>
        <v>Græsprotein</v>
      </c>
      <c r="D260">
        <f t="shared" si="17"/>
        <v>2030</v>
      </c>
      <c r="E260" s="152">
        <f>VLOOKUP($C260,Fodersammensætning!A$3:E$17,MATCH(D260,Fodersammensætning!$A$2:$E$2,0),FALSE)*(-SUMIFS(IF(D260=År1,IF(B260="Vestdanmark",'Resultater - Vestdanmark'!H$3:H$482,'Resultater - Østdanmark'!H$3:H$482),IF(D260=År2,IF(B260="Vestdanmark",'Resultater - Vestdanmark'!I$3:I$482,'Resultater - Østdanmark'!I$3:I$482),IF(B260="Vestdanmark",'Resultater - Vestdanmark'!J$3:J$482,'Resultater - Østdanmark'!J$3:J$482))),'Resultater - Vestdanmark'!$F$3:$F$482,"Foder",'Resultater - Vestdanmark'!$A$3:$A$482,"&lt;&gt;Foderproduktion"))/SUMIFS(IF(D260=År1,'[1]Processer - data'!H$3:H$464,IF(D260=År2,'[1]Processer - data'!I$3:I$464,'[1]Processer - data'!J$3:J$464)),'[1]Processer - data'!$A$3:$A$464,"Foderproduktion",'[1]Processer - data'!$D$3:$D$464,$C260)</f>
        <v>0</v>
      </c>
    </row>
    <row r="261" spans="1:5" hidden="1" x14ac:dyDescent="0.55000000000000004">
      <c r="A261" s="101" t="s">
        <v>113</v>
      </c>
      <c r="B261" t="s">
        <v>24</v>
      </c>
      <c r="C261" s="102" t="str">
        <f t="shared" si="14"/>
        <v>Slagteriaffald til foder</v>
      </c>
      <c r="D261">
        <f t="shared" si="17"/>
        <v>2030</v>
      </c>
      <c r="E261" s="152">
        <f>VLOOKUP($C261,Fodersammensætning!A$3:E$17,MATCH(D261,Fodersammensætning!$A$2:$E$2,0),FALSE)*(-SUMIFS(IF(D261=År1,IF(B261="Vestdanmark",'Resultater - Vestdanmark'!H$3:H$482,'Resultater - Østdanmark'!H$3:H$482),IF(D261=År2,IF(B261="Vestdanmark",'Resultater - Vestdanmark'!I$3:I$482,'Resultater - Østdanmark'!I$3:I$482),IF(B261="Vestdanmark",'Resultater - Vestdanmark'!J$3:J$482,'Resultater - Østdanmark'!J$3:J$482))),'Resultater - Vestdanmark'!$F$3:$F$482,"Foder",'Resultater - Vestdanmark'!$A$3:$A$482,"&lt;&gt;Foderproduktion"))/SUMIFS(IF(D261=År1,'[1]Processer - data'!H$3:H$464,IF(D261=År2,'[1]Processer - data'!I$3:I$464,'[1]Processer - data'!J$3:J$464)),'[1]Processer - data'!$A$3:$A$464,"Foderproduktion",'[1]Processer - data'!$D$3:$D$464,$C261)</f>
        <v>4837.9324606189484</v>
      </c>
    </row>
    <row r="262" spans="1:5" hidden="1" x14ac:dyDescent="0.55000000000000004">
      <c r="A262" s="101" t="s">
        <v>113</v>
      </c>
      <c r="B262" t="s">
        <v>24</v>
      </c>
      <c r="C262" s="102" t="str">
        <f t="shared" si="14"/>
        <v>Import af foder</v>
      </c>
      <c r="D262">
        <f t="shared" si="17"/>
        <v>2030</v>
      </c>
      <c r="E262" s="152">
        <f>VLOOKUP($C262,Fodersammensætning!A$3:E$17,MATCH(D262,Fodersammensætning!$A$2:$E$2,0),FALSE)*(-SUMIFS(IF(D262=År1,IF(B262="Vestdanmark",'Resultater - Vestdanmark'!H$3:H$482,'Resultater - Østdanmark'!H$3:H$482),IF(D262=År2,IF(B262="Vestdanmark",'Resultater - Vestdanmark'!I$3:I$482,'Resultater - Østdanmark'!I$3:I$482),IF(B262="Vestdanmark",'Resultater - Vestdanmark'!J$3:J$482,'Resultater - Østdanmark'!J$3:J$482))),'Resultater - Vestdanmark'!$F$3:$F$482,"Foder",'Resultater - Vestdanmark'!$A$3:$A$482,"&lt;&gt;Foderproduktion"))/SUMIFS(IF(D262=År1,'[1]Processer - data'!H$3:H$464,IF(D262=År2,'[1]Processer - data'!I$3:I$464,'[1]Processer - data'!J$3:J$464)),'[1]Processer - data'!$A$3:$A$464,"Foderproduktion",'[1]Processer - data'!$D$3:$D$464,$C262)</f>
        <v>592646.72642582119</v>
      </c>
    </row>
    <row r="263" spans="1:5" hidden="1" x14ac:dyDescent="0.55000000000000004">
      <c r="A263" s="101" t="s">
        <v>113</v>
      </c>
      <c r="B263" t="s">
        <v>24</v>
      </c>
      <c r="C263" s="102" t="str">
        <f t="shared" si="14"/>
        <v>Korn</v>
      </c>
      <c r="D263">
        <f t="shared" ref="D263:D277" si="18">År3</f>
        <v>2050</v>
      </c>
      <c r="E263" s="152">
        <f>VLOOKUP($C263,Fodersammensætning!A$3:E$17,MATCH(D263,Fodersammensætning!$A$2:$E$2,0),FALSE)*(-SUMIFS(IF(D263=År1,IF(B263="Vestdanmark",'Resultater - Vestdanmark'!H$3:H$482,'Resultater - Østdanmark'!H$3:H$482),IF(D263=År2,IF(B263="Vestdanmark",'Resultater - Vestdanmark'!I$3:I$482,'Resultater - Østdanmark'!I$3:I$482),IF(B263="Vestdanmark",'Resultater - Vestdanmark'!J$3:J$482,'Resultater - Østdanmark'!J$3:J$482))),'Resultater - Vestdanmark'!$F$3:$F$482,"Foder",'Resultater - Vestdanmark'!$A$3:$A$482,"&lt;&gt;Foderproduktion"))/SUMIFS(IF(D263=År1,'[1]Processer - data'!H$3:H$464,IF(D263=År2,'[1]Processer - data'!I$3:I$464,'[1]Processer - data'!J$3:J$464)),'[1]Processer - data'!$A$3:$A$464,"Foderproduktion",'[1]Processer - data'!$D$3:$D$464,$C263)</f>
        <v>721621.60770550335</v>
      </c>
    </row>
    <row r="264" spans="1:5" hidden="1" x14ac:dyDescent="0.55000000000000004">
      <c r="A264" s="101" t="s">
        <v>113</v>
      </c>
      <c r="B264" t="s">
        <v>24</v>
      </c>
      <c r="C264" s="102" t="str">
        <f t="shared" si="14"/>
        <v>Halm</v>
      </c>
      <c r="D264">
        <f t="shared" si="18"/>
        <v>2050</v>
      </c>
      <c r="E264" s="152">
        <f>VLOOKUP($C264,Fodersammensætning!A$3:E$17,MATCH(D264,Fodersammensætning!$A$2:$E$2,0),FALSE)*(-SUMIFS(IF(D264=År1,IF(B264="Vestdanmark",'Resultater - Vestdanmark'!H$3:H$482,'Resultater - Østdanmark'!H$3:H$482),IF(D264=År2,IF(B264="Vestdanmark",'Resultater - Vestdanmark'!I$3:I$482,'Resultater - Østdanmark'!I$3:I$482),IF(B264="Vestdanmark",'Resultater - Vestdanmark'!J$3:J$482,'Resultater - Østdanmark'!J$3:J$482))),'Resultater - Vestdanmark'!$F$3:$F$482,"Foder",'Resultater - Vestdanmark'!$A$3:$A$482,"&lt;&gt;Foderproduktion"))/SUMIFS(IF(D264=År1,'[1]Processer - data'!H$3:H$464,IF(D264=År2,'[1]Processer - data'!I$3:I$464,'[1]Processer - data'!J$3:J$464)),'[1]Processer - data'!$A$3:$A$464,"Foderproduktion",'[1]Processer - data'!$D$3:$D$464,$C264)</f>
        <v>94889.448034412548</v>
      </c>
    </row>
    <row r="265" spans="1:5" hidden="1" x14ac:dyDescent="0.55000000000000004">
      <c r="A265" s="101" t="s">
        <v>113</v>
      </c>
      <c r="B265" t="s">
        <v>24</v>
      </c>
      <c r="C265" s="102" t="str">
        <f t="shared" si="14"/>
        <v>Kartofler</v>
      </c>
      <c r="D265">
        <f t="shared" si="18"/>
        <v>2050</v>
      </c>
      <c r="E265" s="152">
        <f>VLOOKUP($C265,Fodersammensætning!A$3:E$17,MATCH(D265,Fodersammensætning!$A$2:$E$2,0),FALSE)*(-SUMIFS(IF(D265=År1,IF(B265="Vestdanmark",'Resultater - Vestdanmark'!H$3:H$482,'Resultater - Østdanmark'!H$3:H$482),IF(D265=År2,IF(B265="Vestdanmark",'Resultater - Vestdanmark'!I$3:I$482,'Resultater - Østdanmark'!I$3:I$482),IF(B265="Vestdanmark",'Resultater - Vestdanmark'!J$3:J$482,'Resultater - Østdanmark'!J$3:J$482))),'Resultater - Vestdanmark'!$F$3:$F$482,"Foder",'Resultater - Vestdanmark'!$A$3:$A$482,"&lt;&gt;Foderproduktion"))/SUMIFS(IF(D265=År1,'[1]Processer - data'!H$3:H$464,IF(D265=År2,'[1]Processer - data'!I$3:I$464,'[1]Processer - data'!J$3:J$464)),'[1]Processer - data'!$A$3:$A$464,"Foderproduktion",'[1]Processer - data'!$D$3:$D$464,$C265)</f>
        <v>0</v>
      </c>
    </row>
    <row r="266" spans="1:5" hidden="1" x14ac:dyDescent="0.55000000000000004">
      <c r="A266" s="101" t="s">
        <v>113</v>
      </c>
      <c r="B266" t="s">
        <v>24</v>
      </c>
      <c r="C266" s="102" t="str">
        <f t="shared" si="14"/>
        <v>Bælgsæd</v>
      </c>
      <c r="D266">
        <f t="shared" si="18"/>
        <v>2050</v>
      </c>
      <c r="E266" s="152">
        <f>VLOOKUP($C266,Fodersammensætning!A$3:E$17,MATCH(D266,Fodersammensætning!$A$2:$E$2,0),FALSE)*(-SUMIFS(IF(D266=År1,IF(B266="Vestdanmark",'Resultater - Vestdanmark'!H$3:H$482,'Resultater - Østdanmark'!H$3:H$482),IF(D266=År2,IF(B266="Vestdanmark",'Resultater - Vestdanmark'!I$3:I$482,'Resultater - Østdanmark'!I$3:I$482),IF(B266="Vestdanmark",'Resultater - Vestdanmark'!J$3:J$482,'Resultater - Østdanmark'!J$3:J$482))),'Resultater - Vestdanmark'!$F$3:$F$482,"Foder",'Resultater - Vestdanmark'!$A$3:$A$482,"&lt;&gt;Foderproduktion"))/SUMIFS(IF(D266=År1,'[1]Processer - data'!H$3:H$464,IF(D266=År2,'[1]Processer - data'!I$3:I$464,'[1]Processer - data'!J$3:J$464)),'[1]Processer - data'!$A$3:$A$464,"Foderproduktion",'[1]Processer - data'!$D$3:$D$464,$C266)</f>
        <v>7916.616753740097</v>
      </c>
    </row>
    <row r="267" spans="1:5" hidden="1" x14ac:dyDescent="0.55000000000000004">
      <c r="A267" s="101" t="s">
        <v>113</v>
      </c>
      <c r="B267" t="s">
        <v>24</v>
      </c>
      <c r="C267" s="102" t="str">
        <f t="shared" si="14"/>
        <v>Roer</v>
      </c>
      <c r="D267">
        <f t="shared" si="18"/>
        <v>2050</v>
      </c>
      <c r="E267" s="152">
        <f>VLOOKUP($C267,Fodersammensætning!A$3:E$17,MATCH(D267,Fodersammensætning!$A$2:$E$2,0),FALSE)*(-SUMIFS(IF(D267=År1,IF(B267="Vestdanmark",'Resultater - Vestdanmark'!H$3:H$482,'Resultater - Østdanmark'!H$3:H$482),IF(D267=År2,IF(B267="Vestdanmark",'Resultater - Vestdanmark'!I$3:I$482,'Resultater - Østdanmark'!I$3:I$482),IF(B267="Vestdanmark",'Resultater - Vestdanmark'!J$3:J$482,'Resultater - Østdanmark'!J$3:J$482))),'Resultater - Vestdanmark'!$F$3:$F$482,"Foder",'Resultater - Vestdanmark'!$A$3:$A$482,"&lt;&gt;Foderproduktion"))/SUMIFS(IF(D267=År1,'[1]Processer - data'!H$3:H$464,IF(D267=År2,'[1]Processer - data'!I$3:I$464,'[1]Processer - data'!J$3:J$464)),'[1]Processer - data'!$A$3:$A$464,"Foderproduktion",'[1]Processer - data'!$D$3:$D$464,$C267)</f>
        <v>103245.87683002709</v>
      </c>
    </row>
    <row r="268" spans="1:5" hidden="1" x14ac:dyDescent="0.55000000000000004">
      <c r="A268" s="101" t="s">
        <v>113</v>
      </c>
      <c r="B268" t="s">
        <v>24</v>
      </c>
      <c r="C268" s="102" t="str">
        <f t="shared" ref="C268:C277" si="19">C253</f>
        <v>Majs</v>
      </c>
      <c r="D268">
        <f t="shared" si="18"/>
        <v>2050</v>
      </c>
      <c r="E268" s="152">
        <f>VLOOKUP($C268,Fodersammensætning!A$3:E$17,MATCH(D268,Fodersammensætning!$A$2:$E$2,0),FALSE)*(-SUMIFS(IF(D268=År1,IF(B268="Vestdanmark",'Resultater - Vestdanmark'!H$3:H$482,'Resultater - Østdanmark'!H$3:H$482),IF(D268=År2,IF(B268="Vestdanmark",'Resultater - Vestdanmark'!I$3:I$482,'Resultater - Østdanmark'!I$3:I$482),IF(B268="Vestdanmark",'Resultater - Vestdanmark'!J$3:J$482,'Resultater - Østdanmark'!J$3:J$482))),'Resultater - Vestdanmark'!$F$3:$F$482,"Foder",'Resultater - Vestdanmark'!$A$3:$A$482,"&lt;&gt;Foderproduktion"))/SUMIFS(IF(D268=År1,'[1]Processer - data'!H$3:H$464,IF(D268=År2,'[1]Processer - data'!I$3:I$464,'[1]Processer - data'!J$3:J$464)),'[1]Processer - data'!$A$3:$A$464,"Foderproduktion",'[1]Processer - data'!$D$3:$D$464,$C268)</f>
        <v>694353.2611092875</v>
      </c>
    </row>
    <row r="269" spans="1:5" hidden="1" x14ac:dyDescent="0.55000000000000004">
      <c r="A269" s="101" t="s">
        <v>113</v>
      </c>
      <c r="B269" t="s">
        <v>24</v>
      </c>
      <c r="C269" s="102" t="str">
        <f t="shared" si="19"/>
        <v>Rapskage</v>
      </c>
      <c r="D269">
        <f t="shared" si="18"/>
        <v>2050</v>
      </c>
      <c r="E269" s="152">
        <f>VLOOKUP($C269,Fodersammensætning!A$3:E$17,MATCH(D269,Fodersammensætning!$A$2:$E$2,0),FALSE)*(-SUMIFS(IF(D269=År1,IF(B269="Vestdanmark",'Resultater - Vestdanmark'!H$3:H$482,'Resultater - Østdanmark'!H$3:H$482),IF(D269=År2,IF(B269="Vestdanmark",'Resultater - Vestdanmark'!I$3:I$482,'Resultater - Østdanmark'!I$3:I$482),IF(B269="Vestdanmark",'Resultater - Vestdanmark'!J$3:J$482,'Resultater - Østdanmark'!J$3:J$482))),'Resultater - Vestdanmark'!$F$3:$F$482,"Foder",'Resultater - Vestdanmark'!$A$3:$A$482,"&lt;&gt;Foderproduktion"))/SUMIFS(IF(D269=År1,'[1]Processer - data'!H$3:H$464,IF(D269=År2,'[1]Processer - data'!I$3:I$464,'[1]Processer - data'!J$3:J$464)),'[1]Processer - data'!$A$3:$A$464,"Foderproduktion",'[1]Processer - data'!$D$3:$D$464,$C269)</f>
        <v>26278.769501998373</v>
      </c>
    </row>
    <row r="270" spans="1:5" hidden="1" x14ac:dyDescent="0.55000000000000004">
      <c r="A270" s="101" t="s">
        <v>113</v>
      </c>
      <c r="B270" t="s">
        <v>24</v>
      </c>
      <c r="C270" s="102" t="str">
        <f t="shared" si="19"/>
        <v>Tang</v>
      </c>
      <c r="D270">
        <f t="shared" si="18"/>
        <v>2050</v>
      </c>
      <c r="E270" s="152">
        <f>VLOOKUP($C270,Fodersammensætning!A$3:E$17,MATCH(D270,Fodersammensætning!$A$2:$E$2,0),FALSE)*(-SUMIFS(IF(D270=År1,IF(B270="Vestdanmark",'Resultater - Vestdanmark'!H$3:H$482,'Resultater - Østdanmark'!H$3:H$482),IF(D270=År2,IF(B270="Vestdanmark",'Resultater - Vestdanmark'!I$3:I$482,'Resultater - Østdanmark'!I$3:I$482),IF(B270="Vestdanmark",'Resultater - Vestdanmark'!J$3:J$482,'Resultater - Østdanmark'!J$3:J$482))),'Resultater - Vestdanmark'!$F$3:$F$482,"Foder",'Resultater - Vestdanmark'!$A$3:$A$482,"&lt;&gt;Foderproduktion"))/SUMIFS(IF(D270=År1,'[1]Processer - data'!H$3:H$464,IF(D270=År2,'[1]Processer - data'!I$3:I$464,'[1]Processer - data'!J$3:J$464)),'[1]Processer - data'!$A$3:$A$464,"Foderproduktion",'[1]Processer - data'!$D$3:$D$464,$C270)</f>
        <v>0</v>
      </c>
    </row>
    <row r="271" spans="1:5" hidden="1" x14ac:dyDescent="0.55000000000000004">
      <c r="A271" s="101" t="s">
        <v>113</v>
      </c>
      <c r="B271" t="s">
        <v>24</v>
      </c>
      <c r="C271" s="102" t="str">
        <f t="shared" si="19"/>
        <v>Muslinger</v>
      </c>
      <c r="D271">
        <f t="shared" si="18"/>
        <v>2050</v>
      </c>
      <c r="E271" s="152">
        <f>VLOOKUP($C271,Fodersammensætning!A$3:E$17,MATCH(D271,Fodersammensætning!$A$2:$E$2,0),FALSE)*(-SUMIFS(IF(D271=År1,IF(B271="Vestdanmark",'Resultater - Vestdanmark'!H$3:H$482,'Resultater - Østdanmark'!H$3:H$482),IF(D271=År2,IF(B271="Vestdanmark",'Resultater - Vestdanmark'!I$3:I$482,'Resultater - Østdanmark'!I$3:I$482),IF(B271="Vestdanmark",'Resultater - Vestdanmark'!J$3:J$482,'Resultater - Østdanmark'!J$3:J$482))),'Resultater - Vestdanmark'!$F$3:$F$482,"Foder",'Resultater - Vestdanmark'!$A$3:$A$482,"&lt;&gt;Foderproduktion"))/SUMIFS(IF(D271=År1,'[1]Processer - data'!H$3:H$464,IF(D271=År2,'[1]Processer - data'!I$3:I$464,'[1]Processer - data'!J$3:J$464)),'[1]Processer - data'!$A$3:$A$464,"Foderproduktion",'[1]Processer - data'!$D$3:$D$464,$C271)</f>
        <v>0</v>
      </c>
    </row>
    <row r="272" spans="1:5" hidden="1" x14ac:dyDescent="0.55000000000000004">
      <c r="A272" s="101" t="s">
        <v>113</v>
      </c>
      <c r="B272" t="s">
        <v>24</v>
      </c>
      <c r="C272" s="102" t="str">
        <f t="shared" si="19"/>
        <v>Græs</v>
      </c>
      <c r="D272">
        <f t="shared" si="18"/>
        <v>2050</v>
      </c>
      <c r="E272" s="152">
        <f>VLOOKUP($C272,Fodersammensætning!A$3:E$17,MATCH(D272,Fodersammensætning!$A$2:$E$2,0),FALSE)*(-SUMIFS(IF(D272=År1,IF(B272="Vestdanmark",'Resultater - Vestdanmark'!H$3:H$482,'Resultater - Østdanmark'!H$3:H$482),IF(D272=År2,IF(B272="Vestdanmark",'Resultater - Vestdanmark'!I$3:I$482,'Resultater - Østdanmark'!I$3:I$482),IF(B272="Vestdanmark",'Resultater - Vestdanmark'!J$3:J$482,'Resultater - Østdanmark'!J$3:J$482))),'Resultater - Vestdanmark'!$F$3:$F$482,"Foder",'Resultater - Vestdanmark'!$A$3:$A$482,"&lt;&gt;Foderproduktion"))/SUMIFS(IF(D272=År1,'[1]Processer - data'!H$3:H$464,IF(D272=År2,'[1]Processer - data'!I$3:I$464,'[1]Processer - data'!J$3:J$464)),'[1]Processer - data'!$A$3:$A$464,"Foderproduktion",'[1]Processer - data'!$D$3:$D$464,$C272)</f>
        <v>1502068.0760117143</v>
      </c>
    </row>
    <row r="273" spans="1:7" hidden="1" x14ac:dyDescent="0.55000000000000004">
      <c r="A273" s="101" t="s">
        <v>113</v>
      </c>
      <c r="B273" t="s">
        <v>24</v>
      </c>
      <c r="C273" s="102" t="str">
        <f t="shared" si="19"/>
        <v>Mælk til foder</v>
      </c>
      <c r="D273">
        <f t="shared" si="18"/>
        <v>2050</v>
      </c>
      <c r="E273" s="152">
        <f>VLOOKUP($C273,Fodersammensætning!A$3:E$17,MATCH(D273,Fodersammensætning!$A$2:$E$2,0),FALSE)*(-SUMIFS(IF(D273=År1,IF(B273="Vestdanmark",'Resultater - Vestdanmark'!H$3:H$482,'Resultater - Østdanmark'!H$3:H$482),IF(D273=År2,IF(B273="Vestdanmark",'Resultater - Vestdanmark'!I$3:I$482,'Resultater - Østdanmark'!I$3:I$482),IF(B273="Vestdanmark",'Resultater - Vestdanmark'!J$3:J$482,'Resultater - Østdanmark'!J$3:J$482))),'Resultater - Vestdanmark'!$F$3:$F$482,"Foder",'Resultater - Vestdanmark'!$A$3:$A$482,"&lt;&gt;Foderproduktion"))/SUMIFS(IF(D273=År1,'[1]Processer - data'!H$3:H$464,IF(D273=År2,'[1]Processer - data'!I$3:I$464,'[1]Processer - data'!J$3:J$464)),'[1]Processer - data'!$A$3:$A$464,"Foderproduktion",'[1]Processer - data'!$D$3:$D$464,$C273)</f>
        <v>186040.49371289223</v>
      </c>
    </row>
    <row r="274" spans="1:7" hidden="1" x14ac:dyDescent="0.55000000000000004">
      <c r="A274" s="101" t="s">
        <v>113</v>
      </c>
      <c r="B274" t="s">
        <v>24</v>
      </c>
      <c r="C274" s="102" t="str">
        <f t="shared" si="19"/>
        <v>Fiberfraktion</v>
      </c>
      <c r="D274">
        <f t="shared" si="18"/>
        <v>2050</v>
      </c>
      <c r="E274" s="152">
        <f>VLOOKUP($C274,Fodersammensætning!A$3:E$17,MATCH(D274,Fodersammensætning!$A$2:$E$2,0),FALSE)*(-SUMIFS(IF(D274=År1,IF(B274="Vestdanmark",'Resultater - Vestdanmark'!H$3:H$482,'Resultater - Østdanmark'!H$3:H$482),IF(D274=År2,IF(B274="Vestdanmark",'Resultater - Vestdanmark'!I$3:I$482,'Resultater - Østdanmark'!I$3:I$482),IF(B274="Vestdanmark",'Resultater - Vestdanmark'!J$3:J$482,'Resultater - Østdanmark'!J$3:J$482))),'Resultater - Vestdanmark'!$F$3:$F$482,"Foder",'Resultater - Vestdanmark'!$A$3:$A$482,"&lt;&gt;Foderproduktion"))/SUMIFS(IF(D274=År1,'[1]Processer - data'!H$3:H$464,IF(D274=År2,'[1]Processer - data'!I$3:I$464,'[1]Processer - data'!J$3:J$464)),'[1]Processer - data'!$A$3:$A$464,"Foderproduktion",'[1]Processer - data'!$D$3:$D$464,$C274)</f>
        <v>0</v>
      </c>
    </row>
    <row r="275" spans="1:7" hidden="1" x14ac:dyDescent="0.55000000000000004">
      <c r="A275" s="101" t="s">
        <v>113</v>
      </c>
      <c r="B275" t="s">
        <v>24</v>
      </c>
      <c r="C275" s="102" t="str">
        <f t="shared" si="19"/>
        <v>Græsprotein</v>
      </c>
      <c r="D275">
        <f t="shared" si="18"/>
        <v>2050</v>
      </c>
      <c r="E275" s="152">
        <f>VLOOKUP($C275,Fodersammensætning!A$3:E$17,MATCH(D275,Fodersammensætning!$A$2:$E$2,0),FALSE)*(-SUMIFS(IF(D275=År1,IF(B275="Vestdanmark",'Resultater - Vestdanmark'!H$3:H$482,'Resultater - Østdanmark'!H$3:H$482),IF(D275=År2,IF(B275="Vestdanmark",'Resultater - Vestdanmark'!I$3:I$482,'Resultater - Østdanmark'!I$3:I$482),IF(B275="Vestdanmark",'Resultater - Vestdanmark'!J$3:J$482,'Resultater - Østdanmark'!J$3:J$482))),'Resultater - Vestdanmark'!$F$3:$F$482,"Foder",'Resultater - Vestdanmark'!$A$3:$A$482,"&lt;&gt;Foderproduktion"))/SUMIFS(IF(D275=År1,'[1]Processer - data'!H$3:H$464,IF(D275=År2,'[1]Processer - data'!I$3:I$464,'[1]Processer - data'!J$3:J$464)),'[1]Processer - data'!$A$3:$A$464,"Foderproduktion",'[1]Processer - data'!$D$3:$D$464,$C275)</f>
        <v>0</v>
      </c>
    </row>
    <row r="276" spans="1:7" hidden="1" x14ac:dyDescent="0.55000000000000004">
      <c r="A276" s="101" t="s">
        <v>113</v>
      </c>
      <c r="B276" t="s">
        <v>24</v>
      </c>
      <c r="C276" s="102" t="str">
        <f t="shared" si="19"/>
        <v>Slagteriaffald til foder</v>
      </c>
      <c r="D276">
        <f t="shared" si="18"/>
        <v>2050</v>
      </c>
      <c r="E276" s="152">
        <f>VLOOKUP($C276,Fodersammensætning!A$3:E$17,MATCH(D276,Fodersammensætning!$A$2:$E$2,0),FALSE)*(-SUMIFS(IF(D276=År1,IF(B276="Vestdanmark",'Resultater - Vestdanmark'!H$3:H$482,'Resultater - Østdanmark'!H$3:H$482),IF(D276=År2,IF(B276="Vestdanmark",'Resultater - Vestdanmark'!I$3:I$482,'Resultater - Østdanmark'!I$3:I$482),IF(B276="Vestdanmark",'Resultater - Vestdanmark'!J$3:J$482,'Resultater - Østdanmark'!J$3:J$482))),'Resultater - Vestdanmark'!$F$3:$F$482,"Foder",'Resultater - Vestdanmark'!$A$3:$A$482,"&lt;&gt;Foderproduktion"))/SUMIFS(IF(D276=År1,'[1]Processer - data'!H$3:H$464,IF(D276=År2,'[1]Processer - data'!I$3:I$464,'[1]Processer - data'!J$3:J$464)),'[1]Processer - data'!$A$3:$A$464,"Foderproduktion",'[1]Processer - data'!$D$3:$D$464,$C276)</f>
        <v>4837.9324606189475</v>
      </c>
    </row>
    <row r="277" spans="1:7" hidden="1" x14ac:dyDescent="0.55000000000000004">
      <c r="A277" s="101" t="s">
        <v>113</v>
      </c>
      <c r="B277" t="s">
        <v>24</v>
      </c>
      <c r="C277" s="102" t="str">
        <f t="shared" si="19"/>
        <v>Import af foder</v>
      </c>
      <c r="D277">
        <f t="shared" si="18"/>
        <v>2050</v>
      </c>
      <c r="E277" s="152">
        <f>VLOOKUP($C277,Fodersammensætning!A$3:E$17,MATCH(D277,Fodersammensætning!$A$2:$E$2,0),FALSE)*(-SUMIFS(IF(D277=År1,IF(B277="Vestdanmark",'Resultater - Vestdanmark'!H$3:H$482,'Resultater - Østdanmark'!H$3:H$482),IF(D277=År2,IF(B277="Vestdanmark",'Resultater - Vestdanmark'!I$3:I$482,'Resultater - Østdanmark'!I$3:I$482),IF(B277="Vestdanmark",'Resultater - Vestdanmark'!J$3:J$482,'Resultater - Østdanmark'!J$3:J$482))),'Resultater - Vestdanmark'!$F$3:$F$482,"Foder",'Resultater - Vestdanmark'!$A$3:$A$482,"&lt;&gt;Foderproduktion"))/SUMIFS(IF(D277=År1,'[1]Processer - data'!H$3:H$464,IF(D277=År2,'[1]Processer - data'!I$3:I$464,'[1]Processer - data'!J$3:J$464)),'[1]Processer - data'!$A$3:$A$464,"Foderproduktion",'[1]Processer - data'!$D$3:$D$464,$C277)</f>
        <v>592646.72642582108</v>
      </c>
    </row>
    <row r="278" spans="1:7" hidden="1" x14ac:dyDescent="0.55000000000000004">
      <c r="A278" t="s">
        <v>121</v>
      </c>
      <c r="B278" t="s">
        <v>23</v>
      </c>
      <c r="C278" t="str">
        <f>'Forbrug til andet'!A9</f>
        <v>Halm</v>
      </c>
      <c r="D278">
        <f t="shared" ref="D278:D301" si="20">År1</f>
        <v>2019</v>
      </c>
      <c r="E278">
        <f>IF(SUMIFS(Restprodukter!$G$2:$G$37,Restprodukter!$A$2:$A$37,C278,Restprodukter!$B$2:$B$37,B278,Restprodukter!$C$2:$C$37,D278)&gt;=0,SUMIFS(Restprodukter!$G$2:$G$37,Restprodukter!$A$2:$A$37,C278,Restprodukter!$B$2:$B$37,B278,Restprodukter!$C$2:$C$37,D278)*IF(A278="Energi",1-VLOOKUP(C278,'Forbrug til andet'!$A$9:$D$14,MATCH('Forbrug af biomasse'!D278,'Forbrug til andet'!$A$8:$D$8,0),FALSE),VLOOKUP(C278,'Forbrug til andet'!$A$9:$D$14,MATCH('Forbrug af biomasse'!D278,'Forbrug til andet'!$A$8:$D$8,0),FALSE)),0)</f>
        <v>1159590.3134327475</v>
      </c>
      <c r="F278">
        <v>1</v>
      </c>
    </row>
    <row r="279" spans="1:7" hidden="1" x14ac:dyDescent="0.55000000000000004">
      <c r="A279" t="s">
        <v>121</v>
      </c>
      <c r="B279" t="s">
        <v>23</v>
      </c>
      <c r="C279" t="str">
        <f>'Forbrug til andet'!A10</f>
        <v>Rapsolie</v>
      </c>
      <c r="D279">
        <f t="shared" si="20"/>
        <v>2019</v>
      </c>
      <c r="E279">
        <f>IF(SUMIFS(Restprodukter!$G$2:$G$37,Restprodukter!$A$2:$A$37,C279,Restprodukter!$B$2:$B$37,B279,Restprodukter!$C$2:$C$37,D279)&gt;=0,SUMIFS(Restprodukter!$G$2:$G$37,Restprodukter!$A$2:$A$37,C279,Restprodukter!$B$2:$B$37,B279,Restprodukter!$C$2:$C$37,D279)*IF(A279="Energi",1-VLOOKUP(C279,'Forbrug til andet'!$A$9:$D$14,MATCH('Forbrug af biomasse'!D279,'Forbrug til andet'!$A$8:$D$8,0),FALSE),VLOOKUP(C279,'Forbrug til andet'!$A$9:$D$14,MATCH('Forbrug af biomasse'!D279,'Forbrug til andet'!$A$8:$D$8,0),FALSE)),0)</f>
        <v>3102.9355833262225</v>
      </c>
      <c r="F279" s="172">
        <v>1</v>
      </c>
    </row>
    <row r="280" spans="1:7" hidden="1" x14ac:dyDescent="0.55000000000000004">
      <c r="A280" t="s">
        <v>121</v>
      </c>
      <c r="B280" t="s">
        <v>23</v>
      </c>
      <c r="C280" t="str">
        <f>'Forbrug til andet'!A11</f>
        <v>Pil &amp; poppel</v>
      </c>
      <c r="D280">
        <f t="shared" si="20"/>
        <v>2019</v>
      </c>
      <c r="E280">
        <f>IF(SUMIFS(Restprodukter!$G$2:$G$37,Restprodukter!$A$2:$A$37,C280,Restprodukter!$B$2:$B$37,B280,Restprodukter!$C$2:$C$37,D280)&gt;=0,SUMIFS(Restprodukter!$G$2:$G$37,Restprodukter!$A$2:$A$37,C280,Restprodukter!$B$2:$B$37,B280,Restprodukter!$C$2:$C$37,D280)*IF(A280="Energi",1-VLOOKUP(C280,'Forbrug til andet'!$A$9:$D$14,MATCH('Forbrug af biomasse'!D280,'Forbrug til andet'!$A$8:$D$8,0),FALSE),VLOOKUP(C280,'Forbrug til andet'!$A$9:$D$14,MATCH('Forbrug af biomasse'!D280,'Forbrug til andet'!$A$8:$D$8,0),FALSE)),0)</f>
        <v>172205.06744997756</v>
      </c>
      <c r="F280" s="172">
        <v>1</v>
      </c>
    </row>
    <row r="281" spans="1:7" hidden="1" x14ac:dyDescent="0.55000000000000004">
      <c r="A281" t="s">
        <v>121</v>
      </c>
      <c r="B281" t="s">
        <v>23</v>
      </c>
      <c r="C281" t="str">
        <f>'Forbrug til andet'!A12</f>
        <v>Træ til energi</v>
      </c>
      <c r="D281">
        <f t="shared" si="20"/>
        <v>2019</v>
      </c>
      <c r="E281">
        <f>IF(SUMIFS(Restprodukter!$G$2:$G$37,Restprodukter!$A$2:$A$37,C281,Restprodukter!$B$2:$B$37,B281,Restprodukter!$C$2:$C$37,D281)&gt;=0,SUMIFS(Restprodukter!$G$2:$G$37,Restprodukter!$A$2:$A$37,C281,Restprodukter!$B$2:$B$37,B281,Restprodukter!$C$2:$C$37,D281)*IF(A281="Energi",1-VLOOKUP(C281,'Forbrug til andet'!$A$9:$D$14,MATCH('Forbrug af biomasse'!D281,'Forbrug til andet'!$A$8:$D$8,0),FALSE),VLOOKUP(C281,'Forbrug til andet'!$A$9:$D$14,MATCH('Forbrug af biomasse'!D281,'Forbrug til andet'!$A$8:$D$8,0),FALSE)),0)</f>
        <v>2328635.6388303456</v>
      </c>
      <c r="F281" s="172">
        <v>1</v>
      </c>
    </row>
    <row r="282" spans="1:7" hidden="1" x14ac:dyDescent="0.55000000000000004">
      <c r="A282" t="s">
        <v>121</v>
      </c>
      <c r="B282" t="s">
        <v>23</v>
      </c>
      <c r="C282" t="str">
        <f>'Forbrug til andet'!A13</f>
        <v>Have/parkaffald</v>
      </c>
      <c r="D282">
        <f t="shared" si="20"/>
        <v>2019</v>
      </c>
      <c r="E282">
        <f>IF(SUMIFS(Restprodukter!$G$2:$G$37,Restprodukter!$A$2:$A$37,C282,Restprodukter!$B$2:$B$37,B282,Restprodukter!$C$2:$C$37,D282)&gt;=0,SUMIFS(Restprodukter!$G$2:$G$37,Restprodukter!$A$2:$A$37,C282,Restprodukter!$B$2:$B$37,B282,Restprodukter!$C$2:$C$37,D282)*IF(A282="Energi",1-VLOOKUP(C282,'Forbrug til andet'!$A$9:$D$14,MATCH('Forbrug af biomasse'!D282,'Forbrug til andet'!$A$8:$D$8,0),FALSE),VLOOKUP(C282,'Forbrug til andet'!$A$9:$D$14,MATCH('Forbrug af biomasse'!D282,'Forbrug til andet'!$A$8:$D$8,0),FALSE)),0)</f>
        <v>530420.38785042788</v>
      </c>
      <c r="F282" s="172">
        <v>1</v>
      </c>
    </row>
    <row r="283" spans="1:7" hidden="1" x14ac:dyDescent="0.55000000000000004">
      <c r="A283" t="s">
        <v>121</v>
      </c>
      <c r="B283" t="s">
        <v>23</v>
      </c>
      <c r="C283" t="str">
        <f>'Forbrug til andet'!A14</f>
        <v>Bioaffald</v>
      </c>
      <c r="D283">
        <f t="shared" si="20"/>
        <v>2019</v>
      </c>
      <c r="E283">
        <f ca="1">IF(SUMIFS(Restprodukter!$G$2:$G$37,Restprodukter!$A$2:$A$37,C283,Restprodukter!$B$2:$B$37,B283,Restprodukter!$C$2:$C$37,D283)&gt;=0,SUMIFS(Restprodukter!$G$2:$G$37,Restprodukter!$A$2:$A$37,C283,Restprodukter!$B$2:$B$37,B283,Restprodukter!$C$2:$C$37,D283)*IF(A283="Energi",1-VLOOKUP(C283,'Forbrug til andet'!$A$9:$D$14,MATCH('Forbrug af biomasse'!D283,'Forbrug til andet'!$A$8:$D$8,0),FALSE),VLOOKUP(C283,'Forbrug til andet'!$A$9:$D$14,MATCH('Forbrug af biomasse'!D283,'Forbrug til andet'!$A$8:$D$8,0),FALSE)),0)</f>
        <v>0</v>
      </c>
      <c r="F283" s="172">
        <v>1</v>
      </c>
    </row>
    <row r="284" spans="1:7" hidden="1" x14ac:dyDescent="0.55000000000000004">
      <c r="A284" t="s">
        <v>165</v>
      </c>
      <c r="B284" t="s">
        <v>23</v>
      </c>
      <c r="C284" t="str">
        <f t="shared" ref="C284:C289" si="21">C278</f>
        <v>Halm</v>
      </c>
      <c r="D284">
        <f t="shared" si="20"/>
        <v>2019</v>
      </c>
      <c r="E284">
        <f>IF(SUMIFS(Restprodukter!$G$2:$G$37,Restprodukter!$A$2:$A$37,C284,Restprodukter!$B$2:$B$37,B284,Restprodukter!$C$2:$C$37,D284)&gt;=0,SUMIFS(Restprodukter!$G$2:$G$37,Restprodukter!$A$2:$A$37,C284,Restprodukter!$B$2:$B$37,B284,Restprodukter!$C$2:$C$37,D284)*IF(A284="Energi",1-VLOOKUP(C284,'Forbrug til andet'!$A$9:$D$14,MATCH('Forbrug af biomasse'!D284,'Forbrug til andet'!$A$8:$D$8,0),FALSE),VLOOKUP(C284,'Forbrug til andet'!$A$9:$D$14,MATCH('Forbrug af biomasse'!D284,'Forbrug til andet'!$A$8:$D$8,0),FALSE)),0)</f>
        <v>0</v>
      </c>
      <c r="F284" s="172">
        <v>1</v>
      </c>
      <c r="G284">
        <v>1</v>
      </c>
    </row>
    <row r="285" spans="1:7" hidden="1" x14ac:dyDescent="0.55000000000000004">
      <c r="A285" t="s">
        <v>165</v>
      </c>
      <c r="B285" t="s">
        <v>23</v>
      </c>
      <c r="C285" t="str">
        <f t="shared" si="21"/>
        <v>Rapsolie</v>
      </c>
      <c r="D285">
        <f t="shared" si="20"/>
        <v>2019</v>
      </c>
      <c r="E285">
        <f>IF(SUMIFS(Restprodukter!$G$2:$G$37,Restprodukter!$A$2:$A$37,C285,Restprodukter!$B$2:$B$37,B285,Restprodukter!$C$2:$C$37,D285)&gt;=0,SUMIFS(Restprodukter!$G$2:$G$37,Restprodukter!$A$2:$A$37,C285,Restprodukter!$B$2:$B$37,B285,Restprodukter!$C$2:$C$37,D285)*IF(A285="Energi",1-VLOOKUP(C285,'Forbrug til andet'!$A$9:$D$14,MATCH('Forbrug af biomasse'!D285,'Forbrug til andet'!$A$8:$D$8,0),FALSE),VLOOKUP(C285,'Forbrug til andet'!$A$9:$D$14,MATCH('Forbrug af biomasse'!D285,'Forbrug til andet'!$A$8:$D$8,0),FALSE)),0)</f>
        <v>152043.84358298479</v>
      </c>
      <c r="F285" s="172">
        <v>1</v>
      </c>
      <c r="G285" s="172">
        <v>1</v>
      </c>
    </row>
    <row r="286" spans="1:7" hidden="1" x14ac:dyDescent="0.55000000000000004">
      <c r="A286" t="s">
        <v>165</v>
      </c>
      <c r="B286" t="s">
        <v>23</v>
      </c>
      <c r="C286" t="str">
        <f t="shared" si="21"/>
        <v>Pil &amp; poppel</v>
      </c>
      <c r="D286">
        <f t="shared" si="20"/>
        <v>2019</v>
      </c>
      <c r="E286">
        <f>IF(SUMIFS(Restprodukter!$G$2:$G$37,Restprodukter!$A$2:$A$37,C286,Restprodukter!$B$2:$B$37,B286,Restprodukter!$C$2:$C$37,D286)&gt;=0,SUMIFS(Restprodukter!$G$2:$G$37,Restprodukter!$A$2:$A$37,C286,Restprodukter!$B$2:$B$37,B286,Restprodukter!$C$2:$C$37,D286)*IF(A286="Energi",1-VLOOKUP(C286,'Forbrug til andet'!$A$9:$D$14,MATCH('Forbrug af biomasse'!D286,'Forbrug til andet'!$A$8:$D$8,0),FALSE),VLOOKUP(C286,'Forbrug til andet'!$A$9:$D$14,MATCH('Forbrug af biomasse'!D286,'Forbrug til andet'!$A$8:$D$8,0),FALSE)),0)</f>
        <v>0</v>
      </c>
      <c r="F286" s="172">
        <v>1</v>
      </c>
      <c r="G286" s="172">
        <v>1</v>
      </c>
    </row>
    <row r="287" spans="1:7" hidden="1" x14ac:dyDescent="0.55000000000000004">
      <c r="A287" t="s">
        <v>165</v>
      </c>
      <c r="B287" t="s">
        <v>23</v>
      </c>
      <c r="C287" t="str">
        <f t="shared" si="21"/>
        <v>Træ til energi</v>
      </c>
      <c r="D287">
        <f t="shared" si="20"/>
        <v>2019</v>
      </c>
      <c r="E287">
        <f>IF(SUMIFS(Restprodukter!$G$2:$G$37,Restprodukter!$A$2:$A$37,C287,Restprodukter!$B$2:$B$37,B287,Restprodukter!$C$2:$C$37,D287)&gt;=0,SUMIFS(Restprodukter!$G$2:$G$37,Restprodukter!$A$2:$A$37,C287,Restprodukter!$B$2:$B$37,B287,Restprodukter!$C$2:$C$37,D287)*IF(A287="Energi",1-VLOOKUP(C287,'Forbrug til andet'!$A$9:$D$14,MATCH('Forbrug af biomasse'!D287,'Forbrug til andet'!$A$8:$D$8,0),FALSE),VLOOKUP(C287,'Forbrug til andet'!$A$9:$D$14,MATCH('Forbrug af biomasse'!D287,'Forbrug til andet'!$A$8:$D$8,0),FALSE)),0)</f>
        <v>0</v>
      </c>
      <c r="F287" s="172">
        <v>1</v>
      </c>
      <c r="G287" s="172">
        <v>1</v>
      </c>
    </row>
    <row r="288" spans="1:7" hidden="1" x14ac:dyDescent="0.55000000000000004">
      <c r="A288" t="s">
        <v>165</v>
      </c>
      <c r="B288" t="s">
        <v>23</v>
      </c>
      <c r="C288" t="str">
        <f t="shared" si="21"/>
        <v>Have/parkaffald</v>
      </c>
      <c r="D288">
        <f t="shared" si="20"/>
        <v>2019</v>
      </c>
      <c r="E288">
        <f>IF(SUMIFS(Restprodukter!$G$2:$G$37,Restprodukter!$A$2:$A$37,C288,Restprodukter!$B$2:$B$37,B288,Restprodukter!$C$2:$C$37,D288)&gt;=0,SUMIFS(Restprodukter!$G$2:$G$37,Restprodukter!$A$2:$A$37,C288,Restprodukter!$B$2:$B$37,B288,Restprodukter!$C$2:$C$37,D288)*IF(A288="Energi",1-VLOOKUP(C288,'Forbrug til andet'!$A$9:$D$14,MATCH('Forbrug af biomasse'!D288,'Forbrug til andet'!$A$8:$D$8,0),FALSE),VLOOKUP(C288,'Forbrug til andet'!$A$9:$D$14,MATCH('Forbrug af biomasse'!D288,'Forbrug til andet'!$A$8:$D$8,0),FALSE)),0)</f>
        <v>0</v>
      </c>
      <c r="F288" s="172">
        <v>1</v>
      </c>
      <c r="G288" s="172">
        <v>1</v>
      </c>
    </row>
    <row r="289" spans="1:7" hidden="1" x14ac:dyDescent="0.55000000000000004">
      <c r="A289" t="s">
        <v>165</v>
      </c>
      <c r="B289" t="s">
        <v>23</v>
      </c>
      <c r="C289" t="str">
        <f t="shared" si="21"/>
        <v>Bioaffald</v>
      </c>
      <c r="D289">
        <f t="shared" si="20"/>
        <v>2019</v>
      </c>
      <c r="E289">
        <f ca="1">IF(SUMIFS(Restprodukter!$G$2:$G$37,Restprodukter!$A$2:$A$37,C289,Restprodukter!$B$2:$B$37,B289,Restprodukter!$C$2:$C$37,D289)&gt;=0,SUMIFS(Restprodukter!$G$2:$G$37,Restprodukter!$A$2:$A$37,C289,Restprodukter!$B$2:$B$37,B289,Restprodukter!$C$2:$C$37,D289)*IF(A289="Energi",1-VLOOKUP(C289,'Forbrug til andet'!$A$9:$D$14,MATCH('Forbrug af biomasse'!D289,'Forbrug til andet'!$A$8:$D$8,0),FALSE),VLOOKUP(C289,'Forbrug til andet'!$A$9:$D$14,MATCH('Forbrug af biomasse'!D289,'Forbrug til andet'!$A$8:$D$8,0),FALSE)),0)</f>
        <v>0</v>
      </c>
      <c r="F289" s="172">
        <v>1</v>
      </c>
      <c r="G289" s="172">
        <v>1</v>
      </c>
    </row>
    <row r="290" spans="1:7" hidden="1" x14ac:dyDescent="0.55000000000000004">
      <c r="A290" t="s">
        <v>121</v>
      </c>
      <c r="B290" t="s">
        <v>24</v>
      </c>
      <c r="C290" t="str">
        <f t="shared" ref="C290:C315" si="22">C284</f>
        <v>Halm</v>
      </c>
      <c r="D290">
        <f t="shared" si="20"/>
        <v>2019</v>
      </c>
      <c r="E290">
        <f>IF(SUMIFS(Restprodukter!$G$2:$G$37,Restprodukter!$A$2:$A$37,C290,Restprodukter!$B$2:$B$37,B290,Restprodukter!$C$2:$C$37,D290)&gt;=0,SUMIFS(Restprodukter!$G$2:$G$37,Restprodukter!$A$2:$A$37,C290,Restprodukter!$B$2:$B$37,B290,Restprodukter!$C$2:$C$37,D290)*IF(A290="Energi",1-VLOOKUP(C290,'Forbrug til andet'!$A$9:$D$14,MATCH('Forbrug af biomasse'!D290,'Forbrug til andet'!$A$8:$D$8,0),FALSE),VLOOKUP(C290,'Forbrug til andet'!$A$9:$D$14,MATCH('Forbrug af biomasse'!D290,'Forbrug til andet'!$A$8:$D$8,0),FALSE)),0)</f>
        <v>734174.89910281403</v>
      </c>
      <c r="F290" s="172">
        <v>1</v>
      </c>
    </row>
    <row r="291" spans="1:7" hidden="1" x14ac:dyDescent="0.55000000000000004">
      <c r="A291" t="s">
        <v>121</v>
      </c>
      <c r="B291" t="s">
        <v>24</v>
      </c>
      <c r="C291" t="str">
        <f t="shared" si="22"/>
        <v>Rapsolie</v>
      </c>
      <c r="D291">
        <f t="shared" si="20"/>
        <v>2019</v>
      </c>
      <c r="E291">
        <f>IF(SUMIFS(Restprodukter!$G$2:$G$37,Restprodukter!$A$2:$A$37,C291,Restprodukter!$B$2:$B$37,B291,Restprodukter!$C$2:$C$37,D291)&gt;=0,SUMIFS(Restprodukter!$G$2:$G$37,Restprodukter!$A$2:$A$37,C291,Restprodukter!$B$2:$B$37,B291,Restprodukter!$C$2:$C$37,D291)*IF(A291="Energi",1-VLOOKUP(C291,'Forbrug til andet'!$A$9:$D$14,MATCH('Forbrug af biomasse'!D291,'Forbrug til andet'!$A$8:$D$8,0),FALSE),VLOOKUP(C291,'Forbrug til andet'!$A$9:$D$14,MATCH('Forbrug af biomasse'!D291,'Forbrug til andet'!$A$8:$D$8,0),FALSE)),0)</f>
        <v>1238.8744472557355</v>
      </c>
      <c r="F291" s="172">
        <v>1</v>
      </c>
    </row>
    <row r="292" spans="1:7" hidden="1" x14ac:dyDescent="0.55000000000000004">
      <c r="A292" t="s">
        <v>121</v>
      </c>
      <c r="B292" t="s">
        <v>24</v>
      </c>
      <c r="C292" t="str">
        <f t="shared" si="22"/>
        <v>Pil &amp; poppel</v>
      </c>
      <c r="D292">
        <f t="shared" si="20"/>
        <v>2019</v>
      </c>
      <c r="E292">
        <f>IF(SUMIFS(Restprodukter!$G$2:$G$37,Restprodukter!$A$2:$A$37,C292,Restprodukter!$B$2:$B$37,B292,Restprodukter!$C$2:$C$37,D292)&gt;=0,SUMIFS(Restprodukter!$G$2:$G$37,Restprodukter!$A$2:$A$37,C292,Restprodukter!$B$2:$B$37,B292,Restprodukter!$C$2:$C$37,D292)*IF(A292="Energi",1-VLOOKUP(C292,'Forbrug til andet'!$A$9:$D$14,MATCH('Forbrug af biomasse'!D292,'Forbrug til andet'!$A$8:$D$8,0),FALSE),VLOOKUP(C292,'Forbrug til andet'!$A$9:$D$14,MATCH('Forbrug af biomasse'!D292,'Forbrug til andet'!$A$8:$D$8,0),FALSE)),0)</f>
        <v>37577.319945022478</v>
      </c>
      <c r="F292" s="172">
        <v>1</v>
      </c>
    </row>
    <row r="293" spans="1:7" hidden="1" x14ac:dyDescent="0.55000000000000004">
      <c r="A293" t="s">
        <v>121</v>
      </c>
      <c r="B293" t="s">
        <v>24</v>
      </c>
      <c r="C293" t="str">
        <f t="shared" si="22"/>
        <v>Træ til energi</v>
      </c>
      <c r="D293">
        <f t="shared" si="20"/>
        <v>2019</v>
      </c>
      <c r="E293">
        <f>IF(SUMIFS(Restprodukter!$G$2:$G$37,Restprodukter!$A$2:$A$37,C293,Restprodukter!$B$2:$B$37,B293,Restprodukter!$C$2:$C$37,D293)&gt;=0,SUMIFS(Restprodukter!$G$2:$G$37,Restprodukter!$A$2:$A$37,C293,Restprodukter!$B$2:$B$37,B293,Restprodukter!$C$2:$C$37,D293)*IF(A293="Energi",1-VLOOKUP(C293,'Forbrug til andet'!$A$9:$D$14,MATCH('Forbrug af biomasse'!D293,'Forbrug til andet'!$A$8:$D$8,0),FALSE),VLOOKUP(C293,'Forbrug til andet'!$A$9:$D$14,MATCH('Forbrug af biomasse'!D293,'Forbrug til andet'!$A$8:$D$8,0),FALSE)),0)</f>
        <v>681602.85349434032</v>
      </c>
      <c r="F293" s="172">
        <v>1</v>
      </c>
    </row>
    <row r="294" spans="1:7" hidden="1" x14ac:dyDescent="0.55000000000000004">
      <c r="A294" t="s">
        <v>121</v>
      </c>
      <c r="B294" t="s">
        <v>24</v>
      </c>
      <c r="C294" t="str">
        <f t="shared" si="22"/>
        <v>Have/parkaffald</v>
      </c>
      <c r="D294">
        <f t="shared" si="20"/>
        <v>2019</v>
      </c>
      <c r="E294">
        <f>IF(SUMIFS(Restprodukter!$G$2:$G$37,Restprodukter!$A$2:$A$37,C294,Restprodukter!$B$2:$B$37,B294,Restprodukter!$C$2:$C$37,D294)&gt;=0,SUMIFS(Restprodukter!$G$2:$G$37,Restprodukter!$A$2:$A$37,C294,Restprodukter!$B$2:$B$37,B294,Restprodukter!$C$2:$C$37,D294)*IF(A294="Energi",1-VLOOKUP(C294,'Forbrug til andet'!$A$9:$D$14,MATCH('Forbrug af biomasse'!D294,'Forbrug til andet'!$A$8:$D$8,0),FALSE),VLOOKUP(C294,'Forbrug til andet'!$A$9:$D$14,MATCH('Forbrug af biomasse'!D294,'Forbrug til andet'!$A$8:$D$8,0),FALSE)),0)</f>
        <v>452310.61214957217</v>
      </c>
      <c r="F294" s="172">
        <v>1</v>
      </c>
    </row>
    <row r="295" spans="1:7" hidden="1" x14ac:dyDescent="0.55000000000000004">
      <c r="A295" t="s">
        <v>121</v>
      </c>
      <c r="B295" t="s">
        <v>24</v>
      </c>
      <c r="C295" t="str">
        <f t="shared" si="22"/>
        <v>Bioaffald</v>
      </c>
      <c r="D295">
        <f t="shared" si="20"/>
        <v>2019</v>
      </c>
      <c r="E295">
        <f ca="1">IF(SUMIFS(Restprodukter!$G$2:$G$37,Restprodukter!$A$2:$A$37,C295,Restprodukter!$B$2:$B$37,B295,Restprodukter!$C$2:$C$37,D295)&gt;=0,SUMIFS(Restprodukter!$G$2:$G$37,Restprodukter!$A$2:$A$37,C295,Restprodukter!$B$2:$B$37,B295,Restprodukter!$C$2:$C$37,D295)*IF(A295="Energi",1-VLOOKUP(C295,'Forbrug til andet'!$A$9:$D$14,MATCH('Forbrug af biomasse'!D295,'Forbrug til andet'!$A$8:$D$8,0),FALSE),VLOOKUP(C295,'Forbrug til andet'!$A$9:$D$14,MATCH('Forbrug af biomasse'!D295,'Forbrug til andet'!$A$8:$D$8,0),FALSE)),0)</f>
        <v>0</v>
      </c>
      <c r="F295" s="172">
        <v>1</v>
      </c>
    </row>
    <row r="296" spans="1:7" hidden="1" x14ac:dyDescent="0.55000000000000004">
      <c r="A296" t="s">
        <v>165</v>
      </c>
      <c r="B296" t="s">
        <v>24</v>
      </c>
      <c r="C296" t="str">
        <f t="shared" si="22"/>
        <v>Halm</v>
      </c>
      <c r="D296">
        <f t="shared" si="20"/>
        <v>2019</v>
      </c>
      <c r="E296">
        <f>IF(SUMIFS(Restprodukter!$G$2:$G$37,Restprodukter!$A$2:$A$37,C296,Restprodukter!$B$2:$B$37,B296,Restprodukter!$C$2:$C$37,D296)&gt;=0,SUMIFS(Restprodukter!$G$2:$G$37,Restprodukter!$A$2:$A$37,C296,Restprodukter!$B$2:$B$37,B296,Restprodukter!$C$2:$C$37,D296)*IF(A296="Energi",1-VLOOKUP(C296,'Forbrug til andet'!$A$9:$D$14,MATCH('Forbrug af biomasse'!D296,'Forbrug til andet'!$A$8:$D$8,0),FALSE),VLOOKUP(C296,'Forbrug til andet'!$A$9:$D$14,MATCH('Forbrug af biomasse'!D296,'Forbrug til andet'!$A$8:$D$8,0),FALSE)),0)</f>
        <v>0</v>
      </c>
      <c r="F296" s="172">
        <v>1</v>
      </c>
      <c r="G296" s="172">
        <v>1</v>
      </c>
    </row>
    <row r="297" spans="1:7" hidden="1" x14ac:dyDescent="0.55000000000000004">
      <c r="A297" t="s">
        <v>165</v>
      </c>
      <c r="B297" t="s">
        <v>24</v>
      </c>
      <c r="C297" t="str">
        <f t="shared" si="22"/>
        <v>Rapsolie</v>
      </c>
      <c r="D297">
        <f t="shared" si="20"/>
        <v>2019</v>
      </c>
      <c r="E297">
        <f>IF(SUMIFS(Restprodukter!$G$2:$G$37,Restprodukter!$A$2:$A$37,C297,Restprodukter!$B$2:$B$37,B297,Restprodukter!$C$2:$C$37,D297)&gt;=0,SUMIFS(Restprodukter!$G$2:$G$37,Restprodukter!$A$2:$A$37,C297,Restprodukter!$B$2:$B$37,B297,Restprodukter!$C$2:$C$37,D297)*IF(A297="Energi",1-VLOOKUP(C297,'Forbrug til andet'!$A$9:$D$14,MATCH('Forbrug af biomasse'!D297,'Forbrug til andet'!$A$8:$D$8,0),FALSE),VLOOKUP(C297,'Forbrug til andet'!$A$9:$D$14,MATCH('Forbrug af biomasse'!D297,'Forbrug til andet'!$A$8:$D$8,0),FALSE)),0)</f>
        <v>60704.847915530983</v>
      </c>
      <c r="F297" s="172">
        <v>1</v>
      </c>
      <c r="G297" s="172">
        <v>1</v>
      </c>
    </row>
    <row r="298" spans="1:7" hidden="1" x14ac:dyDescent="0.55000000000000004">
      <c r="A298" t="s">
        <v>165</v>
      </c>
      <c r="B298" t="s">
        <v>24</v>
      </c>
      <c r="C298" t="str">
        <f t="shared" si="22"/>
        <v>Pil &amp; poppel</v>
      </c>
      <c r="D298">
        <f t="shared" si="20"/>
        <v>2019</v>
      </c>
      <c r="E298">
        <f>IF(SUMIFS(Restprodukter!$G$2:$G$37,Restprodukter!$A$2:$A$37,C298,Restprodukter!$B$2:$B$37,B298,Restprodukter!$C$2:$C$37,D298)&gt;=0,SUMIFS(Restprodukter!$G$2:$G$37,Restprodukter!$A$2:$A$37,C298,Restprodukter!$B$2:$B$37,B298,Restprodukter!$C$2:$C$37,D298)*IF(A298="Energi",1-VLOOKUP(C298,'Forbrug til andet'!$A$9:$D$14,MATCH('Forbrug af biomasse'!D298,'Forbrug til andet'!$A$8:$D$8,0),FALSE),VLOOKUP(C298,'Forbrug til andet'!$A$9:$D$14,MATCH('Forbrug af biomasse'!D298,'Forbrug til andet'!$A$8:$D$8,0),FALSE)),0)</f>
        <v>0</v>
      </c>
      <c r="F298" s="172">
        <v>1</v>
      </c>
      <c r="G298" s="172">
        <v>1</v>
      </c>
    </row>
    <row r="299" spans="1:7" hidden="1" x14ac:dyDescent="0.55000000000000004">
      <c r="A299" t="s">
        <v>165</v>
      </c>
      <c r="B299" t="s">
        <v>24</v>
      </c>
      <c r="C299" t="str">
        <f t="shared" si="22"/>
        <v>Træ til energi</v>
      </c>
      <c r="D299">
        <f t="shared" si="20"/>
        <v>2019</v>
      </c>
      <c r="E299">
        <f>IF(SUMIFS(Restprodukter!$G$2:$G$37,Restprodukter!$A$2:$A$37,C299,Restprodukter!$B$2:$B$37,B299,Restprodukter!$C$2:$C$37,D299)&gt;=0,SUMIFS(Restprodukter!$G$2:$G$37,Restprodukter!$A$2:$A$37,C299,Restprodukter!$B$2:$B$37,B299,Restprodukter!$C$2:$C$37,D299)*IF(A299="Energi",1-VLOOKUP(C299,'Forbrug til andet'!$A$9:$D$14,MATCH('Forbrug af biomasse'!D299,'Forbrug til andet'!$A$8:$D$8,0),FALSE),VLOOKUP(C299,'Forbrug til andet'!$A$9:$D$14,MATCH('Forbrug af biomasse'!D299,'Forbrug til andet'!$A$8:$D$8,0),FALSE)),0)</f>
        <v>0</v>
      </c>
      <c r="F299" s="172">
        <v>1</v>
      </c>
      <c r="G299" s="172">
        <v>1</v>
      </c>
    </row>
    <row r="300" spans="1:7" hidden="1" x14ac:dyDescent="0.55000000000000004">
      <c r="A300" t="s">
        <v>165</v>
      </c>
      <c r="B300" t="s">
        <v>24</v>
      </c>
      <c r="C300" t="str">
        <f t="shared" si="22"/>
        <v>Have/parkaffald</v>
      </c>
      <c r="D300">
        <f t="shared" si="20"/>
        <v>2019</v>
      </c>
      <c r="E300">
        <f>IF(SUMIFS(Restprodukter!$G$2:$G$37,Restprodukter!$A$2:$A$37,C300,Restprodukter!$B$2:$B$37,B300,Restprodukter!$C$2:$C$37,D300)&gt;=0,SUMIFS(Restprodukter!$G$2:$G$37,Restprodukter!$A$2:$A$37,C300,Restprodukter!$B$2:$B$37,B300,Restprodukter!$C$2:$C$37,D300)*IF(A300="Energi",1-VLOOKUP(C300,'Forbrug til andet'!$A$9:$D$14,MATCH('Forbrug af biomasse'!D300,'Forbrug til andet'!$A$8:$D$8,0),FALSE),VLOOKUP(C300,'Forbrug til andet'!$A$9:$D$14,MATCH('Forbrug af biomasse'!D300,'Forbrug til andet'!$A$8:$D$8,0),FALSE)),0)</f>
        <v>0</v>
      </c>
      <c r="F300" s="172">
        <v>1</v>
      </c>
      <c r="G300" s="172">
        <v>1</v>
      </c>
    </row>
    <row r="301" spans="1:7" hidden="1" x14ac:dyDescent="0.55000000000000004">
      <c r="A301" t="s">
        <v>165</v>
      </c>
      <c r="B301" t="s">
        <v>24</v>
      </c>
      <c r="C301" t="str">
        <f t="shared" si="22"/>
        <v>Bioaffald</v>
      </c>
      <c r="D301">
        <f t="shared" si="20"/>
        <v>2019</v>
      </c>
      <c r="E301">
        <f ca="1">IF(SUMIFS(Restprodukter!$G$2:$G$37,Restprodukter!$A$2:$A$37,C301,Restprodukter!$B$2:$B$37,B301,Restprodukter!$C$2:$C$37,D301)&gt;=0,SUMIFS(Restprodukter!$G$2:$G$37,Restprodukter!$A$2:$A$37,C301,Restprodukter!$B$2:$B$37,B301,Restprodukter!$C$2:$C$37,D301)*IF(A301="Energi",1-VLOOKUP(C301,'Forbrug til andet'!$A$9:$D$14,MATCH('Forbrug af biomasse'!D301,'Forbrug til andet'!$A$8:$D$8,0),FALSE),VLOOKUP(C301,'Forbrug til andet'!$A$9:$D$14,MATCH('Forbrug af biomasse'!D301,'Forbrug til andet'!$A$8:$D$8,0),FALSE)),0)</f>
        <v>0</v>
      </c>
      <c r="F301" s="172">
        <v>1</v>
      </c>
      <c r="G301" s="172">
        <v>1</v>
      </c>
    </row>
    <row r="302" spans="1:7" hidden="1" x14ac:dyDescent="0.55000000000000004">
      <c r="A302" t="s">
        <v>121</v>
      </c>
      <c r="B302" t="s">
        <v>23</v>
      </c>
      <c r="C302" t="str">
        <f t="shared" si="22"/>
        <v>Halm</v>
      </c>
      <c r="D302">
        <f t="shared" ref="D302:D325" si="23">År2</f>
        <v>2030</v>
      </c>
      <c r="E302">
        <f>IF(SUMIFS(Restprodukter!$G$2:$G$37,Restprodukter!$A$2:$A$37,C302,Restprodukter!$B$2:$B$37,B302,Restprodukter!$C$2:$C$37,D302)&gt;=0,SUMIFS(Restprodukter!$G$2:$G$37,Restprodukter!$A$2:$A$37,C302,Restprodukter!$B$2:$B$37,B302,Restprodukter!$C$2:$C$37,D302)*IF(A302="Energi",1-VLOOKUP(C302,'Forbrug til andet'!$A$9:$D$14,MATCH('Forbrug af biomasse'!D302,'Forbrug til andet'!$A$8:$D$8,0),FALSE),VLOOKUP(C302,'Forbrug til andet'!$A$9:$D$14,MATCH('Forbrug af biomasse'!D302,'Forbrug til andet'!$A$8:$D$8,0),FALSE)),0)</f>
        <v>1243963.8894480607</v>
      </c>
      <c r="F302" s="172">
        <v>1</v>
      </c>
    </row>
    <row r="303" spans="1:7" hidden="1" x14ac:dyDescent="0.55000000000000004">
      <c r="A303" t="s">
        <v>121</v>
      </c>
      <c r="B303" t="s">
        <v>23</v>
      </c>
      <c r="C303" t="str">
        <f t="shared" si="22"/>
        <v>Rapsolie</v>
      </c>
      <c r="D303">
        <f t="shared" si="23"/>
        <v>2030</v>
      </c>
      <c r="E303">
        <f>IF(SUMIFS(Restprodukter!$G$2:$G$37,Restprodukter!$A$2:$A$37,C303,Restprodukter!$B$2:$B$37,B303,Restprodukter!$C$2:$C$37,D303)&gt;=0,SUMIFS(Restprodukter!$G$2:$G$37,Restprodukter!$A$2:$A$37,C303,Restprodukter!$B$2:$B$37,B303,Restprodukter!$C$2:$C$37,D303)*IF(A303="Energi",1-VLOOKUP(C303,'Forbrug til andet'!$A$9:$D$14,MATCH('Forbrug af biomasse'!D303,'Forbrug til andet'!$A$8:$D$8,0),FALSE),VLOOKUP(C303,'Forbrug til andet'!$A$9:$D$14,MATCH('Forbrug af biomasse'!D303,'Forbrug til andet'!$A$8:$D$8,0),FALSE)),0)</f>
        <v>162493.02564918654</v>
      </c>
      <c r="F303" s="172">
        <v>1</v>
      </c>
    </row>
    <row r="304" spans="1:7" hidden="1" x14ac:dyDescent="0.55000000000000004">
      <c r="A304" t="s">
        <v>121</v>
      </c>
      <c r="B304" t="s">
        <v>23</v>
      </c>
      <c r="C304" t="str">
        <f t="shared" si="22"/>
        <v>Pil &amp; poppel</v>
      </c>
      <c r="D304">
        <f t="shared" si="23"/>
        <v>2030</v>
      </c>
      <c r="E304">
        <f>IF(SUMIFS(Restprodukter!$G$2:$G$37,Restprodukter!$A$2:$A$37,C304,Restprodukter!$B$2:$B$37,B304,Restprodukter!$C$2:$C$37,D304)&gt;=0,SUMIFS(Restprodukter!$G$2:$G$37,Restprodukter!$A$2:$A$37,C304,Restprodukter!$B$2:$B$37,B304,Restprodukter!$C$2:$C$37,D304)*IF(A304="Energi",1-VLOOKUP(C304,'Forbrug til andet'!$A$9:$D$14,MATCH('Forbrug af biomasse'!D304,'Forbrug til andet'!$A$8:$D$8,0),FALSE),VLOOKUP(C304,'Forbrug til andet'!$A$9:$D$14,MATCH('Forbrug af biomasse'!D304,'Forbrug til andet'!$A$8:$D$8,0),FALSE)),0)</f>
        <v>177516.46640303911</v>
      </c>
      <c r="F304" s="172">
        <v>1</v>
      </c>
    </row>
    <row r="305" spans="1:7" hidden="1" x14ac:dyDescent="0.55000000000000004">
      <c r="A305" t="s">
        <v>121</v>
      </c>
      <c r="B305" t="s">
        <v>23</v>
      </c>
      <c r="C305" t="str">
        <f t="shared" si="22"/>
        <v>Træ til energi</v>
      </c>
      <c r="D305">
        <f t="shared" si="23"/>
        <v>2030</v>
      </c>
      <c r="E305">
        <f>IF(SUMIFS(Restprodukter!$G$2:$G$37,Restprodukter!$A$2:$A$37,C305,Restprodukter!$B$2:$B$37,B305,Restprodukter!$C$2:$C$37,D305)&gt;=0,SUMIFS(Restprodukter!$G$2:$G$37,Restprodukter!$A$2:$A$37,C305,Restprodukter!$B$2:$B$37,B305,Restprodukter!$C$2:$C$37,D305)*IF(A305="Energi",1-VLOOKUP(C305,'Forbrug til andet'!$A$9:$D$14,MATCH('Forbrug af biomasse'!D305,'Forbrug til andet'!$A$8:$D$8,0),FALSE),VLOOKUP(C305,'Forbrug til andet'!$A$9:$D$14,MATCH('Forbrug af biomasse'!D305,'Forbrug til andet'!$A$8:$D$8,0),FALSE)),0)</f>
        <v>2203715.0015238998</v>
      </c>
      <c r="F305" s="172">
        <v>1</v>
      </c>
    </row>
    <row r="306" spans="1:7" hidden="1" x14ac:dyDescent="0.55000000000000004">
      <c r="A306" t="s">
        <v>121</v>
      </c>
      <c r="B306" t="s">
        <v>23</v>
      </c>
      <c r="C306" t="str">
        <f t="shared" si="22"/>
        <v>Have/parkaffald</v>
      </c>
      <c r="D306">
        <f t="shared" si="23"/>
        <v>2030</v>
      </c>
      <c r="E306">
        <f>IF(SUMIFS(Restprodukter!$G$2:$G$37,Restprodukter!$A$2:$A$37,C306,Restprodukter!$B$2:$B$37,B306,Restprodukter!$C$2:$C$37,D306)&gt;=0,SUMIFS(Restprodukter!$G$2:$G$37,Restprodukter!$A$2:$A$37,C306,Restprodukter!$B$2:$B$37,B306,Restprodukter!$C$2:$C$37,D306)*IF(A306="Energi",1-VLOOKUP(C306,'Forbrug til andet'!$A$9:$D$14,MATCH('Forbrug af biomasse'!D306,'Forbrug til andet'!$A$8:$D$8,0),FALSE),VLOOKUP(C306,'Forbrug til andet'!$A$9:$D$14,MATCH('Forbrug af biomasse'!D306,'Forbrug til andet'!$A$8:$D$8,0),FALSE)),0)</f>
        <v>526692.30595677684</v>
      </c>
      <c r="F306" s="172">
        <v>1</v>
      </c>
    </row>
    <row r="307" spans="1:7" hidden="1" x14ac:dyDescent="0.55000000000000004">
      <c r="A307" t="s">
        <v>121</v>
      </c>
      <c r="B307" t="s">
        <v>23</v>
      </c>
      <c r="C307" t="str">
        <f t="shared" si="22"/>
        <v>Bioaffald</v>
      </c>
      <c r="D307">
        <f t="shared" si="23"/>
        <v>2030</v>
      </c>
      <c r="E307">
        <f ca="1">IF(SUMIFS(Restprodukter!$G$2:$G$37,Restprodukter!$A$2:$A$37,C307,Restprodukter!$B$2:$B$37,B307,Restprodukter!$C$2:$C$37,D307)&gt;=0,SUMIFS(Restprodukter!$G$2:$G$37,Restprodukter!$A$2:$A$37,C307,Restprodukter!$B$2:$B$37,B307,Restprodukter!$C$2:$C$37,D307)*IF(A307="Energi",1-VLOOKUP(C307,'Forbrug til andet'!$A$9:$D$14,MATCH('Forbrug af biomasse'!D307,'Forbrug til andet'!$A$8:$D$8,0),FALSE),VLOOKUP(C307,'Forbrug til andet'!$A$9:$D$14,MATCH('Forbrug af biomasse'!D307,'Forbrug til andet'!$A$8:$D$8,0),FALSE)),0)</f>
        <v>0</v>
      </c>
      <c r="F307" s="172">
        <v>1</v>
      </c>
    </row>
    <row r="308" spans="1:7" hidden="1" x14ac:dyDescent="0.55000000000000004">
      <c r="A308" t="s">
        <v>165</v>
      </c>
      <c r="B308" t="s">
        <v>23</v>
      </c>
      <c r="C308" t="str">
        <f t="shared" si="22"/>
        <v>Halm</v>
      </c>
      <c r="D308">
        <f t="shared" si="23"/>
        <v>2030</v>
      </c>
      <c r="E308">
        <f>IF(SUMIFS(Restprodukter!$G$2:$G$37,Restprodukter!$A$2:$A$37,C308,Restprodukter!$B$2:$B$37,B308,Restprodukter!$C$2:$C$37,D308)&gt;=0,SUMIFS(Restprodukter!$G$2:$G$37,Restprodukter!$A$2:$A$37,C308,Restprodukter!$B$2:$B$37,B308,Restprodukter!$C$2:$C$37,D308)*IF(A308="Energi",1-VLOOKUP(C308,'Forbrug til andet'!$A$9:$D$14,MATCH('Forbrug af biomasse'!D308,'Forbrug til andet'!$A$8:$D$8,0),FALSE),VLOOKUP(C308,'Forbrug til andet'!$A$9:$D$14,MATCH('Forbrug af biomasse'!D308,'Forbrug til andet'!$A$8:$D$8,0),FALSE)),0)</f>
        <v>0</v>
      </c>
      <c r="F308" s="172">
        <v>1</v>
      </c>
      <c r="G308" s="172">
        <v>1</v>
      </c>
    </row>
    <row r="309" spans="1:7" hidden="1" x14ac:dyDescent="0.55000000000000004">
      <c r="A309" t="s">
        <v>165</v>
      </c>
      <c r="B309" t="s">
        <v>23</v>
      </c>
      <c r="C309" t="str">
        <f t="shared" si="22"/>
        <v>Rapsolie</v>
      </c>
      <c r="D309">
        <f t="shared" si="23"/>
        <v>2030</v>
      </c>
      <c r="E309">
        <f>IF(SUMIFS(Restprodukter!$G$2:$G$37,Restprodukter!$A$2:$A$37,C309,Restprodukter!$B$2:$B$37,B309,Restprodukter!$C$2:$C$37,D309)&gt;=0,SUMIFS(Restprodukter!$G$2:$G$37,Restprodukter!$A$2:$A$37,C309,Restprodukter!$B$2:$B$37,B309,Restprodukter!$C$2:$C$37,D309)*IF(A309="Energi",1-VLOOKUP(C309,'Forbrug til andet'!$A$9:$D$14,MATCH('Forbrug af biomasse'!D309,'Forbrug til andet'!$A$8:$D$8,0),FALSE),VLOOKUP(C309,'Forbrug til andet'!$A$9:$D$14,MATCH('Forbrug af biomasse'!D309,'Forbrug til andet'!$A$8:$D$8,0),FALSE)),0)</f>
        <v>0</v>
      </c>
      <c r="F309" s="172">
        <v>1</v>
      </c>
      <c r="G309" s="172">
        <v>1</v>
      </c>
    </row>
    <row r="310" spans="1:7" hidden="1" x14ac:dyDescent="0.55000000000000004">
      <c r="A310" t="s">
        <v>165</v>
      </c>
      <c r="B310" t="s">
        <v>23</v>
      </c>
      <c r="C310" t="str">
        <f t="shared" si="22"/>
        <v>Pil &amp; poppel</v>
      </c>
      <c r="D310">
        <f t="shared" si="23"/>
        <v>2030</v>
      </c>
      <c r="E310">
        <f>IF(SUMIFS(Restprodukter!$G$2:$G$37,Restprodukter!$A$2:$A$37,C310,Restprodukter!$B$2:$B$37,B310,Restprodukter!$C$2:$C$37,D310)&gt;=0,SUMIFS(Restprodukter!$G$2:$G$37,Restprodukter!$A$2:$A$37,C310,Restprodukter!$B$2:$B$37,B310,Restprodukter!$C$2:$C$37,D310)*IF(A310="Energi",1-VLOOKUP(C310,'Forbrug til andet'!$A$9:$D$14,MATCH('Forbrug af biomasse'!D310,'Forbrug til andet'!$A$8:$D$8,0),FALSE),VLOOKUP(C310,'Forbrug til andet'!$A$9:$D$14,MATCH('Forbrug af biomasse'!D310,'Forbrug til andet'!$A$8:$D$8,0),FALSE)),0)</f>
        <v>0</v>
      </c>
      <c r="F310" s="172">
        <v>1</v>
      </c>
      <c r="G310" s="172">
        <v>1</v>
      </c>
    </row>
    <row r="311" spans="1:7" hidden="1" x14ac:dyDescent="0.55000000000000004">
      <c r="A311" t="s">
        <v>165</v>
      </c>
      <c r="B311" t="s">
        <v>23</v>
      </c>
      <c r="C311" t="str">
        <f t="shared" si="22"/>
        <v>Træ til energi</v>
      </c>
      <c r="D311">
        <f t="shared" si="23"/>
        <v>2030</v>
      </c>
      <c r="E311">
        <f>IF(SUMIFS(Restprodukter!$G$2:$G$37,Restprodukter!$A$2:$A$37,C311,Restprodukter!$B$2:$B$37,B311,Restprodukter!$C$2:$C$37,D311)&gt;=0,SUMIFS(Restprodukter!$G$2:$G$37,Restprodukter!$A$2:$A$37,C311,Restprodukter!$B$2:$B$37,B311,Restprodukter!$C$2:$C$37,D311)*IF(A311="Energi",1-VLOOKUP(C311,'Forbrug til andet'!$A$9:$D$14,MATCH('Forbrug af biomasse'!D311,'Forbrug til andet'!$A$8:$D$8,0),FALSE),VLOOKUP(C311,'Forbrug til andet'!$A$9:$D$14,MATCH('Forbrug af biomasse'!D311,'Forbrug til andet'!$A$8:$D$8,0),FALSE)),0)</f>
        <v>0</v>
      </c>
      <c r="F311" s="172">
        <v>1</v>
      </c>
      <c r="G311" s="172">
        <v>1</v>
      </c>
    </row>
    <row r="312" spans="1:7" hidden="1" x14ac:dyDescent="0.55000000000000004">
      <c r="A312" t="s">
        <v>165</v>
      </c>
      <c r="B312" t="s">
        <v>23</v>
      </c>
      <c r="C312" t="str">
        <f t="shared" si="22"/>
        <v>Have/parkaffald</v>
      </c>
      <c r="D312">
        <f t="shared" si="23"/>
        <v>2030</v>
      </c>
      <c r="E312">
        <f>IF(SUMIFS(Restprodukter!$G$2:$G$37,Restprodukter!$A$2:$A$37,C312,Restprodukter!$B$2:$B$37,B312,Restprodukter!$C$2:$C$37,D312)&gt;=0,SUMIFS(Restprodukter!$G$2:$G$37,Restprodukter!$A$2:$A$37,C312,Restprodukter!$B$2:$B$37,B312,Restprodukter!$C$2:$C$37,D312)*IF(A312="Energi",1-VLOOKUP(C312,'Forbrug til andet'!$A$9:$D$14,MATCH('Forbrug af biomasse'!D312,'Forbrug til andet'!$A$8:$D$8,0),FALSE),VLOOKUP(C312,'Forbrug til andet'!$A$9:$D$14,MATCH('Forbrug af biomasse'!D312,'Forbrug til andet'!$A$8:$D$8,0),FALSE)),0)</f>
        <v>0</v>
      </c>
      <c r="F312" s="172">
        <v>1</v>
      </c>
      <c r="G312" s="172">
        <v>1</v>
      </c>
    </row>
    <row r="313" spans="1:7" hidden="1" x14ac:dyDescent="0.55000000000000004">
      <c r="A313" t="s">
        <v>165</v>
      </c>
      <c r="B313" t="s">
        <v>23</v>
      </c>
      <c r="C313" t="str">
        <f t="shared" si="22"/>
        <v>Bioaffald</v>
      </c>
      <c r="D313">
        <f t="shared" si="23"/>
        <v>2030</v>
      </c>
      <c r="E313">
        <f ca="1">IF(SUMIFS(Restprodukter!$G$2:$G$37,Restprodukter!$A$2:$A$37,C313,Restprodukter!$B$2:$B$37,B313,Restprodukter!$C$2:$C$37,D313)&gt;=0,SUMIFS(Restprodukter!$G$2:$G$37,Restprodukter!$A$2:$A$37,C313,Restprodukter!$B$2:$B$37,B313,Restprodukter!$C$2:$C$37,D313)*IF(A313="Energi",1-VLOOKUP(C313,'Forbrug til andet'!$A$9:$D$14,MATCH('Forbrug af biomasse'!D313,'Forbrug til andet'!$A$8:$D$8,0),FALSE),VLOOKUP(C313,'Forbrug til andet'!$A$9:$D$14,MATCH('Forbrug af biomasse'!D313,'Forbrug til andet'!$A$8:$D$8,0),FALSE)),0)</f>
        <v>0</v>
      </c>
      <c r="F313" s="172">
        <v>1</v>
      </c>
      <c r="G313" s="172">
        <v>1</v>
      </c>
    </row>
    <row r="314" spans="1:7" hidden="1" x14ac:dyDescent="0.55000000000000004">
      <c r="A314" t="s">
        <v>121</v>
      </c>
      <c r="B314" t="s">
        <v>24</v>
      </c>
      <c r="C314" t="str">
        <f t="shared" si="22"/>
        <v>Halm</v>
      </c>
      <c r="D314">
        <f t="shared" si="23"/>
        <v>2030</v>
      </c>
      <c r="E314">
        <f>IF(SUMIFS(Restprodukter!$G$2:$G$37,Restprodukter!$A$2:$A$37,C314,Restprodukter!$B$2:$B$37,B314,Restprodukter!$C$2:$C$37,D314)&gt;=0,SUMIFS(Restprodukter!$G$2:$G$37,Restprodukter!$A$2:$A$37,C314,Restprodukter!$B$2:$B$37,B314,Restprodukter!$C$2:$C$37,D314)*IF(A314="Energi",1-VLOOKUP(C314,'Forbrug til andet'!$A$9:$D$14,MATCH('Forbrug af biomasse'!D314,'Forbrug til andet'!$A$8:$D$8,0),FALSE),VLOOKUP(C314,'Forbrug til andet'!$A$9:$D$14,MATCH('Forbrug af biomasse'!D314,'Forbrug til andet'!$A$8:$D$8,0),FALSE)),0)</f>
        <v>717541.6905468792</v>
      </c>
      <c r="F314" s="172">
        <v>1</v>
      </c>
    </row>
    <row r="315" spans="1:7" hidden="1" x14ac:dyDescent="0.55000000000000004">
      <c r="A315" t="s">
        <v>121</v>
      </c>
      <c r="B315" t="s">
        <v>24</v>
      </c>
      <c r="C315" t="str">
        <f t="shared" si="22"/>
        <v>Rapsolie</v>
      </c>
      <c r="D315">
        <f t="shared" si="23"/>
        <v>2030</v>
      </c>
      <c r="E315">
        <f>IF(SUMIFS(Restprodukter!$G$2:$G$37,Restprodukter!$A$2:$A$37,C315,Restprodukter!$B$2:$B$37,B315,Restprodukter!$C$2:$C$37,D315)&gt;=0,SUMIFS(Restprodukter!$G$2:$G$37,Restprodukter!$A$2:$A$37,C315,Restprodukter!$B$2:$B$37,B315,Restprodukter!$C$2:$C$37,D315)*IF(A315="Energi",1-VLOOKUP(C315,'Forbrug til andet'!$A$9:$D$14,MATCH('Forbrug af biomasse'!D315,'Forbrug til andet'!$A$8:$D$8,0),FALSE),VLOOKUP(C315,'Forbrug til andet'!$A$9:$D$14,MATCH('Forbrug af biomasse'!D315,'Forbrug til andet'!$A$8:$D$8,0),FALSE)),0)</f>
        <v>65410.493211637622</v>
      </c>
      <c r="F315" s="172">
        <v>1</v>
      </c>
    </row>
    <row r="316" spans="1:7" hidden="1" x14ac:dyDescent="0.55000000000000004">
      <c r="A316" t="s">
        <v>121</v>
      </c>
      <c r="B316" t="s">
        <v>24</v>
      </c>
      <c r="C316" t="str">
        <f t="shared" ref="C316:C347" si="24">C310</f>
        <v>Pil &amp; poppel</v>
      </c>
      <c r="D316">
        <f t="shared" si="23"/>
        <v>2030</v>
      </c>
      <c r="E316">
        <f>IF(SUMIFS(Restprodukter!$G$2:$G$37,Restprodukter!$A$2:$A$37,C316,Restprodukter!$B$2:$B$37,B316,Restprodukter!$C$2:$C$37,D316)&gt;=0,SUMIFS(Restprodukter!$G$2:$G$37,Restprodukter!$A$2:$A$37,C316,Restprodukter!$B$2:$B$37,B316,Restprodukter!$C$2:$C$37,D316)*IF(A316="Energi",1-VLOOKUP(C316,'Forbrug til andet'!$A$9:$D$14,MATCH('Forbrug af biomasse'!D316,'Forbrug til andet'!$A$8:$D$8,0),FALSE),VLOOKUP(C316,'Forbrug til andet'!$A$9:$D$14,MATCH('Forbrug af biomasse'!D316,'Forbrug til andet'!$A$8:$D$8,0),FALSE)),0)</f>
        <v>39419.677245239443</v>
      </c>
      <c r="F316" s="172">
        <v>1</v>
      </c>
    </row>
    <row r="317" spans="1:7" hidden="1" x14ac:dyDescent="0.55000000000000004">
      <c r="A317" t="s">
        <v>121</v>
      </c>
      <c r="B317" t="s">
        <v>24</v>
      </c>
      <c r="C317" t="str">
        <f t="shared" si="24"/>
        <v>Træ til energi</v>
      </c>
      <c r="D317">
        <f t="shared" si="23"/>
        <v>2030</v>
      </c>
      <c r="E317">
        <f>IF(SUMIFS(Restprodukter!$G$2:$G$37,Restprodukter!$A$2:$A$37,C317,Restprodukter!$B$2:$B$37,B317,Restprodukter!$C$2:$C$37,D317)&gt;=0,SUMIFS(Restprodukter!$G$2:$G$37,Restprodukter!$A$2:$A$37,C317,Restprodukter!$B$2:$B$37,B317,Restprodukter!$C$2:$C$37,D317)*IF(A317="Energi",1-VLOOKUP(C317,'Forbrug til andet'!$A$9:$D$14,MATCH('Forbrug af biomasse'!D317,'Forbrug til andet'!$A$8:$D$8,0),FALSE),VLOOKUP(C317,'Forbrug til andet'!$A$9:$D$14,MATCH('Forbrug af biomasse'!D317,'Forbrug til andet'!$A$8:$D$8,0),FALSE)),0)</f>
        <v>645037.98201828008</v>
      </c>
      <c r="F317" s="172">
        <v>1</v>
      </c>
    </row>
    <row r="318" spans="1:7" hidden="1" x14ac:dyDescent="0.55000000000000004">
      <c r="A318" t="s">
        <v>121</v>
      </c>
      <c r="B318" t="s">
        <v>24</v>
      </c>
      <c r="C318" t="str">
        <f t="shared" si="24"/>
        <v>Have/parkaffald</v>
      </c>
      <c r="D318">
        <f t="shared" si="23"/>
        <v>2030</v>
      </c>
      <c r="E318">
        <f>IF(SUMIFS(Restprodukter!$G$2:$G$37,Restprodukter!$A$2:$A$37,C318,Restprodukter!$B$2:$B$37,B318,Restprodukter!$C$2:$C$37,D318)&gt;=0,SUMIFS(Restprodukter!$G$2:$G$37,Restprodukter!$A$2:$A$37,C318,Restprodukter!$B$2:$B$37,B318,Restprodukter!$C$2:$C$37,D318)*IF(A318="Energi",1-VLOOKUP(C318,'Forbrug til andet'!$A$9:$D$14,MATCH('Forbrug af biomasse'!D318,'Forbrug til andet'!$A$8:$D$8,0),FALSE),VLOOKUP(C318,'Forbrug til andet'!$A$9:$D$14,MATCH('Forbrug af biomasse'!D318,'Forbrug til andet'!$A$8:$D$8,0),FALSE)),0)</f>
        <v>456038.69404322316</v>
      </c>
      <c r="F318" s="172">
        <v>1</v>
      </c>
    </row>
    <row r="319" spans="1:7" hidden="1" x14ac:dyDescent="0.55000000000000004">
      <c r="A319" t="s">
        <v>121</v>
      </c>
      <c r="B319" t="s">
        <v>24</v>
      </c>
      <c r="C319" t="str">
        <f t="shared" si="24"/>
        <v>Bioaffald</v>
      </c>
      <c r="D319">
        <f t="shared" si="23"/>
        <v>2030</v>
      </c>
      <c r="E319">
        <f ca="1">IF(SUMIFS(Restprodukter!$G$2:$G$37,Restprodukter!$A$2:$A$37,C319,Restprodukter!$B$2:$B$37,B319,Restprodukter!$C$2:$C$37,D319)&gt;=0,SUMIFS(Restprodukter!$G$2:$G$37,Restprodukter!$A$2:$A$37,C319,Restprodukter!$B$2:$B$37,B319,Restprodukter!$C$2:$C$37,D319)*IF(A319="Energi",1-VLOOKUP(C319,'Forbrug til andet'!$A$9:$D$14,MATCH('Forbrug af biomasse'!D319,'Forbrug til andet'!$A$8:$D$8,0),FALSE),VLOOKUP(C319,'Forbrug til andet'!$A$9:$D$14,MATCH('Forbrug af biomasse'!D319,'Forbrug til andet'!$A$8:$D$8,0),FALSE)),0)</f>
        <v>0</v>
      </c>
      <c r="F319" s="172">
        <v>1</v>
      </c>
    </row>
    <row r="320" spans="1:7" hidden="1" x14ac:dyDescent="0.55000000000000004">
      <c r="A320" t="s">
        <v>165</v>
      </c>
      <c r="B320" t="s">
        <v>24</v>
      </c>
      <c r="C320" t="str">
        <f t="shared" si="24"/>
        <v>Halm</v>
      </c>
      <c r="D320">
        <f t="shared" si="23"/>
        <v>2030</v>
      </c>
      <c r="E320">
        <f>IF(SUMIFS(Restprodukter!$G$2:$G$37,Restprodukter!$A$2:$A$37,C320,Restprodukter!$B$2:$B$37,B320,Restprodukter!$C$2:$C$37,D320)&gt;=0,SUMIFS(Restprodukter!$G$2:$G$37,Restprodukter!$A$2:$A$37,C320,Restprodukter!$B$2:$B$37,B320,Restprodukter!$C$2:$C$37,D320)*IF(A320="Energi",1-VLOOKUP(C320,'Forbrug til andet'!$A$9:$D$14,MATCH('Forbrug af biomasse'!D320,'Forbrug til andet'!$A$8:$D$8,0),FALSE),VLOOKUP(C320,'Forbrug til andet'!$A$9:$D$14,MATCH('Forbrug af biomasse'!D320,'Forbrug til andet'!$A$8:$D$8,0),FALSE)),0)</f>
        <v>0</v>
      </c>
      <c r="F320" s="172">
        <v>1</v>
      </c>
      <c r="G320" s="172">
        <v>1</v>
      </c>
    </row>
    <row r="321" spans="1:7" hidden="1" x14ac:dyDescent="0.55000000000000004">
      <c r="A321" t="s">
        <v>165</v>
      </c>
      <c r="B321" t="s">
        <v>24</v>
      </c>
      <c r="C321" t="str">
        <f t="shared" si="24"/>
        <v>Rapsolie</v>
      </c>
      <c r="D321">
        <f t="shared" si="23"/>
        <v>2030</v>
      </c>
      <c r="E321">
        <f>IF(SUMIFS(Restprodukter!$G$2:$G$37,Restprodukter!$A$2:$A$37,C321,Restprodukter!$B$2:$B$37,B321,Restprodukter!$C$2:$C$37,D321)&gt;=0,SUMIFS(Restprodukter!$G$2:$G$37,Restprodukter!$A$2:$A$37,C321,Restprodukter!$B$2:$B$37,B321,Restprodukter!$C$2:$C$37,D321)*IF(A321="Energi",1-VLOOKUP(C321,'Forbrug til andet'!$A$9:$D$14,MATCH('Forbrug af biomasse'!D321,'Forbrug til andet'!$A$8:$D$8,0),FALSE),VLOOKUP(C321,'Forbrug til andet'!$A$9:$D$14,MATCH('Forbrug af biomasse'!D321,'Forbrug til andet'!$A$8:$D$8,0),FALSE)),0)</f>
        <v>0</v>
      </c>
      <c r="F321" s="172">
        <v>1</v>
      </c>
      <c r="G321" s="172">
        <v>1</v>
      </c>
    </row>
    <row r="322" spans="1:7" hidden="1" x14ac:dyDescent="0.55000000000000004">
      <c r="A322" t="s">
        <v>165</v>
      </c>
      <c r="B322" t="s">
        <v>24</v>
      </c>
      <c r="C322" t="str">
        <f t="shared" si="24"/>
        <v>Pil &amp; poppel</v>
      </c>
      <c r="D322">
        <f t="shared" si="23"/>
        <v>2030</v>
      </c>
      <c r="E322">
        <f>IF(SUMIFS(Restprodukter!$G$2:$G$37,Restprodukter!$A$2:$A$37,C322,Restprodukter!$B$2:$B$37,B322,Restprodukter!$C$2:$C$37,D322)&gt;=0,SUMIFS(Restprodukter!$G$2:$G$37,Restprodukter!$A$2:$A$37,C322,Restprodukter!$B$2:$B$37,B322,Restprodukter!$C$2:$C$37,D322)*IF(A322="Energi",1-VLOOKUP(C322,'Forbrug til andet'!$A$9:$D$14,MATCH('Forbrug af biomasse'!D322,'Forbrug til andet'!$A$8:$D$8,0),FALSE),VLOOKUP(C322,'Forbrug til andet'!$A$9:$D$14,MATCH('Forbrug af biomasse'!D322,'Forbrug til andet'!$A$8:$D$8,0),FALSE)),0)</f>
        <v>0</v>
      </c>
      <c r="F322" s="172">
        <v>1</v>
      </c>
      <c r="G322" s="172">
        <v>1</v>
      </c>
    </row>
    <row r="323" spans="1:7" hidden="1" x14ac:dyDescent="0.55000000000000004">
      <c r="A323" t="s">
        <v>165</v>
      </c>
      <c r="B323" t="s">
        <v>24</v>
      </c>
      <c r="C323" t="str">
        <f t="shared" si="24"/>
        <v>Træ til energi</v>
      </c>
      <c r="D323">
        <f t="shared" si="23"/>
        <v>2030</v>
      </c>
      <c r="E323">
        <f>IF(SUMIFS(Restprodukter!$G$2:$G$37,Restprodukter!$A$2:$A$37,C323,Restprodukter!$B$2:$B$37,B323,Restprodukter!$C$2:$C$37,D323)&gt;=0,SUMIFS(Restprodukter!$G$2:$G$37,Restprodukter!$A$2:$A$37,C323,Restprodukter!$B$2:$B$37,B323,Restprodukter!$C$2:$C$37,D323)*IF(A323="Energi",1-VLOOKUP(C323,'Forbrug til andet'!$A$9:$D$14,MATCH('Forbrug af biomasse'!D323,'Forbrug til andet'!$A$8:$D$8,0),FALSE),VLOOKUP(C323,'Forbrug til andet'!$A$9:$D$14,MATCH('Forbrug af biomasse'!D323,'Forbrug til andet'!$A$8:$D$8,0),FALSE)),0)</f>
        <v>0</v>
      </c>
      <c r="F323" s="172">
        <v>1</v>
      </c>
      <c r="G323" s="172">
        <v>1</v>
      </c>
    </row>
    <row r="324" spans="1:7" hidden="1" x14ac:dyDescent="0.55000000000000004">
      <c r="A324" t="s">
        <v>165</v>
      </c>
      <c r="B324" t="s">
        <v>24</v>
      </c>
      <c r="C324" t="str">
        <f t="shared" si="24"/>
        <v>Have/parkaffald</v>
      </c>
      <c r="D324">
        <f t="shared" si="23"/>
        <v>2030</v>
      </c>
      <c r="E324">
        <f>IF(SUMIFS(Restprodukter!$G$2:$G$37,Restprodukter!$A$2:$A$37,C324,Restprodukter!$B$2:$B$37,B324,Restprodukter!$C$2:$C$37,D324)&gt;=0,SUMIFS(Restprodukter!$G$2:$G$37,Restprodukter!$A$2:$A$37,C324,Restprodukter!$B$2:$B$37,B324,Restprodukter!$C$2:$C$37,D324)*IF(A324="Energi",1-VLOOKUP(C324,'Forbrug til andet'!$A$9:$D$14,MATCH('Forbrug af biomasse'!D324,'Forbrug til andet'!$A$8:$D$8,0),FALSE),VLOOKUP(C324,'Forbrug til andet'!$A$9:$D$14,MATCH('Forbrug af biomasse'!D324,'Forbrug til andet'!$A$8:$D$8,0),FALSE)),0)</f>
        <v>0</v>
      </c>
      <c r="F324" s="172">
        <v>1</v>
      </c>
      <c r="G324" s="172">
        <v>1</v>
      </c>
    </row>
    <row r="325" spans="1:7" hidden="1" x14ac:dyDescent="0.55000000000000004">
      <c r="A325" t="s">
        <v>165</v>
      </c>
      <c r="B325" t="s">
        <v>24</v>
      </c>
      <c r="C325" t="str">
        <f t="shared" si="24"/>
        <v>Bioaffald</v>
      </c>
      <c r="D325">
        <f t="shared" si="23"/>
        <v>2030</v>
      </c>
      <c r="E325">
        <f ca="1">IF(SUMIFS(Restprodukter!$G$2:$G$37,Restprodukter!$A$2:$A$37,C325,Restprodukter!$B$2:$B$37,B325,Restprodukter!$C$2:$C$37,D325)&gt;=0,SUMIFS(Restprodukter!$G$2:$G$37,Restprodukter!$A$2:$A$37,C325,Restprodukter!$B$2:$B$37,B325,Restprodukter!$C$2:$C$37,D325)*IF(A325="Energi",1-VLOOKUP(C325,'Forbrug til andet'!$A$9:$D$14,MATCH('Forbrug af biomasse'!D325,'Forbrug til andet'!$A$8:$D$8,0),FALSE),VLOOKUP(C325,'Forbrug til andet'!$A$9:$D$14,MATCH('Forbrug af biomasse'!D325,'Forbrug til andet'!$A$8:$D$8,0),FALSE)),0)</f>
        <v>0</v>
      </c>
      <c r="F325" s="172">
        <v>1</v>
      </c>
      <c r="G325" s="172">
        <v>1</v>
      </c>
    </row>
    <row r="326" spans="1:7" hidden="1" x14ac:dyDescent="0.55000000000000004">
      <c r="A326" t="s">
        <v>121</v>
      </c>
      <c r="B326" t="s">
        <v>23</v>
      </c>
      <c r="C326" t="str">
        <f t="shared" si="24"/>
        <v>Halm</v>
      </c>
      <c r="D326">
        <f t="shared" ref="D326:D349" si="25">År3</f>
        <v>2050</v>
      </c>
      <c r="E326">
        <f>IF(SUMIFS(Restprodukter!$G$2:$G$37,Restprodukter!$A$2:$A$37,C326,Restprodukter!$B$2:$B$37,B326,Restprodukter!$C$2:$C$37,D326)&gt;=0,SUMIFS(Restprodukter!$G$2:$G$37,Restprodukter!$A$2:$A$37,C326,Restprodukter!$B$2:$B$37,B326,Restprodukter!$C$2:$C$37,D326)*IF(A326="Energi",1-VLOOKUP(C326,'Forbrug til andet'!$A$9:$D$14,MATCH('Forbrug af biomasse'!D326,'Forbrug til andet'!$A$8:$D$8,0),FALSE),VLOOKUP(C326,'Forbrug til andet'!$A$9:$D$14,MATCH('Forbrug af biomasse'!D326,'Forbrug til andet'!$A$8:$D$8,0),FALSE)),0)</f>
        <v>1004436.1243752033</v>
      </c>
      <c r="F326" s="172">
        <v>1</v>
      </c>
    </row>
    <row r="327" spans="1:7" hidden="1" x14ac:dyDescent="0.55000000000000004">
      <c r="A327" t="s">
        <v>121</v>
      </c>
      <c r="B327" t="s">
        <v>23</v>
      </c>
      <c r="C327" t="str">
        <f t="shared" si="24"/>
        <v>Rapsolie</v>
      </c>
      <c r="D327">
        <f t="shared" si="25"/>
        <v>2050</v>
      </c>
      <c r="E327">
        <f>IF(SUMIFS(Restprodukter!$G$2:$G$37,Restprodukter!$A$2:$A$37,C327,Restprodukter!$B$2:$B$37,B327,Restprodukter!$C$2:$C$37,D327)&gt;=0,SUMIFS(Restprodukter!$G$2:$G$37,Restprodukter!$A$2:$A$37,C327,Restprodukter!$B$2:$B$37,B327,Restprodukter!$C$2:$C$37,D327)*IF(A327="Energi",1-VLOOKUP(C327,'Forbrug til andet'!$A$9:$D$14,MATCH('Forbrug af biomasse'!D327,'Forbrug til andet'!$A$8:$D$8,0),FALSE),VLOOKUP(C327,'Forbrug til andet'!$A$9:$D$14,MATCH('Forbrug af biomasse'!D327,'Forbrug til andet'!$A$8:$D$8,0),FALSE)),0)</f>
        <v>156492.78628542495</v>
      </c>
      <c r="F327" s="172">
        <v>1</v>
      </c>
    </row>
    <row r="328" spans="1:7" hidden="1" x14ac:dyDescent="0.55000000000000004">
      <c r="A328" t="s">
        <v>121</v>
      </c>
      <c r="B328" t="s">
        <v>23</v>
      </c>
      <c r="C328" t="str">
        <f t="shared" si="24"/>
        <v>Pil &amp; poppel</v>
      </c>
      <c r="D328">
        <f t="shared" si="25"/>
        <v>2050</v>
      </c>
      <c r="E328">
        <f>IF(SUMIFS(Restprodukter!$G$2:$G$37,Restprodukter!$A$2:$A$37,C328,Restprodukter!$B$2:$B$37,B328,Restprodukter!$C$2:$C$37,D328)&gt;=0,SUMIFS(Restprodukter!$G$2:$G$37,Restprodukter!$A$2:$A$37,C328,Restprodukter!$B$2:$B$37,B328,Restprodukter!$C$2:$C$37,D328)*IF(A328="Energi",1-VLOOKUP(C328,'Forbrug til andet'!$A$9:$D$14,MATCH('Forbrug af biomasse'!D328,'Forbrug til andet'!$A$8:$D$8,0),FALSE),VLOOKUP(C328,'Forbrug til andet'!$A$9:$D$14,MATCH('Forbrug af biomasse'!D328,'Forbrug til andet'!$A$8:$D$8,0),FALSE)),0)</f>
        <v>171775.11908496951</v>
      </c>
      <c r="F328" s="172">
        <v>1</v>
      </c>
    </row>
    <row r="329" spans="1:7" hidden="1" x14ac:dyDescent="0.55000000000000004">
      <c r="A329" t="s">
        <v>121</v>
      </c>
      <c r="B329" t="s">
        <v>23</v>
      </c>
      <c r="C329" t="str">
        <f t="shared" si="24"/>
        <v>Træ til energi</v>
      </c>
      <c r="D329">
        <f t="shared" si="25"/>
        <v>2050</v>
      </c>
      <c r="E329">
        <f>IF(SUMIFS(Restprodukter!$G$2:$G$37,Restprodukter!$A$2:$A$37,C329,Restprodukter!$B$2:$B$37,B329,Restprodukter!$C$2:$C$37,D329)&gt;=0,SUMIFS(Restprodukter!$G$2:$G$37,Restprodukter!$A$2:$A$37,C329,Restprodukter!$B$2:$B$37,B329,Restprodukter!$C$2:$C$37,D329)*IF(A329="Energi",1-VLOOKUP(C329,'Forbrug til andet'!$A$9:$D$14,MATCH('Forbrug af biomasse'!D329,'Forbrug til andet'!$A$8:$D$8,0),FALSE),VLOOKUP(C329,'Forbrug til andet'!$A$9:$D$14,MATCH('Forbrug af biomasse'!D329,'Forbrug til andet'!$A$8:$D$8,0),FALSE)),0)</f>
        <v>2001135.6433479721</v>
      </c>
      <c r="F329" s="172">
        <v>1</v>
      </c>
    </row>
    <row r="330" spans="1:7" hidden="1" x14ac:dyDescent="0.55000000000000004">
      <c r="A330" t="s">
        <v>121</v>
      </c>
      <c r="B330" t="s">
        <v>23</v>
      </c>
      <c r="C330" t="str">
        <f t="shared" si="24"/>
        <v>Have/parkaffald</v>
      </c>
      <c r="D330">
        <f t="shared" si="25"/>
        <v>2050</v>
      </c>
      <c r="E330">
        <f>IF(SUMIFS(Restprodukter!$G$2:$G$37,Restprodukter!$A$2:$A$37,C330,Restprodukter!$B$2:$B$37,B330,Restprodukter!$C$2:$C$37,D330)&gt;=0,SUMIFS(Restprodukter!$G$2:$G$37,Restprodukter!$A$2:$A$37,C330,Restprodukter!$B$2:$B$37,B330,Restprodukter!$C$2:$C$37,D330)*IF(A330="Energi",1-VLOOKUP(C330,'Forbrug til andet'!$A$9:$D$14,MATCH('Forbrug af biomasse'!D330,'Forbrug til andet'!$A$8:$D$8,0),FALSE),VLOOKUP(C330,'Forbrug til andet'!$A$9:$D$14,MATCH('Forbrug af biomasse'!D330,'Forbrug til andet'!$A$8:$D$8,0),FALSE)),0)</f>
        <v>524840.3181212655</v>
      </c>
      <c r="F330" s="172">
        <v>1</v>
      </c>
    </row>
    <row r="331" spans="1:7" hidden="1" x14ac:dyDescent="0.55000000000000004">
      <c r="A331" t="s">
        <v>121</v>
      </c>
      <c r="B331" t="s">
        <v>23</v>
      </c>
      <c r="C331" t="str">
        <f t="shared" si="24"/>
        <v>Bioaffald</v>
      </c>
      <c r="D331">
        <f t="shared" si="25"/>
        <v>2050</v>
      </c>
      <c r="E331">
        <f ca="1">IF(SUMIFS(Restprodukter!$G$2:$G$37,Restprodukter!$A$2:$A$37,C331,Restprodukter!$B$2:$B$37,B331,Restprodukter!$C$2:$C$37,D331)&gt;=0,SUMIFS(Restprodukter!$G$2:$G$37,Restprodukter!$A$2:$A$37,C331,Restprodukter!$B$2:$B$37,B331,Restprodukter!$C$2:$C$37,D331)*IF(A331="Energi",1-VLOOKUP(C331,'Forbrug til andet'!$A$9:$D$14,MATCH('Forbrug af biomasse'!D331,'Forbrug til andet'!$A$8:$D$8,0),FALSE),VLOOKUP(C331,'Forbrug til andet'!$A$9:$D$14,MATCH('Forbrug af biomasse'!D331,'Forbrug til andet'!$A$8:$D$8,0),FALSE)),0)</f>
        <v>0</v>
      </c>
      <c r="F331" s="172">
        <v>1</v>
      </c>
    </row>
    <row r="332" spans="1:7" hidden="1" x14ac:dyDescent="0.55000000000000004">
      <c r="A332" t="s">
        <v>165</v>
      </c>
      <c r="B332" t="s">
        <v>23</v>
      </c>
      <c r="C332" t="str">
        <f t="shared" si="24"/>
        <v>Halm</v>
      </c>
      <c r="D332">
        <f t="shared" si="25"/>
        <v>2050</v>
      </c>
      <c r="E332">
        <f>IF(SUMIFS(Restprodukter!$G$2:$G$37,Restprodukter!$A$2:$A$37,C332,Restprodukter!$B$2:$B$37,B332,Restprodukter!$C$2:$C$37,D332)&gt;=0,SUMIFS(Restprodukter!$G$2:$G$37,Restprodukter!$A$2:$A$37,C332,Restprodukter!$B$2:$B$37,B332,Restprodukter!$C$2:$C$37,D332)*IF(A332="Energi",1-VLOOKUP(C332,'Forbrug til andet'!$A$9:$D$14,MATCH('Forbrug af biomasse'!D332,'Forbrug til andet'!$A$8:$D$8,0),FALSE),VLOOKUP(C332,'Forbrug til andet'!$A$9:$D$14,MATCH('Forbrug af biomasse'!D332,'Forbrug til andet'!$A$8:$D$8,0),FALSE)),0)</f>
        <v>0</v>
      </c>
      <c r="F332" s="172">
        <v>1</v>
      </c>
      <c r="G332" s="172">
        <v>1</v>
      </c>
    </row>
    <row r="333" spans="1:7" hidden="1" x14ac:dyDescent="0.55000000000000004">
      <c r="A333" t="s">
        <v>165</v>
      </c>
      <c r="B333" t="s">
        <v>23</v>
      </c>
      <c r="C333" t="str">
        <f t="shared" si="24"/>
        <v>Rapsolie</v>
      </c>
      <c r="D333">
        <f t="shared" si="25"/>
        <v>2050</v>
      </c>
      <c r="E333">
        <f>IF(SUMIFS(Restprodukter!$G$2:$G$37,Restprodukter!$A$2:$A$37,C333,Restprodukter!$B$2:$B$37,B333,Restprodukter!$C$2:$C$37,D333)&gt;=0,SUMIFS(Restprodukter!$G$2:$G$37,Restprodukter!$A$2:$A$37,C333,Restprodukter!$B$2:$B$37,B333,Restprodukter!$C$2:$C$37,D333)*IF(A333="Energi",1-VLOOKUP(C333,'Forbrug til andet'!$A$9:$D$14,MATCH('Forbrug af biomasse'!D333,'Forbrug til andet'!$A$8:$D$8,0),FALSE),VLOOKUP(C333,'Forbrug til andet'!$A$9:$D$14,MATCH('Forbrug af biomasse'!D333,'Forbrug til andet'!$A$8:$D$8,0),FALSE)),0)</f>
        <v>0</v>
      </c>
      <c r="F333" s="172">
        <v>1</v>
      </c>
      <c r="G333" s="172">
        <v>1</v>
      </c>
    </row>
    <row r="334" spans="1:7" hidden="1" x14ac:dyDescent="0.55000000000000004">
      <c r="A334" t="s">
        <v>165</v>
      </c>
      <c r="B334" t="s">
        <v>23</v>
      </c>
      <c r="C334" t="str">
        <f t="shared" si="24"/>
        <v>Pil &amp; poppel</v>
      </c>
      <c r="D334">
        <f t="shared" si="25"/>
        <v>2050</v>
      </c>
      <c r="E334">
        <f>IF(SUMIFS(Restprodukter!$G$2:$G$37,Restprodukter!$A$2:$A$37,C334,Restprodukter!$B$2:$B$37,B334,Restprodukter!$C$2:$C$37,D334)&gt;=0,SUMIFS(Restprodukter!$G$2:$G$37,Restprodukter!$A$2:$A$37,C334,Restprodukter!$B$2:$B$37,B334,Restprodukter!$C$2:$C$37,D334)*IF(A334="Energi",1-VLOOKUP(C334,'Forbrug til andet'!$A$9:$D$14,MATCH('Forbrug af biomasse'!D334,'Forbrug til andet'!$A$8:$D$8,0),FALSE),VLOOKUP(C334,'Forbrug til andet'!$A$9:$D$14,MATCH('Forbrug af biomasse'!D334,'Forbrug til andet'!$A$8:$D$8,0),FALSE)),0)</f>
        <v>0</v>
      </c>
      <c r="F334" s="172">
        <v>1</v>
      </c>
      <c r="G334" s="172">
        <v>1</v>
      </c>
    </row>
    <row r="335" spans="1:7" hidden="1" x14ac:dyDescent="0.55000000000000004">
      <c r="A335" t="s">
        <v>165</v>
      </c>
      <c r="B335" t="s">
        <v>23</v>
      </c>
      <c r="C335" t="str">
        <f t="shared" si="24"/>
        <v>Træ til energi</v>
      </c>
      <c r="D335">
        <f t="shared" si="25"/>
        <v>2050</v>
      </c>
      <c r="E335">
        <f>IF(SUMIFS(Restprodukter!$G$2:$G$37,Restprodukter!$A$2:$A$37,C335,Restprodukter!$B$2:$B$37,B335,Restprodukter!$C$2:$C$37,D335)&gt;=0,SUMIFS(Restprodukter!$G$2:$G$37,Restprodukter!$A$2:$A$37,C335,Restprodukter!$B$2:$B$37,B335,Restprodukter!$C$2:$C$37,D335)*IF(A335="Energi",1-VLOOKUP(C335,'Forbrug til andet'!$A$9:$D$14,MATCH('Forbrug af biomasse'!D335,'Forbrug til andet'!$A$8:$D$8,0),FALSE),VLOOKUP(C335,'Forbrug til andet'!$A$9:$D$14,MATCH('Forbrug af biomasse'!D335,'Forbrug til andet'!$A$8:$D$8,0),FALSE)),0)</f>
        <v>0</v>
      </c>
      <c r="F335" s="172">
        <v>1</v>
      </c>
      <c r="G335" s="172">
        <v>1</v>
      </c>
    </row>
    <row r="336" spans="1:7" hidden="1" x14ac:dyDescent="0.55000000000000004">
      <c r="A336" t="s">
        <v>165</v>
      </c>
      <c r="B336" t="s">
        <v>23</v>
      </c>
      <c r="C336" t="str">
        <f t="shared" si="24"/>
        <v>Have/parkaffald</v>
      </c>
      <c r="D336">
        <f t="shared" si="25"/>
        <v>2050</v>
      </c>
      <c r="E336">
        <f>IF(SUMIFS(Restprodukter!$G$2:$G$37,Restprodukter!$A$2:$A$37,C336,Restprodukter!$B$2:$B$37,B336,Restprodukter!$C$2:$C$37,D336)&gt;=0,SUMIFS(Restprodukter!$G$2:$G$37,Restprodukter!$A$2:$A$37,C336,Restprodukter!$B$2:$B$37,B336,Restprodukter!$C$2:$C$37,D336)*IF(A336="Energi",1-VLOOKUP(C336,'Forbrug til andet'!$A$9:$D$14,MATCH('Forbrug af biomasse'!D336,'Forbrug til andet'!$A$8:$D$8,0),FALSE),VLOOKUP(C336,'Forbrug til andet'!$A$9:$D$14,MATCH('Forbrug af biomasse'!D336,'Forbrug til andet'!$A$8:$D$8,0),FALSE)),0)</f>
        <v>0</v>
      </c>
      <c r="F336" s="172">
        <v>1</v>
      </c>
      <c r="G336" s="172">
        <v>1</v>
      </c>
    </row>
    <row r="337" spans="1:7" hidden="1" x14ac:dyDescent="0.55000000000000004">
      <c r="A337" t="s">
        <v>165</v>
      </c>
      <c r="B337" t="s">
        <v>23</v>
      </c>
      <c r="C337" t="str">
        <f t="shared" si="24"/>
        <v>Bioaffald</v>
      </c>
      <c r="D337">
        <f t="shared" si="25"/>
        <v>2050</v>
      </c>
      <c r="E337">
        <f ca="1">IF(SUMIFS(Restprodukter!$G$2:$G$37,Restprodukter!$A$2:$A$37,C337,Restprodukter!$B$2:$B$37,B337,Restprodukter!$C$2:$C$37,D337)&gt;=0,SUMIFS(Restprodukter!$G$2:$G$37,Restprodukter!$A$2:$A$37,C337,Restprodukter!$B$2:$B$37,B337,Restprodukter!$C$2:$C$37,D337)*IF(A337="Energi",1-VLOOKUP(C337,'Forbrug til andet'!$A$9:$D$14,MATCH('Forbrug af biomasse'!D337,'Forbrug til andet'!$A$8:$D$8,0),FALSE),VLOOKUP(C337,'Forbrug til andet'!$A$9:$D$14,MATCH('Forbrug af biomasse'!D337,'Forbrug til andet'!$A$8:$D$8,0),FALSE)),0)</f>
        <v>0</v>
      </c>
      <c r="F337" s="172">
        <v>1</v>
      </c>
      <c r="G337" s="172">
        <v>1</v>
      </c>
    </row>
    <row r="338" spans="1:7" hidden="1" x14ac:dyDescent="0.55000000000000004">
      <c r="A338" t="s">
        <v>121</v>
      </c>
      <c r="B338" t="s">
        <v>24</v>
      </c>
      <c r="C338" t="str">
        <f t="shared" si="24"/>
        <v>Halm</v>
      </c>
      <c r="D338">
        <f t="shared" si="25"/>
        <v>2050</v>
      </c>
      <c r="E338">
        <f>IF(SUMIFS(Restprodukter!$G$2:$G$37,Restprodukter!$A$2:$A$37,C338,Restprodukter!$B$2:$B$37,B338,Restprodukter!$C$2:$C$37,D338)&gt;=0,SUMIFS(Restprodukter!$G$2:$G$37,Restprodukter!$A$2:$A$37,C338,Restprodukter!$B$2:$B$37,B338,Restprodukter!$C$2:$C$37,D338)*IF(A338="Energi",1-VLOOKUP(C338,'Forbrug til andet'!$A$9:$D$14,MATCH('Forbrug af biomasse'!D338,'Forbrug til andet'!$A$8:$D$8,0),FALSE),VLOOKUP(C338,'Forbrug til andet'!$A$9:$D$14,MATCH('Forbrug af biomasse'!D338,'Forbrug til andet'!$A$8:$D$8,0),FALSE)),0)</f>
        <v>696380.30259275995</v>
      </c>
      <c r="F338" s="172">
        <v>1</v>
      </c>
    </row>
    <row r="339" spans="1:7" hidden="1" x14ac:dyDescent="0.55000000000000004">
      <c r="A339" t="s">
        <v>121</v>
      </c>
      <c r="B339" t="s">
        <v>24</v>
      </c>
      <c r="C339" t="str">
        <f t="shared" si="24"/>
        <v>Rapsolie</v>
      </c>
      <c r="D339">
        <f t="shared" si="25"/>
        <v>2050</v>
      </c>
      <c r="E339">
        <f>IF(SUMIFS(Restprodukter!$G$2:$G$37,Restprodukter!$A$2:$A$37,C339,Restprodukter!$B$2:$B$37,B339,Restprodukter!$C$2:$C$37,D339)&gt;=0,SUMIFS(Restprodukter!$G$2:$G$37,Restprodukter!$A$2:$A$37,C339,Restprodukter!$B$2:$B$37,B339,Restprodukter!$C$2:$C$37,D339)*IF(A339="Energi",1-VLOOKUP(C339,'Forbrug til andet'!$A$9:$D$14,MATCH('Forbrug af biomasse'!D339,'Forbrug til andet'!$A$8:$D$8,0),FALSE),VLOOKUP(C339,'Forbrug til andet'!$A$9:$D$14,MATCH('Forbrug af biomasse'!D339,'Forbrug til andet'!$A$8:$D$8,0),FALSE)),0)</f>
        <v>63732.21710113556</v>
      </c>
      <c r="F339" s="172">
        <v>1</v>
      </c>
    </row>
    <row r="340" spans="1:7" hidden="1" x14ac:dyDescent="0.55000000000000004">
      <c r="A340" t="s">
        <v>121</v>
      </c>
      <c r="B340" t="s">
        <v>24</v>
      </c>
      <c r="C340" t="str">
        <f t="shared" si="24"/>
        <v>Pil &amp; poppel</v>
      </c>
      <c r="D340">
        <f t="shared" si="25"/>
        <v>2050</v>
      </c>
      <c r="E340">
        <f>IF(SUMIFS(Restprodukter!$G$2:$G$37,Restprodukter!$A$2:$A$37,C340,Restprodukter!$B$2:$B$37,B340,Restprodukter!$C$2:$C$37,D340)&gt;=0,SUMIFS(Restprodukter!$G$2:$G$37,Restprodukter!$A$2:$A$37,C340,Restprodukter!$B$2:$B$37,B340,Restprodukter!$C$2:$C$37,D340)*IF(A340="Energi",1-VLOOKUP(C340,'Forbrug til andet'!$A$9:$D$14,MATCH('Forbrug af biomasse'!D340,'Forbrug til andet'!$A$8:$D$8,0),FALSE),VLOOKUP(C340,'Forbrug til andet'!$A$9:$D$14,MATCH('Forbrug af biomasse'!D340,'Forbrug til andet'!$A$8:$D$8,0),FALSE)),0)</f>
        <v>38470.033999756291</v>
      </c>
      <c r="F340" s="172">
        <v>1</v>
      </c>
    </row>
    <row r="341" spans="1:7" hidden="1" x14ac:dyDescent="0.55000000000000004">
      <c r="A341" t="s">
        <v>121</v>
      </c>
      <c r="B341" t="s">
        <v>24</v>
      </c>
      <c r="C341" t="str">
        <f t="shared" si="24"/>
        <v>Træ til energi</v>
      </c>
      <c r="D341">
        <f t="shared" si="25"/>
        <v>2050</v>
      </c>
      <c r="E341">
        <f>IF(SUMIFS(Restprodukter!$G$2:$G$37,Restprodukter!$A$2:$A$37,C341,Restprodukter!$B$2:$B$37,B341,Restprodukter!$C$2:$C$37,D341)&gt;=0,SUMIFS(Restprodukter!$G$2:$G$37,Restprodukter!$A$2:$A$37,C341,Restprodukter!$B$2:$B$37,B341,Restprodukter!$C$2:$C$37,D341)*IF(A341="Energi",1-VLOOKUP(C341,'Forbrug til andet'!$A$9:$D$14,MATCH('Forbrug af biomasse'!D341,'Forbrug til andet'!$A$8:$D$8,0),FALSE),VLOOKUP(C341,'Forbrug til andet'!$A$9:$D$14,MATCH('Forbrug af biomasse'!D341,'Forbrug til andet'!$A$8:$D$8,0),FALSE)),0)</f>
        <v>585110.82295504375</v>
      </c>
      <c r="F341" s="172">
        <v>1</v>
      </c>
    </row>
    <row r="342" spans="1:7" hidden="1" x14ac:dyDescent="0.55000000000000004">
      <c r="A342" t="s">
        <v>121</v>
      </c>
      <c r="B342" t="s">
        <v>24</v>
      </c>
      <c r="C342" t="str">
        <f t="shared" si="24"/>
        <v>Have/parkaffald</v>
      </c>
      <c r="D342">
        <f t="shared" si="25"/>
        <v>2050</v>
      </c>
      <c r="E342">
        <f>IF(SUMIFS(Restprodukter!$G$2:$G$37,Restprodukter!$A$2:$A$37,C342,Restprodukter!$B$2:$B$37,B342,Restprodukter!$C$2:$C$37,D342)&gt;=0,SUMIFS(Restprodukter!$G$2:$G$37,Restprodukter!$A$2:$A$37,C342,Restprodukter!$B$2:$B$37,B342,Restprodukter!$C$2:$C$37,D342)*IF(A342="Energi",1-VLOOKUP(C342,'Forbrug til andet'!$A$9:$D$14,MATCH('Forbrug af biomasse'!D342,'Forbrug til andet'!$A$8:$D$8,0),FALSE),VLOOKUP(C342,'Forbrug til andet'!$A$9:$D$14,MATCH('Forbrug af biomasse'!D342,'Forbrug til andet'!$A$8:$D$8,0),FALSE)),0)</f>
        <v>457890.6818787345</v>
      </c>
      <c r="F342" s="172">
        <v>1</v>
      </c>
    </row>
    <row r="343" spans="1:7" hidden="1" x14ac:dyDescent="0.55000000000000004">
      <c r="A343" t="s">
        <v>121</v>
      </c>
      <c r="B343" t="s">
        <v>24</v>
      </c>
      <c r="C343" t="str">
        <f t="shared" si="24"/>
        <v>Bioaffald</v>
      </c>
      <c r="D343">
        <f t="shared" si="25"/>
        <v>2050</v>
      </c>
      <c r="E343">
        <f ca="1">IF(SUMIFS(Restprodukter!$G$2:$G$37,Restprodukter!$A$2:$A$37,C343,Restprodukter!$B$2:$B$37,B343,Restprodukter!$C$2:$C$37,D343)&gt;=0,SUMIFS(Restprodukter!$G$2:$G$37,Restprodukter!$A$2:$A$37,C343,Restprodukter!$B$2:$B$37,B343,Restprodukter!$C$2:$C$37,D343)*IF(A343="Energi",1-VLOOKUP(C343,'Forbrug til andet'!$A$9:$D$14,MATCH('Forbrug af biomasse'!D343,'Forbrug til andet'!$A$8:$D$8,0),FALSE),VLOOKUP(C343,'Forbrug til andet'!$A$9:$D$14,MATCH('Forbrug af biomasse'!D343,'Forbrug til andet'!$A$8:$D$8,0),FALSE)),0)</f>
        <v>0</v>
      </c>
      <c r="F343" s="172">
        <v>1</v>
      </c>
    </row>
    <row r="344" spans="1:7" hidden="1" x14ac:dyDescent="0.55000000000000004">
      <c r="A344" t="s">
        <v>165</v>
      </c>
      <c r="B344" t="s">
        <v>24</v>
      </c>
      <c r="C344" t="str">
        <f t="shared" si="24"/>
        <v>Halm</v>
      </c>
      <c r="D344">
        <f t="shared" si="25"/>
        <v>2050</v>
      </c>
      <c r="E344">
        <f>IF(SUMIFS(Restprodukter!$G$2:$G$37,Restprodukter!$A$2:$A$37,C344,Restprodukter!$B$2:$B$37,B344,Restprodukter!$C$2:$C$37,D344)&gt;=0,SUMIFS(Restprodukter!$G$2:$G$37,Restprodukter!$A$2:$A$37,C344,Restprodukter!$B$2:$B$37,B344,Restprodukter!$C$2:$C$37,D344)*IF(A344="Energi",1-VLOOKUP(C344,'Forbrug til andet'!$A$9:$D$14,MATCH('Forbrug af biomasse'!D344,'Forbrug til andet'!$A$8:$D$8,0),FALSE),VLOOKUP(C344,'Forbrug til andet'!$A$9:$D$14,MATCH('Forbrug af biomasse'!D344,'Forbrug til andet'!$A$8:$D$8,0),FALSE)),0)</f>
        <v>0</v>
      </c>
      <c r="F344" s="172">
        <v>1</v>
      </c>
      <c r="G344" s="172">
        <v>1</v>
      </c>
    </row>
    <row r="345" spans="1:7" hidden="1" x14ac:dyDescent="0.55000000000000004">
      <c r="A345" t="s">
        <v>165</v>
      </c>
      <c r="B345" t="s">
        <v>24</v>
      </c>
      <c r="C345" t="str">
        <f t="shared" si="24"/>
        <v>Rapsolie</v>
      </c>
      <c r="D345">
        <f t="shared" si="25"/>
        <v>2050</v>
      </c>
      <c r="E345">
        <f>IF(SUMIFS(Restprodukter!$G$2:$G$37,Restprodukter!$A$2:$A$37,C345,Restprodukter!$B$2:$B$37,B345,Restprodukter!$C$2:$C$37,D345)&gt;=0,SUMIFS(Restprodukter!$G$2:$G$37,Restprodukter!$A$2:$A$37,C345,Restprodukter!$B$2:$B$37,B345,Restprodukter!$C$2:$C$37,D345)*IF(A345="Energi",1-VLOOKUP(C345,'Forbrug til andet'!$A$9:$D$14,MATCH('Forbrug af biomasse'!D345,'Forbrug til andet'!$A$8:$D$8,0),FALSE),VLOOKUP(C345,'Forbrug til andet'!$A$9:$D$14,MATCH('Forbrug af biomasse'!D345,'Forbrug til andet'!$A$8:$D$8,0),FALSE)),0)</f>
        <v>0</v>
      </c>
      <c r="F345" s="172">
        <v>1</v>
      </c>
      <c r="G345" s="172">
        <v>1</v>
      </c>
    </row>
    <row r="346" spans="1:7" hidden="1" x14ac:dyDescent="0.55000000000000004">
      <c r="A346" t="s">
        <v>165</v>
      </c>
      <c r="B346" t="s">
        <v>24</v>
      </c>
      <c r="C346" t="str">
        <f t="shared" si="24"/>
        <v>Pil &amp; poppel</v>
      </c>
      <c r="D346">
        <f t="shared" si="25"/>
        <v>2050</v>
      </c>
      <c r="E346">
        <f>IF(SUMIFS(Restprodukter!$G$2:$G$37,Restprodukter!$A$2:$A$37,C346,Restprodukter!$B$2:$B$37,B346,Restprodukter!$C$2:$C$37,D346)&gt;=0,SUMIFS(Restprodukter!$G$2:$G$37,Restprodukter!$A$2:$A$37,C346,Restprodukter!$B$2:$B$37,B346,Restprodukter!$C$2:$C$37,D346)*IF(A346="Energi",1-VLOOKUP(C346,'Forbrug til andet'!$A$9:$D$14,MATCH('Forbrug af biomasse'!D346,'Forbrug til andet'!$A$8:$D$8,0),FALSE),VLOOKUP(C346,'Forbrug til andet'!$A$9:$D$14,MATCH('Forbrug af biomasse'!D346,'Forbrug til andet'!$A$8:$D$8,0),FALSE)),0)</f>
        <v>0</v>
      </c>
      <c r="F346" s="172">
        <v>1</v>
      </c>
      <c r="G346" s="172">
        <v>1</v>
      </c>
    </row>
    <row r="347" spans="1:7" hidden="1" x14ac:dyDescent="0.55000000000000004">
      <c r="A347" t="s">
        <v>165</v>
      </c>
      <c r="B347" t="s">
        <v>24</v>
      </c>
      <c r="C347" t="str">
        <f t="shared" si="24"/>
        <v>Træ til energi</v>
      </c>
      <c r="D347">
        <f t="shared" si="25"/>
        <v>2050</v>
      </c>
      <c r="E347">
        <f>IF(SUMIFS(Restprodukter!$G$2:$G$37,Restprodukter!$A$2:$A$37,C347,Restprodukter!$B$2:$B$37,B347,Restprodukter!$C$2:$C$37,D347)&gt;=0,SUMIFS(Restprodukter!$G$2:$G$37,Restprodukter!$A$2:$A$37,C347,Restprodukter!$B$2:$B$37,B347,Restprodukter!$C$2:$C$37,D347)*IF(A347="Energi",1-VLOOKUP(C347,'Forbrug til andet'!$A$9:$D$14,MATCH('Forbrug af biomasse'!D347,'Forbrug til andet'!$A$8:$D$8,0),FALSE),VLOOKUP(C347,'Forbrug til andet'!$A$9:$D$14,MATCH('Forbrug af biomasse'!D347,'Forbrug til andet'!$A$8:$D$8,0),FALSE)),0)</f>
        <v>0</v>
      </c>
      <c r="F347" s="172">
        <v>1</v>
      </c>
      <c r="G347" s="172">
        <v>1</v>
      </c>
    </row>
    <row r="348" spans="1:7" hidden="1" x14ac:dyDescent="0.55000000000000004">
      <c r="A348" t="s">
        <v>165</v>
      </c>
      <c r="B348" t="s">
        <v>24</v>
      </c>
      <c r="C348" t="str">
        <f t="shared" ref="C348:C349" si="26">C342</f>
        <v>Have/parkaffald</v>
      </c>
      <c r="D348">
        <f t="shared" si="25"/>
        <v>2050</v>
      </c>
      <c r="E348">
        <f>IF(SUMIFS(Restprodukter!$G$2:$G$37,Restprodukter!$A$2:$A$37,C348,Restprodukter!$B$2:$B$37,B348,Restprodukter!$C$2:$C$37,D348)&gt;=0,SUMIFS(Restprodukter!$G$2:$G$37,Restprodukter!$A$2:$A$37,C348,Restprodukter!$B$2:$B$37,B348,Restprodukter!$C$2:$C$37,D348)*IF(A348="Energi",1-VLOOKUP(C348,'Forbrug til andet'!$A$9:$D$14,MATCH('Forbrug af biomasse'!D348,'Forbrug til andet'!$A$8:$D$8,0),FALSE),VLOOKUP(C348,'Forbrug til andet'!$A$9:$D$14,MATCH('Forbrug af biomasse'!D348,'Forbrug til andet'!$A$8:$D$8,0),FALSE)),0)</f>
        <v>0</v>
      </c>
      <c r="F348" s="172">
        <v>1</v>
      </c>
      <c r="G348" s="172">
        <v>1</v>
      </c>
    </row>
    <row r="349" spans="1:7" hidden="1" x14ac:dyDescent="0.55000000000000004">
      <c r="A349" t="s">
        <v>165</v>
      </c>
      <c r="B349" t="s">
        <v>24</v>
      </c>
      <c r="C349" t="str">
        <f t="shared" si="26"/>
        <v>Bioaffald</v>
      </c>
      <c r="D349">
        <f t="shared" si="25"/>
        <v>2050</v>
      </c>
      <c r="E349">
        <f ca="1">IF(SUMIFS(Restprodukter!$G$2:$G$37,Restprodukter!$A$2:$A$37,C349,Restprodukter!$B$2:$B$37,B349,Restprodukter!$C$2:$C$37,D349)&gt;=0,SUMIFS(Restprodukter!$G$2:$G$37,Restprodukter!$A$2:$A$37,C349,Restprodukter!$B$2:$B$37,B349,Restprodukter!$C$2:$C$37,D349)*IF(A349="Energi",1-VLOOKUP(C349,'Forbrug til andet'!$A$9:$D$14,MATCH('Forbrug af biomasse'!D349,'Forbrug til andet'!$A$8:$D$8,0),FALSE),VLOOKUP(C349,'Forbrug til andet'!$A$9:$D$14,MATCH('Forbrug af biomasse'!D349,'Forbrug til andet'!$A$8:$D$8,0),FALSE)),0)</f>
        <v>0</v>
      </c>
      <c r="F349" s="172">
        <v>1</v>
      </c>
      <c r="G349" s="172">
        <v>1</v>
      </c>
    </row>
    <row r="350" spans="1:7" hidden="1" x14ac:dyDescent="0.55000000000000004">
      <c r="A350" t="s">
        <v>115</v>
      </c>
      <c r="B350" t="s">
        <v>23</v>
      </c>
      <c r="C350" t="s">
        <v>136</v>
      </c>
      <c r="D350">
        <f t="shared" ref="D350:D355" si="27">År1</f>
        <v>2019</v>
      </c>
      <c r="E350">
        <f>SUMIFS(IF(D350=År1,IF(B350="Vestdanmark",'Resultater - Vestdanmark'!$H$3:$H$474,'Resultater - Østdanmark'!$H$3:$H$474),IF(D350=År2,IF(B350="Vestdanmark",'Resultater - Vestdanmark'!$I$3:$I$474,'Resultater - Østdanmark'!$I$3:$I$474),IF(B350="Vestdanmark",'Resultater - Vestdanmark'!$J$3:$J$474,'Resultater - Østdanmark'!$J$3:$J$474))),'Resultater - Vestdanmark'!$D$3:$D$474,C350,'Resultater - Vestdanmark'!$F$3:$F$474,A350)/SUMIFS(IF(D350=År1,'[1]Processer - data'!$H$3:$H$467,IF(D350=År2,'[1]Processer - data'!$I$3:$I$467,'[1]Processer - data'!$J$3:$J$467)),'[1]Processer - data'!$D$3:$D$467,C350,'[1]Processer - data'!$F$3:$F$467,A350)</f>
        <v>12818096.433914844</v>
      </c>
    </row>
    <row r="351" spans="1:7" hidden="1" x14ac:dyDescent="0.55000000000000004">
      <c r="A351" t="s">
        <v>115</v>
      </c>
      <c r="B351" t="s">
        <v>23</v>
      </c>
      <c r="C351" t="s">
        <v>137</v>
      </c>
      <c r="D351">
        <f t="shared" si="27"/>
        <v>2019</v>
      </c>
      <c r="E351">
        <f>SUMIFS(IF(D351=År1,IF(B351="Vestdanmark",'Resultater - Vestdanmark'!$H$3:$H$474,'Resultater - Østdanmark'!$H$3:$H$474),IF(D351=År2,IF(B351="Vestdanmark",'Resultater - Vestdanmark'!$I$3:$I$474,'Resultater - Østdanmark'!$I$3:$I$474),IF(B351="Vestdanmark",'Resultater - Vestdanmark'!$J$3:$J$474,'Resultater - Østdanmark'!$J$3:$J$474))),'Resultater - Vestdanmark'!$D$3:$D$474,C351,'Resultater - Vestdanmark'!$F$3:$F$474,A351)/SUMIFS(IF(D351=År1,'[1]Processer - data'!$H$3:$H$467,IF(D351=År2,'[1]Processer - data'!$I$3:$I$467,'[1]Processer - data'!$J$3:$J$467)),'[1]Processer - data'!$D$3:$D$467,C351,'[1]Processer - data'!$F$3:$F$467,A351)</f>
        <v>6000958.9027446285</v>
      </c>
    </row>
    <row r="352" spans="1:7" hidden="1" x14ac:dyDescent="0.55000000000000004">
      <c r="A352" t="s">
        <v>115</v>
      </c>
      <c r="B352" t="s">
        <v>23</v>
      </c>
      <c r="C352" t="s">
        <v>138</v>
      </c>
      <c r="D352">
        <f t="shared" si="27"/>
        <v>2019</v>
      </c>
      <c r="E352">
        <f>SUMIFS(IF(D352=År1,IF(B352="Vestdanmark",'Resultater - Vestdanmark'!$H$3:$H$474,'Resultater - Østdanmark'!$H$3:$H$474),IF(D352=År2,IF(B352="Vestdanmark",'Resultater - Vestdanmark'!$I$3:$I$474,'Resultater - Østdanmark'!$I$3:$I$474),IF(B352="Vestdanmark",'Resultater - Vestdanmark'!$J$3:$J$474,'Resultater - Østdanmark'!$J$3:$J$474))),'Resultater - Vestdanmark'!$D$3:$D$474,C352,'Resultater - Vestdanmark'!$F$3:$F$474,A352)/SUMIFS(IF(D352=År1,'[1]Processer - data'!$H$3:$H$467,IF(D352=År2,'[1]Processer - data'!$I$3:$I$467,'[1]Processer - data'!$J$3:$J$467)),'[1]Processer - data'!$D$3:$D$467,C352,'[1]Processer - data'!$F$3:$F$467,A352)</f>
        <v>3107.1675348074377</v>
      </c>
    </row>
    <row r="353" spans="1:5" hidden="1" x14ac:dyDescent="0.55000000000000004">
      <c r="A353" t="s">
        <v>115</v>
      </c>
      <c r="B353" t="s">
        <v>23</v>
      </c>
      <c r="C353" t="s">
        <v>102</v>
      </c>
      <c r="D353">
        <f t="shared" si="27"/>
        <v>2019</v>
      </c>
      <c r="E353">
        <f>SUMIFS(IF(D353=År1,IF(B353="Vestdanmark",'Resultater - Vestdanmark'!$H$3:$H$474,'Resultater - Østdanmark'!$H$3:$H$474),IF(D353=År2,IF(B353="Vestdanmark",'Resultater - Vestdanmark'!$I$3:$I$474,'Resultater - Østdanmark'!$I$3:$I$474),IF(B353="Vestdanmark",'Resultater - Vestdanmark'!$J$3:$J$474,'Resultater - Østdanmark'!$J$3:$J$474))),'Resultater - Vestdanmark'!$D$3:$D$474,C353,'Resultater - Vestdanmark'!$F$3:$F$474,A353)/SUMIFS(IF(D353=År1,'[1]Processer - data'!$H$3:$H$467,IF(D353=År2,'[1]Processer - data'!$I$3:$I$467,'[1]Processer - data'!$J$3:$J$467)),'[1]Processer - data'!$D$3:$D$467,C353,'[1]Processer - data'!$F$3:$F$467,A353)</f>
        <v>730307.97492940596</v>
      </c>
    </row>
    <row r="354" spans="1:5" hidden="1" x14ac:dyDescent="0.55000000000000004">
      <c r="A354" t="s">
        <v>115</v>
      </c>
      <c r="B354" t="s">
        <v>23</v>
      </c>
      <c r="C354" t="s">
        <v>111</v>
      </c>
      <c r="D354">
        <f t="shared" si="27"/>
        <v>2019</v>
      </c>
      <c r="E354">
        <f ca="1">SUMIFS(IF(D354=År1,IF(B354="Vestdanmark",'Resultater - Vestdanmark'!$H$3:$H$474,'Resultater - Østdanmark'!$H$3:$H$474),IF(D354=År2,IF(B354="Vestdanmark",'Resultater - Vestdanmark'!$I$3:$I$474,'Resultater - Østdanmark'!$I$3:$I$474),IF(B354="Vestdanmark",'Resultater - Vestdanmark'!$J$3:$J$474,'Resultater - Østdanmark'!$J$3:$J$474))),'Resultater - Vestdanmark'!$D$3:$D$474,C354,'Resultater - Vestdanmark'!$F$3:$F$474,A354)/SUMIFS(IF(D354=År1,'[1]Processer - data'!$H$3:$H$467,IF(D354=År2,'[1]Processer - data'!$I$3:$I$467,'[1]Processer - data'!$J$3:$J$467)),'[1]Processer - data'!$D$3:$D$467,C354,'[1]Processer - data'!$F$3:$F$467,A354)</f>
        <v>7001759.6428652545</v>
      </c>
    </row>
    <row r="355" spans="1:5" hidden="1" x14ac:dyDescent="0.55000000000000004">
      <c r="A355" t="s">
        <v>115</v>
      </c>
      <c r="B355" t="s">
        <v>23</v>
      </c>
      <c r="C355" t="s">
        <v>116</v>
      </c>
      <c r="D355">
        <f t="shared" si="27"/>
        <v>2019</v>
      </c>
      <c r="E355">
        <f ca="1">SUMIFS(IF(D355=År1,IF(B355="Vestdanmark",'Resultater - Vestdanmark'!$H$3:$H$474,'Resultater - Østdanmark'!$H$3:$H$474),IF(D355=År2,IF(B355="Vestdanmark",'Resultater - Vestdanmark'!$I$3:$I$474,'Resultater - Østdanmark'!$I$3:$I$474),IF(B355="Vestdanmark",'Resultater - Vestdanmark'!$J$3:$J$474,'Resultater - Østdanmark'!$J$3:$J$474))),'Resultater - Vestdanmark'!$D$3:$D$474,C355,'Resultater - Vestdanmark'!$F$3:$F$474,A355)/SUMIFS(IF(D355=År1,'[1]Processer - data'!$H$3:$H$467,IF(D355=År2,'[1]Processer - data'!$I$3:$I$467,'[1]Processer - data'!$J$3:$J$467)),'[1]Processer - data'!$D$3:$D$467,C355,'[1]Processer - data'!$F$3:$F$467,A355)</f>
        <v>720643.40546424</v>
      </c>
    </row>
    <row r="356" spans="1:5" hidden="1" x14ac:dyDescent="0.55000000000000004">
      <c r="A356" t="s">
        <v>115</v>
      </c>
      <c r="B356" t="s">
        <v>23</v>
      </c>
      <c r="C356" t="s">
        <v>136</v>
      </c>
      <c r="D356">
        <f t="shared" ref="D356:D361" si="28">År2</f>
        <v>2030</v>
      </c>
      <c r="E356">
        <f>SUMIFS(IF(D356=År1,IF(B356="Vestdanmark",'Resultater - Vestdanmark'!$H$3:$H$474,'Resultater - Østdanmark'!$H$3:$H$474),IF(D356=År2,IF(B356="Vestdanmark",'Resultater - Vestdanmark'!$I$3:$I$474,'Resultater - Østdanmark'!$I$3:$I$474),IF(B356="Vestdanmark",'Resultater - Vestdanmark'!$J$3:$J$474,'Resultater - Østdanmark'!$J$3:$J$474))),'Resultater - Vestdanmark'!$D$3:$D$474,C356,'Resultater - Vestdanmark'!$F$3:$F$474,A356)/SUMIFS(IF(D356=År1,'[1]Processer - data'!$H$3:$H$467,IF(D356=År2,'[1]Processer - data'!$I$3:$I$467,'[1]Processer - data'!$J$3:$J$467)),'[1]Processer - data'!$D$3:$D$467,C356,'[1]Processer - data'!$F$3:$F$467,A356)</f>
        <v>7085171.5926641021</v>
      </c>
    </row>
    <row r="357" spans="1:5" hidden="1" x14ac:dyDescent="0.55000000000000004">
      <c r="A357" t="s">
        <v>115</v>
      </c>
      <c r="B357" t="s">
        <v>23</v>
      </c>
      <c r="C357" t="s">
        <v>137</v>
      </c>
      <c r="D357">
        <f t="shared" si="28"/>
        <v>2030</v>
      </c>
      <c r="E357">
        <f>SUMIFS(IF(D357=År1,IF(B357="Vestdanmark",'Resultater - Vestdanmark'!$H$3:$H$474,'Resultater - Østdanmark'!$H$3:$H$474),IF(D357=År2,IF(B357="Vestdanmark",'Resultater - Vestdanmark'!$I$3:$I$474,'Resultater - Østdanmark'!$I$3:$I$474),IF(B357="Vestdanmark",'Resultater - Vestdanmark'!$J$3:$J$474,'Resultater - Østdanmark'!$J$3:$J$474))),'Resultater - Vestdanmark'!$D$3:$D$474,C357,'Resultater - Vestdanmark'!$F$3:$F$474,A357)/SUMIFS(IF(D357=År1,'[1]Processer - data'!$H$3:$H$467,IF(D357=År2,'[1]Processer - data'!$I$3:$I$467,'[1]Processer - data'!$J$3:$J$467)),'[1]Processer - data'!$D$3:$D$467,C357,'[1]Processer - data'!$F$3:$F$467,A357)</f>
        <v>2064375.9771023891</v>
      </c>
    </row>
    <row r="358" spans="1:5" hidden="1" x14ac:dyDescent="0.55000000000000004">
      <c r="A358" t="s">
        <v>115</v>
      </c>
      <c r="B358" t="s">
        <v>23</v>
      </c>
      <c r="C358" t="s">
        <v>138</v>
      </c>
      <c r="D358">
        <f t="shared" si="28"/>
        <v>2030</v>
      </c>
      <c r="E358">
        <f>SUMIFS(IF(D358=År1,IF(B358="Vestdanmark",'Resultater - Vestdanmark'!$H$3:$H$474,'Resultater - Østdanmark'!$H$3:$H$474),IF(D358=År2,IF(B358="Vestdanmark",'Resultater - Vestdanmark'!$I$3:$I$474,'Resultater - Østdanmark'!$I$3:$I$474),IF(B358="Vestdanmark",'Resultater - Vestdanmark'!$J$3:$J$474,'Resultater - Østdanmark'!$J$3:$J$474))),'Resultater - Vestdanmark'!$D$3:$D$474,C358,'Resultater - Vestdanmark'!$F$3:$F$474,A358)/SUMIFS(IF(D358=År1,'[1]Processer - data'!$H$3:$H$467,IF(D358=År2,'[1]Processer - data'!$I$3:$I$467,'[1]Processer - data'!$J$3:$J$467)),'[1]Processer - data'!$D$3:$D$467,C358,'[1]Processer - data'!$F$3:$F$467,A358)</f>
        <v>3158.317751313647</v>
      </c>
    </row>
    <row r="359" spans="1:5" hidden="1" x14ac:dyDescent="0.55000000000000004">
      <c r="A359" t="s">
        <v>115</v>
      </c>
      <c r="B359" t="s">
        <v>23</v>
      </c>
      <c r="C359" t="s">
        <v>102</v>
      </c>
      <c r="D359">
        <f t="shared" si="28"/>
        <v>2030</v>
      </c>
      <c r="E359">
        <f>SUMIFS(IF(D359=År1,IF(B359="Vestdanmark",'Resultater - Vestdanmark'!$H$3:$H$474,'Resultater - Østdanmark'!$H$3:$H$474),IF(D359=År2,IF(B359="Vestdanmark",'Resultater - Vestdanmark'!$I$3:$I$474,'Resultater - Østdanmark'!$I$3:$I$474),IF(B359="Vestdanmark",'Resultater - Vestdanmark'!$J$3:$J$474,'Resultater - Østdanmark'!$J$3:$J$474))),'Resultater - Vestdanmark'!$D$3:$D$474,C359,'Resultater - Vestdanmark'!$F$3:$F$474,A359)/SUMIFS(IF(D359=År1,'[1]Processer - data'!$H$3:$H$467,IF(D359=År2,'[1]Processer - data'!$I$3:$I$467,'[1]Processer - data'!$J$3:$J$467)),'[1]Processer - data'!$D$3:$D$467,C359,'[1]Processer - data'!$F$3:$F$467,A359)</f>
        <v>502160.95849399589</v>
      </c>
    </row>
    <row r="360" spans="1:5" hidden="1" x14ac:dyDescent="0.55000000000000004">
      <c r="A360" t="s">
        <v>115</v>
      </c>
      <c r="B360" t="s">
        <v>23</v>
      </c>
      <c r="C360" t="s">
        <v>111</v>
      </c>
      <c r="D360">
        <f t="shared" si="28"/>
        <v>2030</v>
      </c>
      <c r="E360">
        <f ca="1">SUMIFS(IF(D360=År1,IF(B360="Vestdanmark",'Resultater - Vestdanmark'!$H$3:$H$474,'Resultater - Østdanmark'!$H$3:$H$474),IF(D360=År2,IF(B360="Vestdanmark",'Resultater - Vestdanmark'!$I$3:$I$474,'Resultater - Østdanmark'!$I$3:$I$474),IF(B360="Vestdanmark",'Resultater - Vestdanmark'!$J$3:$J$474,'Resultater - Østdanmark'!$J$3:$J$474))),'Resultater - Vestdanmark'!$D$3:$D$474,C360,'Resultater - Vestdanmark'!$F$3:$F$474,A360)/SUMIFS(IF(D360=År1,'[1]Processer - data'!$H$3:$H$467,IF(D360=År2,'[1]Processer - data'!$I$3:$I$467,'[1]Processer - data'!$J$3:$J$467)),'[1]Processer - data'!$D$3:$D$467,C360,'[1]Processer - data'!$F$3:$F$467,A360)</f>
        <v>17712264.042137899</v>
      </c>
    </row>
    <row r="361" spans="1:5" hidden="1" x14ac:dyDescent="0.55000000000000004">
      <c r="A361" t="s">
        <v>115</v>
      </c>
      <c r="B361" t="s">
        <v>23</v>
      </c>
      <c r="C361" t="s">
        <v>116</v>
      </c>
      <c r="D361">
        <f t="shared" si="28"/>
        <v>2030</v>
      </c>
      <c r="E361">
        <f ca="1">SUMIFS(IF(D361=År1,IF(B361="Vestdanmark",'Resultater - Vestdanmark'!$H$3:$H$474,'Resultater - Østdanmark'!$H$3:$H$474),IF(D361=År2,IF(B361="Vestdanmark",'Resultater - Vestdanmark'!$I$3:$I$474,'Resultater - Østdanmark'!$I$3:$I$474),IF(B361="Vestdanmark",'Resultater - Vestdanmark'!$J$3:$J$474,'Resultater - Østdanmark'!$J$3:$J$474))),'Resultater - Vestdanmark'!$D$3:$D$474,C361,'Resultater - Vestdanmark'!$F$3:$F$474,A361)/SUMIFS(IF(D361=År1,'[1]Processer - data'!$H$3:$H$467,IF(D361=År2,'[1]Processer - data'!$I$3:$I$467,'[1]Processer - data'!$J$3:$J$467)),'[1]Processer - data'!$D$3:$D$467,C361,'[1]Processer - data'!$F$3:$F$467,A361)</f>
        <v>690376.55115249695</v>
      </c>
    </row>
    <row r="362" spans="1:5" hidden="1" x14ac:dyDescent="0.55000000000000004">
      <c r="A362" t="s">
        <v>115</v>
      </c>
      <c r="B362" t="s">
        <v>23</v>
      </c>
      <c r="C362" t="s">
        <v>136</v>
      </c>
      <c r="D362">
        <f t="shared" ref="D362:D367" si="29">År3</f>
        <v>2050</v>
      </c>
      <c r="E362">
        <f>SUMIFS(IF(D362=År1,IF(B362="Vestdanmark",'Resultater - Vestdanmark'!$H$3:$H$474,'Resultater - Østdanmark'!$H$3:$H$474),IF(D362=År2,IF(B362="Vestdanmark",'Resultater - Vestdanmark'!$I$3:$I$474,'Resultater - Østdanmark'!$I$3:$I$474),IF(B362="Vestdanmark",'Resultater - Vestdanmark'!$J$3:$J$474,'Resultater - Østdanmark'!$J$3:$J$474))),'Resultater - Vestdanmark'!$D$3:$D$474,C362,'Resultater - Vestdanmark'!$F$3:$F$474,A362)/SUMIFS(IF(D362=År1,'[1]Processer - data'!$H$3:$H$467,IF(D362=År2,'[1]Processer - data'!$I$3:$I$467,'[1]Processer - data'!$J$3:$J$467)),'[1]Processer - data'!$D$3:$D$467,C362,'[1]Processer - data'!$F$3:$F$467,A362)</f>
        <v>6783177.1307623936</v>
      </c>
    </row>
    <row r="363" spans="1:5" hidden="1" x14ac:dyDescent="0.55000000000000004">
      <c r="A363" t="s">
        <v>115</v>
      </c>
      <c r="B363" t="s">
        <v>23</v>
      </c>
      <c r="C363" t="s">
        <v>137</v>
      </c>
      <c r="D363">
        <f t="shared" si="29"/>
        <v>2050</v>
      </c>
      <c r="E363">
        <f>SUMIFS(IF(D363=År1,IF(B363="Vestdanmark",'Resultater - Vestdanmark'!$H$3:$H$474,'Resultater - Østdanmark'!$H$3:$H$474),IF(D363=År2,IF(B363="Vestdanmark",'Resultater - Vestdanmark'!$I$3:$I$474,'Resultater - Østdanmark'!$I$3:$I$474),IF(B363="Vestdanmark",'Resultater - Vestdanmark'!$J$3:$J$474,'Resultater - Østdanmark'!$J$3:$J$474))),'Resultater - Vestdanmark'!$D$3:$D$474,C363,'Resultater - Vestdanmark'!$F$3:$F$474,A363)/SUMIFS(IF(D363=År1,'[1]Processer - data'!$H$3:$H$467,IF(D363=År2,'[1]Processer - data'!$I$3:$I$467,'[1]Processer - data'!$J$3:$J$467)),'[1]Processer - data'!$D$3:$D$467,C363,'[1]Processer - data'!$F$3:$F$467,A363)</f>
        <v>2024929.6339054219</v>
      </c>
    </row>
    <row r="364" spans="1:5" hidden="1" x14ac:dyDescent="0.55000000000000004">
      <c r="A364" t="s">
        <v>115</v>
      </c>
      <c r="B364" t="s">
        <v>23</v>
      </c>
      <c r="C364" t="s">
        <v>138</v>
      </c>
      <c r="D364">
        <f t="shared" si="29"/>
        <v>2050</v>
      </c>
      <c r="E364">
        <f>SUMIFS(IF(D364=År1,IF(B364="Vestdanmark",'Resultater - Vestdanmark'!$H$3:$H$474,'Resultater - Østdanmark'!$H$3:$H$474),IF(D364=År2,IF(B364="Vestdanmark",'Resultater - Vestdanmark'!$I$3:$I$474,'Resultater - Østdanmark'!$I$3:$I$474),IF(B364="Vestdanmark",'Resultater - Vestdanmark'!$J$3:$J$474,'Resultater - Østdanmark'!$J$3:$J$474))),'Resultater - Vestdanmark'!$D$3:$D$474,C364,'Resultater - Vestdanmark'!$F$3:$F$474,A364)/SUMIFS(IF(D364=År1,'[1]Processer - data'!$H$3:$H$467,IF(D364=År2,'[1]Processer - data'!$I$3:$I$467,'[1]Processer - data'!$J$3:$J$467)),'[1]Processer - data'!$D$3:$D$467,C364,'[1]Processer - data'!$F$3:$F$467,A364)</f>
        <v>3261.5941520826309</v>
      </c>
    </row>
    <row r="365" spans="1:5" hidden="1" x14ac:dyDescent="0.55000000000000004">
      <c r="A365" t="s">
        <v>115</v>
      </c>
      <c r="B365" t="s">
        <v>23</v>
      </c>
      <c r="C365" t="s">
        <v>102</v>
      </c>
      <c r="D365">
        <f t="shared" si="29"/>
        <v>2050</v>
      </c>
      <c r="E365">
        <f>SUMIFS(IF(D365=År1,IF(B365="Vestdanmark",'Resultater - Vestdanmark'!$H$3:$H$474,'Resultater - Østdanmark'!$H$3:$H$474),IF(D365=År2,IF(B365="Vestdanmark",'Resultater - Vestdanmark'!$I$3:$I$474,'Resultater - Østdanmark'!$I$3:$I$474),IF(B365="Vestdanmark",'Resultater - Vestdanmark'!$J$3:$J$474,'Resultater - Østdanmark'!$J$3:$J$474))),'Resultater - Vestdanmark'!$D$3:$D$474,C365,'Resultater - Vestdanmark'!$F$3:$F$474,A365)/SUMIFS(IF(D365=År1,'[1]Processer - data'!$H$3:$H$467,IF(D365=År2,'[1]Processer - data'!$I$3:$I$467,'[1]Processer - data'!$J$3:$J$467)),'[1]Processer - data'!$D$3:$D$467,C365,'[1]Processer - data'!$F$3:$F$467,A365)</f>
        <v>525831.49845533748</v>
      </c>
    </row>
    <row r="366" spans="1:5" hidden="1" x14ac:dyDescent="0.55000000000000004">
      <c r="A366" t="s">
        <v>115</v>
      </c>
      <c r="B366" t="s">
        <v>23</v>
      </c>
      <c r="C366" t="s">
        <v>111</v>
      </c>
      <c r="D366">
        <f t="shared" si="29"/>
        <v>2050</v>
      </c>
      <c r="E366">
        <f ca="1">SUMIFS(IF(D366=År1,IF(B366="Vestdanmark",'Resultater - Vestdanmark'!$H$3:$H$474,'Resultater - Østdanmark'!$H$3:$H$474),IF(D366=År2,IF(B366="Vestdanmark",'Resultater - Vestdanmark'!$I$3:$I$474,'Resultater - Østdanmark'!$I$3:$I$474),IF(B366="Vestdanmark",'Resultater - Vestdanmark'!$J$3:$J$474,'Resultater - Østdanmark'!$J$3:$J$474))),'Resultater - Vestdanmark'!$D$3:$D$474,C366,'Resultater - Vestdanmark'!$F$3:$F$474,A366)/SUMIFS(IF(D366=År1,'[1]Processer - data'!$H$3:$H$467,IF(D366=År2,'[1]Processer - data'!$I$3:$I$467,'[1]Processer - data'!$J$3:$J$467)),'[1]Processer - data'!$D$3:$D$467,C366,'[1]Processer - data'!$F$3:$F$467,A366)</f>
        <v>17222483.674164686</v>
      </c>
    </row>
    <row r="367" spans="1:5" hidden="1" x14ac:dyDescent="0.55000000000000004">
      <c r="A367" t="s">
        <v>115</v>
      </c>
      <c r="B367" t="s">
        <v>23</v>
      </c>
      <c r="C367" t="s">
        <v>116</v>
      </c>
      <c r="D367">
        <f t="shared" si="29"/>
        <v>2050</v>
      </c>
      <c r="E367">
        <f ca="1">SUMIFS(IF(D367=År1,IF(B367="Vestdanmark",'Resultater - Vestdanmark'!$H$3:$H$474,'Resultater - Østdanmark'!$H$3:$H$474),IF(D367=År2,IF(B367="Vestdanmark",'Resultater - Vestdanmark'!$I$3:$I$474,'Resultater - Østdanmark'!$I$3:$I$474),IF(B367="Vestdanmark",'Resultater - Vestdanmark'!$J$3:$J$474,'Resultater - Østdanmark'!$J$3:$J$474))),'Resultater - Vestdanmark'!$D$3:$D$474,C367,'Resultater - Vestdanmark'!$F$3:$F$474,A367)/SUMIFS(IF(D367=År1,'[1]Processer - data'!$H$3:$H$467,IF(D367=År2,'[1]Processer - data'!$I$3:$I$467,'[1]Processer - data'!$J$3:$J$467)),'[1]Processer - data'!$D$3:$D$467,C367,'[1]Processer - data'!$F$3:$F$467,A367)</f>
        <v>597110.0145929947</v>
      </c>
    </row>
    <row r="368" spans="1:5" hidden="1" x14ac:dyDescent="0.55000000000000004">
      <c r="A368" t="s">
        <v>115</v>
      </c>
      <c r="B368" t="s">
        <v>24</v>
      </c>
      <c r="C368" t="s">
        <v>136</v>
      </c>
      <c r="D368">
        <f t="shared" ref="D368:D373" si="30">År1</f>
        <v>2019</v>
      </c>
      <c r="E368">
        <f>SUMIFS(IF(D368=År1,IF(B368="Vestdanmark",'Resultater - Vestdanmark'!$H$3:$H$474,'Resultater - Østdanmark'!$H$3:$H$474),IF(D368=År2,IF(B368="Vestdanmark",'Resultater - Vestdanmark'!$I$3:$I$474,'Resultater - Østdanmark'!$I$3:$I$474),IF(B368="Vestdanmark",'Resultater - Vestdanmark'!$J$3:$J$474,'Resultater - Østdanmark'!$J$3:$J$474))),'Resultater - Vestdanmark'!$D$3:$D$474,C368,'Resultater - Vestdanmark'!$F$3:$F$474,A368)/SUMIFS(IF(D368=År1,'[1]Processer - data'!$H$3:$H$467,IF(D368=År2,'[1]Processer - data'!$I$3:$I$467,'[1]Processer - data'!$J$3:$J$467)),'[1]Processer - data'!$D$3:$D$467,C368,'[1]Processer - data'!$F$3:$F$467,A368)</f>
        <v>1924034.2327518209</v>
      </c>
    </row>
    <row r="369" spans="1:5" hidden="1" x14ac:dyDescent="0.55000000000000004">
      <c r="A369" t="s">
        <v>115</v>
      </c>
      <c r="B369" t="s">
        <v>24</v>
      </c>
      <c r="C369" t="s">
        <v>137</v>
      </c>
      <c r="D369">
        <f t="shared" si="30"/>
        <v>2019</v>
      </c>
      <c r="E369">
        <f>SUMIFS(IF(D369=År1,IF(B369="Vestdanmark",'Resultater - Vestdanmark'!$H$3:$H$474,'Resultater - Østdanmark'!$H$3:$H$474),IF(D369=År2,IF(B369="Vestdanmark",'Resultater - Vestdanmark'!$I$3:$I$474,'Resultater - Østdanmark'!$I$3:$I$474),IF(B369="Vestdanmark",'Resultater - Vestdanmark'!$J$3:$J$474,'Resultater - Østdanmark'!$J$3:$J$474))),'Resultater - Vestdanmark'!$D$3:$D$474,C369,'Resultater - Vestdanmark'!$F$3:$F$474,A369)/SUMIFS(IF(D369=År1,'[1]Processer - data'!$H$3:$H$467,IF(D369=År2,'[1]Processer - data'!$I$3:$I$467,'[1]Processer - data'!$J$3:$J$467)),'[1]Processer - data'!$D$3:$D$467,C369,'[1]Processer - data'!$F$3:$F$467,A369)</f>
        <v>422965.94308870414</v>
      </c>
    </row>
    <row r="370" spans="1:5" hidden="1" x14ac:dyDescent="0.55000000000000004">
      <c r="A370" t="s">
        <v>115</v>
      </c>
      <c r="B370" t="s">
        <v>24</v>
      </c>
      <c r="C370" t="s">
        <v>138</v>
      </c>
      <c r="D370">
        <f t="shared" si="30"/>
        <v>2019</v>
      </c>
      <c r="E370">
        <f>SUMIFS(IF(D370=År1,IF(B370="Vestdanmark",'Resultater - Vestdanmark'!$H$3:$H$474,'Resultater - Østdanmark'!$H$3:$H$474),IF(D370=År2,IF(B370="Vestdanmark",'Resultater - Vestdanmark'!$I$3:$I$474,'Resultater - Østdanmark'!$I$3:$I$474),IF(B370="Vestdanmark",'Resultater - Vestdanmark'!$J$3:$J$474,'Resultater - Østdanmark'!$J$3:$J$474))),'Resultater - Vestdanmark'!$D$3:$D$474,C370,'Resultater - Vestdanmark'!$F$3:$F$474,A370)/SUMIFS(IF(D370=År1,'[1]Processer - data'!$H$3:$H$467,IF(D370=År2,'[1]Processer - data'!$I$3:$I$467,'[1]Processer - data'!$J$3:$J$467)),'[1]Processer - data'!$D$3:$D$467,C370,'[1]Processer - data'!$F$3:$F$467,A370)</f>
        <v>255.68246519256246</v>
      </c>
    </row>
    <row r="371" spans="1:5" hidden="1" x14ac:dyDescent="0.55000000000000004">
      <c r="A371" t="s">
        <v>115</v>
      </c>
      <c r="B371" t="s">
        <v>24</v>
      </c>
      <c r="C371" t="s">
        <v>102</v>
      </c>
      <c r="D371">
        <f t="shared" si="30"/>
        <v>2019</v>
      </c>
      <c r="E371">
        <f>SUMIFS(IF(D371=År1,IF(B371="Vestdanmark",'Resultater - Vestdanmark'!$H$3:$H$474,'Resultater - Østdanmark'!$H$3:$H$474),IF(D371=År2,IF(B371="Vestdanmark",'Resultater - Vestdanmark'!$I$3:$I$474,'Resultater - Østdanmark'!$I$3:$I$474),IF(B371="Vestdanmark",'Resultater - Vestdanmark'!$J$3:$J$474,'Resultater - Østdanmark'!$J$3:$J$474))),'Resultater - Vestdanmark'!$D$3:$D$474,C371,'Resultater - Vestdanmark'!$F$3:$F$474,A371)/SUMIFS(IF(D371=År1,'[1]Processer - data'!$H$3:$H$467,IF(D371=År2,'[1]Processer - data'!$I$3:$I$467,'[1]Processer - data'!$J$3:$J$467)),'[1]Processer - data'!$D$3:$D$467,C371,'[1]Processer - data'!$F$3:$F$467,A371)</f>
        <v>93457.017927737121</v>
      </c>
    </row>
    <row r="372" spans="1:5" hidden="1" x14ac:dyDescent="0.55000000000000004">
      <c r="A372" t="s">
        <v>115</v>
      </c>
      <c r="B372" t="s">
        <v>24</v>
      </c>
      <c r="C372" t="s">
        <v>111</v>
      </c>
      <c r="D372">
        <f t="shared" si="30"/>
        <v>2019</v>
      </c>
      <c r="E372">
        <f ca="1">SUMIFS(IF(D372=År1,IF(B372="Vestdanmark",'Resultater - Vestdanmark'!$H$3:$H$474,'Resultater - Østdanmark'!$H$3:$H$474),IF(D372=År2,IF(B372="Vestdanmark",'Resultater - Vestdanmark'!$I$3:$I$474,'Resultater - Østdanmark'!$I$3:$I$474),IF(B372="Vestdanmark",'Resultater - Vestdanmark'!$J$3:$J$474,'Resultater - Østdanmark'!$J$3:$J$474))),'Resultater - Vestdanmark'!$D$3:$D$474,C372,'Resultater - Vestdanmark'!$F$3:$F$474,A372)/SUMIFS(IF(D372=År1,'[1]Processer - data'!$H$3:$H$467,IF(D372=År2,'[1]Processer - data'!$I$3:$I$467,'[1]Processer - data'!$J$3:$J$467)),'[1]Processer - data'!$D$3:$D$467,C372,'[1]Processer - data'!$F$3:$F$467,A372)</f>
        <v>1801732.0926432305</v>
      </c>
    </row>
    <row r="373" spans="1:5" hidden="1" x14ac:dyDescent="0.55000000000000004">
      <c r="A373" t="s">
        <v>115</v>
      </c>
      <c r="B373" t="s">
        <v>24</v>
      </c>
      <c r="C373" t="s">
        <v>116</v>
      </c>
      <c r="D373">
        <f t="shared" si="30"/>
        <v>2019</v>
      </c>
      <c r="E373">
        <f ca="1">SUMIFS(IF(D373=År1,IF(B373="Vestdanmark",'Resultater - Vestdanmark'!$H$3:$H$474,'Resultater - Østdanmark'!$H$3:$H$474),IF(D373=År2,IF(B373="Vestdanmark",'Resultater - Vestdanmark'!$I$3:$I$474,'Resultater - Østdanmark'!$I$3:$I$474),IF(B373="Vestdanmark",'Resultater - Vestdanmark'!$J$3:$J$474,'Resultater - Østdanmark'!$J$3:$J$474))),'Resultater - Vestdanmark'!$D$3:$D$474,C373,'Resultater - Vestdanmark'!$F$3:$F$474,A373)/SUMIFS(IF(D373=År1,'[1]Processer - data'!$H$3:$H$467,IF(D373=År2,'[1]Processer - data'!$I$3:$I$467,'[1]Processer - data'!$J$3:$J$467)),'[1]Processer - data'!$D$3:$D$467,C373,'[1]Processer - data'!$F$3:$F$467,A373)</f>
        <v>387847.14852834243</v>
      </c>
    </row>
    <row r="374" spans="1:5" hidden="1" x14ac:dyDescent="0.55000000000000004">
      <c r="A374" t="s">
        <v>115</v>
      </c>
      <c r="B374" t="s">
        <v>24</v>
      </c>
      <c r="C374" t="s">
        <v>136</v>
      </c>
      <c r="D374">
        <f t="shared" ref="D374:D379" si="31">År2</f>
        <v>2030</v>
      </c>
      <c r="E374">
        <f>SUMIFS(IF(D374=År1,IF(B374="Vestdanmark",'Resultater - Vestdanmark'!$H$3:$H$474,'Resultater - Østdanmark'!$H$3:$H$474),IF(D374=År2,IF(B374="Vestdanmark",'Resultater - Vestdanmark'!$I$3:$I$474,'Resultater - Østdanmark'!$I$3:$I$474),IF(B374="Vestdanmark",'Resultater - Vestdanmark'!$J$3:$J$474,'Resultater - Østdanmark'!$J$3:$J$474))),'Resultater - Vestdanmark'!$D$3:$D$474,C374,'Resultater - Vestdanmark'!$F$3:$F$474,A374)/SUMIFS(IF(D374=År1,'[1]Processer - data'!$H$3:$H$467,IF(D374=År2,'[1]Processer - data'!$I$3:$I$467,'[1]Processer - data'!$J$3:$J$467)),'[1]Processer - data'!$D$3:$D$467,C374,'[1]Processer - data'!$F$3:$F$467,A374)</f>
        <v>1026620.9238801375</v>
      </c>
    </row>
    <row r="375" spans="1:5" hidden="1" x14ac:dyDescent="0.55000000000000004">
      <c r="A375" t="s">
        <v>115</v>
      </c>
      <c r="B375" t="s">
        <v>24</v>
      </c>
      <c r="C375" t="s">
        <v>137</v>
      </c>
      <c r="D375">
        <f t="shared" si="31"/>
        <v>2030</v>
      </c>
      <c r="E375">
        <f>SUMIFS(IF(D375=År1,IF(B375="Vestdanmark",'Resultater - Vestdanmark'!$H$3:$H$474,'Resultater - Østdanmark'!$H$3:$H$474),IF(D375=År2,IF(B375="Vestdanmark",'Resultater - Vestdanmark'!$I$3:$I$474,'Resultater - Østdanmark'!$I$3:$I$474),IF(B375="Vestdanmark",'Resultater - Vestdanmark'!$J$3:$J$474,'Resultater - Østdanmark'!$J$3:$J$474))),'Resultater - Vestdanmark'!$D$3:$D$474,C375,'Resultater - Vestdanmark'!$F$3:$F$474,A375)/SUMIFS(IF(D375=År1,'[1]Processer - data'!$H$3:$H$467,IF(D375=År2,'[1]Processer - data'!$I$3:$I$467,'[1]Processer - data'!$J$3:$J$467)),'[1]Processer - data'!$D$3:$D$467,C375,'[1]Processer - data'!$F$3:$F$467,A375)</f>
        <v>146723.47845392721</v>
      </c>
    </row>
    <row r="376" spans="1:5" hidden="1" x14ac:dyDescent="0.55000000000000004">
      <c r="A376" t="s">
        <v>115</v>
      </c>
      <c r="B376" t="s">
        <v>24</v>
      </c>
      <c r="C376" t="s">
        <v>138</v>
      </c>
      <c r="D376">
        <f t="shared" si="31"/>
        <v>2030</v>
      </c>
      <c r="E376">
        <f>SUMIFS(IF(D376=År1,IF(B376="Vestdanmark",'Resultater - Vestdanmark'!$H$3:$H$474,'Resultater - Østdanmark'!$H$3:$H$474),IF(D376=År2,IF(B376="Vestdanmark",'Resultater - Vestdanmark'!$I$3:$I$474,'Resultater - Østdanmark'!$I$3:$I$474),IF(B376="Vestdanmark",'Resultater - Vestdanmark'!$J$3:$J$474,'Resultater - Østdanmark'!$J$3:$J$474))),'Resultater - Vestdanmark'!$D$3:$D$474,C376,'Resultater - Vestdanmark'!$F$3:$F$474,A376)/SUMIFS(IF(D376=År1,'[1]Processer - data'!$H$3:$H$467,IF(D376=År2,'[1]Processer - data'!$I$3:$I$467,'[1]Processer - data'!$J$3:$J$467)),'[1]Processer - data'!$D$3:$D$467,C376,'[1]Processer - data'!$F$3:$F$467,A376)</f>
        <v>265.07644309358068</v>
      </c>
    </row>
    <row r="377" spans="1:5" hidden="1" x14ac:dyDescent="0.55000000000000004">
      <c r="A377" t="s">
        <v>115</v>
      </c>
      <c r="B377" t="s">
        <v>24</v>
      </c>
      <c r="C377" t="s">
        <v>102</v>
      </c>
      <c r="D377">
        <f t="shared" si="31"/>
        <v>2030</v>
      </c>
      <c r="E377">
        <f>SUMIFS(IF(D377=År1,IF(B377="Vestdanmark",'Resultater - Vestdanmark'!$H$3:$H$474,'Resultater - Østdanmark'!$H$3:$H$474),IF(D377=År2,IF(B377="Vestdanmark",'Resultater - Vestdanmark'!$I$3:$I$474,'Resultater - Østdanmark'!$I$3:$I$474),IF(B377="Vestdanmark",'Resultater - Vestdanmark'!$J$3:$J$474,'Resultater - Østdanmark'!$J$3:$J$474))),'Resultater - Vestdanmark'!$D$3:$D$474,C377,'Resultater - Vestdanmark'!$F$3:$F$474,A377)/SUMIFS(IF(D377=År1,'[1]Processer - data'!$H$3:$H$467,IF(D377=År2,'[1]Processer - data'!$I$3:$I$467,'[1]Processer - data'!$J$3:$J$467)),'[1]Processer - data'!$D$3:$D$467,C377,'[1]Processer - data'!$F$3:$F$467,A377)</f>
        <v>67774.717172805787</v>
      </c>
    </row>
    <row r="378" spans="1:5" hidden="1" x14ac:dyDescent="0.55000000000000004">
      <c r="A378" t="s">
        <v>115</v>
      </c>
      <c r="B378" t="s">
        <v>24</v>
      </c>
      <c r="C378" t="s">
        <v>111</v>
      </c>
      <c r="D378">
        <f t="shared" si="31"/>
        <v>2030</v>
      </c>
      <c r="E378">
        <f ca="1">SUMIFS(IF(D378=År1,IF(B378="Vestdanmark",'Resultater - Vestdanmark'!$H$3:$H$474,'Resultater - Østdanmark'!$H$3:$H$474),IF(D378=År2,IF(B378="Vestdanmark",'Resultater - Vestdanmark'!$I$3:$I$474,'Resultater - Østdanmark'!$I$3:$I$474),IF(B378="Vestdanmark",'Resultater - Vestdanmark'!$J$3:$J$474,'Resultater - Østdanmark'!$J$3:$J$474))),'Resultater - Vestdanmark'!$D$3:$D$474,C378,'Resultater - Vestdanmark'!$F$3:$F$474,A378)/SUMIFS(IF(D378=År1,'[1]Processer - data'!$H$3:$H$467,IF(D378=År2,'[1]Processer - data'!$I$3:$I$467,'[1]Processer - data'!$J$3:$J$467)),'[1]Processer - data'!$D$3:$D$467,C378,'[1]Processer - data'!$F$3:$F$467,A378)</f>
        <v>3045994.5041906848</v>
      </c>
    </row>
    <row r="379" spans="1:5" hidden="1" x14ac:dyDescent="0.55000000000000004">
      <c r="A379" t="s">
        <v>115</v>
      </c>
      <c r="B379" t="s">
        <v>24</v>
      </c>
      <c r="C379" t="s">
        <v>116</v>
      </c>
      <c r="D379">
        <f t="shared" si="31"/>
        <v>2030</v>
      </c>
      <c r="E379">
        <f ca="1">SUMIFS(IF(D379=År1,IF(B379="Vestdanmark",'Resultater - Vestdanmark'!$H$3:$H$474,'Resultater - Østdanmark'!$H$3:$H$474),IF(D379=År2,IF(B379="Vestdanmark",'Resultater - Vestdanmark'!$I$3:$I$474,'Resultater - Østdanmark'!$I$3:$I$474),IF(B379="Vestdanmark",'Resultater - Vestdanmark'!$J$3:$J$474,'Resultater - Østdanmark'!$J$3:$J$474))),'Resultater - Vestdanmark'!$D$3:$D$474,C379,'Resultater - Vestdanmark'!$F$3:$F$474,A379)/SUMIFS(IF(D379=År1,'[1]Processer - data'!$H$3:$H$467,IF(D379=År2,'[1]Processer - data'!$I$3:$I$467,'[1]Processer - data'!$J$3:$J$467)),'[1]Processer - data'!$D$3:$D$467,C379,'[1]Processer - data'!$F$3:$F$467,A379)</f>
        <v>371935.38983283757</v>
      </c>
    </row>
    <row r="380" spans="1:5" hidden="1" x14ac:dyDescent="0.55000000000000004">
      <c r="A380" t="s">
        <v>115</v>
      </c>
      <c r="B380" t="s">
        <v>24</v>
      </c>
      <c r="C380" t="s">
        <v>136</v>
      </c>
      <c r="D380">
        <f t="shared" ref="D380:D385" si="32">År3</f>
        <v>2050</v>
      </c>
      <c r="E380">
        <f>SUMIFS(IF(D380=År1,IF(B380="Vestdanmark",'Resultater - Vestdanmark'!$H$3:$H$474,'Resultater - Østdanmark'!$H$3:$H$474),IF(D380=År2,IF(B380="Vestdanmark",'Resultater - Vestdanmark'!$I$3:$I$474,'Resultater - Østdanmark'!$I$3:$I$474),IF(B380="Vestdanmark",'Resultater - Vestdanmark'!$J$3:$J$474,'Resultater - Østdanmark'!$J$3:$J$474))),'Resultater - Vestdanmark'!$D$3:$D$474,C380,'Resultater - Vestdanmark'!$F$3:$F$474,A380)/SUMIFS(IF(D380=År1,'[1]Processer - data'!$H$3:$H$467,IF(D380=År2,'[1]Processer - data'!$I$3:$I$467,'[1]Processer - data'!$J$3:$J$467)),'[1]Processer - data'!$D$3:$D$467,C380,'[1]Processer - data'!$F$3:$F$467,A380)</f>
        <v>982862.79756951681</v>
      </c>
    </row>
    <row r="381" spans="1:5" hidden="1" x14ac:dyDescent="0.55000000000000004">
      <c r="A381" t="s">
        <v>115</v>
      </c>
      <c r="B381" t="s">
        <v>24</v>
      </c>
      <c r="C381" t="s">
        <v>137</v>
      </c>
      <c r="D381">
        <f t="shared" si="32"/>
        <v>2050</v>
      </c>
      <c r="E381">
        <f>SUMIFS(IF(D381=År1,IF(B381="Vestdanmark",'Resultater - Vestdanmark'!$H$3:$H$474,'Resultater - Østdanmark'!$H$3:$H$474),IF(D381=År2,IF(B381="Vestdanmark",'Resultater - Vestdanmark'!$I$3:$I$474,'Resultater - Østdanmark'!$I$3:$I$474),IF(B381="Vestdanmark",'Resultater - Vestdanmark'!$J$3:$J$474,'Resultater - Østdanmark'!$J$3:$J$474))),'Resultater - Vestdanmark'!$D$3:$D$474,C381,'Resultater - Vestdanmark'!$F$3:$F$474,A381)/SUMIFS(IF(D381=År1,'[1]Processer - data'!$H$3:$H$467,IF(D381=År2,'[1]Processer - data'!$I$3:$I$467,'[1]Processer - data'!$J$3:$J$467)),'[1]Processer - data'!$D$3:$D$467,C381,'[1]Processer - data'!$F$3:$F$467,A381)</f>
        <v>143919.86867046604</v>
      </c>
    </row>
    <row r="382" spans="1:5" hidden="1" x14ac:dyDescent="0.55000000000000004">
      <c r="A382" t="s">
        <v>115</v>
      </c>
      <c r="B382" t="s">
        <v>24</v>
      </c>
      <c r="C382" t="s">
        <v>138</v>
      </c>
      <c r="D382">
        <f t="shared" si="32"/>
        <v>2050</v>
      </c>
      <c r="E382">
        <f>SUMIFS(IF(D382=År1,IF(B382="Vestdanmark",'Resultater - Vestdanmark'!$H$3:$H$474,'Resultater - Østdanmark'!$H$3:$H$474),IF(D382=År2,IF(B382="Vestdanmark",'Resultater - Vestdanmark'!$I$3:$I$474,'Resultater - Østdanmark'!$I$3:$I$474),IF(B382="Vestdanmark",'Resultater - Vestdanmark'!$J$3:$J$474,'Resultater - Østdanmark'!$J$3:$J$474))),'Resultater - Vestdanmark'!$D$3:$D$474,C382,'Resultater - Vestdanmark'!$F$3:$F$474,A382)/SUMIFS(IF(D382=År1,'[1]Processer - data'!$H$3:$H$467,IF(D382=År2,'[1]Processer - data'!$I$3:$I$467,'[1]Processer - data'!$J$3:$J$467)),'[1]Processer - data'!$D$3:$D$467,C382,'[1]Processer - data'!$F$3:$F$467,A382)</f>
        <v>273.74439328952366</v>
      </c>
    </row>
    <row r="383" spans="1:5" hidden="1" x14ac:dyDescent="0.55000000000000004">
      <c r="A383" t="s">
        <v>115</v>
      </c>
      <c r="B383" t="s">
        <v>24</v>
      </c>
      <c r="C383" t="s">
        <v>102</v>
      </c>
      <c r="D383">
        <f t="shared" si="32"/>
        <v>2050</v>
      </c>
      <c r="E383">
        <f>SUMIFS(IF(D383=År1,IF(B383="Vestdanmark",'Resultater - Vestdanmark'!$H$3:$H$474,'Resultater - Østdanmark'!$H$3:$H$474),IF(D383=År2,IF(B383="Vestdanmark",'Resultater - Vestdanmark'!$I$3:$I$474,'Resultater - Østdanmark'!$I$3:$I$474),IF(B383="Vestdanmark",'Resultater - Vestdanmark'!$J$3:$J$474,'Resultater - Østdanmark'!$J$3:$J$474))),'Resultater - Vestdanmark'!$D$3:$D$474,C383,'Resultater - Vestdanmark'!$F$3:$F$474,A383)/SUMIFS(IF(D383=År1,'[1]Processer - data'!$H$3:$H$467,IF(D383=År2,'[1]Processer - data'!$I$3:$I$467,'[1]Processer - data'!$J$3:$J$467)),'[1]Processer - data'!$D$3:$D$467,C383,'[1]Processer - data'!$F$3:$F$467,A383)</f>
        <v>71371.713113742837</v>
      </c>
    </row>
    <row r="384" spans="1:5" hidden="1" x14ac:dyDescent="0.55000000000000004">
      <c r="A384" t="s">
        <v>115</v>
      </c>
      <c r="B384" t="s">
        <v>24</v>
      </c>
      <c r="C384" t="s">
        <v>111</v>
      </c>
      <c r="D384">
        <f t="shared" si="32"/>
        <v>2050</v>
      </c>
      <c r="E384">
        <f ca="1">SUMIFS(IF(D384=År1,IF(B384="Vestdanmark",'Resultater - Vestdanmark'!$H$3:$H$474,'Resultater - Østdanmark'!$H$3:$H$474),IF(D384=År2,IF(B384="Vestdanmark",'Resultater - Vestdanmark'!$I$3:$I$474,'Resultater - Østdanmark'!$I$3:$I$474),IF(B384="Vestdanmark",'Resultater - Vestdanmark'!$J$3:$J$474,'Resultater - Østdanmark'!$J$3:$J$474))),'Resultater - Vestdanmark'!$D$3:$D$474,C384,'Resultater - Vestdanmark'!$F$3:$F$474,A384)/SUMIFS(IF(D384=År1,'[1]Processer - data'!$H$3:$H$467,IF(D384=År2,'[1]Processer - data'!$I$3:$I$467,'[1]Processer - data'!$J$3:$J$467)),'[1]Processer - data'!$D$3:$D$467,C384,'[1]Processer - data'!$F$3:$F$467,A384)</f>
        <v>3027912.4262798992</v>
      </c>
    </row>
    <row r="385" spans="1:7" hidden="1" x14ac:dyDescent="0.55000000000000004">
      <c r="A385" t="s">
        <v>115</v>
      </c>
      <c r="B385" t="s">
        <v>24</v>
      </c>
      <c r="C385" t="s">
        <v>116</v>
      </c>
      <c r="D385">
        <f t="shared" si="32"/>
        <v>2050</v>
      </c>
      <c r="E385">
        <f ca="1">SUMIFS(IF(D385=År1,IF(B385="Vestdanmark",'Resultater - Vestdanmark'!$H$3:$H$474,'Resultater - Østdanmark'!$H$3:$H$474),IF(D385=År2,IF(B385="Vestdanmark",'Resultater - Vestdanmark'!$I$3:$I$474,'Resultater - Østdanmark'!$I$3:$I$474),IF(B385="Vestdanmark",'Resultater - Vestdanmark'!$J$3:$J$474,'Resultater - Østdanmark'!$J$3:$J$474))),'Resultater - Vestdanmark'!$D$3:$D$474,C385,'Resultater - Vestdanmark'!$F$3:$F$474,A385)/SUMIFS(IF(D385=År1,'[1]Processer - data'!$H$3:$H$467,IF(D385=År2,'[1]Processer - data'!$I$3:$I$467,'[1]Processer - data'!$J$3:$J$467)),'[1]Processer - data'!$D$3:$D$467,C385,'[1]Processer - data'!$F$3:$F$467,A385)</f>
        <v>362262.716942953</v>
      </c>
    </row>
    <row r="386" spans="1:7" hidden="1" x14ac:dyDescent="0.55000000000000004">
      <c r="A386" t="s">
        <v>211</v>
      </c>
      <c r="B386" t="s">
        <v>23</v>
      </c>
      <c r="C386" t="s">
        <v>51</v>
      </c>
      <c r="D386">
        <f>År1</f>
        <v>2019</v>
      </c>
      <c r="E386">
        <f>SUMIFS($E$2:$E$385,$A$2:$A$385,"Foder",$B$2:$B$385,B386,$C$2:$C$385,"Græsprotein",$D$2:$D$385,D386)/VLOOKUP(A386,'[1]Processer - data'!$A$3:$J$470,MATCH(D386,'[1]Processer - data'!$A$2:$J$2,0),FALSE)</f>
        <v>0</v>
      </c>
      <c r="G386" s="172">
        <v>1</v>
      </c>
    </row>
    <row r="387" spans="1:7" hidden="1" x14ac:dyDescent="0.55000000000000004">
      <c r="A387" t="s">
        <v>211</v>
      </c>
      <c r="B387" t="s">
        <v>23</v>
      </c>
      <c r="C387" t="s">
        <v>51</v>
      </c>
      <c r="D387">
        <f>År2</f>
        <v>2030</v>
      </c>
      <c r="E387">
        <f>SUMIFS($E$2:$E$385,$A$2:$A$385,"Foder",$B$2:$B$385,B387,$C$2:$C$385,"Græsprotein",$D$2:$D$385,D387)/VLOOKUP(A387,'[1]Processer - data'!$A$3:$J$470,MATCH(D387,'[1]Processer - data'!$A$2:$J$2,0),FALSE)</f>
        <v>0</v>
      </c>
      <c r="G387" s="172">
        <v>1</v>
      </c>
    </row>
    <row r="388" spans="1:7" hidden="1" x14ac:dyDescent="0.55000000000000004">
      <c r="A388" t="s">
        <v>211</v>
      </c>
      <c r="B388" t="s">
        <v>23</v>
      </c>
      <c r="C388" t="s">
        <v>51</v>
      </c>
      <c r="D388">
        <f>År3</f>
        <v>2050</v>
      </c>
      <c r="E388">
        <f>SUMIFS($E$2:$E$385,$A$2:$A$385,"Foder",$B$2:$B$385,B388,$C$2:$C$385,"Græsprotein",$D$2:$D$385,D388)/VLOOKUP(A388,'[1]Processer - data'!$A$3:$J$470,MATCH(D388,'[1]Processer - data'!$A$2:$J$2,0),FALSE)</f>
        <v>0</v>
      </c>
      <c r="G388" s="172">
        <v>1</v>
      </c>
    </row>
    <row r="389" spans="1:7" hidden="1" x14ac:dyDescent="0.55000000000000004">
      <c r="A389" t="s">
        <v>211</v>
      </c>
      <c r="B389" t="s">
        <v>24</v>
      </c>
      <c r="C389" t="s">
        <v>51</v>
      </c>
      <c r="D389">
        <f>År1</f>
        <v>2019</v>
      </c>
      <c r="E389">
        <f>SUMIFS($E$2:$E$385,$A$2:$A$385,"Foder",$B$2:$B$385,B389,$C$2:$C$385,"Græsprotein",$D$2:$D$385,D389)/VLOOKUP(A389,'[1]Processer - data'!$A$3:$J$470,MATCH(D389,'[1]Processer - data'!$A$2:$J$2,0),FALSE)</f>
        <v>0</v>
      </c>
      <c r="G389" s="172">
        <v>1</v>
      </c>
    </row>
    <row r="390" spans="1:7" hidden="1" x14ac:dyDescent="0.55000000000000004">
      <c r="A390" t="s">
        <v>211</v>
      </c>
      <c r="B390" t="s">
        <v>24</v>
      </c>
      <c r="C390" t="s">
        <v>51</v>
      </c>
      <c r="D390">
        <f>År2</f>
        <v>2030</v>
      </c>
      <c r="E390">
        <f>SUMIFS($E$2:$E$385,$A$2:$A$385,"Foder",$B$2:$B$385,B390,$C$2:$C$385,"Græsprotein",$D$2:$D$385,D390)/VLOOKUP(A390,'[1]Processer - data'!$A$3:$J$470,MATCH(D390,'[1]Processer - data'!$A$2:$J$2,0),FALSE)</f>
        <v>0</v>
      </c>
      <c r="G390" s="172">
        <v>1</v>
      </c>
    </row>
    <row r="391" spans="1:7" hidden="1" x14ac:dyDescent="0.55000000000000004">
      <c r="A391" t="s">
        <v>211</v>
      </c>
      <c r="B391" t="s">
        <v>24</v>
      </c>
      <c r="C391" t="s">
        <v>51</v>
      </c>
      <c r="D391">
        <f>År3</f>
        <v>2050</v>
      </c>
      <c r="E391">
        <f>SUMIFS($E$2:$E$385,$A$2:$A$385,"Foder",$B$2:$B$385,B391,$C$2:$C$385,"Græsprotein",$D$2:$D$385,D391)/VLOOKUP(A391,'[1]Processer - data'!$A$3:$J$470,MATCH(D391,'[1]Processer - data'!$A$2:$J$2,0),FALSE)</f>
        <v>0</v>
      </c>
      <c r="G391" s="172">
        <v>1</v>
      </c>
    </row>
    <row r="392" spans="1:7" hidden="1" x14ac:dyDescent="0.55000000000000004">
      <c r="A392" t="s">
        <v>240</v>
      </c>
      <c r="B392" t="s">
        <v>23</v>
      </c>
      <c r="C392" t="s">
        <v>50</v>
      </c>
      <c r="D392">
        <f>År1</f>
        <v>2019</v>
      </c>
      <c r="E392">
        <f>IF(B392="Vestdanmark",SUMIFS(IF(D392=År1,'Resultater - Vestdanmark'!$H$3:$H$472,IF(D392=År2,'Resultater - Vestdanmark'!$I$3:$I$472,'Resultater - Vestdanmark'!$J$3:$J$472)),'Resultater - Vestdanmark'!$F$3:$F$472,C392),SUMIFS(IF(D392=År1,'Resultater - Østdanmark'!$H$3:$H$472,IF(D392=År2,'Resultater - Østdanmark'!$I$3:$I$472,'Resultater - Østdanmark'!$J$3:$J$472)),'Resultater - Østdanmark'!$F$3:$F$472,C392))</f>
        <v>484833.6848947219</v>
      </c>
      <c r="G392" s="172">
        <v>1</v>
      </c>
    </row>
    <row r="393" spans="1:7" hidden="1" x14ac:dyDescent="0.55000000000000004">
      <c r="A393" t="s">
        <v>240</v>
      </c>
      <c r="B393" t="s">
        <v>23</v>
      </c>
      <c r="C393" t="s">
        <v>50</v>
      </c>
      <c r="D393">
        <f>År2</f>
        <v>2030</v>
      </c>
      <c r="E393">
        <f>IF(B393="Vestdanmark",SUMIFS(IF(D393=År1,'Resultater - Vestdanmark'!$H$3:$H$472,IF(D393=År2,'Resultater - Vestdanmark'!$I$3:$I$472,'Resultater - Vestdanmark'!$J$3:$J$472)),'Resultater - Vestdanmark'!$F$3:$F$472,C393),SUMIFS(IF(D393=År1,'Resultater - Østdanmark'!$H$3:$H$472,IF(D393=År2,'Resultater - Østdanmark'!$I$3:$I$472,'Resultater - Østdanmark'!$J$3:$J$472)),'Resultater - Østdanmark'!$F$3:$F$472,C393))</f>
        <v>507790.70515370794</v>
      </c>
      <c r="G393" s="172">
        <v>1</v>
      </c>
    </row>
    <row r="394" spans="1:7" hidden="1" x14ac:dyDescent="0.55000000000000004">
      <c r="A394" t="s">
        <v>240</v>
      </c>
      <c r="B394" t="s">
        <v>23</v>
      </c>
      <c r="C394" t="s">
        <v>50</v>
      </c>
      <c r="D394">
        <f>År3</f>
        <v>2050</v>
      </c>
      <c r="E394">
        <f>IF(B394="Vestdanmark",SUMIFS(IF(D394=År1,'Resultater - Vestdanmark'!$H$3:$H$472,IF(D394=År2,'Resultater - Vestdanmark'!$I$3:$I$472,'Resultater - Vestdanmark'!$J$3:$J$472)),'Resultater - Vestdanmark'!$F$3:$F$472,C394),SUMIFS(IF(D394=År1,'Resultater - Østdanmark'!$H$3:$H$472,IF(D394=År2,'Resultater - Østdanmark'!$I$3:$I$472,'Resultater - Østdanmark'!$J$3:$J$472)),'Resultater - Østdanmark'!$F$3:$F$472,C394))</f>
        <v>489039.95714195294</v>
      </c>
      <c r="G394" s="172">
        <v>1</v>
      </c>
    </row>
    <row r="395" spans="1:7" hidden="1" x14ac:dyDescent="0.55000000000000004">
      <c r="A395" t="s">
        <v>240</v>
      </c>
      <c r="B395" t="s">
        <v>24</v>
      </c>
      <c r="C395" t="s">
        <v>50</v>
      </c>
      <c r="D395">
        <f>År1</f>
        <v>2019</v>
      </c>
      <c r="E395">
        <f>IF(B395="Vestdanmark",SUMIFS(IF(D395=År1,'Resultater - Vestdanmark'!$H$3:$H$472,IF(D395=År2,'Resultater - Vestdanmark'!$I$3:$I$472,'Resultater - Vestdanmark'!$J$3:$J$472)),'Resultater - Vestdanmark'!$F$3:$F$472,C395),SUMIFS(IF(D395=År1,'Resultater - Østdanmark'!$H$3:$H$472,IF(D395=År2,'Resultater - Østdanmark'!$I$3:$I$472,'Resultater - Østdanmark'!$J$3:$J$472)),'Resultater - Østdanmark'!$F$3:$F$472,C395))</f>
        <v>193574.13238370849</v>
      </c>
      <c r="G395" s="172">
        <v>1</v>
      </c>
    </row>
    <row r="396" spans="1:7" hidden="1" x14ac:dyDescent="0.55000000000000004">
      <c r="A396" t="s">
        <v>240</v>
      </c>
      <c r="B396" t="s">
        <v>24</v>
      </c>
      <c r="C396" t="s">
        <v>50</v>
      </c>
      <c r="D396">
        <f>År2</f>
        <v>2030</v>
      </c>
      <c r="E396">
        <f>IF(B396="Vestdanmark",SUMIFS(IF(D396=År1,'Resultater - Vestdanmark'!$H$3:$H$472,IF(D396=År2,'Resultater - Vestdanmark'!$I$3:$I$472,'Resultater - Vestdanmark'!$J$3:$J$472)),'Resultater - Vestdanmark'!$F$3:$F$472,C396),SUMIFS(IF(D396=År1,'Resultater - Østdanmark'!$H$3:$H$472,IF(D396=År2,'Resultater - Østdanmark'!$I$3:$I$472,'Resultater - Østdanmark'!$J$3:$J$472)),'Resultater - Østdanmark'!$F$3:$F$472,C396))</f>
        <v>204407.79128636757</v>
      </c>
      <c r="G396" s="172">
        <v>1</v>
      </c>
    </row>
    <row r="397" spans="1:7" hidden="1" x14ac:dyDescent="0.55000000000000004">
      <c r="A397" t="s">
        <v>240</v>
      </c>
      <c r="B397" t="s">
        <v>24</v>
      </c>
      <c r="C397" t="s">
        <v>50</v>
      </c>
      <c r="D397">
        <f>År3</f>
        <v>2050</v>
      </c>
      <c r="E397">
        <f>IF(B397="Vestdanmark",SUMIFS(IF(D397=År1,'Resultater - Vestdanmark'!$H$3:$H$472,IF(D397=År2,'Resultater - Vestdanmark'!$I$3:$I$472,'Resultater - Vestdanmark'!$J$3:$J$472)),'Resultater - Vestdanmark'!$F$3:$F$472,C397),SUMIFS(IF(D397=År1,'Resultater - Østdanmark'!$H$3:$H$472,IF(D397=År2,'Resultater - Østdanmark'!$I$3:$I$472,'Resultater - Østdanmark'!$J$3:$J$472)),'Resultater - Østdanmark'!$F$3:$F$472,C397))</f>
        <v>199163.17844104863</v>
      </c>
      <c r="G397" s="172">
        <v>1</v>
      </c>
    </row>
    <row r="398" spans="1:7" hidden="1" x14ac:dyDescent="0.55000000000000004">
      <c r="A398" t="s">
        <v>327</v>
      </c>
      <c r="B398" s="172" t="s">
        <v>23</v>
      </c>
      <c r="C398" t="s">
        <v>68</v>
      </c>
      <c r="D398" s="172">
        <f>År1</f>
        <v>2019</v>
      </c>
      <c r="E398">
        <f>HLOOKUP(D398,'Forbrug til andet'!$B$3:$D$4,2,FALSE)*IF(B398="Vestdanmark",SUMIFS(IF(D398=År1,'Resultater - Vestdanmark'!$H$3:$H$480,IF(D398=År2,'Resultater - Vestdanmark'!$I$3:$I$480,'Resultater - Vestdanmark'!$J$3:$J$480)),'Resultater - Vestdanmark'!$F$3:$F$480,'Forbrug af biomasse'!C398),SUMIFS(IF(D398=År1,'Resultater - Østdanmark'!$H$3:$H$480,IF(D398=År2,'Resultater - Østdanmark'!$I$3:$I$480,'Resultater - Østdanmark'!$J$3:$J$480)),'Resultater - Østdanmark'!$F$3:$F$480,'Forbrug af biomasse'!C398))/SUMIFS(IF(D398=År1,'Resultater - Danmark'!$H$3:$H$480,IF(D398=År2,'Resultater - Danmark'!$I$3:$I$480,'Resultater - Danmark'!$J$3:$J$480)),'Resultater - Danmark'!$F$3:$F$480,'Forbrug af biomasse'!C398)</f>
        <v>0</v>
      </c>
      <c r="G398" s="172">
        <v>1</v>
      </c>
    </row>
    <row r="399" spans="1:7" hidden="1" x14ac:dyDescent="0.55000000000000004">
      <c r="A399" s="172" t="s">
        <v>327</v>
      </c>
      <c r="B399" s="172" t="s">
        <v>23</v>
      </c>
      <c r="C399" s="172" t="s">
        <v>68</v>
      </c>
      <c r="D399" s="172">
        <f>År2</f>
        <v>2030</v>
      </c>
      <c r="E399" s="172">
        <f>HLOOKUP(D399,'Forbrug til andet'!$B$3:$D$4,2,FALSE)*IF(B399="Vestdanmark",SUMIFS(IF(D399=År1,'Resultater - Vestdanmark'!$H$3:$H$480,IF(D399=År2,'Resultater - Vestdanmark'!$I$3:$I$480,'Resultater - Vestdanmark'!$J$3:$J$480)),'Resultater - Vestdanmark'!$F$3:$F$480,'Forbrug af biomasse'!C399),SUMIFS(IF(D399=År1,'Resultater - Østdanmark'!$H$3:$H$480,IF(D399=År2,'Resultater - Østdanmark'!$I$3:$I$480,'Resultater - Østdanmark'!$J$3:$J$480)),'Resultater - Østdanmark'!$F$3:$F$480,'Forbrug af biomasse'!C399))/SUMIFS(IF(D399=År1,'Resultater - Danmark'!$H$3:$H$480,IF(D399=År2,'Resultater - Danmark'!$I$3:$I$480,'Resultater - Danmark'!$J$3:$J$480)),'Resultater - Danmark'!$F$3:$F$480,'Forbrug af biomasse'!C399)</f>
        <v>0</v>
      </c>
      <c r="G399" s="172">
        <v>1</v>
      </c>
    </row>
    <row r="400" spans="1:7" hidden="1" x14ac:dyDescent="0.55000000000000004">
      <c r="A400" s="172" t="s">
        <v>327</v>
      </c>
      <c r="B400" s="172" t="s">
        <v>23</v>
      </c>
      <c r="C400" s="172" t="s">
        <v>68</v>
      </c>
      <c r="D400" s="172">
        <f>År3</f>
        <v>2050</v>
      </c>
      <c r="E400" s="172">
        <f>HLOOKUP(D400,'Forbrug til andet'!$B$3:$D$4,2,FALSE)*IF(B400="Vestdanmark",SUMIFS(IF(D400=År1,'Resultater - Vestdanmark'!$H$3:$H$480,IF(D400=År2,'Resultater - Vestdanmark'!$I$3:$I$480,'Resultater - Vestdanmark'!$J$3:$J$480)),'Resultater - Vestdanmark'!$F$3:$F$480,'Forbrug af biomasse'!C400),SUMIFS(IF(D400=År1,'Resultater - Østdanmark'!$H$3:$H$480,IF(D400=År2,'Resultater - Østdanmark'!$I$3:$I$480,'Resultater - Østdanmark'!$J$3:$J$480)),'Resultater - Østdanmark'!$F$3:$F$480,'Forbrug af biomasse'!C400))/SUMIFS(IF(D400=År1,'Resultater - Danmark'!$H$3:$H$480,IF(D400=År2,'Resultater - Danmark'!$I$3:$I$480,'Resultater - Danmark'!$J$3:$J$480)),'Resultater - Danmark'!$F$3:$F$480,'Forbrug af biomasse'!C400)</f>
        <v>0</v>
      </c>
      <c r="G400" s="172">
        <v>1</v>
      </c>
    </row>
    <row r="401" spans="1:7" hidden="1" x14ac:dyDescent="0.55000000000000004">
      <c r="A401" s="172" t="s">
        <v>327</v>
      </c>
      <c r="B401" s="172" t="s">
        <v>24</v>
      </c>
      <c r="C401" s="172" t="s">
        <v>68</v>
      </c>
      <c r="D401" s="172">
        <f>År1</f>
        <v>2019</v>
      </c>
      <c r="E401" s="172">
        <f>HLOOKUP(D401,'Forbrug til andet'!$B$3:$D$4,2,FALSE)*IF(B401="Vestdanmark",SUMIFS(IF(D401=År1,'Resultater - Vestdanmark'!$H$3:$H$480,IF(D401=År2,'Resultater - Vestdanmark'!$I$3:$I$480,'Resultater - Vestdanmark'!$J$3:$J$480)),'Resultater - Vestdanmark'!$F$3:$F$480,'Forbrug af biomasse'!C401),SUMIFS(IF(D401=År1,'Resultater - Østdanmark'!$H$3:$H$480,IF(D401=År2,'Resultater - Østdanmark'!$I$3:$I$480,'Resultater - Østdanmark'!$J$3:$J$480)),'Resultater - Østdanmark'!$F$3:$F$480,'Forbrug af biomasse'!C401))/SUMIFS(IF(D401=År1,'Resultater - Danmark'!$H$3:$H$480,IF(D401=År2,'Resultater - Danmark'!$I$3:$I$480,'Resultater - Danmark'!$J$3:$J$480)),'Resultater - Danmark'!$F$3:$F$480,'Forbrug af biomasse'!C401)</f>
        <v>0</v>
      </c>
      <c r="G401" s="172">
        <v>1</v>
      </c>
    </row>
    <row r="402" spans="1:7" hidden="1" x14ac:dyDescent="0.55000000000000004">
      <c r="A402" s="172" t="s">
        <v>327</v>
      </c>
      <c r="B402" s="172" t="s">
        <v>24</v>
      </c>
      <c r="C402" s="172" t="s">
        <v>68</v>
      </c>
      <c r="D402" s="172">
        <f>År2</f>
        <v>2030</v>
      </c>
      <c r="E402" s="172">
        <f>HLOOKUP(D402,'Forbrug til andet'!$B$3:$D$4,2,FALSE)*IF(B402="Vestdanmark",SUMIFS(IF(D402=År1,'Resultater - Vestdanmark'!$H$3:$H$480,IF(D402=År2,'Resultater - Vestdanmark'!$I$3:$I$480,'Resultater - Vestdanmark'!$J$3:$J$480)),'Resultater - Vestdanmark'!$F$3:$F$480,'Forbrug af biomasse'!C402),SUMIFS(IF(D402=År1,'Resultater - Østdanmark'!$H$3:$H$480,IF(D402=År2,'Resultater - Østdanmark'!$I$3:$I$480,'Resultater - Østdanmark'!$J$3:$J$480)),'Resultater - Østdanmark'!$F$3:$F$480,'Forbrug af biomasse'!C402))/SUMIFS(IF(D402=År1,'Resultater - Danmark'!$H$3:$H$480,IF(D402=År2,'Resultater - Danmark'!$I$3:$I$480,'Resultater - Danmark'!$J$3:$J$480)),'Resultater - Danmark'!$F$3:$F$480,'Forbrug af biomasse'!C402)</f>
        <v>0</v>
      </c>
      <c r="G402" s="172">
        <v>1</v>
      </c>
    </row>
    <row r="403" spans="1:7" hidden="1" x14ac:dyDescent="0.55000000000000004">
      <c r="A403" s="172" t="s">
        <v>327</v>
      </c>
      <c r="B403" s="172" t="s">
        <v>24</v>
      </c>
      <c r="C403" s="172" t="s">
        <v>68</v>
      </c>
      <c r="D403" s="172">
        <f>År3</f>
        <v>2050</v>
      </c>
      <c r="E403" s="172">
        <f>HLOOKUP(D403,'Forbrug til andet'!$B$3:$D$4,2,FALSE)*IF(B403="Vestdanmark",SUMIFS(IF(D403=År1,'Resultater - Vestdanmark'!$H$3:$H$480,IF(D403=År2,'Resultater - Vestdanmark'!$I$3:$I$480,'Resultater - Vestdanmark'!$J$3:$J$480)),'Resultater - Vestdanmark'!$F$3:$F$480,'Forbrug af biomasse'!C403),SUMIFS(IF(D403=År1,'Resultater - Østdanmark'!$H$3:$H$480,IF(D403=År2,'Resultater - Østdanmark'!$I$3:$I$480,'Resultater - Østdanmark'!$J$3:$J$480)),'Resultater - Østdanmark'!$F$3:$F$480,'Forbrug af biomasse'!C403))/SUMIFS(IF(D403=År1,'Resultater - Danmark'!$H$3:$H$480,IF(D403=År2,'Resultater - Danmark'!$I$3:$I$480,'Resultater - Danmark'!$J$3:$J$480)),'Resultater - Danmark'!$F$3:$F$480,'Forbrug af biomasse'!C403)</f>
        <v>0</v>
      </c>
      <c r="G403" s="172">
        <v>1</v>
      </c>
    </row>
    <row r="404" spans="1:7" hidden="1" x14ac:dyDescent="0.55000000000000004">
      <c r="A404" s="172" t="s">
        <v>121</v>
      </c>
      <c r="B404" s="172" t="s">
        <v>23</v>
      </c>
      <c r="C404" s="172" t="s">
        <v>323</v>
      </c>
      <c r="D404" s="172">
        <f t="shared" ref="D404:D411" si="33">År1</f>
        <v>2019</v>
      </c>
      <c r="E404" s="172">
        <f>IF(B404="Vestdanmark",SUMIFS(IF(D404=År1,'Resultater - Vestdanmark'!$H$3:$H$480,IF(D404=År2,'Resultater - Vestdanmark'!$I$3:$I$480,'Resultater - Vestdanmark'!$J$3:$J$480)),'Resultater - Vestdanmark'!$F$3:$F$480,'Forbrug af biomasse'!C404),SUMIFS(IF(D404=År1,'Resultater - Østdanmark'!$H$3:$H$480,IF(D404=År2,'Resultater - Østdanmark'!$I$3:$I$480,'Resultater - Østdanmark'!$J$3:$J$480)),'Resultater - Østdanmark'!$F$3:$F$480,'Forbrug af biomasse'!C404))</f>
        <v>0</v>
      </c>
      <c r="F404" s="172">
        <v>1</v>
      </c>
    </row>
    <row r="405" spans="1:7" hidden="1" x14ac:dyDescent="0.55000000000000004">
      <c r="A405" s="172" t="s">
        <v>121</v>
      </c>
      <c r="B405" s="172" t="s">
        <v>23</v>
      </c>
      <c r="C405" s="172" t="s">
        <v>324</v>
      </c>
      <c r="D405" s="172">
        <f t="shared" si="33"/>
        <v>2019</v>
      </c>
      <c r="E405" s="172">
        <f>IF(B405="Vestdanmark",SUMIFS(IF(D405=År1,'Resultater - Vestdanmark'!$H$3:$H$480,IF(D405=År2,'Resultater - Vestdanmark'!$I$3:$I$480,'Resultater - Vestdanmark'!$J$3:$J$480)),'Resultater - Vestdanmark'!$F$3:$F$480,'Forbrug af biomasse'!C405),SUMIFS(IF(D405=År1,'Resultater - Østdanmark'!$H$3:$H$480,IF(D405=År2,'Resultater - Østdanmark'!$I$3:$I$480,'Resultater - Østdanmark'!$J$3:$J$480)),'Resultater - Østdanmark'!$F$3:$F$480,'Forbrug af biomasse'!C405))</f>
        <v>0</v>
      </c>
      <c r="F405" s="172">
        <v>1</v>
      </c>
    </row>
    <row r="406" spans="1:7" hidden="1" x14ac:dyDescent="0.55000000000000004">
      <c r="A406" s="172" t="s">
        <v>121</v>
      </c>
      <c r="B406" s="172" t="s">
        <v>23</v>
      </c>
      <c r="C406" s="172" t="s">
        <v>323</v>
      </c>
      <c r="D406" s="172">
        <f>År2</f>
        <v>2030</v>
      </c>
      <c r="E406" s="172">
        <f>IF(B406="Vestdanmark",SUMIFS(IF(D406=År1,'Resultater - Vestdanmark'!$H$3:$H$480,IF(D406=År2,'Resultater - Vestdanmark'!$I$3:$I$480,'Resultater - Vestdanmark'!$J$3:$J$480)),'Resultater - Vestdanmark'!$F$3:$F$480,'Forbrug af biomasse'!C406),SUMIFS(IF(D406=År1,'Resultater - Østdanmark'!$H$3:$H$480,IF(D406=År2,'Resultater - Østdanmark'!$I$3:$I$480,'Resultater - Østdanmark'!$J$3:$J$480)),'Resultater - Østdanmark'!$F$3:$F$480,'Forbrug af biomasse'!C406))</f>
        <v>0</v>
      </c>
      <c r="F406" s="172">
        <v>1</v>
      </c>
    </row>
    <row r="407" spans="1:7" hidden="1" x14ac:dyDescent="0.55000000000000004">
      <c r="A407" s="172" t="s">
        <v>121</v>
      </c>
      <c r="B407" s="172" t="s">
        <v>23</v>
      </c>
      <c r="C407" s="172" t="s">
        <v>324</v>
      </c>
      <c r="D407" s="172">
        <f>År2</f>
        <v>2030</v>
      </c>
      <c r="E407" s="172">
        <f>IF(B407="Vestdanmark",SUMIFS(IF(D407=År1,'Resultater - Vestdanmark'!$H$3:$H$480,IF(D407=År2,'Resultater - Vestdanmark'!$I$3:$I$480,'Resultater - Vestdanmark'!$J$3:$J$480)),'Resultater - Vestdanmark'!$F$3:$F$480,'Forbrug af biomasse'!C407),SUMIFS(IF(D407=År1,'Resultater - Østdanmark'!$H$3:$H$480,IF(D407=År2,'Resultater - Østdanmark'!$I$3:$I$480,'Resultater - Østdanmark'!$J$3:$J$480)),'Resultater - Østdanmark'!$F$3:$F$480,'Forbrug af biomasse'!C407))</f>
        <v>0</v>
      </c>
      <c r="F407" s="172">
        <v>1</v>
      </c>
    </row>
    <row r="408" spans="1:7" hidden="1" x14ac:dyDescent="0.55000000000000004">
      <c r="A408" s="172" t="s">
        <v>121</v>
      </c>
      <c r="B408" s="172" t="s">
        <v>23</v>
      </c>
      <c r="C408" s="172" t="s">
        <v>323</v>
      </c>
      <c r="D408" s="172">
        <f>År3</f>
        <v>2050</v>
      </c>
      <c r="E408" s="172">
        <f>IF(B408="Vestdanmark",SUMIFS(IF(D408=År1,'Resultater - Vestdanmark'!$H$3:$H$480,IF(D408=År2,'Resultater - Vestdanmark'!$I$3:$I$480,'Resultater - Vestdanmark'!$J$3:$J$480)),'Resultater - Vestdanmark'!$F$3:$F$480,'Forbrug af biomasse'!C408),SUMIFS(IF(D408=År1,'Resultater - Østdanmark'!$H$3:$H$480,IF(D408=År2,'Resultater - Østdanmark'!$I$3:$I$480,'Resultater - Østdanmark'!$J$3:$J$480)),'Resultater - Østdanmark'!$F$3:$F$480,'Forbrug af biomasse'!C408))</f>
        <v>0</v>
      </c>
      <c r="F408" s="172">
        <v>1</v>
      </c>
    </row>
    <row r="409" spans="1:7" hidden="1" x14ac:dyDescent="0.55000000000000004">
      <c r="A409" s="172" t="s">
        <v>121</v>
      </c>
      <c r="B409" s="172" t="s">
        <v>23</v>
      </c>
      <c r="C409" s="172" t="s">
        <v>324</v>
      </c>
      <c r="D409" s="172">
        <f>År3</f>
        <v>2050</v>
      </c>
      <c r="E409" s="172">
        <f>IF(B409="Vestdanmark",SUMIFS(IF(D409=År1,'Resultater - Vestdanmark'!$H$3:$H$480,IF(D409=År2,'Resultater - Vestdanmark'!$I$3:$I$480,'Resultater - Vestdanmark'!$J$3:$J$480)),'Resultater - Vestdanmark'!$F$3:$F$480,'Forbrug af biomasse'!C409),SUMIFS(IF(D409=År1,'Resultater - Østdanmark'!$H$3:$H$480,IF(D409=År2,'Resultater - Østdanmark'!$I$3:$I$480,'Resultater - Østdanmark'!$J$3:$J$480)),'Resultater - Østdanmark'!$F$3:$F$480,'Forbrug af biomasse'!C409))</f>
        <v>0</v>
      </c>
      <c r="F409" s="172">
        <v>1</v>
      </c>
    </row>
    <row r="410" spans="1:7" hidden="1" x14ac:dyDescent="0.55000000000000004">
      <c r="A410" s="172" t="s">
        <v>121</v>
      </c>
      <c r="B410" s="172" t="s">
        <v>24</v>
      </c>
      <c r="C410" s="172" t="s">
        <v>323</v>
      </c>
      <c r="D410" s="172">
        <f t="shared" si="33"/>
        <v>2019</v>
      </c>
      <c r="E410" s="172">
        <f>IF(B410="Vestdanmark",SUMIFS(IF(D410=År1,'Resultater - Vestdanmark'!$H$3:$H$480,IF(D410=År2,'Resultater - Vestdanmark'!$I$3:$I$480,'Resultater - Vestdanmark'!$J$3:$J$480)),'Resultater - Vestdanmark'!$F$3:$F$480,'Forbrug af biomasse'!C410),SUMIFS(IF(D410=År1,'Resultater - Østdanmark'!$H$3:$H$480,IF(D410=År2,'Resultater - Østdanmark'!$I$3:$I$480,'Resultater - Østdanmark'!$J$3:$J$480)),'Resultater - Østdanmark'!$F$3:$F$480,'Forbrug af biomasse'!C410))</f>
        <v>0</v>
      </c>
      <c r="F410" s="172">
        <v>1</v>
      </c>
    </row>
    <row r="411" spans="1:7" hidden="1" x14ac:dyDescent="0.55000000000000004">
      <c r="A411" s="172" t="s">
        <v>121</v>
      </c>
      <c r="B411" s="172" t="s">
        <v>24</v>
      </c>
      <c r="C411" s="172" t="s">
        <v>324</v>
      </c>
      <c r="D411" s="172">
        <f t="shared" si="33"/>
        <v>2019</v>
      </c>
      <c r="E411" s="172">
        <f>IF(B411="Vestdanmark",SUMIFS(IF(D411=År1,'Resultater - Vestdanmark'!$H$3:$H$480,IF(D411=År2,'Resultater - Vestdanmark'!$I$3:$I$480,'Resultater - Vestdanmark'!$J$3:$J$480)),'Resultater - Vestdanmark'!$F$3:$F$480,'Forbrug af biomasse'!C411),SUMIFS(IF(D411=År1,'Resultater - Østdanmark'!$H$3:$H$480,IF(D411=År2,'Resultater - Østdanmark'!$I$3:$I$480,'Resultater - Østdanmark'!$J$3:$J$480)),'Resultater - Østdanmark'!$F$3:$F$480,'Forbrug af biomasse'!C411))</f>
        <v>0</v>
      </c>
      <c r="F411" s="172">
        <v>1</v>
      </c>
    </row>
    <row r="412" spans="1:7" hidden="1" x14ac:dyDescent="0.55000000000000004">
      <c r="A412" s="172" t="s">
        <v>121</v>
      </c>
      <c r="B412" s="172" t="s">
        <v>24</v>
      </c>
      <c r="C412" s="172" t="s">
        <v>323</v>
      </c>
      <c r="D412" s="172">
        <f>År2</f>
        <v>2030</v>
      </c>
      <c r="E412" s="172">
        <f>IF(B412="Vestdanmark",SUMIFS(IF(D412=År1,'Resultater - Vestdanmark'!$H$3:$H$480,IF(D412=År2,'Resultater - Vestdanmark'!$I$3:$I$480,'Resultater - Vestdanmark'!$J$3:$J$480)),'Resultater - Vestdanmark'!$F$3:$F$480,'Forbrug af biomasse'!C412),SUMIFS(IF(D412=År1,'Resultater - Østdanmark'!$H$3:$H$480,IF(D412=År2,'Resultater - Østdanmark'!$I$3:$I$480,'Resultater - Østdanmark'!$J$3:$J$480)),'Resultater - Østdanmark'!$F$3:$F$480,'Forbrug af biomasse'!C412))</f>
        <v>0</v>
      </c>
      <c r="F412" s="172">
        <v>1</v>
      </c>
    </row>
    <row r="413" spans="1:7" hidden="1" x14ac:dyDescent="0.55000000000000004">
      <c r="A413" s="172" t="s">
        <v>121</v>
      </c>
      <c r="B413" s="172" t="s">
        <v>24</v>
      </c>
      <c r="C413" s="172" t="s">
        <v>324</v>
      </c>
      <c r="D413" s="172">
        <f>År2</f>
        <v>2030</v>
      </c>
      <c r="E413" s="172">
        <f>IF(B413="Vestdanmark",SUMIFS(IF(D413=År1,'Resultater - Vestdanmark'!$H$3:$H$480,IF(D413=År2,'Resultater - Vestdanmark'!$I$3:$I$480,'Resultater - Vestdanmark'!$J$3:$J$480)),'Resultater - Vestdanmark'!$F$3:$F$480,'Forbrug af biomasse'!C413),SUMIFS(IF(D413=År1,'Resultater - Østdanmark'!$H$3:$H$480,IF(D413=År2,'Resultater - Østdanmark'!$I$3:$I$480,'Resultater - Østdanmark'!$J$3:$J$480)),'Resultater - Østdanmark'!$F$3:$F$480,'Forbrug af biomasse'!C413))</f>
        <v>0</v>
      </c>
      <c r="F413" s="172">
        <v>1</v>
      </c>
    </row>
    <row r="414" spans="1:7" hidden="1" x14ac:dyDescent="0.55000000000000004">
      <c r="A414" s="172" t="s">
        <v>121</v>
      </c>
      <c r="B414" s="172" t="s">
        <v>24</v>
      </c>
      <c r="C414" s="172" t="s">
        <v>323</v>
      </c>
      <c r="D414" s="172">
        <f>År3</f>
        <v>2050</v>
      </c>
      <c r="E414" s="172">
        <f>IF(B414="Vestdanmark",SUMIFS(IF(D414=År1,'Resultater - Vestdanmark'!$H$3:$H$480,IF(D414=År2,'Resultater - Vestdanmark'!$I$3:$I$480,'Resultater - Vestdanmark'!$J$3:$J$480)),'Resultater - Vestdanmark'!$F$3:$F$480,'Forbrug af biomasse'!C414),SUMIFS(IF(D414=År1,'Resultater - Østdanmark'!$H$3:$H$480,IF(D414=År2,'Resultater - Østdanmark'!$I$3:$I$480,'Resultater - Østdanmark'!$J$3:$J$480)),'Resultater - Østdanmark'!$F$3:$F$480,'Forbrug af biomasse'!C414))</f>
        <v>0</v>
      </c>
      <c r="F414" s="172">
        <v>1</v>
      </c>
    </row>
    <row r="415" spans="1:7" hidden="1" x14ac:dyDescent="0.55000000000000004">
      <c r="A415" s="172" t="s">
        <v>121</v>
      </c>
      <c r="B415" s="172" t="s">
        <v>24</v>
      </c>
      <c r="C415" s="172" t="s">
        <v>324</v>
      </c>
      <c r="D415" s="172">
        <f>År3</f>
        <v>2050</v>
      </c>
      <c r="E415" s="172">
        <f>IF(B415="Vestdanmark",SUMIFS(IF(D415=År1,'Resultater - Vestdanmark'!$H$3:$H$480,IF(D415=År2,'Resultater - Vestdanmark'!$I$3:$I$480,'Resultater - Vestdanmark'!$J$3:$J$480)),'Resultater - Vestdanmark'!$F$3:$F$480,'Forbrug af biomasse'!C415),SUMIFS(IF(D415=År1,'Resultater - Østdanmark'!$H$3:$H$480,IF(D415=År2,'Resultater - Østdanmark'!$I$3:$I$480,'Resultater - Østdanmark'!$J$3:$J$480)),'Resultater - Østdanmark'!$F$3:$F$480,'Forbrug af biomasse'!C415))</f>
        <v>0</v>
      </c>
      <c r="F415" s="172">
        <v>1</v>
      </c>
    </row>
  </sheetData>
  <autoFilter ref="A1:G415" xr:uid="{9891F61F-9FCA-417C-BBAD-AB47A8A15D61}">
    <filterColumn colId="0">
      <filters>
        <filter val="Fødevarer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0689-811A-4E55-B5B9-7482D46C505E}">
  <sheetPr codeName="Sheet25">
    <tabColor rgb="FFFF0000"/>
  </sheetPr>
  <dimension ref="A1:H37"/>
  <sheetViews>
    <sheetView workbookViewId="0">
      <selection activeCell="D14" sqref="D14"/>
    </sheetView>
  </sheetViews>
  <sheetFormatPr defaultRowHeight="14.4" x14ac:dyDescent="0.55000000000000004"/>
  <sheetData>
    <row r="1" spans="1:8" x14ac:dyDescent="0.55000000000000004">
      <c r="D1" t="s">
        <v>77</v>
      </c>
      <c r="E1" t="s">
        <v>166</v>
      </c>
      <c r="F1" t="s">
        <v>193</v>
      </c>
      <c r="G1" t="s">
        <v>167</v>
      </c>
      <c r="H1" t="s">
        <v>231</v>
      </c>
    </row>
    <row r="2" spans="1:8" x14ac:dyDescent="0.55000000000000004">
      <c r="A2" t="str">
        <f>'Forbrug til andet'!A9</f>
        <v>Halm</v>
      </c>
      <c r="B2" t="s">
        <v>23</v>
      </c>
      <c r="C2">
        <f t="shared" ref="C2:C13" si="0">År1</f>
        <v>2019</v>
      </c>
      <c r="D2">
        <f>SUMIFS('Forbrug af biomasse'!E:E,'Forbrug af biomasse'!F:F,"",'Forbrug af biomasse'!B:B,Restprodukter!$B2,'Forbrug af biomasse'!C:C,Restprodukter!$A2,'Forbrug af biomasse'!D:D,Restprodukter!$C2)</f>
        <v>826224.78629008727</v>
      </c>
      <c r="E2">
        <f>IF(B2="Vestdanmark",SUMIFS(IF($C2=År1,'Resultater - Vestdanmark'!$H$3:$H$480,IF($C2=År2,'Resultater - Vestdanmark'!$I$3:$I$480,'Resultater - Vestdanmark'!$J$3:$J$480)),'Resultater - Vestdanmark'!$F$3:$F$480,Restprodukter!$A2),SUMIFS(IF($C2=År1,'Resultater - Østdanmark'!$H$3:$H$480,IF($C2=År2,'Resultater - Østdanmark'!$I$3:$I$480,'Resultater - Østdanmark'!$J$3:$J$480)),'Resultater - Østdanmark'!$F$3:$F$480,Restprodukter!$A2))</f>
        <v>1985815.0997228348</v>
      </c>
      <c r="F2">
        <f>E2-D2</f>
        <v>1159590.3134327475</v>
      </c>
      <c r="G2">
        <f>IF(F2&gt;=0,IF(H2&gt;=0,F2,F2+H2),IF(F2+H2&gt;0,0,F2+H2))</f>
        <v>1159590.3134327475</v>
      </c>
      <c r="H2">
        <f t="shared" ref="H2:H37" si="1">SUMIFS($F$2:$F$37,$C$2:$C$37,C2,$A$2:$A$37,A2,$B$2:$B$37,"&lt;&gt;"&amp;B2)</f>
        <v>734174.89910281403</v>
      </c>
    </row>
    <row r="3" spans="1:8" x14ac:dyDescent="0.55000000000000004">
      <c r="A3" t="str">
        <f>'Forbrug til andet'!A10</f>
        <v>Rapsolie</v>
      </c>
      <c r="B3" t="s">
        <v>23</v>
      </c>
      <c r="C3">
        <f t="shared" si="0"/>
        <v>2019</v>
      </c>
      <c r="D3" s="172">
        <f>SUMIFS('Forbrug af biomasse'!E:E,'Forbrug af biomasse'!F:F,"",'Forbrug af biomasse'!B:B,Restprodukter!$B3,'Forbrug af biomasse'!C:C,Restprodukter!$A3,'Forbrug af biomasse'!D:D,Restprodukter!$C3)</f>
        <v>0</v>
      </c>
      <c r="E3">
        <f>IF(B3="Vestdanmark",SUMIFS(IF($C3=År1,'Resultater - Vestdanmark'!$H$3:$H$480,IF($C3=År2,'Resultater - Vestdanmark'!$I$3:$I$480,'Resultater - Vestdanmark'!$J$3:$J$480)),'Resultater - Vestdanmark'!$F$3:$F$480,Restprodukter!$A3),SUMIFS(IF($C3=År1,'Resultater - Østdanmark'!$H$3:$H$480,IF($C3=År2,'Resultater - Østdanmark'!$I$3:$I$480,'Resultater - Østdanmark'!$J$3:$J$480)),'Resultater - Østdanmark'!$F$3:$F$480,Restprodukter!$A3))</f>
        <v>155146.779166311</v>
      </c>
      <c r="F3">
        <f t="shared" ref="F3:F37" si="2">E3-D3</f>
        <v>155146.779166311</v>
      </c>
      <c r="G3">
        <f t="shared" ref="G3:G37" si="3">IF(F3&gt;=0,IF(H3&gt;=0,F3,F3+H3),IF(F3+H3&gt;0,0,F3+H3))</f>
        <v>155146.779166311</v>
      </c>
      <c r="H3">
        <f t="shared" si="1"/>
        <v>61943.722362786721</v>
      </c>
    </row>
    <row r="4" spans="1:8" x14ac:dyDescent="0.55000000000000004">
      <c r="A4" t="str">
        <f>'Forbrug til andet'!A11</f>
        <v>Pil &amp; poppel</v>
      </c>
      <c r="B4" t="s">
        <v>23</v>
      </c>
      <c r="C4">
        <f t="shared" si="0"/>
        <v>2019</v>
      </c>
      <c r="D4" s="172">
        <f>SUMIFS('Forbrug af biomasse'!E:E,'Forbrug af biomasse'!F:F,"",'Forbrug af biomasse'!B:B,Restprodukter!$B4,'Forbrug af biomasse'!C:C,Restprodukter!$A4,'Forbrug af biomasse'!D:D,Restprodukter!$C4)</f>
        <v>0</v>
      </c>
      <c r="E4">
        <f>IF(B4="Vestdanmark",SUMIFS(IF($C4=År1,'Resultater - Vestdanmark'!$H$3:$H$480,IF($C4=År2,'Resultater - Vestdanmark'!$I$3:$I$480,'Resultater - Vestdanmark'!$J$3:$J$480)),'Resultater - Vestdanmark'!$F$3:$F$480,Restprodukter!$A4),SUMIFS(IF($C4=År1,'Resultater - Østdanmark'!$H$3:$H$480,IF($C4=År2,'Resultater - Østdanmark'!$I$3:$I$480,'Resultater - Østdanmark'!$J$3:$J$480)),'Resultater - Østdanmark'!$F$3:$F$480,Restprodukter!$A4))</f>
        <v>172205.06744997756</v>
      </c>
      <c r="F4">
        <f t="shared" si="2"/>
        <v>172205.06744997756</v>
      </c>
      <c r="G4">
        <f t="shared" si="3"/>
        <v>172205.06744997756</v>
      </c>
      <c r="H4">
        <f t="shared" si="1"/>
        <v>37577.319945022478</v>
      </c>
    </row>
    <row r="5" spans="1:8" x14ac:dyDescent="0.55000000000000004">
      <c r="A5" t="str">
        <f>'Forbrug til andet'!A12</f>
        <v>Træ til energi</v>
      </c>
      <c r="B5" t="s">
        <v>23</v>
      </c>
      <c r="C5">
        <f t="shared" si="0"/>
        <v>2019</v>
      </c>
      <c r="D5" s="172">
        <f>SUMIFS('Forbrug af biomasse'!E:E,'Forbrug af biomasse'!F:F,"",'Forbrug af biomasse'!B:B,Restprodukter!$B5,'Forbrug af biomasse'!C:C,Restprodukter!$A5,'Forbrug af biomasse'!D:D,Restprodukter!$C5)</f>
        <v>0</v>
      </c>
      <c r="E5">
        <f>IF(B5="Vestdanmark",SUMIFS(IF($C5=År1,'Resultater - Vestdanmark'!$H$3:$H$480,IF($C5=År2,'Resultater - Vestdanmark'!$I$3:$I$480,'Resultater - Vestdanmark'!$J$3:$J$480)),'Resultater - Vestdanmark'!$F$3:$F$480,Restprodukter!$A5),SUMIFS(IF($C5=År1,'Resultater - Østdanmark'!$H$3:$H$480,IF($C5=År2,'Resultater - Østdanmark'!$I$3:$I$480,'Resultater - Østdanmark'!$J$3:$J$480)),'Resultater - Østdanmark'!$F$3:$F$480,Restprodukter!$A5))</f>
        <v>2328635.6388303456</v>
      </c>
      <c r="F5">
        <f t="shared" si="2"/>
        <v>2328635.6388303456</v>
      </c>
      <c r="G5">
        <f t="shared" si="3"/>
        <v>2328635.6388303456</v>
      </c>
      <c r="H5">
        <f t="shared" si="1"/>
        <v>681602.85349434032</v>
      </c>
    </row>
    <row r="6" spans="1:8" x14ac:dyDescent="0.55000000000000004">
      <c r="A6" t="str">
        <f>'Forbrug til andet'!A13</f>
        <v>Have/parkaffald</v>
      </c>
      <c r="B6" t="s">
        <v>23</v>
      </c>
      <c r="C6">
        <f t="shared" si="0"/>
        <v>2019</v>
      </c>
      <c r="D6" s="172">
        <f>SUMIFS('Forbrug af biomasse'!E:E,'Forbrug af biomasse'!F:F,"",'Forbrug af biomasse'!B:B,Restprodukter!$B6,'Forbrug af biomasse'!C:C,Restprodukter!$A6,'Forbrug af biomasse'!D:D,Restprodukter!$C6)</f>
        <v>42.099811904105366</v>
      </c>
      <c r="E6">
        <f>IF(B6="Vestdanmark",SUMIFS(IF($C6=År1,'Resultater - Vestdanmark'!$H$3:$H$480,IF($C6=År2,'Resultater - Vestdanmark'!$I$3:$I$480,'Resultater - Vestdanmark'!$J$3:$J$480)),'Resultater - Vestdanmark'!$F$3:$F$480,Restprodukter!$A6),SUMIFS(IF($C6=År1,'Resultater - Østdanmark'!$H$3:$H$480,IF($C6=År2,'Resultater - Østdanmark'!$I$3:$I$480,'Resultater - Østdanmark'!$J$3:$J$480)),'Resultater - Østdanmark'!$F$3:$F$480,Restprodukter!$A6))</f>
        <v>530462.48766233202</v>
      </c>
      <c r="F6">
        <f t="shared" si="2"/>
        <v>530420.38785042788</v>
      </c>
      <c r="G6">
        <f t="shared" si="3"/>
        <v>530420.38785042788</v>
      </c>
      <c r="H6">
        <f t="shared" si="1"/>
        <v>452310.61214957217</v>
      </c>
    </row>
    <row r="7" spans="1:8" x14ac:dyDescent="0.55000000000000004">
      <c r="A7" t="str">
        <f>'Forbrug til andet'!A14</f>
        <v>Bioaffald</v>
      </c>
      <c r="B7" t="s">
        <v>23</v>
      </c>
      <c r="C7">
        <f t="shared" si="0"/>
        <v>2019</v>
      </c>
      <c r="D7" s="172">
        <f ca="1">SUMIFS('Forbrug af biomasse'!E:E,'Forbrug af biomasse'!F:F,"",'Forbrug af biomasse'!B:B,Restprodukter!$B7,'Forbrug af biomasse'!C:C,Restprodukter!$A7,'Forbrug af biomasse'!D:D,Restprodukter!$C7)</f>
        <v>393543.64426779439</v>
      </c>
      <c r="E7">
        <f ca="1">IF(B7="Vestdanmark",SUMIFS(IF($C7=År1,'Resultater - Vestdanmark'!$H$3:$H$480,IF($C7=År2,'Resultater - Vestdanmark'!$I$3:$I$480,'Resultater - Vestdanmark'!$J$3:$J$480)),'Resultater - Vestdanmark'!$F$3:$F$480,Restprodukter!$A7),SUMIFS(IF($C7=År1,'Resultater - Østdanmark'!$H$3:$H$480,IF($C7=År2,'Resultater - Østdanmark'!$I$3:$I$480,'Resultater - Østdanmark'!$J$3:$J$480)),'Resultater - Østdanmark'!$F$3:$F$480,Restprodukter!$A7))</f>
        <v>193591.30306616417</v>
      </c>
      <c r="F7">
        <f t="shared" ca="1" si="2"/>
        <v>-199952.34120163022</v>
      </c>
      <c r="G7">
        <f t="shared" ca="1" si="3"/>
        <v>-370459.67448149773</v>
      </c>
      <c r="H7">
        <f t="shared" ca="1" si="1"/>
        <v>-170507.33327986751</v>
      </c>
    </row>
    <row r="8" spans="1:8" x14ac:dyDescent="0.55000000000000004">
      <c r="A8" t="str">
        <f t="shared" ref="A8:A37" si="4">A2</f>
        <v>Halm</v>
      </c>
      <c r="B8" t="s">
        <v>24</v>
      </c>
      <c r="C8">
        <f t="shared" si="0"/>
        <v>2019</v>
      </c>
      <c r="D8" s="172">
        <f>SUMIFS('Forbrug af biomasse'!E:E,'Forbrug af biomasse'!F:F,"",'Forbrug af biomasse'!B:B,Restprodukter!$B8,'Forbrug af biomasse'!C:C,Restprodukter!$A8,'Forbrug af biomasse'!D:D,Restprodukter!$C8)</f>
        <v>117684.55528725139</v>
      </c>
      <c r="E8">
        <f>IF(B8="Vestdanmark",SUMIFS(IF($C8=År1,'Resultater - Vestdanmark'!$H$3:$H$480,IF($C8=År2,'Resultater - Vestdanmark'!$I$3:$I$480,'Resultater - Vestdanmark'!$J$3:$J$480)),'Resultater - Vestdanmark'!$F$3:$F$480,Restprodukter!$A8),SUMIFS(IF($C8=År1,'Resultater - Østdanmark'!$H$3:$H$480,IF($C8=År2,'Resultater - Østdanmark'!$I$3:$I$480,'Resultater - Østdanmark'!$J$3:$J$480)),'Resultater - Østdanmark'!$F$3:$F$480,Restprodukter!$A8))</f>
        <v>851859.4543900654</v>
      </c>
      <c r="F8">
        <f t="shared" si="2"/>
        <v>734174.89910281403</v>
      </c>
      <c r="G8">
        <f t="shared" si="3"/>
        <v>734174.89910281403</v>
      </c>
      <c r="H8">
        <f t="shared" si="1"/>
        <v>1159590.3134327475</v>
      </c>
    </row>
    <row r="9" spans="1:8" x14ac:dyDescent="0.55000000000000004">
      <c r="A9" t="str">
        <f t="shared" si="4"/>
        <v>Rapsolie</v>
      </c>
      <c r="B9" t="s">
        <v>24</v>
      </c>
      <c r="C9">
        <f t="shared" si="0"/>
        <v>2019</v>
      </c>
      <c r="D9" s="172">
        <f>SUMIFS('Forbrug af biomasse'!E:E,'Forbrug af biomasse'!F:F,"",'Forbrug af biomasse'!B:B,Restprodukter!$B9,'Forbrug af biomasse'!C:C,Restprodukter!$A9,'Forbrug af biomasse'!D:D,Restprodukter!$C9)</f>
        <v>0</v>
      </c>
      <c r="E9">
        <f>IF(B9="Vestdanmark",SUMIFS(IF($C9=År1,'Resultater - Vestdanmark'!$H$3:$H$480,IF($C9=År2,'Resultater - Vestdanmark'!$I$3:$I$480,'Resultater - Vestdanmark'!$J$3:$J$480)),'Resultater - Vestdanmark'!$F$3:$F$480,Restprodukter!$A9),SUMIFS(IF($C9=År1,'Resultater - Østdanmark'!$H$3:$H$480,IF($C9=År2,'Resultater - Østdanmark'!$I$3:$I$480,'Resultater - Østdanmark'!$J$3:$J$480)),'Resultater - Østdanmark'!$F$3:$F$480,Restprodukter!$A9))</f>
        <v>61943.722362786721</v>
      </c>
      <c r="F9">
        <f t="shared" si="2"/>
        <v>61943.722362786721</v>
      </c>
      <c r="G9">
        <f t="shared" si="3"/>
        <v>61943.722362786721</v>
      </c>
      <c r="H9">
        <f t="shared" si="1"/>
        <v>155146.779166311</v>
      </c>
    </row>
    <row r="10" spans="1:8" x14ac:dyDescent="0.55000000000000004">
      <c r="A10" t="str">
        <f t="shared" si="4"/>
        <v>Pil &amp; poppel</v>
      </c>
      <c r="B10" t="s">
        <v>24</v>
      </c>
      <c r="C10">
        <f t="shared" si="0"/>
        <v>2019</v>
      </c>
      <c r="D10" s="172">
        <f>SUMIFS('Forbrug af biomasse'!E:E,'Forbrug af biomasse'!F:F,"",'Forbrug af biomasse'!B:B,Restprodukter!$B10,'Forbrug af biomasse'!C:C,Restprodukter!$A10,'Forbrug af biomasse'!D:D,Restprodukter!$C10)</f>
        <v>0</v>
      </c>
      <c r="E10">
        <f>IF(B10="Vestdanmark",SUMIFS(IF($C10=År1,'Resultater - Vestdanmark'!$H$3:$H$480,IF($C10=År2,'Resultater - Vestdanmark'!$I$3:$I$480,'Resultater - Vestdanmark'!$J$3:$J$480)),'Resultater - Vestdanmark'!$F$3:$F$480,Restprodukter!$A10),SUMIFS(IF($C10=År1,'Resultater - Østdanmark'!$H$3:$H$480,IF($C10=År2,'Resultater - Østdanmark'!$I$3:$I$480,'Resultater - Østdanmark'!$J$3:$J$480)),'Resultater - Østdanmark'!$F$3:$F$480,Restprodukter!$A10))</f>
        <v>37577.319945022478</v>
      </c>
      <c r="F10">
        <f t="shared" si="2"/>
        <v>37577.319945022478</v>
      </c>
      <c r="G10">
        <f t="shared" si="3"/>
        <v>37577.319945022478</v>
      </c>
      <c r="H10">
        <f t="shared" si="1"/>
        <v>172205.06744997756</v>
      </c>
    </row>
    <row r="11" spans="1:8" x14ac:dyDescent="0.55000000000000004">
      <c r="A11" t="str">
        <f t="shared" si="4"/>
        <v>Træ til energi</v>
      </c>
      <c r="B11" t="s">
        <v>24</v>
      </c>
      <c r="C11">
        <f t="shared" si="0"/>
        <v>2019</v>
      </c>
      <c r="D11" s="172">
        <f>SUMIFS('Forbrug af biomasse'!E:E,'Forbrug af biomasse'!F:F,"",'Forbrug af biomasse'!B:B,Restprodukter!$B11,'Forbrug af biomasse'!C:C,Restprodukter!$A11,'Forbrug af biomasse'!D:D,Restprodukter!$C11)</f>
        <v>0</v>
      </c>
      <c r="E11">
        <f>IF(B11="Vestdanmark",SUMIFS(IF($C11=År1,'Resultater - Vestdanmark'!$H$3:$H$480,IF($C11=År2,'Resultater - Vestdanmark'!$I$3:$I$480,'Resultater - Vestdanmark'!$J$3:$J$480)),'Resultater - Vestdanmark'!$F$3:$F$480,Restprodukter!$A11),SUMIFS(IF($C11=År1,'Resultater - Østdanmark'!$H$3:$H$480,IF($C11=År2,'Resultater - Østdanmark'!$I$3:$I$480,'Resultater - Østdanmark'!$J$3:$J$480)),'Resultater - Østdanmark'!$F$3:$F$480,Restprodukter!$A11))</f>
        <v>681602.85349434032</v>
      </c>
      <c r="F11">
        <f t="shared" si="2"/>
        <v>681602.85349434032</v>
      </c>
      <c r="G11">
        <f t="shared" si="3"/>
        <v>681602.85349434032</v>
      </c>
      <c r="H11">
        <f t="shared" si="1"/>
        <v>2328635.6388303456</v>
      </c>
    </row>
    <row r="12" spans="1:8" x14ac:dyDescent="0.55000000000000004">
      <c r="A12" t="str">
        <f t="shared" si="4"/>
        <v>Have/parkaffald</v>
      </c>
      <c r="B12" t="s">
        <v>24</v>
      </c>
      <c r="C12">
        <f t="shared" si="0"/>
        <v>2019</v>
      </c>
      <c r="D12" s="172">
        <f>SUMIFS('Forbrug af biomasse'!E:E,'Forbrug af biomasse'!F:F,"",'Forbrug af biomasse'!B:B,Restprodukter!$B12,'Forbrug af biomasse'!C:C,Restprodukter!$A12,'Forbrug af biomasse'!D:D,Restprodukter!$C12)</f>
        <v>35.900188095894634</v>
      </c>
      <c r="E12">
        <f>IF(B12="Vestdanmark",SUMIFS(IF($C12=År1,'Resultater - Vestdanmark'!$H$3:$H$480,IF($C12=År2,'Resultater - Vestdanmark'!$I$3:$I$480,'Resultater - Vestdanmark'!$J$3:$J$480)),'Resultater - Vestdanmark'!$F$3:$F$480,Restprodukter!$A12),SUMIFS(IF($C12=År1,'Resultater - Østdanmark'!$H$3:$H$480,IF($C12=År2,'Resultater - Østdanmark'!$I$3:$I$480,'Resultater - Østdanmark'!$J$3:$J$480)),'Resultater - Østdanmark'!$F$3:$F$480,Restprodukter!$A12))</f>
        <v>452346.51233766804</v>
      </c>
      <c r="F12">
        <f t="shared" si="2"/>
        <v>452310.61214957217</v>
      </c>
      <c r="G12">
        <f t="shared" si="3"/>
        <v>452310.61214957217</v>
      </c>
      <c r="H12">
        <f t="shared" si="1"/>
        <v>530420.38785042788</v>
      </c>
    </row>
    <row r="13" spans="1:8" x14ac:dyDescent="0.55000000000000004">
      <c r="A13" t="str">
        <f t="shared" si="4"/>
        <v>Bioaffald</v>
      </c>
      <c r="B13" t="s">
        <v>24</v>
      </c>
      <c r="C13">
        <f t="shared" si="0"/>
        <v>2019</v>
      </c>
      <c r="D13" s="172">
        <f ca="1">SUMIFS('Forbrug af biomasse'!E:E,'Forbrug af biomasse'!F:F,"",'Forbrug af biomasse'!B:B,Restprodukter!$B13,'Forbrug af biomasse'!C:C,Restprodukter!$A13,'Forbrug af biomasse'!D:D,Restprodukter!$C13)</f>
        <v>335590.35573220561</v>
      </c>
      <c r="E13">
        <f ca="1">IF(B13="Vestdanmark",SUMIFS(IF($C13=År1,'Resultater - Vestdanmark'!$H$3:$H$480,IF($C13=År2,'Resultater - Vestdanmark'!$I$3:$I$480,'Resultater - Vestdanmark'!$J$3:$J$480)),'Resultater - Vestdanmark'!$F$3:$F$480,Restprodukter!$A13),SUMIFS(IF($C13=År1,'Resultater - Østdanmark'!$H$3:$H$480,IF($C13=År2,'Resultater - Østdanmark'!$I$3:$I$480,'Resultater - Østdanmark'!$J$3:$J$480)),'Resultater - Østdanmark'!$F$3:$F$480,Restprodukter!$A13))</f>
        <v>165083.0224523381</v>
      </c>
      <c r="F13">
        <f ca="1">E13-D13</f>
        <v>-170507.33327986751</v>
      </c>
      <c r="G13">
        <f t="shared" ca="1" si="3"/>
        <v>-370459.67448149773</v>
      </c>
      <c r="H13">
        <f t="shared" ca="1" si="1"/>
        <v>-199952.34120163022</v>
      </c>
    </row>
    <row r="14" spans="1:8" x14ac:dyDescent="0.55000000000000004">
      <c r="A14" t="str">
        <f t="shared" si="4"/>
        <v>Halm</v>
      </c>
      <c r="B14" t="s">
        <v>23</v>
      </c>
      <c r="C14">
        <f t="shared" ref="C14:C25" si="5">År2</f>
        <v>2030</v>
      </c>
      <c r="D14" s="172">
        <f>SUMIFS('Forbrug af biomasse'!E:E,'Forbrug af biomasse'!F:F,"",'Forbrug af biomasse'!B:B,Restprodukter!$B14,'Forbrug af biomasse'!C:C,Restprodukter!$A14,'Forbrug af biomasse'!D:D,Restprodukter!$C14)</f>
        <v>827216.90289305395</v>
      </c>
      <c r="E14">
        <f>IF(B14="Vestdanmark",SUMIFS(IF($C14=År1,'Resultater - Vestdanmark'!$H$3:$H$480,IF($C14=År2,'Resultater - Vestdanmark'!$I$3:$I$480,'Resultater - Vestdanmark'!$J$3:$J$480)),'Resultater - Vestdanmark'!$F$3:$F$480,Restprodukter!$A14),SUMIFS(IF($C14=År1,'Resultater - Østdanmark'!$H$3:$H$480,IF($C14=År2,'Resultater - Østdanmark'!$I$3:$I$480,'Resultater - Østdanmark'!$J$3:$J$480)),'Resultater - Østdanmark'!$F$3:$F$480,Restprodukter!$A14))</f>
        <v>2071180.7923411145</v>
      </c>
      <c r="F14">
        <f>E14-D14</f>
        <v>1243963.8894480607</v>
      </c>
      <c r="G14">
        <f t="shared" si="3"/>
        <v>1243963.8894480607</v>
      </c>
      <c r="H14">
        <f t="shared" si="1"/>
        <v>717541.6905468792</v>
      </c>
    </row>
    <row r="15" spans="1:8" x14ac:dyDescent="0.55000000000000004">
      <c r="A15" t="str">
        <f t="shared" si="4"/>
        <v>Rapsolie</v>
      </c>
      <c r="B15" t="s">
        <v>23</v>
      </c>
      <c r="C15">
        <f t="shared" si="5"/>
        <v>2030</v>
      </c>
      <c r="D15" s="172">
        <f>SUMIFS('Forbrug af biomasse'!E:E,'Forbrug af biomasse'!F:F,"",'Forbrug af biomasse'!B:B,Restprodukter!$B15,'Forbrug af biomasse'!C:C,Restprodukter!$A15,'Forbrug af biomasse'!D:D,Restprodukter!$C15)</f>
        <v>0</v>
      </c>
      <c r="E15">
        <f>IF(B15="Vestdanmark",SUMIFS(IF($C15=År1,'Resultater - Vestdanmark'!$H$3:$H$480,IF($C15=År2,'Resultater - Vestdanmark'!$I$3:$I$480,'Resultater - Vestdanmark'!$J$3:$J$480)),'Resultater - Vestdanmark'!$F$3:$F$480,Restprodukter!$A15),SUMIFS(IF($C15=År1,'Resultater - Østdanmark'!$H$3:$H$480,IF($C15=År2,'Resultater - Østdanmark'!$I$3:$I$480,'Resultater - Østdanmark'!$J$3:$J$480)),'Resultater - Østdanmark'!$F$3:$F$480,Restprodukter!$A15))</f>
        <v>162493.02564918654</v>
      </c>
      <c r="F15">
        <f t="shared" si="2"/>
        <v>162493.02564918654</v>
      </c>
      <c r="G15">
        <f t="shared" si="3"/>
        <v>162493.02564918654</v>
      </c>
      <c r="H15">
        <f t="shared" si="1"/>
        <v>65410.493211637622</v>
      </c>
    </row>
    <row r="16" spans="1:8" x14ac:dyDescent="0.55000000000000004">
      <c r="A16" t="str">
        <f t="shared" si="4"/>
        <v>Pil &amp; poppel</v>
      </c>
      <c r="B16" t="s">
        <v>23</v>
      </c>
      <c r="C16">
        <f t="shared" si="5"/>
        <v>2030</v>
      </c>
      <c r="D16" s="172">
        <f>SUMIFS('Forbrug af biomasse'!E:E,'Forbrug af biomasse'!F:F,"",'Forbrug af biomasse'!B:B,Restprodukter!$B16,'Forbrug af biomasse'!C:C,Restprodukter!$A16,'Forbrug af biomasse'!D:D,Restprodukter!$C16)</f>
        <v>0</v>
      </c>
      <c r="E16">
        <f>IF(B16="Vestdanmark",SUMIFS(IF($C16=År1,'Resultater - Vestdanmark'!$H$3:$H$480,IF($C16=År2,'Resultater - Vestdanmark'!$I$3:$I$480,'Resultater - Vestdanmark'!$J$3:$J$480)),'Resultater - Vestdanmark'!$F$3:$F$480,Restprodukter!$A16),SUMIFS(IF($C16=År1,'Resultater - Østdanmark'!$H$3:$H$480,IF($C16=År2,'Resultater - Østdanmark'!$I$3:$I$480,'Resultater - Østdanmark'!$J$3:$J$480)),'Resultater - Østdanmark'!$F$3:$F$480,Restprodukter!$A16))</f>
        <v>177516.46640303911</v>
      </c>
      <c r="F16">
        <f t="shared" si="2"/>
        <v>177516.46640303911</v>
      </c>
      <c r="G16">
        <f t="shared" si="3"/>
        <v>177516.46640303911</v>
      </c>
      <c r="H16">
        <f t="shared" si="1"/>
        <v>39419.677245239443</v>
      </c>
    </row>
    <row r="17" spans="1:8" x14ac:dyDescent="0.55000000000000004">
      <c r="A17" t="str">
        <f t="shared" si="4"/>
        <v>Træ til energi</v>
      </c>
      <c r="B17" t="s">
        <v>23</v>
      </c>
      <c r="C17">
        <f t="shared" si="5"/>
        <v>2030</v>
      </c>
      <c r="D17" s="172">
        <f>SUMIFS('Forbrug af biomasse'!E:E,'Forbrug af biomasse'!F:F,"",'Forbrug af biomasse'!B:B,Restprodukter!$B17,'Forbrug af biomasse'!C:C,Restprodukter!$A17,'Forbrug af biomasse'!D:D,Restprodukter!$C17)</f>
        <v>0</v>
      </c>
      <c r="E17">
        <f>IF(B17="Vestdanmark",SUMIFS(IF($C17=År1,'Resultater - Vestdanmark'!$H$3:$H$480,IF($C17=År2,'Resultater - Vestdanmark'!$I$3:$I$480,'Resultater - Vestdanmark'!$J$3:$J$480)),'Resultater - Vestdanmark'!$F$3:$F$480,Restprodukter!$A17),SUMIFS(IF($C17=År1,'Resultater - Østdanmark'!$H$3:$H$480,IF($C17=År2,'Resultater - Østdanmark'!$I$3:$I$480,'Resultater - Østdanmark'!$J$3:$J$480)),'Resultater - Østdanmark'!$F$3:$F$480,Restprodukter!$A17))</f>
        <v>2203715.0015238998</v>
      </c>
      <c r="F17">
        <f t="shared" si="2"/>
        <v>2203715.0015238998</v>
      </c>
      <c r="G17">
        <f t="shared" si="3"/>
        <v>2203715.0015238998</v>
      </c>
      <c r="H17">
        <f t="shared" si="1"/>
        <v>645037.98201828008</v>
      </c>
    </row>
    <row r="18" spans="1:8" x14ac:dyDescent="0.55000000000000004">
      <c r="A18" t="str">
        <f t="shared" si="4"/>
        <v>Have/parkaffald</v>
      </c>
      <c r="B18" t="s">
        <v>23</v>
      </c>
      <c r="C18">
        <f t="shared" si="5"/>
        <v>2030</v>
      </c>
      <c r="D18" s="172">
        <f>SUMIFS('Forbrug af biomasse'!E:E,'Forbrug af biomasse'!F:F,"",'Forbrug af biomasse'!B:B,Restprodukter!$B18,'Forbrug af biomasse'!C:C,Restprodukter!$A18,'Forbrug af biomasse'!D:D,Restprodukter!$C18)</f>
        <v>41.80391161429587</v>
      </c>
      <c r="E18">
        <f>IF(B18="Vestdanmark",SUMIFS(IF($C18=År1,'Resultater - Vestdanmark'!$H$3:$H$480,IF($C18=År2,'Resultater - Vestdanmark'!$I$3:$I$480,'Resultater - Vestdanmark'!$J$3:$J$480)),'Resultater - Vestdanmark'!$F$3:$F$480,Restprodukter!$A18),SUMIFS(IF($C18=År1,'Resultater - Østdanmark'!$H$3:$H$480,IF($C18=År2,'Resultater - Østdanmark'!$I$3:$I$480,'Resultater - Østdanmark'!$J$3:$J$480)),'Resultater - Østdanmark'!$F$3:$F$480,Restprodukter!$A18))</f>
        <v>526734.10986839118</v>
      </c>
      <c r="F18">
        <f t="shared" si="2"/>
        <v>526692.30595677684</v>
      </c>
      <c r="G18">
        <f t="shared" si="3"/>
        <v>526692.30595677684</v>
      </c>
      <c r="H18">
        <f t="shared" si="1"/>
        <v>456038.69404322316</v>
      </c>
    </row>
    <row r="19" spans="1:8" x14ac:dyDescent="0.55000000000000004">
      <c r="A19" t="str">
        <f t="shared" si="4"/>
        <v>Bioaffald</v>
      </c>
      <c r="B19" t="s">
        <v>23</v>
      </c>
      <c r="C19">
        <f t="shared" si="5"/>
        <v>2030</v>
      </c>
      <c r="D19" s="172">
        <f ca="1">SUMIFS('Forbrug af biomasse'!E:E,'Forbrug af biomasse'!F:F,"",'Forbrug af biomasse'!B:B,Restprodukter!$B19,'Forbrug af biomasse'!C:C,Restprodukter!$A19,'Forbrug af biomasse'!D:D,Restprodukter!$C19)</f>
        <v>195082.24112879002</v>
      </c>
      <c r="E19">
        <f ca="1">IF(B19="Vestdanmark",SUMIFS(IF($C19=År1,'Resultater - Vestdanmark'!$H$3:$H$480,IF($C19=År2,'Resultater - Vestdanmark'!$I$3:$I$480,'Resultater - Vestdanmark'!$J$3:$J$480)),'Resultater - Vestdanmark'!$F$3:$F$480,Restprodukter!$A19),SUMIFS(IF($C19=År1,'Resultater - Østdanmark'!$H$3:$H$480,IF($C19=År2,'Resultater - Østdanmark'!$I$3:$I$480,'Resultater - Østdanmark'!$J$3:$J$480)),'Resultater - Østdanmark'!$F$3:$F$480,Restprodukter!$A19))</f>
        <v>195082.22598438186</v>
      </c>
      <c r="F19">
        <f t="shared" ca="1" si="2"/>
        <v>-1.5144408156629652E-2</v>
      </c>
      <c r="G19">
        <f t="shared" ca="1" si="3"/>
        <v>-2.825725611182861E-2</v>
      </c>
      <c r="H19">
        <f t="shared" ca="1" si="1"/>
        <v>-1.3112847955198959E-2</v>
      </c>
    </row>
    <row r="20" spans="1:8" x14ac:dyDescent="0.55000000000000004">
      <c r="A20" t="str">
        <f t="shared" si="4"/>
        <v>Halm</v>
      </c>
      <c r="B20" t="s">
        <v>24</v>
      </c>
      <c r="C20">
        <f t="shared" si="5"/>
        <v>2030</v>
      </c>
      <c r="D20" s="172">
        <f>SUMIFS('Forbrug af biomasse'!E:E,'Forbrug af biomasse'!F:F,"",'Forbrug af biomasse'!B:B,Restprodukter!$B20,'Forbrug af biomasse'!C:C,Restprodukter!$A20,'Forbrug af biomasse'!D:D,Restprodukter!$C20)</f>
        <v>116692.43868428464</v>
      </c>
      <c r="E20">
        <f>IF(B20="Vestdanmark",SUMIFS(IF($C20=År1,'Resultater - Vestdanmark'!$H$3:$H$480,IF($C20=År2,'Resultater - Vestdanmark'!$I$3:$I$480,'Resultater - Vestdanmark'!$J$3:$J$480)),'Resultater - Vestdanmark'!$F$3:$F$480,Restprodukter!$A20),SUMIFS(IF($C20=År1,'Resultater - Østdanmark'!$H$3:$H$480,IF($C20=År2,'Resultater - Østdanmark'!$I$3:$I$480,'Resultater - Østdanmark'!$J$3:$J$480)),'Resultater - Østdanmark'!$F$3:$F$480,Restprodukter!$A20))</f>
        <v>834234.12923116388</v>
      </c>
      <c r="F20">
        <f t="shared" si="2"/>
        <v>717541.6905468792</v>
      </c>
      <c r="G20">
        <f t="shared" si="3"/>
        <v>717541.6905468792</v>
      </c>
      <c r="H20">
        <f t="shared" si="1"/>
        <v>1243963.8894480607</v>
      </c>
    </row>
    <row r="21" spans="1:8" x14ac:dyDescent="0.55000000000000004">
      <c r="A21" t="str">
        <f t="shared" si="4"/>
        <v>Rapsolie</v>
      </c>
      <c r="B21" t="s">
        <v>24</v>
      </c>
      <c r="C21">
        <f t="shared" si="5"/>
        <v>2030</v>
      </c>
      <c r="D21" s="172">
        <f>SUMIFS('Forbrug af biomasse'!E:E,'Forbrug af biomasse'!F:F,"",'Forbrug af biomasse'!B:B,Restprodukter!$B21,'Forbrug af biomasse'!C:C,Restprodukter!$A21,'Forbrug af biomasse'!D:D,Restprodukter!$C21)</f>
        <v>0</v>
      </c>
      <c r="E21">
        <f>IF(B21="Vestdanmark",SUMIFS(IF($C21=År1,'Resultater - Vestdanmark'!$H$3:$H$480,IF($C21=År2,'Resultater - Vestdanmark'!$I$3:$I$480,'Resultater - Vestdanmark'!$J$3:$J$480)),'Resultater - Vestdanmark'!$F$3:$F$480,Restprodukter!$A21),SUMIFS(IF($C21=År1,'Resultater - Østdanmark'!$H$3:$H$480,IF($C21=År2,'Resultater - Østdanmark'!$I$3:$I$480,'Resultater - Østdanmark'!$J$3:$J$480)),'Resultater - Østdanmark'!$F$3:$F$480,Restprodukter!$A21))</f>
        <v>65410.493211637622</v>
      </c>
      <c r="F21">
        <f t="shared" si="2"/>
        <v>65410.493211637622</v>
      </c>
      <c r="G21">
        <f t="shared" si="3"/>
        <v>65410.493211637622</v>
      </c>
      <c r="H21">
        <f t="shared" si="1"/>
        <v>162493.02564918654</v>
      </c>
    </row>
    <row r="22" spans="1:8" x14ac:dyDescent="0.55000000000000004">
      <c r="A22" t="str">
        <f t="shared" si="4"/>
        <v>Pil &amp; poppel</v>
      </c>
      <c r="B22" t="s">
        <v>24</v>
      </c>
      <c r="C22">
        <f t="shared" si="5"/>
        <v>2030</v>
      </c>
      <c r="D22" s="172">
        <f>SUMIFS('Forbrug af biomasse'!E:E,'Forbrug af biomasse'!F:F,"",'Forbrug af biomasse'!B:B,Restprodukter!$B22,'Forbrug af biomasse'!C:C,Restprodukter!$A22,'Forbrug af biomasse'!D:D,Restprodukter!$C22)</f>
        <v>0</v>
      </c>
      <c r="E22">
        <f>IF(B22="Vestdanmark",SUMIFS(IF($C22=År1,'Resultater - Vestdanmark'!$H$3:$H$480,IF($C22=År2,'Resultater - Vestdanmark'!$I$3:$I$480,'Resultater - Vestdanmark'!$J$3:$J$480)),'Resultater - Vestdanmark'!$F$3:$F$480,Restprodukter!$A22),SUMIFS(IF($C22=År1,'Resultater - Østdanmark'!$H$3:$H$480,IF($C22=År2,'Resultater - Østdanmark'!$I$3:$I$480,'Resultater - Østdanmark'!$J$3:$J$480)),'Resultater - Østdanmark'!$F$3:$F$480,Restprodukter!$A22))</f>
        <v>39419.677245239443</v>
      </c>
      <c r="F22">
        <f t="shared" si="2"/>
        <v>39419.677245239443</v>
      </c>
      <c r="G22">
        <f t="shared" si="3"/>
        <v>39419.677245239443</v>
      </c>
      <c r="H22">
        <f t="shared" si="1"/>
        <v>177516.46640303911</v>
      </c>
    </row>
    <row r="23" spans="1:8" x14ac:dyDescent="0.55000000000000004">
      <c r="A23" t="str">
        <f t="shared" si="4"/>
        <v>Træ til energi</v>
      </c>
      <c r="B23" t="s">
        <v>24</v>
      </c>
      <c r="C23">
        <f t="shared" si="5"/>
        <v>2030</v>
      </c>
      <c r="D23" s="172">
        <f>SUMIFS('Forbrug af biomasse'!E:E,'Forbrug af biomasse'!F:F,"",'Forbrug af biomasse'!B:B,Restprodukter!$B23,'Forbrug af biomasse'!C:C,Restprodukter!$A23,'Forbrug af biomasse'!D:D,Restprodukter!$C23)</f>
        <v>0</v>
      </c>
      <c r="E23">
        <f>IF(B23="Vestdanmark",SUMIFS(IF($C23=År1,'Resultater - Vestdanmark'!$H$3:$H$480,IF($C23=År2,'Resultater - Vestdanmark'!$I$3:$I$480,'Resultater - Vestdanmark'!$J$3:$J$480)),'Resultater - Vestdanmark'!$F$3:$F$480,Restprodukter!$A23),SUMIFS(IF($C23=År1,'Resultater - Østdanmark'!$H$3:$H$480,IF($C23=År2,'Resultater - Østdanmark'!$I$3:$I$480,'Resultater - Østdanmark'!$J$3:$J$480)),'Resultater - Østdanmark'!$F$3:$F$480,Restprodukter!$A23))</f>
        <v>645037.98201828008</v>
      </c>
      <c r="F23">
        <f t="shared" si="2"/>
        <v>645037.98201828008</v>
      </c>
      <c r="G23">
        <f t="shared" si="3"/>
        <v>645037.98201828008</v>
      </c>
      <c r="H23">
        <f t="shared" si="1"/>
        <v>2203715.0015238998</v>
      </c>
    </row>
    <row r="24" spans="1:8" x14ac:dyDescent="0.55000000000000004">
      <c r="A24" t="str">
        <f t="shared" si="4"/>
        <v>Have/parkaffald</v>
      </c>
      <c r="B24" t="s">
        <v>24</v>
      </c>
      <c r="C24">
        <f t="shared" si="5"/>
        <v>2030</v>
      </c>
      <c r="D24" s="172">
        <f>SUMIFS('Forbrug af biomasse'!E:E,'Forbrug af biomasse'!F:F,"",'Forbrug af biomasse'!B:B,Restprodukter!$B24,'Forbrug af biomasse'!C:C,Restprodukter!$A24,'Forbrug af biomasse'!D:D,Restprodukter!$C24)</f>
        <v>36.19608838570413</v>
      </c>
      <c r="E24">
        <f>IF(B24="Vestdanmark",SUMIFS(IF($C24=År1,'Resultater - Vestdanmark'!$H$3:$H$480,IF($C24=År2,'Resultater - Vestdanmark'!$I$3:$I$480,'Resultater - Vestdanmark'!$J$3:$J$480)),'Resultater - Vestdanmark'!$F$3:$F$480,Restprodukter!$A24),SUMIFS(IF($C24=År1,'Resultater - Østdanmark'!$H$3:$H$480,IF($C24=År2,'Resultater - Østdanmark'!$I$3:$I$480,'Resultater - Østdanmark'!$J$3:$J$480)),'Resultater - Østdanmark'!$F$3:$F$480,Restprodukter!$A24))</f>
        <v>456074.89013160887</v>
      </c>
      <c r="F24">
        <f t="shared" si="2"/>
        <v>456038.69404322316</v>
      </c>
      <c r="G24">
        <f t="shared" si="3"/>
        <v>456038.69404322316</v>
      </c>
      <c r="H24">
        <f t="shared" si="1"/>
        <v>526692.30595677684</v>
      </c>
    </row>
    <row r="25" spans="1:8" x14ac:dyDescent="0.55000000000000004">
      <c r="A25" t="str">
        <f t="shared" si="4"/>
        <v>Bioaffald</v>
      </c>
      <c r="B25" t="s">
        <v>24</v>
      </c>
      <c r="C25">
        <f t="shared" si="5"/>
        <v>2030</v>
      </c>
      <c r="D25" s="172">
        <f ca="1">SUMIFS('Forbrug af biomasse'!E:E,'Forbrug af biomasse'!F:F,"",'Forbrug af biomasse'!B:B,Restprodukter!$B25,'Forbrug af biomasse'!C:C,Restprodukter!$A25,'Forbrug af biomasse'!D:D,Restprodukter!$C25)</f>
        <v>168912.75887120995</v>
      </c>
      <c r="E25">
        <f ca="1">IF(B25="Vestdanmark",SUMIFS(IF($C25=År1,'Resultater - Vestdanmark'!$H$3:$H$480,IF($C25=År2,'Resultater - Vestdanmark'!$I$3:$I$480,'Resultater - Vestdanmark'!$J$3:$J$480)),'Resultater - Vestdanmark'!$F$3:$F$480,Restprodukter!$A25),SUMIFS(IF($C25=År1,'Resultater - Østdanmark'!$H$3:$H$480,IF($C25=År2,'Resultater - Østdanmark'!$I$3:$I$480,'Resultater - Østdanmark'!$J$3:$J$480)),'Resultater - Østdanmark'!$F$3:$F$480,Restprodukter!$A25))</f>
        <v>168912.745758362</v>
      </c>
      <c r="F25">
        <f t="shared" ca="1" si="2"/>
        <v>-1.3112847955198959E-2</v>
      </c>
      <c r="G25">
        <f t="shared" ca="1" si="3"/>
        <v>-2.825725611182861E-2</v>
      </c>
      <c r="H25">
        <f t="shared" ca="1" si="1"/>
        <v>-1.5144408156629652E-2</v>
      </c>
    </row>
    <row r="26" spans="1:8" x14ac:dyDescent="0.55000000000000004">
      <c r="A26" t="str">
        <f t="shared" si="4"/>
        <v>Halm</v>
      </c>
      <c r="B26" t="s">
        <v>23</v>
      </c>
      <c r="C26">
        <f t="shared" ref="C26:C37" si="6">År3</f>
        <v>2050</v>
      </c>
      <c r="D26" s="172">
        <f>SUMIFS('Forbrug af biomasse'!E:E,'Forbrug af biomasse'!F:F,"",'Forbrug af biomasse'!B:B,Restprodukter!$B26,'Forbrug af biomasse'!C:C,Restprodukter!$A26,'Forbrug af biomasse'!D:D,Restprodukter!$C26)</f>
        <v>825629.8009788451</v>
      </c>
      <c r="E26">
        <f>IF(B26="Vestdanmark",SUMIFS(IF($C26=År1,'Resultater - Vestdanmark'!$H$3:$H$480,IF($C26=År2,'Resultater - Vestdanmark'!$I$3:$I$480,'Resultater - Vestdanmark'!$J$3:$J$480)),'Resultater - Vestdanmark'!$F$3:$F$480,Restprodukter!$A26),SUMIFS(IF($C26=År1,'Resultater - Østdanmark'!$H$3:$H$480,IF($C26=År2,'Resultater - Østdanmark'!$I$3:$I$480,'Resultater - Østdanmark'!$J$3:$J$480)),'Resultater - Østdanmark'!$F$3:$F$480,Restprodukter!$A26))</f>
        <v>1830065.9253540484</v>
      </c>
      <c r="F26">
        <f t="shared" si="2"/>
        <v>1004436.1243752033</v>
      </c>
      <c r="G26">
        <f t="shared" si="3"/>
        <v>1004436.1243752033</v>
      </c>
      <c r="H26">
        <f t="shared" si="1"/>
        <v>696380.30259275995</v>
      </c>
    </row>
    <row r="27" spans="1:8" x14ac:dyDescent="0.55000000000000004">
      <c r="A27" t="str">
        <f t="shared" si="4"/>
        <v>Rapsolie</v>
      </c>
      <c r="B27" t="s">
        <v>23</v>
      </c>
      <c r="C27">
        <f t="shared" si="6"/>
        <v>2050</v>
      </c>
      <c r="D27" s="172">
        <f>SUMIFS('Forbrug af biomasse'!E:E,'Forbrug af biomasse'!F:F,"",'Forbrug af biomasse'!B:B,Restprodukter!$B27,'Forbrug af biomasse'!C:C,Restprodukter!$A27,'Forbrug af biomasse'!D:D,Restprodukter!$C27)</f>
        <v>0</v>
      </c>
      <c r="E27">
        <f>IF(B27="Vestdanmark",SUMIFS(IF($C27=År1,'Resultater - Vestdanmark'!$H$3:$H$480,IF($C27=År2,'Resultater - Vestdanmark'!$I$3:$I$480,'Resultater - Vestdanmark'!$J$3:$J$480)),'Resultater - Vestdanmark'!$F$3:$F$480,Restprodukter!$A27),SUMIFS(IF($C27=År1,'Resultater - Østdanmark'!$H$3:$H$480,IF($C27=År2,'Resultater - Østdanmark'!$I$3:$I$480,'Resultater - Østdanmark'!$J$3:$J$480)),'Resultater - Østdanmark'!$F$3:$F$480,Restprodukter!$A27))</f>
        <v>156492.78628542495</v>
      </c>
      <c r="F27">
        <f t="shared" si="2"/>
        <v>156492.78628542495</v>
      </c>
      <c r="G27">
        <f t="shared" si="3"/>
        <v>156492.78628542495</v>
      </c>
      <c r="H27">
        <f t="shared" si="1"/>
        <v>63732.21710113556</v>
      </c>
    </row>
    <row r="28" spans="1:8" x14ac:dyDescent="0.55000000000000004">
      <c r="A28" t="str">
        <f t="shared" si="4"/>
        <v>Pil &amp; poppel</v>
      </c>
      <c r="B28" t="s">
        <v>23</v>
      </c>
      <c r="C28">
        <f t="shared" si="6"/>
        <v>2050</v>
      </c>
      <c r="D28" s="172">
        <f>SUMIFS('Forbrug af biomasse'!E:E,'Forbrug af biomasse'!F:F,"",'Forbrug af biomasse'!B:B,Restprodukter!$B28,'Forbrug af biomasse'!C:C,Restprodukter!$A28,'Forbrug af biomasse'!D:D,Restprodukter!$C28)</f>
        <v>0</v>
      </c>
      <c r="E28">
        <f>IF(B28="Vestdanmark",SUMIFS(IF($C28=År1,'Resultater - Vestdanmark'!$H$3:$H$480,IF($C28=År2,'Resultater - Vestdanmark'!$I$3:$I$480,'Resultater - Vestdanmark'!$J$3:$J$480)),'Resultater - Vestdanmark'!$F$3:$F$480,Restprodukter!$A28),SUMIFS(IF($C28=År1,'Resultater - Østdanmark'!$H$3:$H$480,IF($C28=År2,'Resultater - Østdanmark'!$I$3:$I$480,'Resultater - Østdanmark'!$J$3:$J$480)),'Resultater - Østdanmark'!$F$3:$F$480,Restprodukter!$A28))</f>
        <v>171775.11908496951</v>
      </c>
      <c r="F28">
        <f t="shared" si="2"/>
        <v>171775.11908496951</v>
      </c>
      <c r="G28">
        <f t="shared" si="3"/>
        <v>171775.11908496951</v>
      </c>
      <c r="H28">
        <f t="shared" si="1"/>
        <v>38470.033999756291</v>
      </c>
    </row>
    <row r="29" spans="1:8" x14ac:dyDescent="0.55000000000000004">
      <c r="A29" t="str">
        <f t="shared" si="4"/>
        <v>Træ til energi</v>
      </c>
      <c r="B29" t="s">
        <v>23</v>
      </c>
      <c r="C29">
        <f t="shared" si="6"/>
        <v>2050</v>
      </c>
      <c r="D29" s="172">
        <f>SUMIFS('Forbrug af biomasse'!E:E,'Forbrug af biomasse'!F:F,"",'Forbrug af biomasse'!B:B,Restprodukter!$B29,'Forbrug af biomasse'!C:C,Restprodukter!$A29,'Forbrug af biomasse'!D:D,Restprodukter!$C29)</f>
        <v>0</v>
      </c>
      <c r="E29">
        <f>IF(B29="Vestdanmark",SUMIFS(IF($C29=År1,'Resultater - Vestdanmark'!$H$3:$H$480,IF($C29=År2,'Resultater - Vestdanmark'!$I$3:$I$480,'Resultater - Vestdanmark'!$J$3:$J$480)),'Resultater - Vestdanmark'!$F$3:$F$480,Restprodukter!$A29),SUMIFS(IF($C29=År1,'Resultater - Østdanmark'!$H$3:$H$480,IF($C29=År2,'Resultater - Østdanmark'!$I$3:$I$480,'Resultater - Østdanmark'!$J$3:$J$480)),'Resultater - Østdanmark'!$F$3:$F$480,Restprodukter!$A29))</f>
        <v>2001135.6433479721</v>
      </c>
      <c r="F29">
        <f t="shared" si="2"/>
        <v>2001135.6433479721</v>
      </c>
      <c r="G29">
        <f t="shared" si="3"/>
        <v>2001135.6433479721</v>
      </c>
      <c r="H29">
        <f t="shared" si="1"/>
        <v>585110.82295504375</v>
      </c>
    </row>
    <row r="30" spans="1:8" x14ac:dyDescent="0.55000000000000004">
      <c r="A30" t="str">
        <f t="shared" si="4"/>
        <v>Have/parkaffald</v>
      </c>
      <c r="B30" t="s">
        <v>23</v>
      </c>
      <c r="C30">
        <f t="shared" si="6"/>
        <v>2050</v>
      </c>
      <c r="D30" s="172">
        <f>SUMIFS('Forbrug af biomasse'!E:E,'Forbrug af biomasse'!F:F,"",'Forbrug af biomasse'!B:B,Restprodukter!$B30,'Forbrug af biomasse'!C:C,Restprodukter!$A30,'Forbrug af biomasse'!D:D,Restprodukter!$C30)</f>
        <v>41.656918132692169</v>
      </c>
      <c r="E30">
        <f>IF(B30="Vestdanmark",SUMIFS(IF($C30=År1,'Resultater - Vestdanmark'!$H$3:$H$480,IF($C30=År2,'Resultater - Vestdanmark'!$I$3:$I$480,'Resultater - Vestdanmark'!$J$3:$J$480)),'Resultater - Vestdanmark'!$F$3:$F$480,Restprodukter!$A30),SUMIFS(IF($C30=År1,'Resultater - Østdanmark'!$H$3:$H$480,IF($C30=År2,'Resultater - Østdanmark'!$I$3:$I$480,'Resultater - Østdanmark'!$J$3:$J$480)),'Resultater - Østdanmark'!$F$3:$F$480,Restprodukter!$A30))</f>
        <v>524881.97503939818</v>
      </c>
      <c r="F30">
        <f t="shared" si="2"/>
        <v>524840.3181212655</v>
      </c>
      <c r="G30">
        <f t="shared" si="3"/>
        <v>524840.3181212655</v>
      </c>
      <c r="H30">
        <f t="shared" si="1"/>
        <v>457890.6818787345</v>
      </c>
    </row>
    <row r="31" spans="1:8" x14ac:dyDescent="0.55000000000000004">
      <c r="A31" t="str">
        <f t="shared" si="4"/>
        <v>Bioaffald</v>
      </c>
      <c r="B31" t="s">
        <v>23</v>
      </c>
      <c r="C31">
        <f t="shared" si="6"/>
        <v>2050</v>
      </c>
      <c r="D31" s="172">
        <f ca="1">SUMIFS('Forbrug af biomasse'!E:E,'Forbrug af biomasse'!F:F,"",'Forbrug af biomasse'!B:B,Restprodukter!$B31,'Forbrug af biomasse'!C:C,Restprodukter!$A31,'Forbrug af biomasse'!D:D,Restprodukter!$C31)</f>
        <v>197484.23354298095</v>
      </c>
      <c r="E31">
        <f ca="1">IF(B31="Vestdanmark",SUMIFS(IF($C31=År1,'Resultater - Vestdanmark'!$H$3:$H$480,IF($C31=År2,'Resultater - Vestdanmark'!$I$3:$I$480,'Resultater - Vestdanmark'!$J$3:$J$480)),'Resultater - Vestdanmark'!$F$3:$F$480,Restprodukter!$A31),SUMIFS(IF($C31=År1,'Resultater - Østdanmark'!$H$3:$H$480,IF($C31=År2,'Resultater - Østdanmark'!$I$3:$I$480,'Resultater - Østdanmark'!$J$3:$J$480)),'Resultater - Østdanmark'!$F$3:$F$480,Restprodukter!$A31))</f>
        <v>197484.13479984918</v>
      </c>
      <c r="F31">
        <f t="shared" ca="1" si="2"/>
        <v>-9.8743131762603298E-2</v>
      </c>
      <c r="G31">
        <f t="shared" ca="1" si="3"/>
        <v>-0.18489040050189942</v>
      </c>
      <c r="H31">
        <f t="shared" ca="1" si="1"/>
        <v>-8.6147268739296123E-2</v>
      </c>
    </row>
    <row r="32" spans="1:8" x14ac:dyDescent="0.55000000000000004">
      <c r="A32" t="str">
        <f t="shared" si="4"/>
        <v>Halm</v>
      </c>
      <c r="B32" t="s">
        <v>24</v>
      </c>
      <c r="C32">
        <f t="shared" si="6"/>
        <v>2050</v>
      </c>
      <c r="D32" s="172">
        <f>SUMIFS('Forbrug af biomasse'!E:E,'Forbrug af biomasse'!F:F,"",'Forbrug af biomasse'!B:B,Restprodukter!$B32,'Forbrug af biomasse'!C:C,Restprodukter!$A32,'Forbrug af biomasse'!D:D,Restprodukter!$C32)</f>
        <v>118279.54059849346</v>
      </c>
      <c r="E32">
        <f>IF(B32="Vestdanmark",SUMIFS(IF($C32=År1,'Resultater - Vestdanmark'!$H$3:$H$480,IF($C32=År2,'Resultater - Vestdanmark'!$I$3:$I$480,'Resultater - Vestdanmark'!$J$3:$J$480)),'Resultater - Vestdanmark'!$F$3:$F$480,Restprodukter!$A32),SUMIFS(IF($C32=År1,'Resultater - Østdanmark'!$H$3:$H$480,IF($C32=År2,'Resultater - Østdanmark'!$I$3:$I$480,'Resultater - Østdanmark'!$J$3:$J$480)),'Resultater - Østdanmark'!$F$3:$F$480,Restprodukter!$A32))</f>
        <v>814659.84319125337</v>
      </c>
      <c r="F32">
        <f t="shared" si="2"/>
        <v>696380.30259275995</v>
      </c>
      <c r="G32">
        <f t="shared" si="3"/>
        <v>696380.30259275995</v>
      </c>
      <c r="H32">
        <f t="shared" si="1"/>
        <v>1004436.1243752033</v>
      </c>
    </row>
    <row r="33" spans="1:8" x14ac:dyDescent="0.55000000000000004">
      <c r="A33" t="str">
        <f t="shared" si="4"/>
        <v>Rapsolie</v>
      </c>
      <c r="B33" t="s">
        <v>24</v>
      </c>
      <c r="C33">
        <f t="shared" si="6"/>
        <v>2050</v>
      </c>
      <c r="D33" s="172">
        <f>SUMIFS('Forbrug af biomasse'!E:E,'Forbrug af biomasse'!F:F,"",'Forbrug af biomasse'!B:B,Restprodukter!$B33,'Forbrug af biomasse'!C:C,Restprodukter!$A33,'Forbrug af biomasse'!D:D,Restprodukter!$C33)</f>
        <v>0</v>
      </c>
      <c r="E33">
        <f>IF(B33="Vestdanmark",SUMIFS(IF($C33=År1,'Resultater - Vestdanmark'!$H$3:$H$480,IF($C33=År2,'Resultater - Vestdanmark'!$I$3:$I$480,'Resultater - Vestdanmark'!$J$3:$J$480)),'Resultater - Vestdanmark'!$F$3:$F$480,Restprodukter!$A33),SUMIFS(IF($C33=År1,'Resultater - Østdanmark'!$H$3:$H$480,IF($C33=År2,'Resultater - Østdanmark'!$I$3:$I$480,'Resultater - Østdanmark'!$J$3:$J$480)),'Resultater - Østdanmark'!$F$3:$F$480,Restprodukter!$A33))</f>
        <v>63732.21710113556</v>
      </c>
      <c r="F33">
        <f t="shared" si="2"/>
        <v>63732.21710113556</v>
      </c>
      <c r="G33">
        <f t="shared" si="3"/>
        <v>63732.21710113556</v>
      </c>
      <c r="H33">
        <f t="shared" si="1"/>
        <v>156492.78628542495</v>
      </c>
    </row>
    <row r="34" spans="1:8" x14ac:dyDescent="0.55000000000000004">
      <c r="A34" t="str">
        <f t="shared" si="4"/>
        <v>Pil &amp; poppel</v>
      </c>
      <c r="B34" t="s">
        <v>24</v>
      </c>
      <c r="C34">
        <f t="shared" si="6"/>
        <v>2050</v>
      </c>
      <c r="D34" s="172">
        <f>SUMIFS('Forbrug af biomasse'!E:E,'Forbrug af biomasse'!F:F,"",'Forbrug af biomasse'!B:B,Restprodukter!$B34,'Forbrug af biomasse'!C:C,Restprodukter!$A34,'Forbrug af biomasse'!D:D,Restprodukter!$C34)</f>
        <v>0</v>
      </c>
      <c r="E34">
        <f>IF(B34="Vestdanmark",SUMIFS(IF($C34=År1,'Resultater - Vestdanmark'!$H$3:$H$480,IF($C34=År2,'Resultater - Vestdanmark'!$I$3:$I$480,'Resultater - Vestdanmark'!$J$3:$J$480)),'Resultater - Vestdanmark'!$F$3:$F$480,Restprodukter!$A34),SUMIFS(IF($C34=År1,'Resultater - Østdanmark'!$H$3:$H$480,IF($C34=År2,'Resultater - Østdanmark'!$I$3:$I$480,'Resultater - Østdanmark'!$J$3:$J$480)),'Resultater - Østdanmark'!$F$3:$F$480,Restprodukter!$A34))</f>
        <v>38470.033999756291</v>
      </c>
      <c r="F34">
        <f t="shared" si="2"/>
        <v>38470.033999756291</v>
      </c>
      <c r="G34">
        <f t="shared" si="3"/>
        <v>38470.033999756291</v>
      </c>
      <c r="H34">
        <f t="shared" si="1"/>
        <v>171775.11908496951</v>
      </c>
    </row>
    <row r="35" spans="1:8" x14ac:dyDescent="0.55000000000000004">
      <c r="A35" t="str">
        <f t="shared" si="4"/>
        <v>Træ til energi</v>
      </c>
      <c r="B35" t="s">
        <v>24</v>
      </c>
      <c r="C35">
        <f t="shared" si="6"/>
        <v>2050</v>
      </c>
      <c r="D35" s="172">
        <f>SUMIFS('Forbrug af biomasse'!E:E,'Forbrug af biomasse'!F:F,"",'Forbrug af biomasse'!B:B,Restprodukter!$B35,'Forbrug af biomasse'!C:C,Restprodukter!$A35,'Forbrug af biomasse'!D:D,Restprodukter!$C35)</f>
        <v>0</v>
      </c>
      <c r="E35">
        <f>IF(B35="Vestdanmark",SUMIFS(IF($C35=År1,'Resultater - Vestdanmark'!$H$3:$H$480,IF($C35=År2,'Resultater - Vestdanmark'!$I$3:$I$480,'Resultater - Vestdanmark'!$J$3:$J$480)),'Resultater - Vestdanmark'!$F$3:$F$480,Restprodukter!$A35),SUMIFS(IF($C35=År1,'Resultater - Østdanmark'!$H$3:$H$480,IF($C35=År2,'Resultater - Østdanmark'!$I$3:$I$480,'Resultater - Østdanmark'!$J$3:$J$480)),'Resultater - Østdanmark'!$F$3:$F$480,Restprodukter!$A35))</f>
        <v>585110.82295504375</v>
      </c>
      <c r="F35">
        <f t="shared" si="2"/>
        <v>585110.82295504375</v>
      </c>
      <c r="G35">
        <f t="shared" si="3"/>
        <v>585110.82295504375</v>
      </c>
      <c r="H35">
        <f t="shared" si="1"/>
        <v>2001135.6433479721</v>
      </c>
    </row>
    <row r="36" spans="1:8" x14ac:dyDescent="0.55000000000000004">
      <c r="A36" t="str">
        <f t="shared" si="4"/>
        <v>Have/parkaffald</v>
      </c>
      <c r="B36" t="s">
        <v>24</v>
      </c>
      <c r="C36">
        <f t="shared" si="6"/>
        <v>2050</v>
      </c>
      <c r="D36" s="172">
        <f>SUMIFS('Forbrug af biomasse'!E:E,'Forbrug af biomasse'!F:F,"",'Forbrug af biomasse'!B:B,Restprodukter!$B36,'Forbrug af biomasse'!C:C,Restprodukter!$A36,'Forbrug af biomasse'!D:D,Restprodukter!$C36)</f>
        <v>36.343081867307831</v>
      </c>
      <c r="E36">
        <f>IF(B36="Vestdanmark",SUMIFS(IF($C36=År1,'Resultater - Vestdanmark'!$H$3:$H$480,IF($C36=År2,'Resultater - Vestdanmark'!$I$3:$I$480,'Resultater - Vestdanmark'!$J$3:$J$480)),'Resultater - Vestdanmark'!$F$3:$F$480,Restprodukter!$A36),SUMIFS(IF($C36=År1,'Resultater - Østdanmark'!$H$3:$H$480,IF($C36=År2,'Resultater - Østdanmark'!$I$3:$I$480,'Resultater - Østdanmark'!$J$3:$J$480)),'Resultater - Østdanmark'!$F$3:$F$480,Restprodukter!$A36))</f>
        <v>457927.02496060182</v>
      </c>
      <c r="F36">
        <f t="shared" si="2"/>
        <v>457890.6818787345</v>
      </c>
      <c r="G36">
        <f t="shared" si="3"/>
        <v>457890.6818787345</v>
      </c>
      <c r="H36">
        <f t="shared" si="1"/>
        <v>524840.3181212655</v>
      </c>
    </row>
    <row r="37" spans="1:8" x14ac:dyDescent="0.55000000000000004">
      <c r="A37" t="str">
        <f t="shared" si="4"/>
        <v>Bioaffald</v>
      </c>
      <c r="B37" t="s">
        <v>24</v>
      </c>
      <c r="C37">
        <f t="shared" si="6"/>
        <v>2050</v>
      </c>
      <c r="D37" s="172">
        <f ca="1">SUMIFS('Forbrug af biomasse'!E:E,'Forbrug af biomasse'!F:F,"",'Forbrug af biomasse'!B:B,Restprodukter!$B37,'Forbrug af biomasse'!C:C,Restprodukter!$A37,'Forbrug af biomasse'!D:D,Restprodukter!$C37)</f>
        <v>172292.76645701908</v>
      </c>
      <c r="E37">
        <f ca="1">IF(B37="Vestdanmark",SUMIFS(IF($C37=År1,'Resultater - Vestdanmark'!$H$3:$H$480,IF($C37=År2,'Resultater - Vestdanmark'!$I$3:$I$480,'Resultater - Vestdanmark'!$J$3:$J$480)),'Resultater - Vestdanmark'!$F$3:$F$480,Restprodukter!$A37),SUMIFS(IF($C37=År1,'Resultater - Østdanmark'!$H$3:$H$480,IF($C37=År2,'Resultater - Østdanmark'!$I$3:$I$480,'Resultater - Østdanmark'!$J$3:$J$480)),'Resultater - Østdanmark'!$F$3:$F$480,Restprodukter!$A37))</f>
        <v>172292.68030975034</v>
      </c>
      <c r="F37">
        <f t="shared" ca="1" si="2"/>
        <v>-8.6147268739296123E-2</v>
      </c>
      <c r="G37">
        <f t="shared" ca="1" si="3"/>
        <v>-0.18489040050189942</v>
      </c>
      <c r="H37">
        <f t="shared" ca="1" si="1"/>
        <v>-9.8743131762603298E-2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89E6-B9A6-46D5-83F7-24899AA46FB2}">
  <sheetPr codeName="Sheet21">
    <tabColor rgb="FFFF0000"/>
  </sheetPr>
  <dimension ref="A1:U480"/>
  <sheetViews>
    <sheetView topLeftCell="A410" zoomScale="80" zoomScaleNormal="80" workbookViewId="0">
      <selection activeCell="M418" sqref="M418:O432"/>
    </sheetView>
  </sheetViews>
  <sheetFormatPr defaultRowHeight="14.4" x14ac:dyDescent="0.55000000000000004"/>
  <cols>
    <col min="1" max="1" width="27.83984375" bestFit="1" customWidth="1"/>
    <col min="2" max="2" width="19.26171875" bestFit="1" customWidth="1"/>
    <col min="3" max="3" width="12.26171875" bestFit="1" customWidth="1"/>
    <col min="4" max="4" width="18.41796875" bestFit="1" customWidth="1"/>
    <col min="5" max="5" width="6" bestFit="1" customWidth="1"/>
    <col min="6" max="6" width="16.41796875" bestFit="1" customWidth="1"/>
    <col min="7" max="7" width="16" bestFit="1" customWidth="1"/>
    <col min="8" max="8" width="35.15625" bestFit="1" customWidth="1"/>
    <col min="9" max="10" width="12.578125" bestFit="1" customWidth="1"/>
    <col min="11" max="11" width="4.41796875" bestFit="1" customWidth="1"/>
    <col min="12" max="12" width="10.68359375" bestFit="1" customWidth="1"/>
    <col min="13" max="13" width="11.578125" customWidth="1"/>
  </cols>
  <sheetData>
    <row r="1" spans="1:21" x14ac:dyDescent="0.55000000000000004">
      <c r="A1" t="s">
        <v>23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101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4.7" thickBot="1" x14ac:dyDescent="0.6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U2" t="str">
        <f>IF('[1]Processer - data'!$A$1&lt;&gt;"",'[1]Processer - data'!$A$1,"")</f>
        <v/>
      </c>
    </row>
    <row r="3" spans="1:21" x14ac:dyDescent="0.55000000000000004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11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3727146.4907319495</v>
      </c>
      <c r="I3" s="312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3852150.2091205032</v>
      </c>
      <c r="J3" s="313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4002333.5486616795</v>
      </c>
      <c r="M3">
        <f>SUMIF($F$3:$F$472,"Roer",H3:H472)</f>
        <v>376449.39511597221</v>
      </c>
      <c r="N3" s="172">
        <f>SUMIF($F$3:$F$472,"Roer",I3:I472)</f>
        <v>395099.15710561507</v>
      </c>
      <c r="O3" s="172">
        <f>SUMIF($F$3:$F$472,"Roer",J3:J472)</f>
        <v>380710.74225422333</v>
      </c>
    </row>
    <row r="4" spans="1:21" x14ac:dyDescent="0.55000000000000004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08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193591.30306616417</v>
      </c>
      <c r="I4" s="309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195082.22598438186</v>
      </c>
      <c r="J4" s="310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197484.13479984918</v>
      </c>
      <c r="N4" s="172"/>
      <c r="O4" s="172"/>
    </row>
    <row r="5" spans="1:21" x14ac:dyDescent="0.55000000000000004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08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530462.48766233202</v>
      </c>
      <c r="I5" s="309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526734.10986839118</v>
      </c>
      <c r="J5" s="310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524881.97503939818</v>
      </c>
    </row>
    <row r="6" spans="1:21" s="172" customFormat="1" x14ac:dyDescent="0.55000000000000004">
      <c r="A6" s="172" t="str">
        <f>IF('[1]Processer - data'!A6&lt;&gt;"",'[1]Processer - data'!A6,"")</f>
        <v>Bioaffaldsproduktion</v>
      </c>
      <c r="B6" s="172" t="str">
        <f>IF('[1]Processer - data'!B6&lt;&gt;"",'[1]Processer - data'!B6,"")</f>
        <v/>
      </c>
      <c r="C6" s="172" t="str">
        <f>IF('[1]Processer - data'!C6&lt;&gt;"",'[1]Processer - data'!C6,"")</f>
        <v/>
      </c>
      <c r="D6" s="172" t="str">
        <f>IF('[1]Processer - data'!D6&lt;&gt;"",'[1]Processer - data'!D6,"")</f>
        <v>Befolkning</v>
      </c>
      <c r="E6" s="172" t="str">
        <f>IF('[1]Processer - data'!E6&lt;&gt;"",'[1]Processer - data'!E6,"")</f>
        <v>Antal</v>
      </c>
      <c r="F6" s="172" t="str">
        <f>IF('[1]Processer - data'!F6&lt;&gt;"",'[1]Processer - data'!F6,"")</f>
        <v>Industriaffald</v>
      </c>
      <c r="G6" s="172" t="str">
        <f>IF('[1]Processer - data'!G6&lt;&gt;"",'[1]Processer - data'!G6,"")</f>
        <v>Ton</v>
      </c>
      <c r="H6" s="308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191617.83362271384</v>
      </c>
      <c r="I6" s="309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190271.03966005245</v>
      </c>
      <c r="J6" s="310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189601.99694400141</v>
      </c>
      <c r="L6"/>
      <c r="M6"/>
      <c r="N6"/>
      <c r="O6"/>
    </row>
    <row r="7" spans="1:21" x14ac:dyDescent="0.55000000000000004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08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878.90231344976178</v>
      </c>
      <c r="I7" s="309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144989.33878430488</v>
      </c>
      <c r="J7" s="310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194761.7983669767</v>
      </c>
    </row>
    <row r="8" spans="1:21" x14ac:dyDescent="0.55000000000000004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08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-142.38217477886138</v>
      </c>
      <c r="I8" s="309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-23488.272883057391</v>
      </c>
      <c r="J8" s="310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-31551.411335450222</v>
      </c>
    </row>
    <row r="9" spans="1:21" x14ac:dyDescent="0.55000000000000004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08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76.5</v>
      </c>
      <c r="I9" s="309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10800</v>
      </c>
      <c r="J9" s="310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13500</v>
      </c>
    </row>
    <row r="10" spans="1:21" x14ac:dyDescent="0.55000000000000004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08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-15.861000000000001</v>
      </c>
      <c r="I10" s="309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-447.84000000000003</v>
      </c>
      <c r="J10" s="310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-559.80000000000007</v>
      </c>
    </row>
    <row r="11" spans="1:21" x14ac:dyDescent="0.55000000000000004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08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1333916.9387477553</v>
      </c>
      <c r="I11" s="309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1262358.4040746661</v>
      </c>
      <c r="J11" s="310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1141942.6421886836</v>
      </c>
    </row>
    <row r="12" spans="1:21" x14ac:dyDescent="0.55000000000000004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08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1634998.8306815128</v>
      </c>
      <c r="I12" s="309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1547288.6314050737</v>
      </c>
      <c r="J12" s="310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1399693.5119787999</v>
      </c>
    </row>
    <row r="13" spans="1:21" x14ac:dyDescent="0.55000000000000004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08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-434670</v>
      </c>
      <c r="I13" s="309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-411351.94520750927</v>
      </c>
      <c r="J13" s="310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-372113.28071606322</v>
      </c>
    </row>
    <row r="14" spans="1:21" x14ac:dyDescent="0.55000000000000004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08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09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10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55000000000000004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08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09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10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55000000000000004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08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09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-95874.153396959387</v>
      </c>
      <c r="J16" s="310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-91926.904937424406</v>
      </c>
    </row>
    <row r="17" spans="1:10" x14ac:dyDescent="0.55000000000000004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08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09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10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55000000000000004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08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09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10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55000000000000004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08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09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-21092.313747331063</v>
      </c>
      <c r="J19" s="310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-202239.19086233369</v>
      </c>
    </row>
    <row r="20" spans="1:10" x14ac:dyDescent="0.55000000000000004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08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09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10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55000000000000004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08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09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10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55000000000000004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08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09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10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-536895.25902297255</v>
      </c>
    </row>
    <row r="23" spans="1:10" x14ac:dyDescent="0.55000000000000004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08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09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10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7321.608646632094</v>
      </c>
    </row>
    <row r="24" spans="1:10" x14ac:dyDescent="0.55000000000000004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08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09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10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3824.72093480781</v>
      </c>
    </row>
    <row r="25" spans="1:10" x14ac:dyDescent="0.55000000000000004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08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09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10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-55607.008970236442</v>
      </c>
    </row>
    <row r="26" spans="1:10" x14ac:dyDescent="0.55000000000000004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08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09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10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55000000000000004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08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09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10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55000000000000004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08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09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10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x14ac:dyDescent="0.55000000000000004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08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09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10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x14ac:dyDescent="0.55000000000000004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08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09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10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x14ac:dyDescent="0.55000000000000004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08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09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10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x14ac:dyDescent="0.55000000000000004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08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09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10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x14ac:dyDescent="0.55000000000000004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08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09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10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x14ac:dyDescent="0.55000000000000004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08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09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10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x14ac:dyDescent="0.55000000000000004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08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09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10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x14ac:dyDescent="0.55000000000000004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08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09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10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x14ac:dyDescent="0.55000000000000004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08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09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10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x14ac:dyDescent="0.55000000000000004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08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09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10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55000000000000004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08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09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10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55000000000000004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08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09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10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55000000000000004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08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09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10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55000000000000004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08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09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10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55000000000000004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08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09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10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55000000000000004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08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09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10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55000000000000004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08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09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10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55000000000000004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08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09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10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55000000000000004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08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09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10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55000000000000004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08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09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10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55000000000000004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08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09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10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55000000000000004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08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09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10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55000000000000004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08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09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10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55000000000000004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08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09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10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55000000000000004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08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09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10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55000000000000004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08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09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10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55000000000000004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08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09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10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55000000000000004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08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09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10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55000000000000004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08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09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10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55000000000000004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08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09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10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55000000000000004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08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09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10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55000000000000004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08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09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10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55000000000000004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08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09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10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55000000000000004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08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09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10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55000000000000004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08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09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10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55000000000000004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08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09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10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55000000000000004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08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09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10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55000000000000004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08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09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10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55000000000000004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08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09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10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55000000000000004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08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09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10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55000000000000004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08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09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10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55000000000000004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08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09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10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55000000000000004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08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09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10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55000000000000004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08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09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10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55000000000000004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08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09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10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55000000000000004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08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14231744.940235101</v>
      </c>
      <c r="I74" s="309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13974313.152148861</v>
      </c>
      <c r="J74" s="310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13378679.704795422</v>
      </c>
    </row>
    <row r="75" spans="1:10" x14ac:dyDescent="0.55000000000000004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08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15352538.506892066</v>
      </c>
      <c r="I75" s="309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15074833.175881069</v>
      </c>
      <c r="J75" s="310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14432291.767579561</v>
      </c>
    </row>
    <row r="76" spans="1:10" x14ac:dyDescent="0.55000000000000004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08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1968084.6638925183</v>
      </c>
      <c r="I76" s="309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1932484.8441755001</v>
      </c>
      <c r="J76" s="310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1850115.671740179</v>
      </c>
    </row>
    <row r="77" spans="1:10" x14ac:dyDescent="0.55000000000000004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08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160864.90802355704</v>
      </c>
      <c r="I77" s="309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157955.09330394692</v>
      </c>
      <c r="J77" s="310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151222.50217568839</v>
      </c>
    </row>
    <row r="78" spans="1:10" x14ac:dyDescent="0.55000000000000004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08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-8783081404.0200005</v>
      </c>
      <c r="I78" s="309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-8624208099.2889977</v>
      </c>
      <c r="J78" s="310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-8256614590.7605991</v>
      </c>
    </row>
    <row r="79" spans="1:10" x14ac:dyDescent="0.55000000000000004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08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-674539.66619999998</v>
      </c>
      <c r="I79" s="309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-662338.21422526462</v>
      </c>
      <c r="J79" s="310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-634107.07402126468</v>
      </c>
    </row>
    <row r="80" spans="1:10" x14ac:dyDescent="0.55000000000000004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08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1150151.6436268529</v>
      </c>
      <c r="I80" s="309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1129347.0553326856</v>
      </c>
      <c r="J80" s="310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1081210.3868250945</v>
      </c>
    </row>
    <row r="81" spans="1:10" x14ac:dyDescent="0.55000000000000004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08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224727.20289902308</v>
      </c>
      <c r="I81" s="309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312502.4938554684</v>
      </c>
      <c r="J81" s="310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515592.79413852637</v>
      </c>
    </row>
    <row r="82" spans="1:10" x14ac:dyDescent="0.55000000000000004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08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09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10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55000000000000004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08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243586.51339107481</v>
      </c>
      <c r="I83" s="309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338727.98629756022</v>
      </c>
      <c r="J83" s="310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558861.80859999394</v>
      </c>
    </row>
    <row r="84" spans="1:10" x14ac:dyDescent="0.55000000000000004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08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7449.8701829066958</v>
      </c>
      <c r="I84" s="309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10359.684902516792</v>
      </c>
      <c r="J84" s="310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17092.276030775338</v>
      </c>
    </row>
    <row r="85" spans="1:10" x14ac:dyDescent="0.55000000000000004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08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-406756309.19</v>
      </c>
      <c r="I85" s="309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-565629613.92100143</v>
      </c>
      <c r="J85" s="310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-933223122.44940138</v>
      </c>
    </row>
    <row r="86" spans="1:10" x14ac:dyDescent="0.55000000000000004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08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-27458.796750000001</v>
      </c>
      <c r="I86" s="309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-38183.817321399743</v>
      </c>
      <c r="J86" s="310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-62998.860651399737</v>
      </c>
    </row>
    <row r="87" spans="1:10" x14ac:dyDescent="0.55000000000000004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08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58591.57596922417</v>
      </c>
      <c r="I87" s="309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81476.623092807975</v>
      </c>
      <c r="J87" s="310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134426.95845115845</v>
      </c>
    </row>
    <row r="88" spans="1:10" x14ac:dyDescent="0.55000000000000004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08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411928.1258385395</v>
      </c>
      <c r="I88" s="309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400887.81238927291</v>
      </c>
      <c r="J88" s="310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381519.88923974213</v>
      </c>
    </row>
    <row r="89" spans="1:10" x14ac:dyDescent="0.55000000000000004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08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11953488.544958346</v>
      </c>
      <c r="I89" s="309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11633116.489566609</v>
      </c>
      <c r="J89" s="310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11071090.657909039</v>
      </c>
    </row>
    <row r="90" spans="1:10" x14ac:dyDescent="0.55000000000000004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08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234254.90515230247</v>
      </c>
      <c r="I90" s="309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227976.50992341404</v>
      </c>
      <c r="J90" s="310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216962.37732162914</v>
      </c>
    </row>
    <row r="91" spans="1:10" x14ac:dyDescent="0.55000000000000004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08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4474552.90572685</v>
      </c>
      <c r="I91" s="309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4354627.9393896051</v>
      </c>
      <c r="J91" s="310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4144244.6434439537</v>
      </c>
    </row>
    <row r="92" spans="1:10" x14ac:dyDescent="0.55000000000000004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08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50974.141893857719</v>
      </c>
      <c r="I92" s="309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49607.955734148476</v>
      </c>
      <c r="J92" s="310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47211.267572096425</v>
      </c>
    </row>
    <row r="93" spans="1:10" x14ac:dyDescent="0.55000000000000004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08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-3101358722</v>
      </c>
      <c r="I93" s="309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-3018237492.1985717</v>
      </c>
      <c r="J93" s="310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-2872418662.1185713</v>
      </c>
    </row>
    <row r="94" spans="1:10" x14ac:dyDescent="0.55000000000000004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08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-12971.687549999999</v>
      </c>
      <c r="I94" s="309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-12624.026180127716</v>
      </c>
      <c r="J94" s="310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-12014.126948127714</v>
      </c>
    </row>
    <row r="95" spans="1:10" x14ac:dyDescent="0.55000000000000004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08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3354535.1850575823</v>
      </c>
      <c r="I95" s="309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3264628.4328924101</v>
      </c>
      <c r="J95" s="310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3106905.8216132326</v>
      </c>
    </row>
    <row r="96" spans="1:10" x14ac:dyDescent="0.55000000000000004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08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21677.657032824009</v>
      </c>
      <c r="I96" s="309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24989.242538077233</v>
      </c>
      <c r="J96" s="310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30798.727374135498</v>
      </c>
    </row>
    <row r="97" spans="1:10" x14ac:dyDescent="0.55000000000000004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08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1171427.2358122203</v>
      </c>
      <c r="I97" s="309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1350380.2217691736</v>
      </c>
      <c r="J97" s="310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1664315.8446407835</v>
      </c>
    </row>
    <row r="98" spans="1:10" x14ac:dyDescent="0.55000000000000004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08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9671.5700607984036</v>
      </c>
      <c r="I98" s="309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11149.046670834457</v>
      </c>
      <c r="J98" s="310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13740.970674614298</v>
      </c>
    </row>
    <row r="99" spans="1:10" x14ac:dyDescent="0.55000000000000004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08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447449.07465188007</v>
      </c>
      <c r="I99" s="309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515803.5959782608</v>
      </c>
      <c r="J99" s="310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635717.32144048903</v>
      </c>
    </row>
    <row r="100" spans="1:10" x14ac:dyDescent="0.55000000000000004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08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8943.0621574433171</v>
      </c>
      <c r="I100" s="309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10309.248317152564</v>
      </c>
      <c r="J100" s="310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12705.936479204604</v>
      </c>
    </row>
    <row r="101" spans="1:10" x14ac:dyDescent="0.55000000000000004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08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-544112030</v>
      </c>
      <c r="I101" s="309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-627233259.8014282</v>
      </c>
      <c r="J101" s="310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-773052089.88142812</v>
      </c>
    </row>
    <row r="102" spans="1:10" x14ac:dyDescent="0.55000000000000004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08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-2743.422</v>
      </c>
      <c r="I102" s="309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-3162.5206376542596</v>
      </c>
      <c r="J102" s="310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-3897.7416296542592</v>
      </c>
    </row>
    <row r="103" spans="1:10" x14ac:dyDescent="0.55000000000000004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08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492157.47803573997</v>
      </c>
      <c r="I103" s="309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567341.87495175749</v>
      </c>
      <c r="J103" s="310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699237.19008069311</v>
      </c>
    </row>
    <row r="104" spans="1:10" x14ac:dyDescent="0.55000000000000004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08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97185929.8774468</v>
      </c>
      <c r="I104" s="309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94936837.525924489</v>
      </c>
      <c r="J104" s="310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90395739.189926684</v>
      </c>
    </row>
    <row r="105" spans="1:10" x14ac:dyDescent="0.55000000000000004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08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6185.7778797696892</v>
      </c>
      <c r="I105" s="309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6042.625617552826</v>
      </c>
      <c r="J105" s="310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5753.5896874331438</v>
      </c>
    </row>
    <row r="106" spans="1:10" x14ac:dyDescent="0.55000000000000004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08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137099.40658193204</v>
      </c>
      <c r="I106" s="309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133926.6301612042</v>
      </c>
      <c r="J106" s="310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127520.53940423368</v>
      </c>
    </row>
    <row r="107" spans="1:10" x14ac:dyDescent="0.55000000000000004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08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202533.97911315371</v>
      </c>
      <c r="I107" s="309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197846.90533692716</v>
      </c>
      <c r="J107" s="310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188383.32643519162</v>
      </c>
    </row>
    <row r="108" spans="1:10" x14ac:dyDescent="0.55000000000000004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08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8553.8229892246891</v>
      </c>
      <c r="I108" s="309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8355.8690478918143</v>
      </c>
      <c r="J108" s="310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7956.1841203331578</v>
      </c>
    </row>
    <row r="109" spans="1:10" x14ac:dyDescent="0.55000000000000004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08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-336558388.31999999</v>
      </c>
      <c r="I109" s="309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-328769700.20469648</v>
      </c>
      <c r="J109" s="310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-313043712.51189649</v>
      </c>
    </row>
    <row r="110" spans="1:10" x14ac:dyDescent="0.55000000000000004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08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-7976.870891999999</v>
      </c>
      <c r="I110" s="309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-7792.2688684879358</v>
      </c>
      <c r="J110" s="310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-7419.5425368079359</v>
      </c>
    </row>
    <row r="111" spans="1:10" x14ac:dyDescent="0.55000000000000004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08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12995.753733500585</v>
      </c>
      <c r="I111" s="309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12695.003919601169</v>
      </c>
      <c r="J111" s="310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12087.765858200146</v>
      </c>
    </row>
    <row r="112" spans="1:10" x14ac:dyDescent="0.55000000000000004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08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1144367.3520506443</v>
      </c>
      <c r="I112" s="309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1301867.175600535</v>
      </c>
      <c r="J112" s="310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1619871.9859224628</v>
      </c>
    </row>
    <row r="113" spans="1:10" x14ac:dyDescent="0.55000000000000004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08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2021.8344763254286</v>
      </c>
      <c r="I113" s="309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2300.1005179926569</v>
      </c>
      <c r="J113" s="310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2861.9420350492778</v>
      </c>
    </row>
    <row r="114" spans="1:10" x14ac:dyDescent="0.55000000000000004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08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7613.0179455684893</v>
      </c>
      <c r="I114" s="309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8660.8012303332616</v>
      </c>
      <c r="J114" s="310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10776.359947924846</v>
      </c>
    </row>
    <row r="115" spans="1:10" x14ac:dyDescent="0.55000000000000004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08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14016.013855362682</v>
      </c>
      <c r="I115" s="309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15945.044515960162</v>
      </c>
      <c r="J115" s="310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19839.912557727635</v>
      </c>
    </row>
    <row r="116" spans="1:10" x14ac:dyDescent="0.55000000000000004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08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1438.3001997417073</v>
      </c>
      <c r="I116" s="309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1636.2541410745828</v>
      </c>
      <c r="J116" s="310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2035.9390686332388</v>
      </c>
    </row>
    <row r="117" spans="1:10" x14ac:dyDescent="0.55000000000000004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08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-56591304</v>
      </c>
      <c r="I117" s="309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-64379992.115303531</v>
      </c>
      <c r="J117" s="310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-80105979.808103532</v>
      </c>
    </row>
    <row r="118" spans="1:10" x14ac:dyDescent="0.55000000000000004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08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-2526.3975</v>
      </c>
      <c r="I118" s="309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-2874.1067908617647</v>
      </c>
      <c r="J118" s="310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-3576.1598128617643</v>
      </c>
    </row>
    <row r="119" spans="1:10" x14ac:dyDescent="0.55000000000000004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08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2403.7175816775175</v>
      </c>
      <c r="I119" s="309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2734.5423769668755</v>
      </c>
      <c r="J119" s="310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3402.5042445080016</v>
      </c>
    </row>
    <row r="120" spans="1:10" x14ac:dyDescent="0.55000000000000004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08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5979978.6547463266</v>
      </c>
      <c r="I120" s="309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6665706.184732642</v>
      </c>
      <c r="J120" s="310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5793245.2516373703</v>
      </c>
    </row>
    <row r="121" spans="1:10" x14ac:dyDescent="0.55000000000000004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08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1951850.0829625647</v>
      </c>
      <c r="I121" s="309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2017744.0829717745</v>
      </c>
      <c r="J121" s="310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1753645.6008920954</v>
      </c>
    </row>
    <row r="122" spans="1:10" x14ac:dyDescent="0.55000000000000004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08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-136490240.33657807</v>
      </c>
      <c r="I122" s="309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-141923184.03842363</v>
      </c>
      <c r="J122" s="310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-123347142.70950602</v>
      </c>
    </row>
    <row r="123" spans="1:10" x14ac:dyDescent="0.55000000000000004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08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1939606.81668759</v>
      </c>
      <c r="I123" s="309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2016812.1510235388</v>
      </c>
      <c r="J123" s="310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1752835.6476501822</v>
      </c>
    </row>
    <row r="124" spans="1:10" x14ac:dyDescent="0.55000000000000004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08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197993.19645791754</v>
      </c>
      <c r="I124" s="309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191617.21389798366</v>
      </c>
      <c r="J124" s="310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182756.30227264334</v>
      </c>
    </row>
    <row r="125" spans="1:10" x14ac:dyDescent="0.55000000000000004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08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64624.484340873139</v>
      </c>
      <c r="I125" s="309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58003.531632365382</v>
      </c>
      <c r="J125" s="310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55321.287395030558</v>
      </c>
    </row>
    <row r="126" spans="1:10" x14ac:dyDescent="0.55000000000000004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08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-3059809.2652792772</v>
      </c>
      <c r="I126" s="309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-2762382.5645685927</v>
      </c>
      <c r="J126" s="310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-2634642.330368889</v>
      </c>
    </row>
    <row r="127" spans="1:10" x14ac:dyDescent="0.55000000000000004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08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376396.41994728032</v>
      </c>
      <c r="I127" s="309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339809.05922039697</v>
      </c>
      <c r="J127" s="310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324095.34549922252</v>
      </c>
    </row>
    <row r="128" spans="1:10" x14ac:dyDescent="0.55000000000000004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08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116765.5313169249</v>
      </c>
      <c r="I128" s="309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110411.12509434081</v>
      </c>
      <c r="J128" s="310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105305.40832697245</v>
      </c>
    </row>
    <row r="129" spans="1:10" x14ac:dyDescent="0.55000000000000004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08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38111.977508016003</v>
      </c>
      <c r="I129" s="309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33422.024340591037</v>
      </c>
      <c r="J129" s="310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31876.497203453881</v>
      </c>
    </row>
    <row r="130" spans="1:10" x14ac:dyDescent="0.55000000000000004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08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-1189785.3201235472</v>
      </c>
      <c r="I130" s="309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-1049474.7555877077</v>
      </c>
      <c r="J130" s="310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-1000944.1310518599</v>
      </c>
    </row>
    <row r="131" spans="1:10" x14ac:dyDescent="0.55000000000000004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08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487237.24792620342</v>
      </c>
      <c r="I131" s="309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429777.69437219301</v>
      </c>
      <c r="J131" s="310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409903.5813376407</v>
      </c>
    </row>
    <row r="132" spans="1:10" x14ac:dyDescent="0.55000000000000004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08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512288.11454099719</v>
      </c>
      <c r="I132" s="309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697009.39238042501</v>
      </c>
      <c r="J132" s="310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823343.03727815941</v>
      </c>
    </row>
    <row r="133" spans="1:10" x14ac:dyDescent="0.55000000000000004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08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167209.55986589513</v>
      </c>
      <c r="I133" s="309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210988.38416739544</v>
      </c>
      <c r="J133" s="310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249230.238429816</v>
      </c>
    </row>
    <row r="134" spans="1:10" x14ac:dyDescent="0.55000000000000004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08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-11692738.705643302</v>
      </c>
      <c r="I134" s="309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-14840406.93211031</v>
      </c>
      <c r="J134" s="310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-17530245.433563128</v>
      </c>
    </row>
    <row r="135" spans="1:10" x14ac:dyDescent="0.55000000000000004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08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248001.06469683221</v>
      </c>
      <c r="I135" s="309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314762.59004413616</v>
      </c>
      <c r="J135" s="310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371813.62222882651</v>
      </c>
    </row>
    <row r="136" spans="1:10" x14ac:dyDescent="0.55000000000000004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08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16961.525644387857</v>
      </c>
      <c r="I136" s="309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20036.736412800718</v>
      </c>
      <c r="J136" s="310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25973.547201778707</v>
      </c>
    </row>
    <row r="137" spans="1:10" x14ac:dyDescent="0.55000000000000004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08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5536.1995665140876</v>
      </c>
      <c r="I137" s="309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6065.2247816733525</v>
      </c>
      <c r="J137" s="310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7862.328420687677</v>
      </c>
    </row>
    <row r="138" spans="1:10" x14ac:dyDescent="0.55000000000000004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08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-262125.33687237542</v>
      </c>
      <c r="I138" s="309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-288852.60458408005</v>
      </c>
      <c r="J138" s="310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-374438.56149788154</v>
      </c>
    </row>
    <row r="139" spans="1:10" x14ac:dyDescent="0.55000000000000004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08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48126.616225455735</v>
      </c>
      <c r="I139" s="309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53033.783808963693</v>
      </c>
      <c r="J139" s="310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68747.497530138106</v>
      </c>
    </row>
    <row r="140" spans="1:10" x14ac:dyDescent="0.55000000000000004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08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10002.977825723143</v>
      </c>
      <c r="I140" s="309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11545.302040211707</v>
      </c>
      <c r="J140" s="310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14966.132274348505</v>
      </c>
    </row>
    <row r="141" spans="1:10" x14ac:dyDescent="0.55000000000000004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08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3264.9469548714701</v>
      </c>
      <c r="I141" s="309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3494.8232388513984</v>
      </c>
      <c r="J141" s="310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4530.3264207332932</v>
      </c>
    </row>
    <row r="142" spans="1:10" x14ac:dyDescent="0.55000000000000004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08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-101925.59431142393</v>
      </c>
      <c r="I142" s="309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-109739.87473168573</v>
      </c>
      <c r="J142" s="310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-142255.3931707037</v>
      </c>
    </row>
    <row r="143" spans="1:10" x14ac:dyDescent="0.55000000000000004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08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62298.892335309647</v>
      </c>
      <c r="I143" s="309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67075.131491613938</v>
      </c>
      <c r="J143" s="310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86949.244526166192</v>
      </c>
    </row>
    <row r="144" spans="1:10" x14ac:dyDescent="0.55000000000000004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08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150765.11162055825</v>
      </c>
      <c r="I144" s="309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156066.48455516712</v>
      </c>
      <c r="J144" s="310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146057.25495610951</v>
      </c>
    </row>
    <row r="145" spans="1:10" x14ac:dyDescent="0.55000000000000004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08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-1462628.9238441708</v>
      </c>
      <c r="I145" s="309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-1412368.9664854561</v>
      </c>
      <c r="J145" s="310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-1321787.5370105102</v>
      </c>
    </row>
    <row r="146" spans="1:10" x14ac:dyDescent="0.55000000000000004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08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16627.855729329058</v>
      </c>
      <c r="I146" s="309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16056.476819546213</v>
      </c>
      <c r="J146" s="310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15026.704389566385</v>
      </c>
    </row>
    <row r="147" spans="1:10" x14ac:dyDescent="0.55000000000000004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08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2306.9008244740317</v>
      </c>
      <c r="I147" s="309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2232.6116080389106</v>
      </c>
      <c r="J147" s="310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2129.3694527538742</v>
      </c>
    </row>
    <row r="148" spans="1:10" x14ac:dyDescent="0.55000000000000004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08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-18183.839849707405</v>
      </c>
      <c r="I148" s="309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-16416.29193287465</v>
      </c>
      <c r="J148" s="310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-15657.157045805299</v>
      </c>
    </row>
    <row r="149" spans="1:10" x14ac:dyDescent="0.55000000000000004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08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1491.2328682247362</v>
      </c>
      <c r="I149" s="309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1346.2785807074283</v>
      </c>
      <c r="J149" s="310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1284.0229237961021</v>
      </c>
    </row>
    <row r="150" spans="1:10" x14ac:dyDescent="0.55000000000000004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08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686.36538368376091</v>
      </c>
      <c r="I150" s="309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649.01322662288487</v>
      </c>
      <c r="J150" s="310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619.00105429350299</v>
      </c>
    </row>
    <row r="151" spans="1:10" x14ac:dyDescent="0.55000000000000004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08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-4518.3955317975597</v>
      </c>
      <c r="I151" s="309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-3985.5442542268311</v>
      </c>
      <c r="J151" s="310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-3801.2416297539135</v>
      </c>
    </row>
    <row r="152" spans="1:10" x14ac:dyDescent="0.55000000000000004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08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973.87343605045032</v>
      </c>
      <c r="I152" s="309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859.02521151149961</v>
      </c>
      <c r="J152" s="310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819.30150230865559</v>
      </c>
    </row>
    <row r="153" spans="1:10" x14ac:dyDescent="0.55000000000000004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08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10987.921619592245</v>
      </c>
      <c r="I153" s="309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13883.602296555038</v>
      </c>
      <c r="J153" s="310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17659.649917420516</v>
      </c>
    </row>
    <row r="154" spans="1:10" x14ac:dyDescent="0.55000000000000004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08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-106597.95095164997</v>
      </c>
      <c r="I154" s="309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-125643.69013994894</v>
      </c>
      <c r="J154" s="310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-159816.12947490715</v>
      </c>
    </row>
    <row r="155" spans="1:10" x14ac:dyDescent="0.55000000000000004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08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2126.0628128443682</v>
      </c>
      <c r="I155" s="309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2505.9241279060566</v>
      </c>
      <c r="J155" s="310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3187.4827493019607</v>
      </c>
    </row>
    <row r="156" spans="1:10" x14ac:dyDescent="0.55000000000000004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08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168.1293846502677</v>
      </c>
      <c r="I156" s="309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198.61209622958864</v>
      </c>
      <c r="J156" s="310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257.46012474205929</v>
      </c>
    </row>
    <row r="157" spans="1:10" x14ac:dyDescent="0.55000000000000004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08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-1325.2575802461581</v>
      </c>
      <c r="I157" s="309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-1460.3857389996581</v>
      </c>
      <c r="J157" s="310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-1893.092624629186</v>
      </c>
    </row>
    <row r="158" spans="1:10" x14ac:dyDescent="0.55000000000000004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08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190.67129268097077</v>
      </c>
      <c r="I158" s="309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210.11284207572581</v>
      </c>
      <c r="J158" s="310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272.36849898705196</v>
      </c>
    </row>
    <row r="159" spans="1:10" x14ac:dyDescent="0.55000000000000004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08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50.023038866573799</v>
      </c>
      <c r="I159" s="309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57.735916518648544</v>
      </c>
      <c r="J159" s="310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74.842854746396256</v>
      </c>
    </row>
    <row r="160" spans="1:10" x14ac:dyDescent="0.55000000000000004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08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-329.30547005237952</v>
      </c>
      <c r="I160" s="309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-354.55217382977418</v>
      </c>
      <c r="J160" s="310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-459.6046697793368</v>
      </c>
    </row>
    <row r="161" spans="1:10" x14ac:dyDescent="0.55000000000000004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08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124.52093225416603</v>
      </c>
      <c r="I161" s="309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134.0675185595982</v>
      </c>
      <c r="J161" s="310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173.79122776244208</v>
      </c>
    </row>
    <row r="162" spans="1:10" x14ac:dyDescent="0.55000000000000004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08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18236.102309973223</v>
      </c>
      <c r="I162" s="309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17590.199746367791</v>
      </c>
      <c r="J162" s="310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16466.68082020347</v>
      </c>
    </row>
    <row r="163" spans="1:10" x14ac:dyDescent="0.55000000000000004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08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-15603369.829116948</v>
      </c>
      <c r="I163" s="309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-15050715.736581037</v>
      </c>
      <c r="J163" s="310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-14089398.399302948</v>
      </c>
    </row>
    <row r="164" spans="1:10" x14ac:dyDescent="0.55000000000000004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08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3378.7899137386457</v>
      </c>
      <c r="I164" s="309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3259.1169139894369</v>
      </c>
      <c r="J164" s="310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3050.9510268336935</v>
      </c>
    </row>
    <row r="165" spans="1:10" x14ac:dyDescent="0.55000000000000004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08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1329.066523912735</v>
      </c>
      <c r="I165" s="309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1564.8160352404641</v>
      </c>
      <c r="J165" s="310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1990.9714082609653</v>
      </c>
    </row>
    <row r="166" spans="1:10" x14ac:dyDescent="0.55000000000000004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08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-1137190.1817400893</v>
      </c>
      <c r="I166" s="309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-1338904.7120577004</v>
      </c>
      <c r="J166" s="310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-1703536.3519157206</v>
      </c>
    </row>
    <row r="167" spans="1:10" x14ac:dyDescent="0.55000000000000004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08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432.01719481741156</v>
      </c>
      <c r="I167" s="309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508.64830449546128</v>
      </c>
      <c r="J167" s="310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647.17142993441996</v>
      </c>
    </row>
    <row r="168" spans="1:10" x14ac:dyDescent="0.55000000000000004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08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1850258.7939976691</v>
      </c>
      <c r="I168" s="309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1915319.6810098316</v>
      </c>
      <c r="J168" s="310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1792481.8116398426</v>
      </c>
    </row>
    <row r="169" spans="1:10" x14ac:dyDescent="0.55000000000000004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08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-6534799.6524023823</v>
      </c>
      <c r="I169" s="309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-6310245.9419409037</v>
      </c>
      <c r="J169" s="310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-5905542.1348459134</v>
      </c>
    </row>
    <row r="170" spans="1:10" x14ac:dyDescent="0.55000000000000004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08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99054.247748754948</v>
      </c>
      <c r="I170" s="309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95650.471037593452</v>
      </c>
      <c r="J170" s="310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89515.985926314766</v>
      </c>
    </row>
    <row r="171" spans="1:10" x14ac:dyDescent="0.55000000000000004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08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75029.927467991118</v>
      </c>
      <c r="I171" s="309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72613.735813088992</v>
      </c>
      <c r="J171" s="310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69255.875197454821</v>
      </c>
    </row>
    <row r="172" spans="1:10" x14ac:dyDescent="0.55000000000000004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08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-176661.96949607978</v>
      </c>
      <c r="I172" s="309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-159489.66162561686</v>
      </c>
      <c r="J172" s="310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-152114.41715738023</v>
      </c>
    </row>
    <row r="173" spans="1:10" x14ac:dyDescent="0.55000000000000004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08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23542.701854494557</v>
      </c>
      <c r="I173" s="309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21254.24936242116</v>
      </c>
      <c r="J173" s="310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20271.393900575091</v>
      </c>
    </row>
    <row r="174" spans="1:10" x14ac:dyDescent="0.55000000000000004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08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74843.560387776</v>
      </c>
      <c r="I174" s="309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70770.557160842567</v>
      </c>
      <c r="J174" s="310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67497.930240109956</v>
      </c>
    </row>
    <row r="175" spans="1:10" x14ac:dyDescent="0.55000000000000004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08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-113286.31602235936</v>
      </c>
      <c r="I175" s="309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-99926.538685694788</v>
      </c>
      <c r="J175" s="310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-95305.658284044155</v>
      </c>
    </row>
    <row r="176" spans="1:10" x14ac:dyDescent="0.55000000000000004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08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51547.406552955894</v>
      </c>
      <c r="I176" s="309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45468.456349525382</v>
      </c>
      <c r="J176" s="310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43365.868772668713</v>
      </c>
    </row>
    <row r="177" spans="1:10" x14ac:dyDescent="0.55000000000000004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08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134848.82799393893</v>
      </c>
      <c r="I177" s="309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170385.9531256723</v>
      </c>
      <c r="J177" s="310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216727.34631645365</v>
      </c>
    </row>
    <row r="178" spans="1:10" x14ac:dyDescent="0.55000000000000004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08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-476263.14608548256</v>
      </c>
      <c r="I178" s="309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-561356.56096225721</v>
      </c>
      <c r="J178" s="310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-714033.73084955127</v>
      </c>
    </row>
    <row r="179" spans="1:10" x14ac:dyDescent="0.55000000000000004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08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12665.226113397273</v>
      </c>
      <c r="I179" s="309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14928.108196618632</v>
      </c>
      <c r="J179" s="310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18988.239438915254</v>
      </c>
    </row>
    <row r="180" spans="1:10" x14ac:dyDescent="0.55000000000000004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08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5468.2608813162569</v>
      </c>
      <c r="I180" s="309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6459.684359326242</v>
      </c>
      <c r="J180" s="310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8373.6649102377196</v>
      </c>
    </row>
    <row r="181" spans="1:10" x14ac:dyDescent="0.55000000000000004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08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-12875.312153591285</v>
      </c>
      <c r="I181" s="309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-14188.126545770194</v>
      </c>
      <c r="J181" s="310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-18392.015892665062</v>
      </c>
    </row>
    <row r="182" spans="1:10" x14ac:dyDescent="0.55000000000000004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08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3010.2055094474103</v>
      </c>
      <c r="I182" s="309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3317.1371837304705</v>
      </c>
      <c r="J182" s="310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4299.9926455765344</v>
      </c>
    </row>
    <row r="183" spans="1:10" x14ac:dyDescent="0.55000000000000004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08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5454.6782503755512</v>
      </c>
      <c r="I183" s="309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6295.7160387593467</v>
      </c>
      <c r="J183" s="310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8161.1133835769297</v>
      </c>
    </row>
    <row r="184" spans="1:10" x14ac:dyDescent="0.55000000000000004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08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-8256.4271511228308</v>
      </c>
      <c r="I184" s="309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-8889.4186726753924</v>
      </c>
      <c r="J184" s="310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-11523.320501616248</v>
      </c>
    </row>
    <row r="185" spans="1:10" x14ac:dyDescent="0.55000000000000004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08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6590.9294592629785</v>
      </c>
      <c r="I185" s="309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7096.2330718912444</v>
      </c>
      <c r="J185" s="310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9198.8206487479092</v>
      </c>
    </row>
    <row r="186" spans="1:10" x14ac:dyDescent="0.55000000000000004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08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9377249.6664450914</v>
      </c>
      <c r="I186" s="309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9706983.0977967456</v>
      </c>
      <c r="J186" s="310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9084431.6075331569</v>
      </c>
    </row>
    <row r="187" spans="1:10" x14ac:dyDescent="0.55000000000000004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08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-29292093.879463714</v>
      </c>
      <c r="I187" s="309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-28285536.874246053</v>
      </c>
      <c r="J187" s="310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-26471461.073705673</v>
      </c>
    </row>
    <row r="188" spans="1:10" x14ac:dyDescent="0.55000000000000004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08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429685.60558446439</v>
      </c>
      <c r="I188" s="309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414920.4249824229</v>
      </c>
      <c r="J188" s="310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388309.75446706591</v>
      </c>
    </row>
    <row r="189" spans="1:10" x14ac:dyDescent="0.55000000000000004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08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1187184.2593990122</v>
      </c>
      <c r="I189" s="309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1148953.3187971469</v>
      </c>
      <c r="J189" s="310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1095822.529488608</v>
      </c>
    </row>
    <row r="190" spans="1:10" x14ac:dyDescent="0.55000000000000004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08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-2591931.239451021</v>
      </c>
      <c r="I190" s="309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-2339984.3074096511</v>
      </c>
      <c r="J190" s="310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-2231776.9405930196</v>
      </c>
    </row>
    <row r="191" spans="1:10" x14ac:dyDescent="0.55000000000000004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08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318841.32463721925</v>
      </c>
      <c r="I191" s="309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287848.5682215945</v>
      </c>
      <c r="J191" s="310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274537.65177204093</v>
      </c>
    </row>
    <row r="192" spans="1:10" x14ac:dyDescent="0.55000000000000004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08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1421322.1657873134</v>
      </c>
      <c r="I192" s="309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1343973.4969403241</v>
      </c>
      <c r="J192" s="310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1281824.4334979968</v>
      </c>
    </row>
    <row r="193" spans="1:10" x14ac:dyDescent="0.55000000000000004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08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-2148310.4077800992</v>
      </c>
      <c r="I193" s="309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-1894961.6388756847</v>
      </c>
      <c r="J193" s="310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-1807333.35499704</v>
      </c>
    </row>
    <row r="194" spans="1:10" x14ac:dyDescent="0.55000000000000004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08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837875.72596093966</v>
      </c>
      <c r="I194" s="309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739065.61784139404</v>
      </c>
      <c r="J194" s="310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704889.17308572261</v>
      </c>
    </row>
    <row r="195" spans="1:10" x14ac:dyDescent="0.55000000000000004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08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935211.68689167371</v>
      </c>
      <c r="I195" s="309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1181670.8904023094</v>
      </c>
      <c r="J195" s="310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1503060.5023373044</v>
      </c>
    </row>
    <row r="196" spans="1:10" x14ac:dyDescent="0.55000000000000004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08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-2921358.5543774571</v>
      </c>
      <c r="I196" s="309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-3443314.488853306</v>
      </c>
      <c r="J196" s="310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-4379823.5594676668</v>
      </c>
    </row>
    <row r="197" spans="1:10" x14ac:dyDescent="0.55000000000000004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08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54940.252195975947</v>
      </c>
      <c r="I197" s="309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64756.366904771217</v>
      </c>
      <c r="J197" s="310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82368.73579604429</v>
      </c>
    </row>
    <row r="198" spans="1:10" x14ac:dyDescent="0.55000000000000004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08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118400.23816969505</v>
      </c>
      <c r="I198" s="309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139866.80285472781</v>
      </c>
      <c r="J198" s="310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181308.81851538789</v>
      </c>
    </row>
    <row r="199" spans="1:10" x14ac:dyDescent="0.55000000000000004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08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-258498.4374926165</v>
      </c>
      <c r="I199" s="309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-284855.89314478182</v>
      </c>
      <c r="J199" s="310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-369257.63926175417</v>
      </c>
    </row>
    <row r="200" spans="1:10" x14ac:dyDescent="0.55000000000000004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08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40767.534584363588</v>
      </c>
      <c r="I200" s="309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44924.343017243067</v>
      </c>
      <c r="J200" s="310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58235.259466796568</v>
      </c>
    </row>
    <row r="201" spans="1:10" x14ac:dyDescent="0.55000000000000004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08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141751.2754340893</v>
      </c>
      <c r="I201" s="309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163607.40951192615</v>
      </c>
      <c r="J201" s="310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212083.67899694125</v>
      </c>
    </row>
    <row r="202" spans="1:10" x14ac:dyDescent="0.55000000000000004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08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-214255.25307450022</v>
      </c>
      <c r="I202" s="309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-230681.45731053135</v>
      </c>
      <c r="J202" s="310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-299031.51873587392</v>
      </c>
    </row>
    <row r="203" spans="1:10" x14ac:dyDescent="0.55000000000000004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08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107132.05910299365</v>
      </c>
      <c r="I203" s="309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115345.50105039099</v>
      </c>
      <c r="J203" s="310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149521.94580606234</v>
      </c>
    </row>
    <row r="204" spans="1:10" x14ac:dyDescent="0.55000000000000004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08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227506.41036576603</v>
      </c>
      <c r="I204" s="309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235506.24741957022</v>
      </c>
      <c r="J204" s="310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220402.19667380178</v>
      </c>
    </row>
    <row r="205" spans="1:10" x14ac:dyDescent="0.55000000000000004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08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67541.817252888533</v>
      </c>
      <c r="I205" s="309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64841.735128432185</v>
      </c>
      <c r="J205" s="310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60683.149661785515</v>
      </c>
    </row>
    <row r="206" spans="1:10" x14ac:dyDescent="0.55000000000000004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08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09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10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55000000000000004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08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134010.3740454606</v>
      </c>
      <c r="I207" s="309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129405.40857858877</v>
      </c>
      <c r="J207" s="310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121106.07096286195</v>
      </c>
    </row>
    <row r="208" spans="1:10" x14ac:dyDescent="0.55000000000000004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08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9345.9404573331649</v>
      </c>
      <c r="I208" s="309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9044.9727754724281</v>
      </c>
      <c r="J208" s="310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8626.7081384563608</v>
      </c>
    </row>
    <row r="209" spans="1:10" x14ac:dyDescent="0.55000000000000004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08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2774.6110600167954</v>
      </c>
      <c r="I209" s="309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2490.3446739830588</v>
      </c>
      <c r="J209" s="310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2375.184226631241</v>
      </c>
    </row>
    <row r="210" spans="1:10" x14ac:dyDescent="0.55000000000000004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08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09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10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55000000000000004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08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32266.283111051216</v>
      </c>
      <c r="I211" s="309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29129.860772961158</v>
      </c>
      <c r="J211" s="310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27782.81518808434</v>
      </c>
    </row>
    <row r="212" spans="1:10" x14ac:dyDescent="0.55000000000000004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08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3702.1136020833915</v>
      </c>
      <c r="I212" s="309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3500.6437552504149</v>
      </c>
      <c r="J212" s="310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3338.7642752388351</v>
      </c>
    </row>
    <row r="213" spans="1:10" x14ac:dyDescent="0.55000000000000004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08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1099.0788345670949</v>
      </c>
      <c r="I213" s="309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963.82927265854448</v>
      </c>
      <c r="J213" s="310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919.2591328824268</v>
      </c>
    </row>
    <row r="214" spans="1:10" x14ac:dyDescent="0.55000000000000004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08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09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10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55000000000000004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08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28054.741810923333</v>
      </c>
      <c r="I215" s="309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24746.265403608839</v>
      </c>
      <c r="J215" s="310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23601.929431187622</v>
      </c>
    </row>
    <row r="216" spans="1:10" x14ac:dyDescent="0.55000000000000004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08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16580.909059022317</v>
      </c>
      <c r="I216" s="309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20950.526865821888</v>
      </c>
      <c r="J216" s="310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26648.629234196032</v>
      </c>
    </row>
    <row r="217" spans="1:10" x14ac:dyDescent="0.55000000000000004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08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4922.5194479169131</v>
      </c>
      <c r="I217" s="309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5768.2907724079278</v>
      </c>
      <c r="J217" s="310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7337.1444591067948</v>
      </c>
    </row>
    <row r="218" spans="1:10" x14ac:dyDescent="0.55000000000000004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08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09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10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55000000000000004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08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17134.769355189386</v>
      </c>
      <c r="I219" s="309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20196.219835964726</v>
      </c>
      <c r="J219" s="310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25689.166567879809</v>
      </c>
    </row>
    <row r="220" spans="1:10" x14ac:dyDescent="0.55000000000000004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08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681.14207659001795</v>
      </c>
      <c r="I220" s="309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804.63659545965697</v>
      </c>
      <c r="J220" s="310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1043.0474385588145</v>
      </c>
    </row>
    <row r="221" spans="1:10" x14ac:dyDescent="0.55000000000000004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08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202.21660385890681</v>
      </c>
      <c r="I221" s="309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221.53991059305937</v>
      </c>
      <c r="J221" s="310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287.18136558359544</v>
      </c>
    </row>
    <row r="222" spans="1:10" x14ac:dyDescent="0.55000000000000004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08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09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10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55000000000000004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08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4125.6158188884119</v>
      </c>
      <c r="I223" s="309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4546.2788489592567</v>
      </c>
      <c r="J223" s="310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5893.3244338360719</v>
      </c>
    </row>
    <row r="224" spans="1:10" x14ac:dyDescent="0.55000000000000004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08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269.81397519140432</v>
      </c>
      <c r="I224" s="309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311.41564967227674</v>
      </c>
      <c r="J224" s="310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403.68695327887724</v>
      </c>
    </row>
    <row r="225" spans="1:10" x14ac:dyDescent="0.55000000000000004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08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80.102033939855289</v>
      </c>
      <c r="I225" s="309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85.741806394306352</v>
      </c>
      <c r="J225" s="310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111.14678606669339</v>
      </c>
    </row>
    <row r="226" spans="1:10" x14ac:dyDescent="0.55000000000000004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08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09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10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55000000000000004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08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3587.1217707853484</v>
      </c>
      <c r="I227" s="309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3862.1339069216106</v>
      </c>
      <c r="J227" s="310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5006.4698793428288</v>
      </c>
    </row>
    <row r="228" spans="1:10" x14ac:dyDescent="0.55000000000000004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08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345562.72197585326</v>
      </c>
      <c r="I228" s="309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357713.78823913552</v>
      </c>
      <c r="J228" s="310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334772.03077314643</v>
      </c>
    </row>
    <row r="229" spans="1:10" x14ac:dyDescent="0.55000000000000004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08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-574139.38653041748</v>
      </c>
      <c r="I229" s="309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-554410.37624314951</v>
      </c>
      <c r="J229" s="310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-518853.60206620558</v>
      </c>
    </row>
    <row r="230" spans="1:10" x14ac:dyDescent="0.55000000000000004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08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9669.7591800427253</v>
      </c>
      <c r="I230" s="309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9337.4796277003261</v>
      </c>
      <c r="J230" s="310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8738.6260190183275</v>
      </c>
    </row>
    <row r="231" spans="1:10" x14ac:dyDescent="0.55000000000000004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08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3765.9342889773907</v>
      </c>
      <c r="I231" s="309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3644.6597614787634</v>
      </c>
      <c r="J231" s="310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3476.1205817572022</v>
      </c>
    </row>
    <row r="232" spans="1:10" x14ac:dyDescent="0.55000000000000004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08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-4055.43529925238</v>
      </c>
      <c r="I232" s="309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-3661.2294398580066</v>
      </c>
      <c r="J232" s="310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-3491.9240322345149</v>
      </c>
    </row>
    <row r="233" spans="1:10" x14ac:dyDescent="0.55000000000000004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08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617.65030316910463</v>
      </c>
      <c r="I233" s="309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557.61202106142127</v>
      </c>
      <c r="J233" s="310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531.82649407592203</v>
      </c>
    </row>
    <row r="234" spans="1:10" x14ac:dyDescent="0.55000000000000004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08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1548.442836537469</v>
      </c>
      <c r="I234" s="309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1464.1762324734386</v>
      </c>
      <c r="J234" s="310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1396.4686610295801</v>
      </c>
    </row>
    <row r="235" spans="1:10" x14ac:dyDescent="0.55000000000000004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08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-1020.9044365488588</v>
      </c>
      <c r="I235" s="309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-900.5098784663644</v>
      </c>
      <c r="J235" s="310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-858.86780316156148</v>
      </c>
    </row>
    <row r="236" spans="1:10" x14ac:dyDescent="0.55000000000000004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08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557.43688618611748</v>
      </c>
      <c r="I236" s="309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491.69873757141369</v>
      </c>
      <c r="J236" s="310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468.96122369527893</v>
      </c>
    </row>
    <row r="237" spans="1:10" x14ac:dyDescent="0.55000000000000004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08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25184.97855976026</v>
      </c>
      <c r="I237" s="309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31822.053184972803</v>
      </c>
      <c r="J237" s="310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40476.981902571344</v>
      </c>
    </row>
    <row r="238" spans="1:10" x14ac:dyDescent="0.55000000000000004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08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-41843.88888189412</v>
      </c>
      <c r="I238" s="309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-49320.090695850115</v>
      </c>
      <c r="J238" s="310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-62734.117340732126</v>
      </c>
    </row>
    <row r="239" spans="1:10" x14ac:dyDescent="0.55000000000000004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08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1236.3900515198202</v>
      </c>
      <c r="I239" s="309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1457.2945083694151</v>
      </c>
      <c r="J239" s="310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1853.6479434281302</v>
      </c>
    </row>
    <row r="240" spans="1:10" x14ac:dyDescent="0.55000000000000004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08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274.46529470267637</v>
      </c>
      <c r="I240" s="309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324.22724698935355</v>
      </c>
      <c r="J240" s="310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420.29457943064347</v>
      </c>
    </row>
    <row r="241" spans="1:10" x14ac:dyDescent="0.55000000000000004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08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-295.56443611213086</v>
      </c>
      <c r="I241" s="309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-325.701277915692</v>
      </c>
      <c r="J241" s="310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-422.20536026108226</v>
      </c>
    </row>
    <row r="242" spans="1:10" x14ac:dyDescent="0.55000000000000004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08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78.973703061042258</v>
      </c>
      <c r="I242" s="309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87.026153576059968</v>
      </c>
      <c r="J242" s="310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112.81168056155921</v>
      </c>
    </row>
    <row r="243" spans="1:10" x14ac:dyDescent="0.55000000000000004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08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112.85216014109164</v>
      </c>
      <c r="I243" s="309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130.25244056512264</v>
      </c>
      <c r="J243" s="310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168.84575628812195</v>
      </c>
    </row>
    <row r="244" spans="1:10" x14ac:dyDescent="0.55000000000000004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08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-74.404600701819234</v>
      </c>
      <c r="I244" s="309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-80.108942367614731</v>
      </c>
      <c r="J244" s="310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-103.84492529135242</v>
      </c>
    </row>
    <row r="245" spans="1:10" x14ac:dyDescent="0.55000000000000004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08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71.274724385396382</v>
      </c>
      <c r="I245" s="309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76.739109331954737</v>
      </c>
      <c r="J245" s="310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99.476623208089478</v>
      </c>
    </row>
    <row r="246" spans="1:10" x14ac:dyDescent="0.55000000000000004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08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22720.469700023845</v>
      </c>
      <c r="I246" s="309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23519.392486831781</v>
      </c>
      <c r="J246" s="310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22010.990474048354</v>
      </c>
    </row>
    <row r="247" spans="1:10" x14ac:dyDescent="0.55000000000000004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08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-374660.27773890906</v>
      </c>
      <c r="I247" s="309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-361785.91892090446</v>
      </c>
      <c r="J247" s="310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-338582.99781643564</v>
      </c>
    </row>
    <row r="248" spans="1:10" x14ac:dyDescent="0.55000000000000004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08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5260.4828405136559</v>
      </c>
      <c r="I248" s="309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5079.7181647026664</v>
      </c>
      <c r="J248" s="310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4753.9335123864967</v>
      </c>
    </row>
    <row r="249" spans="1:10" x14ac:dyDescent="0.55000000000000004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08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865.32022470025004</v>
      </c>
      <c r="I249" s="309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837.45428405102405</v>
      </c>
      <c r="J249" s="310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798.72807438392476</v>
      </c>
    </row>
    <row r="250" spans="1:10" x14ac:dyDescent="0.55000000000000004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08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-11890.933594231939</v>
      </c>
      <c r="I250" s="309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-10735.083395517202</v>
      </c>
      <c r="J250" s="310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-10238.663354106002</v>
      </c>
    </row>
    <row r="251" spans="1:10" x14ac:dyDescent="0.55000000000000004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08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905.55356946975951</v>
      </c>
      <c r="I251" s="309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817.5298440890889</v>
      </c>
      <c r="J251" s="310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779.72499580751264</v>
      </c>
    </row>
    <row r="252" spans="1:10" x14ac:dyDescent="0.55000000000000004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08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576.59340131419003</v>
      </c>
      <c r="I252" s="309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545.21505998444229</v>
      </c>
      <c r="J252" s="310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520.00280287533519</v>
      </c>
    </row>
    <row r="253" spans="1:10" x14ac:dyDescent="0.55000000000000004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08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-6791.4417115923443</v>
      </c>
      <c r="I253" s="309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-5990.5316613096429</v>
      </c>
      <c r="J253" s="310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-5713.512856162376</v>
      </c>
    </row>
    <row r="254" spans="1:10" x14ac:dyDescent="0.55000000000000004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08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1382.6256855599813</v>
      </c>
      <c r="I254" s="309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1219.5735893528029</v>
      </c>
      <c r="J254" s="310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1163.1771227931356</v>
      </c>
    </row>
    <row r="255" spans="1:10" x14ac:dyDescent="0.55000000000000004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08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1655.8919868178593</v>
      </c>
      <c r="I255" s="309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2092.2742796089083</v>
      </c>
      <c r="J255" s="310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2661.3288482258463</v>
      </c>
    </row>
    <row r="256" spans="1:10" x14ac:dyDescent="0.55000000000000004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08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-27305.639358598386</v>
      </c>
      <c r="I256" s="309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-32184.308047356764</v>
      </c>
      <c r="J256" s="310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-40937.76246325994</v>
      </c>
    </row>
    <row r="257" spans="1:10" x14ac:dyDescent="0.55000000000000004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08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672.61330185195686</v>
      </c>
      <c r="I257" s="309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792.78838408654349</v>
      </c>
      <c r="J257" s="310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1008.410138991075</v>
      </c>
    </row>
    <row r="258" spans="1:10" x14ac:dyDescent="0.55000000000000004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08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63.065457934219985</v>
      </c>
      <c r="I258" s="309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74.49954584708243</v>
      </c>
      <c r="J258" s="310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96.573485357329062</v>
      </c>
    </row>
    <row r="259" spans="1:10" x14ac:dyDescent="0.55000000000000004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08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-866.62388209568098</v>
      </c>
      <c r="I259" s="309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-954.98805466479621</v>
      </c>
      <c r="J259" s="310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-1237.94747826918</v>
      </c>
    </row>
    <row r="260" spans="1:10" x14ac:dyDescent="0.55000000000000004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08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115.78545065749256</v>
      </c>
      <c r="I260" s="309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127.59136295032026</v>
      </c>
      <c r="J260" s="310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165.39621123189659</v>
      </c>
    </row>
    <row r="261" spans="1:10" x14ac:dyDescent="0.55000000000000004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08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42.022740088301042</v>
      </c>
      <c r="I261" s="309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48.502079613644888</v>
      </c>
      <c r="J261" s="310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62.873066165835958</v>
      </c>
    </row>
    <row r="262" spans="1:10" x14ac:dyDescent="0.55000000000000004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08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-494.96749220613719</v>
      </c>
      <c r="I262" s="309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-532.91492640205433</v>
      </c>
      <c r="J262" s="310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-690.81564533599624</v>
      </c>
    </row>
    <row r="263" spans="1:10" x14ac:dyDescent="0.55000000000000004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08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176.78461384335924</v>
      </c>
      <c r="I263" s="309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190.33807463887675</v>
      </c>
      <c r="J263" s="310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246.73454119854389</v>
      </c>
    </row>
    <row r="264" spans="1:10" x14ac:dyDescent="0.55000000000000004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08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1410243.012533868</v>
      </c>
      <c r="I264" s="309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1459831.5682514813</v>
      </c>
      <c r="J264" s="310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1366206.1535173119</v>
      </c>
    </row>
    <row r="265" spans="1:10" x14ac:dyDescent="0.55000000000000004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08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-6724808.9652137514</v>
      </c>
      <c r="I265" s="309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-6493726.0115491785</v>
      </c>
      <c r="J265" s="310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-6077254.8211572887</v>
      </c>
    </row>
    <row r="266" spans="1:10" x14ac:dyDescent="0.55000000000000004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08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107614.03120203332</v>
      </c>
      <c r="I266" s="309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103916.11676096088</v>
      </c>
      <c r="J266" s="310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97251.51946021714</v>
      </c>
    </row>
    <row r="267" spans="1:10" x14ac:dyDescent="0.55000000000000004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08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53709.796346617048</v>
      </c>
      <c r="I267" s="309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51980.17769845092</v>
      </c>
      <c r="J267" s="310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49576.470059216197</v>
      </c>
    </row>
    <row r="268" spans="1:10" x14ac:dyDescent="0.55000000000000004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08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-187769.53484407938</v>
      </c>
      <c r="I268" s="309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-169517.52355815461</v>
      </c>
      <c r="J268" s="310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-161678.56293118792</v>
      </c>
    </row>
    <row r="269" spans="1:10" x14ac:dyDescent="0.55000000000000004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08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24022.02410201143</v>
      </c>
      <c r="I269" s="309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21686.979413400197</v>
      </c>
      <c r="J269" s="310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20684.113313358568</v>
      </c>
    </row>
    <row r="270" spans="1:10" x14ac:dyDescent="0.55000000000000004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08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35788.732627988727</v>
      </c>
      <c r="I270" s="309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33841.101826802747</v>
      </c>
      <c r="J270" s="310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32276.195383944818</v>
      </c>
    </row>
    <row r="271" spans="1:10" x14ac:dyDescent="0.55000000000000004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08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-92586.925666000592</v>
      </c>
      <c r="I271" s="309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-81668.213198204001</v>
      </c>
      <c r="J271" s="310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-77891.648426032712</v>
      </c>
    </row>
    <row r="272" spans="1:10" x14ac:dyDescent="0.55000000000000004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08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35134.438446015294</v>
      </c>
      <c r="I272" s="309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30991.058283535054</v>
      </c>
      <c r="J272" s="310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29557.945761753086</v>
      </c>
    </row>
    <row r="273" spans="1:10" x14ac:dyDescent="0.55000000000000004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08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102780.01004170519</v>
      </c>
      <c r="I273" s="309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129865.94124503061</v>
      </c>
      <c r="J273" s="310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165186.74401618406</v>
      </c>
    </row>
    <row r="274" spans="1:10" x14ac:dyDescent="0.55000000000000004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08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-490111.22681001009</v>
      </c>
      <c r="I274" s="309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-577678.86310833448</v>
      </c>
      <c r="J274" s="310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-734795.3556490175</v>
      </c>
    </row>
    <row r="275" spans="1:10" x14ac:dyDescent="0.55000000000000004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08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13759.692987674753</v>
      </c>
      <c r="I275" s="309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16218.122269051699</v>
      </c>
      <c r="J275" s="310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20629.110188530907</v>
      </c>
    </row>
    <row r="276" spans="1:10" x14ac:dyDescent="0.55000000000000004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08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3914.4270588688114</v>
      </c>
      <c r="I276" s="309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4624.1325709778021</v>
      </c>
      <c r="J276" s="310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5994.2459253415936</v>
      </c>
    </row>
    <row r="277" spans="1:10" x14ac:dyDescent="0.55000000000000004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08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-13684.84332507006</v>
      </c>
      <c r="I277" s="309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-15080.200506127167</v>
      </c>
      <c r="J277" s="310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-19548.408063498176</v>
      </c>
    </row>
    <row r="278" spans="1:10" x14ac:dyDescent="0.55000000000000004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08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3071.492377844826</v>
      </c>
      <c r="I278" s="309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3384.673087640494</v>
      </c>
      <c r="J278" s="310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4387.5391876821213</v>
      </c>
    </row>
    <row r="279" spans="1:10" x14ac:dyDescent="0.55000000000000004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08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2608.3208824239759</v>
      </c>
      <c r="I279" s="309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3010.4887694479439</v>
      </c>
      <c r="J279" s="310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3902.4854418769628</v>
      </c>
    </row>
    <row r="280" spans="1:10" x14ac:dyDescent="0.55000000000000004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08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-6747.8335755651324</v>
      </c>
      <c r="I280" s="309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-7265.1664804645052</v>
      </c>
      <c r="J280" s="310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-9417.8084006021345</v>
      </c>
    </row>
    <row r="281" spans="1:10" x14ac:dyDescent="0.55000000000000004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08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4492.342503218043</v>
      </c>
      <c r="I281" s="309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4836.7547610141419</v>
      </c>
      <c r="J281" s="310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6269.8672827961082</v>
      </c>
    </row>
    <row r="282" spans="1:10" x14ac:dyDescent="0.55000000000000004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08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6482362.7921532476</v>
      </c>
      <c r="I282" s="309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6710302.9454768263</v>
      </c>
      <c r="J282" s="310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6279941.7244116589</v>
      </c>
    </row>
    <row r="283" spans="1:10" x14ac:dyDescent="0.55000000000000004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08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-23302135.402033687</v>
      </c>
      <c r="I283" s="309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-22501409.864215739</v>
      </c>
      <c r="J283" s="310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-21058295.551265214</v>
      </c>
    </row>
    <row r="284" spans="1:10" x14ac:dyDescent="0.55000000000000004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08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331137.08758742217</v>
      </c>
      <c r="I284" s="309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319758.3054296819</v>
      </c>
      <c r="J284" s="310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299250.79989847407</v>
      </c>
    </row>
    <row r="285" spans="1:10" x14ac:dyDescent="0.55000000000000004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08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266294.8115655054</v>
      </c>
      <c r="I285" s="309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257719.30945372739</v>
      </c>
      <c r="J285" s="310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245801.65352523138</v>
      </c>
    </row>
    <row r="286" spans="1:10" x14ac:dyDescent="0.55000000000000004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08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-648137.60023057926</v>
      </c>
      <c r="I286" s="309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-585135.82092668954</v>
      </c>
      <c r="J286" s="310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-558077.51706880797</v>
      </c>
    </row>
    <row r="287" spans="1:10" x14ac:dyDescent="0.55000000000000004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08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79729.372392022284</v>
      </c>
      <c r="I287" s="309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71979.332397902472</v>
      </c>
      <c r="J287" s="310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68650.808356380978</v>
      </c>
    </row>
    <row r="288" spans="1:10" x14ac:dyDescent="0.55000000000000004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08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105484.6913011686</v>
      </c>
      <c r="I288" s="309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99744.19090493265</v>
      </c>
      <c r="J288" s="310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95131.742770600511</v>
      </c>
    </row>
    <row r="289" spans="1:10" x14ac:dyDescent="0.55000000000000004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08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-169279.28122278876</v>
      </c>
      <c r="I289" s="309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-149316.29200879825</v>
      </c>
      <c r="J289" s="310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-142411.49237833358</v>
      </c>
    </row>
    <row r="290" spans="1:10" x14ac:dyDescent="0.55000000000000004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08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69322.733873832651</v>
      </c>
      <c r="I290" s="309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61147.551544305163</v>
      </c>
      <c r="J290" s="310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58319.919102950007</v>
      </c>
    </row>
    <row r="291" spans="1:10" x14ac:dyDescent="0.55000000000000004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08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687941.11987552466</v>
      </c>
      <c r="I291" s="309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869236.35264818312</v>
      </c>
      <c r="J291" s="310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1105650.3460252041</v>
      </c>
    </row>
    <row r="292" spans="1:10" x14ac:dyDescent="0.55000000000000004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08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-2472940.4443964041</v>
      </c>
      <c r="I292" s="309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-2914778.0061102584</v>
      </c>
      <c r="J292" s="310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-3707536.2773591173</v>
      </c>
    </row>
    <row r="293" spans="1:10" x14ac:dyDescent="0.55000000000000004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08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42339.689454451029</v>
      </c>
      <c r="I293" s="309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49904.475413880995</v>
      </c>
      <c r="J293" s="310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63477.44240270662</v>
      </c>
    </row>
    <row r="294" spans="1:10" x14ac:dyDescent="0.55000000000000004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08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28260.552017725568</v>
      </c>
      <c r="I294" s="309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33384.333669699605</v>
      </c>
      <c r="J294" s="310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43275.988090351333</v>
      </c>
    </row>
    <row r="295" spans="1:10" x14ac:dyDescent="0.55000000000000004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08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-68783.639674685895</v>
      </c>
      <c r="I295" s="309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-75797.073681890819</v>
      </c>
      <c r="J295" s="310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-98255.465883932528</v>
      </c>
    </row>
    <row r="296" spans="1:10" x14ac:dyDescent="0.55000000000000004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08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10194.318286939981</v>
      </c>
      <c r="I296" s="309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11233.768640135069</v>
      </c>
      <c r="J296" s="310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14562.292681656569</v>
      </c>
    </row>
    <row r="297" spans="1:10" x14ac:dyDescent="0.55000000000000004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08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11194.568861725998</v>
      </c>
      <c r="I297" s="309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12920.620336297921</v>
      </c>
      <c r="J297" s="310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16748.9522877936</v>
      </c>
    </row>
    <row r="298" spans="1:10" x14ac:dyDescent="0.55000000000000004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08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-17964.77334423404</v>
      </c>
      <c r="I298" s="309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-19342.069964839127</v>
      </c>
      <c r="J298" s="310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-25073.053658124791</v>
      </c>
    </row>
    <row r="299" spans="1:10" x14ac:dyDescent="0.55000000000000004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08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8863.7097274002645</v>
      </c>
      <c r="I299" s="309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9543.2594895736383</v>
      </c>
      <c r="J299" s="310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12370.891930928788</v>
      </c>
    </row>
    <row r="300" spans="1:10" x14ac:dyDescent="0.55000000000000004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08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436106.27464553615</v>
      </c>
      <c r="I300" s="309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451441.13545098307</v>
      </c>
      <c r="J300" s="310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422488.23125718813</v>
      </c>
    </row>
    <row r="301" spans="1:10" x14ac:dyDescent="0.55000000000000004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08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232926.54181955408</v>
      </c>
      <c r="I301" s="309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223614.96541461936</v>
      </c>
      <c r="J301" s="310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209273.55484847655</v>
      </c>
    </row>
    <row r="302" spans="1:10" x14ac:dyDescent="0.55000000000000004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08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-17345135.923402004</v>
      </c>
      <c r="I302" s="309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-16749109.291028244</v>
      </c>
      <c r="J302" s="310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-15674915.296389058</v>
      </c>
    </row>
    <row r="303" spans="1:10" x14ac:dyDescent="0.55000000000000004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08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225357.35915605063</v>
      </c>
      <c r="I303" s="309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217613.4597451961</v>
      </c>
      <c r="J303" s="310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203656.95211549423</v>
      </c>
    </row>
    <row r="304" spans="1:10" x14ac:dyDescent="0.55000000000000004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08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11407.483483912159</v>
      </c>
      <c r="I304" s="309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11040.127852267429</v>
      </c>
      <c r="J304" s="310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10529.601708809974</v>
      </c>
    </row>
    <row r="305" spans="1:10" x14ac:dyDescent="0.55000000000000004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08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6092.7939661749042</v>
      </c>
      <c r="I305" s="309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5468.5707924944063</v>
      </c>
      <c r="J305" s="310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5215.6889061362835</v>
      </c>
    </row>
    <row r="306" spans="1:10" x14ac:dyDescent="0.55000000000000004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08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-313273.69416046649</v>
      </c>
      <c r="I306" s="309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-282822.13551892119</v>
      </c>
      <c r="J306" s="310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-269743.65526371094</v>
      </c>
    </row>
    <row r="307" spans="1:10" x14ac:dyDescent="0.55000000000000004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08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34550.187381981341</v>
      </c>
      <c r="I307" s="309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31191.759666056147</v>
      </c>
      <c r="J307" s="310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29749.366155487074</v>
      </c>
    </row>
    <row r="308" spans="1:10" x14ac:dyDescent="0.55000000000000004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08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5464.7424062050713</v>
      </c>
      <c r="I308" s="309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5167.3499072444192</v>
      </c>
      <c r="J308" s="310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4928.3973103776243</v>
      </c>
    </row>
    <row r="309" spans="1:10" x14ac:dyDescent="0.55000000000000004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08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2918.7462428661593</v>
      </c>
      <c r="I309" s="309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2559.5735081593152</v>
      </c>
      <c r="J309" s="310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2441.2117274351849</v>
      </c>
    </row>
    <row r="310" spans="1:10" x14ac:dyDescent="0.55000000000000004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08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-102020.35336259467</v>
      </c>
      <c r="I310" s="309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-89989.163254311061</v>
      </c>
      <c r="J310" s="310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-85827.814664516321</v>
      </c>
    </row>
    <row r="311" spans="1:10" x14ac:dyDescent="0.55000000000000004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08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36329.620262329074</v>
      </c>
      <c r="I311" s="309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32045.293130228685</v>
      </c>
      <c r="J311" s="310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30563.42986409094</v>
      </c>
    </row>
    <row r="312" spans="1:10" x14ac:dyDescent="0.55000000000000004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08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30668.664765661808</v>
      </c>
      <c r="I312" s="309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38750.872031486135</v>
      </c>
      <c r="J312" s="310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49290.293646671955</v>
      </c>
    </row>
    <row r="313" spans="1:10" x14ac:dyDescent="0.55000000000000004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08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16380.287194663799</v>
      </c>
      <c r="I313" s="309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19194.695008133516</v>
      </c>
      <c r="J313" s="310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24415.248065655596</v>
      </c>
    </row>
    <row r="314" spans="1:10" x14ac:dyDescent="0.55000000000000004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08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-1219776.4395433674</v>
      </c>
      <c r="I314" s="309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-1437712.5605304597</v>
      </c>
      <c r="J314" s="310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-1828740.1179120571</v>
      </c>
    </row>
    <row r="315" spans="1:10" x14ac:dyDescent="0.55000000000000004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08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28814.533196688037</v>
      </c>
      <c r="I315" s="309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33962.79429549304</v>
      </c>
      <c r="J315" s="310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43199.959539650292</v>
      </c>
    </row>
    <row r="316" spans="1:10" x14ac:dyDescent="0.55000000000000004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08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802.21796183116862</v>
      </c>
      <c r="I316" s="309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947.66415379289776</v>
      </c>
      <c r="J316" s="310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1228.4535326944972</v>
      </c>
    </row>
    <row r="317" spans="1:10" x14ac:dyDescent="0.55000000000000004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08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428.46862450383622</v>
      </c>
      <c r="I317" s="309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469.41200155226551</v>
      </c>
      <c r="J317" s="310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608.49703904923297</v>
      </c>
    </row>
    <row r="318" spans="1:10" x14ac:dyDescent="0.55000000000000004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08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-22030.606906348377</v>
      </c>
      <c r="I318" s="309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-24276.928973733986</v>
      </c>
      <c r="J318" s="310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-31470.093114099611</v>
      </c>
    </row>
    <row r="319" spans="1:10" x14ac:dyDescent="0.55000000000000004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08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4417.6392774487476</v>
      </c>
      <c r="I319" s="309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4868.0780981706121</v>
      </c>
      <c r="J319" s="310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6310.4716087396828</v>
      </c>
    </row>
    <row r="320" spans="1:10" x14ac:dyDescent="0.55000000000000004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08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384.3016315755155</v>
      </c>
      <c r="I320" s="309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443.55575793398629</v>
      </c>
      <c r="J320" s="310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574.97968621072289</v>
      </c>
    </row>
    <row r="321" spans="1:10" x14ac:dyDescent="0.55000000000000004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08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205.25742293264071</v>
      </c>
      <c r="I321" s="309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219.70905546916669</v>
      </c>
      <c r="J321" s="310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284.80803486743821</v>
      </c>
    </row>
    <row r="322" spans="1:10" x14ac:dyDescent="0.55000000000000004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08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-7174.4622777896566</v>
      </c>
      <c r="I322" s="309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-7724.5033198064702</v>
      </c>
      <c r="J322" s="310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-10013.245044193571</v>
      </c>
    </row>
    <row r="323" spans="1:10" x14ac:dyDescent="0.55000000000000004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08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4645.1602600963715</v>
      </c>
      <c r="I323" s="309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5001.2885232148819</v>
      </c>
      <c r="J323" s="310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6483.1517893526234</v>
      </c>
    </row>
    <row r="324" spans="1:10" x14ac:dyDescent="0.55000000000000004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08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711399.98164280283</v>
      </c>
      <c r="I324" s="309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736415.03033559409</v>
      </c>
      <c r="J324" s="310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689185.49774353788</v>
      </c>
    </row>
    <row r="325" spans="1:10" x14ac:dyDescent="0.55000000000000004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08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118184.45884859512</v>
      </c>
      <c r="I325" s="309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113459.86366142625</v>
      </c>
      <c r="J325" s="310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106183.1839252107</v>
      </c>
    </row>
    <row r="326" spans="1:10" x14ac:dyDescent="0.55000000000000004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08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-7468054.9445148157</v>
      </c>
      <c r="I326" s="309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-7211432.0123787876</v>
      </c>
      <c r="J326" s="310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-6748931.1816871213</v>
      </c>
    </row>
    <row r="327" spans="1:10" x14ac:dyDescent="0.55000000000000004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08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113200.49642276853</v>
      </c>
      <c r="I327" s="309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109310.61565366659</v>
      </c>
      <c r="J327" s="310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102300.04542899334</v>
      </c>
    </row>
    <row r="328" spans="1:10" x14ac:dyDescent="0.55000000000000004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08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63575.679900016126</v>
      </c>
      <c r="I328" s="309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61528.349822365715</v>
      </c>
      <c r="J328" s="310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58683.108212082909</v>
      </c>
    </row>
    <row r="329" spans="1:10" x14ac:dyDescent="0.55000000000000004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08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10561.790158560272</v>
      </c>
      <c r="I329" s="309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9479.706272394822</v>
      </c>
      <c r="J329" s="310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9041.3383522840795</v>
      </c>
    </row>
    <row r="330" spans="1:10" x14ac:dyDescent="0.55000000000000004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08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-500548.23188054201</v>
      </c>
      <c r="I330" s="309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-451892.77781543118</v>
      </c>
      <c r="J330" s="310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-430996.00196269451</v>
      </c>
    </row>
    <row r="331" spans="1:10" x14ac:dyDescent="0.55000000000000004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08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59293.43955865829</v>
      </c>
      <c r="I331" s="309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53529.860664432512</v>
      </c>
      <c r="J331" s="310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51054.491385152403</v>
      </c>
    </row>
    <row r="332" spans="1:10" x14ac:dyDescent="0.55000000000000004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08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54606.120392299716</v>
      </c>
      <c r="I332" s="309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51634.443157600996</v>
      </c>
      <c r="J332" s="310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49246.723242798631</v>
      </c>
    </row>
    <row r="333" spans="1:10" x14ac:dyDescent="0.55000000000000004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08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9071.6825343208366</v>
      </c>
      <c r="I333" s="309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7955.3466992998574</v>
      </c>
      <c r="J333" s="310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7587.4693952859916</v>
      </c>
    </row>
    <row r="334" spans="1:10" x14ac:dyDescent="0.55000000000000004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08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-327564.57521950954</v>
      </c>
      <c r="I334" s="309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-288935.11014406267</v>
      </c>
      <c r="J334" s="310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-275573.94898133143</v>
      </c>
    </row>
    <row r="335" spans="1:10" x14ac:dyDescent="0.55000000000000004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08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111786.03641670461</v>
      </c>
      <c r="I335" s="309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98603.186022128328</v>
      </c>
      <c r="J335" s="310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94043.501119370951</v>
      </c>
    </row>
    <row r="336" spans="1:10" x14ac:dyDescent="0.55000000000000004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08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51847.586981155284</v>
      </c>
      <c r="I336" s="309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65511.140559912092</v>
      </c>
      <c r="J336" s="310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83328.791999900495</v>
      </c>
    </row>
    <row r="337" spans="1:10" x14ac:dyDescent="0.55000000000000004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08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8613.4090077190758</v>
      </c>
      <c r="I337" s="309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10093.337004331503</v>
      </c>
      <c r="J337" s="310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12838.51223823002</v>
      </c>
    </row>
    <row r="338" spans="1:10" x14ac:dyDescent="0.55000000000000004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08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-544279.78395730944</v>
      </c>
      <c r="I338" s="309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-641525.65705496829</v>
      </c>
      <c r="J338" s="310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-816007.13378580625</v>
      </c>
    </row>
    <row r="339" spans="1:10" x14ac:dyDescent="0.55000000000000004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08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14473.986890291675</v>
      </c>
      <c r="I339" s="309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17060.038281208082</v>
      </c>
      <c r="J339" s="310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21700.009636453131</v>
      </c>
    </row>
    <row r="340" spans="1:10" x14ac:dyDescent="0.55000000000000004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08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4633.4631410733318</v>
      </c>
      <c r="I340" s="309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5473.5335477815506</v>
      </c>
      <c r="J340" s="310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7095.3212656427513</v>
      </c>
    </row>
    <row r="341" spans="1:10" x14ac:dyDescent="0.55000000000000004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08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769.75449543603963</v>
      </c>
      <c r="I341" s="309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843.3102863130423</v>
      </c>
      <c r="J341" s="310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1093.1800007761658</v>
      </c>
    </row>
    <row r="342" spans="1:10" x14ac:dyDescent="0.55000000000000004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08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-36480.487293181584</v>
      </c>
      <c r="I342" s="309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-40200.172546702233</v>
      </c>
      <c r="J342" s="310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-52111.33478276214</v>
      </c>
    </row>
    <row r="343" spans="1:10" x14ac:dyDescent="0.55000000000000004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08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7581.3489690642873</v>
      </c>
      <c r="I343" s="309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8354.3713175703924</v>
      </c>
      <c r="J343" s="310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10829.740596850508</v>
      </c>
    </row>
    <row r="344" spans="1:10" x14ac:dyDescent="0.55000000000000004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08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3979.7521082376875</v>
      </c>
      <c r="I344" s="309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4593.3761861010362</v>
      </c>
      <c r="J344" s="310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5954.37653753838</v>
      </c>
    </row>
    <row r="345" spans="1:10" x14ac:dyDescent="0.55000000000000004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08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661.15386758582895</v>
      </c>
      <c r="I345" s="309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707.70396359667518</v>
      </c>
      <c r="J345" s="310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917.39402688457903</v>
      </c>
    </row>
    <row r="346" spans="1:10" x14ac:dyDescent="0.55000000000000004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08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-23873.254489576524</v>
      </c>
      <c r="I346" s="309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-25703.533786804186</v>
      </c>
      <c r="J346" s="310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-33319.395649560982</v>
      </c>
    </row>
    <row r="347" spans="1:10" x14ac:dyDescent="0.55000000000000004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08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14293.131892022484</v>
      </c>
      <c r="I347" s="309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15388.936546806157</v>
      </c>
      <c r="J347" s="310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19948.621449563536</v>
      </c>
    </row>
    <row r="348" spans="1:10" x14ac:dyDescent="0.55000000000000004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08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671116.11556488532</v>
      </c>
      <c r="I348" s="309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694714.65751396539</v>
      </c>
      <c r="J348" s="310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650159.55311273877</v>
      </c>
    </row>
    <row r="349" spans="1:10" x14ac:dyDescent="0.55000000000000004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08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-1476455.4542427477</v>
      </c>
      <c r="I349" s="309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-1425720.3792264217</v>
      </c>
      <c r="J349" s="310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-1334282.6649701726</v>
      </c>
    </row>
    <row r="350" spans="1:10" x14ac:dyDescent="0.55000000000000004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08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26384.183365892331</v>
      </c>
      <c r="I350" s="309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25477.550173223743</v>
      </c>
      <c r="J350" s="310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23843.562901503257</v>
      </c>
    </row>
    <row r="351" spans="1:10" x14ac:dyDescent="0.55000000000000004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08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25559.786201072951</v>
      </c>
      <c r="I351" s="309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24736.683417900706</v>
      </c>
      <c r="J351" s="310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23592.790543084491</v>
      </c>
    </row>
    <row r="352" spans="1:10" x14ac:dyDescent="0.55000000000000004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08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-42599.643668454919</v>
      </c>
      <c r="I352" s="309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-38458.773970616763</v>
      </c>
      <c r="J352" s="310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-36680.333555790559</v>
      </c>
    </row>
    <row r="353" spans="1:10" x14ac:dyDescent="0.55000000000000004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08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4541.8438095685351</v>
      </c>
      <c r="I353" s="309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4100.3569382292126</v>
      </c>
      <c r="J353" s="310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3910.7450566926018</v>
      </c>
    </row>
    <row r="354" spans="1:10" x14ac:dyDescent="0.55000000000000004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08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17031.387504718623</v>
      </c>
      <c r="I354" s="309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16104.535603146036</v>
      </c>
      <c r="J354" s="310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15359.817193752</v>
      </c>
    </row>
    <row r="355" spans="1:10" x14ac:dyDescent="0.55000000000000004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08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-21897.498220352514</v>
      </c>
      <c r="I355" s="309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-19315.14131507387</v>
      </c>
      <c r="J355" s="310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-18421.955589521323</v>
      </c>
    </row>
    <row r="356" spans="1:10" x14ac:dyDescent="0.55000000000000004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08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6934.6200187671584</v>
      </c>
      <c r="I356" s="309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6116.8250491891858</v>
      </c>
      <c r="J356" s="310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5833.9660873769699</v>
      </c>
    </row>
    <row r="357" spans="1:10" x14ac:dyDescent="0.55000000000000004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08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48911.655993936409</v>
      </c>
      <c r="I357" s="309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61801.494677109411</v>
      </c>
      <c r="J357" s="310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78610.200512722033</v>
      </c>
    </row>
    <row r="358" spans="1:10" x14ac:dyDescent="0.55000000000000004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08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-107605.64318666011</v>
      </c>
      <c r="I358" s="309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-126831.42564332155</v>
      </c>
      <c r="J358" s="310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-161326.90403730265</v>
      </c>
    </row>
    <row r="359" spans="1:10" x14ac:dyDescent="0.55000000000000004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08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3373.5216383041152</v>
      </c>
      <c r="I359" s="309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3976.2650559366539</v>
      </c>
      <c r="J359" s="310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5057.7254639552357</v>
      </c>
    </row>
    <row r="360" spans="1:10" x14ac:dyDescent="0.55000000000000004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08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1862.824392010257</v>
      </c>
      <c r="I360" s="309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2200.5639179276986</v>
      </c>
      <c r="J360" s="310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2852.5828565729425</v>
      </c>
    </row>
    <row r="361" spans="1:10" x14ac:dyDescent="0.55000000000000004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08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-3104.7073200170953</v>
      </c>
      <c r="I361" s="309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-3421.2747480219195</v>
      </c>
      <c r="J361" s="310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-4434.9857844728576</v>
      </c>
    </row>
    <row r="362" spans="1:10" x14ac:dyDescent="0.55000000000000004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08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580.72702713187982</v>
      </c>
      <c r="I362" s="309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639.94010018606218</v>
      </c>
      <c r="J362" s="310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829.55198172267308</v>
      </c>
    </row>
    <row r="363" spans="1:10" x14ac:dyDescent="0.55000000000000004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08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1241.2656281231627</v>
      </c>
      <c r="I363" s="309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1432.6520400717775</v>
      </c>
      <c r="J363" s="310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1857.1415334263781</v>
      </c>
    </row>
    <row r="364" spans="1:10" x14ac:dyDescent="0.55000000000000004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08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-1595.9129504440664</v>
      </c>
      <c r="I364" s="309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-1718.2660395317159</v>
      </c>
      <c r="J364" s="310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-2227.3819030966688</v>
      </c>
    </row>
    <row r="365" spans="1:10" x14ac:dyDescent="0.55000000000000004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08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886.67101658223703</v>
      </c>
      <c r="I365" s="309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954.64899611623139</v>
      </c>
      <c r="J365" s="310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1237.5079579284481</v>
      </c>
    </row>
    <row r="366" spans="1:10" x14ac:dyDescent="0.55000000000000004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08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120418.55608782951</v>
      </c>
      <c r="I366" s="309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124652.84920250821</v>
      </c>
      <c r="J366" s="310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116658.31410805255</v>
      </c>
    </row>
    <row r="367" spans="1:10" x14ac:dyDescent="0.55000000000000004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08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-592459.29595212115</v>
      </c>
      <c r="I367" s="309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-572100.76313091454</v>
      </c>
      <c r="J367" s="310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-535409.42668994272</v>
      </c>
    </row>
    <row r="368" spans="1:10" x14ac:dyDescent="0.55000000000000004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08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9704.9491751457172</v>
      </c>
      <c r="I368" s="309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9371.4603976714352</v>
      </c>
      <c r="J368" s="310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8770.4274528586666</v>
      </c>
    </row>
    <row r="369" spans="1:10" x14ac:dyDescent="0.55000000000000004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08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20477.362879112719</v>
      </c>
      <c r="I369" s="309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19817.929570663597</v>
      </c>
      <c r="J369" s="310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18901.493521153145</v>
      </c>
    </row>
    <row r="370" spans="1:10" x14ac:dyDescent="0.55000000000000004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08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-83957.187804362155</v>
      </c>
      <c r="I370" s="309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-75796.185857948469</v>
      </c>
      <c r="J370" s="310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-72291.159922320789</v>
      </c>
    </row>
    <row r="371" spans="1:10" x14ac:dyDescent="0.55000000000000004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08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7459.3823026973923</v>
      </c>
      <c r="I371" s="309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6734.2980653214199</v>
      </c>
      <c r="J371" s="310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6422.8854380233197</v>
      </c>
    </row>
    <row r="372" spans="1:10" x14ac:dyDescent="0.55000000000000004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08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19611.217719488592</v>
      </c>
      <c r="I372" s="309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18543.97088299767</v>
      </c>
      <c r="J372" s="310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17686.446217887948</v>
      </c>
    </row>
    <row r="373" spans="1:10" x14ac:dyDescent="0.55000000000000004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08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-68919.42227134564</v>
      </c>
      <c r="I373" s="309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-60791.802201724771</v>
      </c>
      <c r="J373" s="310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-57980.62059702073</v>
      </c>
    </row>
    <row r="374" spans="1:10" x14ac:dyDescent="0.55000000000000004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08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16369.335913013036</v>
      </c>
      <c r="I374" s="309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14438.911386684913</v>
      </c>
      <c r="J374" s="310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13771.216062445146</v>
      </c>
    </row>
    <row r="375" spans="1:10" x14ac:dyDescent="0.55000000000000004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08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8776.2323896765447</v>
      </c>
      <c r="I375" s="309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11089.059822119083</v>
      </c>
      <c r="J375" s="310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14105.050705791806</v>
      </c>
    </row>
    <row r="376" spans="1:10" x14ac:dyDescent="0.55000000000000004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08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-43179.063357208601</v>
      </c>
      <c r="I376" s="309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-50893.819332859966</v>
      </c>
      <c r="J376" s="310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-64735.867045238512</v>
      </c>
    </row>
    <row r="377" spans="1:10" x14ac:dyDescent="0.55000000000000004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08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1240.8894975813275</v>
      </c>
      <c r="I377" s="309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1462.5978655325364</v>
      </c>
      <c r="J377" s="310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1860.3937021215352</v>
      </c>
    </row>
    <row r="378" spans="1:10" x14ac:dyDescent="0.55000000000000004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08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1492.4119769693252</v>
      </c>
      <c r="I378" s="309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1762.9938502457387</v>
      </c>
      <c r="J378" s="310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2285.3623984666979</v>
      </c>
    </row>
    <row r="379" spans="1:10" x14ac:dyDescent="0.55000000000000004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08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-6118.8891055742333</v>
      </c>
      <c r="I379" s="309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-6742.7936436637401</v>
      </c>
      <c r="J379" s="310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-8740.6584269715131</v>
      </c>
    </row>
    <row r="380" spans="1:10" x14ac:dyDescent="0.55000000000000004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08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953.76791684457555</v>
      </c>
      <c r="I380" s="309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1051.0176171310889</v>
      </c>
      <c r="J380" s="310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1362.4302444291889</v>
      </c>
    </row>
    <row r="381" spans="1:10" x14ac:dyDescent="0.55000000000000004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08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1429.2863969008301</v>
      </c>
      <c r="I381" s="309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1649.6630745048212</v>
      </c>
      <c r="J381" s="310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2138.4521336173607</v>
      </c>
    </row>
    <row r="382" spans="1:10" x14ac:dyDescent="0.55000000000000004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08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-5022.92076625149</v>
      </c>
      <c r="I382" s="309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-5408.0106120493883</v>
      </c>
      <c r="J382" s="310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-7010.384126730688</v>
      </c>
    </row>
    <row r="383" spans="1:10" x14ac:dyDescent="0.55000000000000004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08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2093.0080776578347</v>
      </c>
      <c r="I383" s="309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2253.471719309206</v>
      </c>
      <c r="J383" s="310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2921.1670435489705</v>
      </c>
    </row>
    <row r="384" spans="1:10" x14ac:dyDescent="0.55000000000000004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08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1641051.5457713443</v>
      </c>
      <c r="I384" s="309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1698756.0515123385</v>
      </c>
      <c r="J384" s="310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1589807.3595440446</v>
      </c>
    </row>
    <row r="385" spans="1:10" x14ac:dyDescent="0.55000000000000004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08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-5950150.6373145189</v>
      </c>
      <c r="I385" s="309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-5745687.0769171445</v>
      </c>
      <c r="J385" s="310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-5377190.9111893093</v>
      </c>
    </row>
    <row r="386" spans="1:10" x14ac:dyDescent="0.55000000000000004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08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233923.55186918346</v>
      </c>
      <c r="I386" s="309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225885.29448860063</v>
      </c>
      <c r="J386" s="310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211398.27774037674</v>
      </c>
    </row>
    <row r="387" spans="1:10" x14ac:dyDescent="0.55000000000000004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08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327244.33575082856</v>
      </c>
      <c r="I387" s="309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316706.07375540736</v>
      </c>
      <c r="J387" s="310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302060.70618290291</v>
      </c>
    </row>
    <row r="388" spans="1:10" x14ac:dyDescent="0.55000000000000004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08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-988773.07152172015</v>
      </c>
      <c r="I388" s="309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-892660.05044181552</v>
      </c>
      <c r="J388" s="310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-851380.9729647371</v>
      </c>
    </row>
    <row r="389" spans="1:10" x14ac:dyDescent="0.55000000000000004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08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210839.92574728845</v>
      </c>
      <c r="I389" s="309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190345.37263749584</v>
      </c>
      <c r="J389" s="310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181543.2744808486</v>
      </c>
    </row>
    <row r="390" spans="1:10" x14ac:dyDescent="0.55000000000000004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08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410092.10534101515</v>
      </c>
      <c r="I390" s="309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387774.80162457289</v>
      </c>
      <c r="J390" s="310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369843.0188904886</v>
      </c>
    </row>
    <row r="391" spans="1:10" x14ac:dyDescent="0.55000000000000004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08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-1062084.5989356032</v>
      </c>
      <c r="I391" s="309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-936833.69262420165</v>
      </c>
      <c r="J391" s="310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-893511.90336990345</v>
      </c>
    </row>
    <row r="392" spans="1:10" x14ac:dyDescent="0.55000000000000004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08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605424.21262551891</v>
      </c>
      <c r="I392" s="309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534026.95160675643</v>
      </c>
      <c r="J392" s="310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509332.06367118395</v>
      </c>
    </row>
    <row r="393" spans="1:10" x14ac:dyDescent="0.55000000000000004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08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209827.33566007458</v>
      </c>
      <c r="I393" s="309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265123.77682562516</v>
      </c>
      <c r="J393" s="310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337231.86414570647</v>
      </c>
    </row>
    <row r="394" spans="1:10" x14ac:dyDescent="0.55000000000000004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08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-760795.2707036786</v>
      </c>
      <c r="I394" s="309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-896725.72876741574</v>
      </c>
      <c r="J394" s="310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-1140616.2538886415</v>
      </c>
    </row>
    <row r="395" spans="1:10" x14ac:dyDescent="0.55000000000000004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08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29909.819568635943</v>
      </c>
      <c r="I395" s="309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35253.774284348081</v>
      </c>
      <c r="J395" s="310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44842.05891462537</v>
      </c>
    </row>
    <row r="396" spans="1:10" x14ac:dyDescent="0.55000000000000004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08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41841.956309893176</v>
      </c>
      <c r="I396" s="309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49428.115557202313</v>
      </c>
      <c r="J396" s="310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64073.483129706685</v>
      </c>
    </row>
    <row r="397" spans="1:10" x14ac:dyDescent="0.55000000000000004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08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-126426.02220779905</v>
      </c>
      <c r="I397" s="309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-139316.88648513885</v>
      </c>
      <c r="J397" s="310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-180595.96396221698</v>
      </c>
    </row>
    <row r="398" spans="1:10" x14ac:dyDescent="0.55000000000000004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08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26958.312177529657</v>
      </c>
      <c r="I398" s="309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29707.081278684323</v>
      </c>
      <c r="J398" s="310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38509.17943533152</v>
      </c>
    </row>
    <row r="399" spans="1:10" x14ac:dyDescent="0.55000000000000004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08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52434.997584728757</v>
      </c>
      <c r="I399" s="309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60519.766727534494</v>
      </c>
      <c r="J399" s="310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78451.549461618793</v>
      </c>
    </row>
    <row r="400" spans="1:10" x14ac:dyDescent="0.55000000000000004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08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-135799.74511739551</v>
      </c>
      <c r="I400" s="309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-146211.03873325692</v>
      </c>
      <c r="J400" s="310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-189532.82798755527</v>
      </c>
    </row>
    <row r="401" spans="1:10" x14ac:dyDescent="0.55000000000000004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08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77410.456610368681</v>
      </c>
      <c r="I401" s="309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83345.246782557369</v>
      </c>
      <c r="J401" s="310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108040.13471812992</v>
      </c>
    </row>
    <row r="402" spans="1:10" x14ac:dyDescent="0.55000000000000004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08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640280.13059892249</v>
      </c>
      <c r="I402" s="309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605932.0339558397</v>
      </c>
      <c r="J402" s="310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551646.84040095157</v>
      </c>
    </row>
    <row r="403" spans="1:10" x14ac:dyDescent="0.55000000000000004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08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693636.80814883276</v>
      </c>
      <c r="I403" s="309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656426.37011882639</v>
      </c>
      <c r="J403" s="310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597617.41043436422</v>
      </c>
    </row>
    <row r="404" spans="1:10" x14ac:dyDescent="0.55000000000000004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08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3160794.2116654618</v>
      </c>
      <c r="I404" s="309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3127676.8816170068</v>
      </c>
      <c r="J404" s="310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3069579.4456842686</v>
      </c>
    </row>
    <row r="405" spans="1:10" x14ac:dyDescent="0.55000000000000004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08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123050.04950946826</v>
      </c>
      <c r="I405" s="309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121760.78838419665</v>
      </c>
      <c r="J405" s="310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119499.04912211109</v>
      </c>
    </row>
    <row r="406" spans="1:10" s="172" customFormat="1" x14ac:dyDescent="0.55000000000000004">
      <c r="A406" s="172" t="str">
        <f>IF('[1]Processer - data'!A406&lt;&gt;"",'[1]Processer - data'!A406,"")</f>
        <v>Mejeri</v>
      </c>
      <c r="B406" s="172" t="str">
        <f>IF('[1]Processer - data'!B406&lt;&gt;"",'[1]Processer - data'!B406,"")</f>
        <v/>
      </c>
      <c r="C406" s="172" t="str">
        <f>IF('[1]Processer - data'!C406&lt;&gt;"",'[1]Processer - data'!C406,"")</f>
        <v/>
      </c>
      <c r="D406" s="172" t="str">
        <f>IF('[1]Processer - data'!D406&lt;&gt;"",'[1]Processer - data'!D406,"")</f>
        <v>Råmælk</v>
      </c>
      <c r="E406" s="172" t="str">
        <f>IF('[1]Processer - data'!E406&lt;&gt;"",'[1]Processer - data'!E406,"")</f>
        <v>Ton</v>
      </c>
      <c r="F406" s="172" t="str">
        <f>IF('[1]Processer - data'!F406&lt;&gt;"",'[1]Processer - data'!F406,"")</f>
        <v>Industriaffald</v>
      </c>
      <c r="G406" s="172" t="str">
        <f>IF('[1]Processer - data'!G406&lt;&gt;"",'[1]Processer - data'!G406,"")</f>
        <v>Ton</v>
      </c>
      <c r="H406" s="308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16168.776505544129</v>
      </c>
      <c r="I406" s="309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15999.367593683441</v>
      </c>
      <c r="J406" s="310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15702.175054645397</v>
      </c>
    </row>
    <row r="407" spans="1:10" x14ac:dyDescent="0.55000000000000004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08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1638157.7192038004</v>
      </c>
      <c r="I407" s="309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1620993.8653666629</v>
      </c>
      <c r="J407" s="310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1590883.4700780637</v>
      </c>
    </row>
    <row r="408" spans="1:10" x14ac:dyDescent="0.55000000000000004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08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1394376.9846055224</v>
      </c>
      <c r="I408" s="309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1378013.0257817972</v>
      </c>
      <c r="J408" s="310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1340150.8748835563</v>
      </c>
    </row>
    <row r="409" spans="1:10" x14ac:dyDescent="0.55000000000000004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08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19793.458911774498</v>
      </c>
      <c r="I409" s="309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26400.565848358405</v>
      </c>
      <c r="J409" s="310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25675.186487461295</v>
      </c>
    </row>
    <row r="410" spans="1:10" x14ac:dyDescent="0.55000000000000004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08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124355.90277843094</v>
      </c>
      <c r="I410" s="309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122896.50198867312</v>
      </c>
      <c r="J410" s="310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119519.80973968569</v>
      </c>
    </row>
    <row r="411" spans="1:10" x14ac:dyDescent="0.55000000000000004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08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122702.02440075704</v>
      </c>
      <c r="I411" s="309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121262.03299452356</v>
      </c>
      <c r="J411" s="310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117930.24925549733</v>
      </c>
    </row>
    <row r="412" spans="1:10" x14ac:dyDescent="0.55000000000000004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08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108094.85577035608</v>
      </c>
      <c r="I412" s="309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106168.13854148486</v>
      </c>
      <c r="J412" s="310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102788.11573768182</v>
      </c>
    </row>
    <row r="413" spans="1:10" x14ac:dyDescent="0.55000000000000004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08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46730.877781272859</v>
      </c>
      <c r="I413" s="309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51492.407550306889</v>
      </c>
      <c r="J413" s="310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49853.069099677938</v>
      </c>
    </row>
    <row r="414" spans="1:10" x14ac:dyDescent="0.55000000000000004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08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6920.1731003712566</v>
      </c>
      <c r="I414" s="309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6796.8257251031646</v>
      </c>
      <c r="J414" s="310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6580.438527777038</v>
      </c>
    </row>
    <row r="415" spans="1:10" x14ac:dyDescent="0.55000000000000004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08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71128.867816474158</v>
      </c>
      <c r="I415" s="309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69861.044161819853</v>
      </c>
      <c r="J415" s="310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67636.912462720924</v>
      </c>
    </row>
    <row r="416" spans="1:10" x14ac:dyDescent="0.55000000000000004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08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185576.29959415729</v>
      </c>
      <c r="I416" s="309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181628.8895635134</v>
      </c>
      <c r="J416" s="310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173658.75124992887</v>
      </c>
    </row>
    <row r="417" spans="1:15" ht="14.7" thickBot="1" x14ac:dyDescent="0.6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14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507.16810392744208</v>
      </c>
      <c r="I417" s="315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669.935164472015</v>
      </c>
      <c r="J417" s="316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640.53744071337906</v>
      </c>
    </row>
    <row r="418" spans="1:15" x14ac:dyDescent="0.55000000000000004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83">
        <f>SUMIFS('Forbrug af biomasse'!$E$1:$E$425,'Forbrug af biomasse'!$A$1:$A$425,$F418,'Forbrug af biomasse'!$C$1:$C$425,$D418,'Forbrug af biomasse'!$B$1:$B$425,$A$1,'Forbrug af biomasse'!$D$1:$D$425,H$2)*'[1]Processer - data'!H418</f>
        <v>5290666613.2844982</v>
      </c>
      <c r="I418" s="284">
        <f>SUMIFS('Forbrug af biomasse'!$E$1:$E$425,'Forbrug af biomasse'!$A$1:$A$425,$F418,'Forbrug af biomasse'!$C$1:$C$425,$D418,'Forbrug af biomasse'!$B$1:$B$425,$A$1,'Forbrug af biomasse'!$D$1:$D$425,I$2)*'[1]Processer - data'!I418</f>
        <v>5290666613.2844973</v>
      </c>
      <c r="J418" s="285">
        <f>SUMIFS('Forbrug af biomasse'!$E$1:$E$425,'Forbrug af biomasse'!$A$1:$A$425,$F418,'Forbrug af biomasse'!$C$1:$C$425,$D418,'Forbrug af biomasse'!$B$1:$B$425,$A$1,'Forbrug af biomasse'!$D$1:$D$425,J$2)*'[1]Processer - data'!J418</f>
        <v>5290666613.2844973</v>
      </c>
      <c r="N418" s="172"/>
      <c r="O418" s="172"/>
    </row>
    <row r="419" spans="1:15" x14ac:dyDescent="0.55000000000000004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86">
        <f>SUMIFS('Forbrug af biomasse'!$E$1:$E$425,'Forbrug af biomasse'!$A$1:$A$425,$F419,'Forbrug af biomasse'!$C$1:$C$425,$D419,'Forbrug af biomasse'!$B$1:$B$425,$A$1,'Forbrug af biomasse'!$D$1:$D$425,H$2)*'[1]Processer - data'!H419</f>
        <v>146913194.13793731</v>
      </c>
      <c r="I419" s="287">
        <f>SUMIFS('Forbrug af biomasse'!$E$1:$E$425,'Forbrug af biomasse'!$A$1:$A$425,$F419,'Forbrug af biomasse'!$C$1:$C$425,$D419,'Forbrug af biomasse'!$B$1:$B$425,$A$1,'Forbrug af biomasse'!$D$1:$D$425,I$2)*'[1]Processer - data'!I419</f>
        <v>146913194.13793728</v>
      </c>
      <c r="J419" s="288">
        <f>SUMIFS('Forbrug af biomasse'!$E$1:$E$425,'Forbrug af biomasse'!$A$1:$A$425,$F419,'Forbrug af biomasse'!$C$1:$C$425,$D419,'Forbrug af biomasse'!$B$1:$B$425,$A$1,'Forbrug af biomasse'!$D$1:$D$425,J$2)*'[1]Processer - data'!J419</f>
        <v>146913194.13793728</v>
      </c>
      <c r="M419" s="172"/>
      <c r="N419" s="172"/>
      <c r="O419" s="172"/>
    </row>
    <row r="420" spans="1:15" x14ac:dyDescent="0.55000000000000004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86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287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288">
        <f>SUMIFS('Forbrug af biomasse'!$E$1:$E$425,'Forbrug af biomasse'!$A$1:$A$425,$F420,'Forbrug af biomasse'!$C$1:$C$425,$D420,'Forbrug af biomasse'!$B$1:$B$425,$A$1,'Forbrug af biomasse'!$D$1:$D$425,J$2)*'[1]Processer - data'!J420</f>
        <v>0</v>
      </c>
      <c r="M420" s="172"/>
      <c r="N420" s="172"/>
      <c r="O420" s="172"/>
    </row>
    <row r="421" spans="1:15" x14ac:dyDescent="0.55000000000000004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86">
        <f>SUMIFS('Forbrug af biomasse'!$E$1:$E$425,'Forbrug af biomasse'!$A$1:$A$425,$F421,'Forbrug af biomasse'!$C$1:$C$425,$D421,'Forbrug af biomasse'!$B$1:$B$425,$A$1,'Forbrug af biomasse'!$D$1:$D$425,H$2)*'[1]Processer - data'!H421</f>
        <v>69873348.431457981</v>
      </c>
      <c r="I421" s="287">
        <f>SUMIFS('Forbrug af biomasse'!$E$1:$E$425,'Forbrug af biomasse'!$A$1:$A$425,$F421,'Forbrug af biomasse'!$C$1:$C$425,$D421,'Forbrug af biomasse'!$B$1:$B$425,$A$1,'Forbrug af biomasse'!$D$1:$D$425,I$2)*'[1]Processer - data'!I421</f>
        <v>69873348.431457967</v>
      </c>
      <c r="J421" s="288">
        <f>SUMIFS('Forbrug af biomasse'!$E$1:$E$425,'Forbrug af biomasse'!$A$1:$A$425,$F421,'Forbrug af biomasse'!$C$1:$C$425,$D421,'Forbrug af biomasse'!$B$1:$B$425,$A$1,'Forbrug af biomasse'!$D$1:$D$425,J$2)*'[1]Processer - data'!J421</f>
        <v>69873348.431457967</v>
      </c>
      <c r="M421" s="172"/>
      <c r="N421" s="172"/>
      <c r="O421" s="172"/>
    </row>
    <row r="422" spans="1:15" x14ac:dyDescent="0.55000000000000004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86">
        <f>SUMIFS('Forbrug af biomasse'!$E$1:$E$425,'Forbrug af biomasse'!$A$1:$A$425,$F422,'Forbrug af biomasse'!$C$1:$C$425,$D422,'Forbrug af biomasse'!$B$1:$B$425,$A$1,'Forbrug af biomasse'!$D$1:$D$425,H$2)*'[1]Processer - data'!H422</f>
        <v>128101138.7910063</v>
      </c>
      <c r="I422" s="287">
        <f>SUMIFS('Forbrug af biomasse'!$E$1:$E$425,'Forbrug af biomasse'!$A$1:$A$425,$F422,'Forbrug af biomasse'!$C$1:$C$425,$D422,'Forbrug af biomasse'!$B$1:$B$425,$A$1,'Forbrug af biomasse'!$D$1:$D$425,I$2)*'[1]Processer - data'!I422</f>
        <v>128101138.7910063</v>
      </c>
      <c r="J422" s="288">
        <f>SUMIFS('Forbrug af biomasse'!$E$1:$E$425,'Forbrug af biomasse'!$A$1:$A$425,$F422,'Forbrug af biomasse'!$C$1:$C$425,$D422,'Forbrug af biomasse'!$B$1:$B$425,$A$1,'Forbrug af biomasse'!$D$1:$D$425,J$2)*'[1]Processer - data'!J422</f>
        <v>128101138.7910063</v>
      </c>
      <c r="M422" s="172"/>
      <c r="N422" s="172"/>
      <c r="O422" s="172"/>
    </row>
    <row r="423" spans="1:15" x14ac:dyDescent="0.55000000000000004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86">
        <f>SUMIFS('Forbrug af biomasse'!$E$1:$E$425,'Forbrug af biomasse'!$A$1:$A$425,$F423,'Forbrug af biomasse'!$C$1:$C$425,$D423,'Forbrug af biomasse'!$B$1:$B$425,$A$1,'Forbrug af biomasse'!$D$1:$D$425,H$2)*'[1]Processer - data'!H423</f>
        <v>1498693742.6388359</v>
      </c>
      <c r="I423" s="287">
        <f>SUMIFS('Forbrug af biomasse'!$E$1:$E$425,'Forbrug af biomasse'!$A$1:$A$425,$F423,'Forbrug af biomasse'!$C$1:$C$425,$D423,'Forbrug af biomasse'!$B$1:$B$425,$A$1,'Forbrug af biomasse'!$D$1:$D$425,I$2)*'[1]Processer - data'!I423</f>
        <v>1498693742.6388357</v>
      </c>
      <c r="J423" s="288">
        <f>SUMIFS('Forbrug af biomasse'!$E$1:$E$425,'Forbrug af biomasse'!$A$1:$A$425,$F423,'Forbrug af biomasse'!$C$1:$C$425,$D423,'Forbrug af biomasse'!$B$1:$B$425,$A$1,'Forbrug af biomasse'!$D$1:$D$425,J$2)*'[1]Processer - data'!J423</f>
        <v>1498693742.6388357</v>
      </c>
      <c r="M423" s="172"/>
      <c r="N423" s="172"/>
      <c r="O423" s="172"/>
    </row>
    <row r="424" spans="1:15" x14ac:dyDescent="0.55000000000000004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86">
        <f>SUMIFS('Forbrug af biomasse'!$E$1:$E$425,'Forbrug af biomasse'!$A$1:$A$425,$F424,'Forbrug af biomasse'!$C$1:$C$425,$D424,'Forbrug af biomasse'!$B$1:$B$425,$A$1,'Forbrug af biomasse'!$D$1:$D$425,H$2)*'[1]Processer - data'!H424</f>
        <v>215890730.41001761</v>
      </c>
      <c r="I424" s="287">
        <f>SUMIFS('Forbrug af biomasse'!$E$1:$E$425,'Forbrug af biomasse'!$A$1:$A$425,$F424,'Forbrug af biomasse'!$C$1:$C$425,$D424,'Forbrug af biomasse'!$B$1:$B$425,$A$1,'Forbrug af biomasse'!$D$1:$D$425,I$2)*'[1]Processer - data'!I424</f>
        <v>215890730.41001758</v>
      </c>
      <c r="J424" s="288">
        <f>SUMIFS('Forbrug af biomasse'!$E$1:$E$425,'Forbrug af biomasse'!$A$1:$A$425,$F424,'Forbrug af biomasse'!$C$1:$C$425,$D424,'Forbrug af biomasse'!$B$1:$B$425,$A$1,'Forbrug af biomasse'!$D$1:$D$425,J$2)*'[1]Processer - data'!J424</f>
        <v>215890730.41001758</v>
      </c>
      <c r="M424" s="172"/>
      <c r="N424" s="172"/>
      <c r="O424" s="172"/>
    </row>
    <row r="425" spans="1:15" x14ac:dyDescent="0.55000000000000004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86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287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288">
        <f>SUMIFS('Forbrug af biomasse'!$E$1:$E$425,'Forbrug af biomasse'!$A$1:$A$425,$F425,'Forbrug af biomasse'!$C$1:$C$425,$D425,'Forbrug af biomasse'!$B$1:$B$425,$A$1,'Forbrug af biomasse'!$D$1:$D$425,J$2)*'[1]Processer - data'!J425</f>
        <v>0</v>
      </c>
      <c r="M425" s="172"/>
      <c r="N425" s="172"/>
      <c r="O425" s="172"/>
    </row>
    <row r="426" spans="1:15" x14ac:dyDescent="0.55000000000000004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86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287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288">
        <f>SUMIFS('Forbrug af biomasse'!$E$1:$E$425,'Forbrug af biomasse'!$A$1:$A$425,$F426,'Forbrug af biomasse'!$C$1:$C$425,$D426,'Forbrug af biomasse'!$B$1:$B$425,$A$1,'Forbrug af biomasse'!$D$1:$D$425,J$2)*'[1]Processer - data'!J426</f>
        <v>0</v>
      </c>
      <c r="M426" s="172"/>
      <c r="N426" s="172"/>
      <c r="O426" s="172"/>
    </row>
    <row r="427" spans="1:15" x14ac:dyDescent="0.55000000000000004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86">
        <f>SUMIFS('Forbrug af biomasse'!$E$1:$E$425,'Forbrug af biomasse'!$A$1:$A$425,$F427,'Forbrug af biomasse'!$C$1:$C$425,$D427,'Forbrug af biomasse'!$B$1:$B$425,$A$1,'Forbrug af biomasse'!$D$1:$D$425,H$2)*'[1]Processer - data'!H427</f>
        <v>2035285226.1060581</v>
      </c>
      <c r="I427" s="287">
        <f>SUMIFS('Forbrug af biomasse'!$E$1:$E$425,'Forbrug af biomasse'!$A$1:$A$425,$F427,'Forbrug af biomasse'!$C$1:$C$425,$D427,'Forbrug af biomasse'!$B$1:$B$425,$A$1,'Forbrug af biomasse'!$D$1:$D$425,I$2)*'[1]Processer - data'!I427</f>
        <v>2035285226.1060579</v>
      </c>
      <c r="J427" s="288">
        <f>SUMIFS('Forbrug af biomasse'!$E$1:$E$425,'Forbrug af biomasse'!$A$1:$A$425,$F427,'Forbrug af biomasse'!$C$1:$C$425,$D427,'Forbrug af biomasse'!$B$1:$B$425,$A$1,'Forbrug af biomasse'!$D$1:$D$425,J$2)*'[1]Processer - data'!J427</f>
        <v>2035285226.1060579</v>
      </c>
      <c r="M427" s="172"/>
      <c r="N427" s="172"/>
      <c r="O427" s="172"/>
    </row>
    <row r="428" spans="1:15" x14ac:dyDescent="0.55000000000000004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86">
        <f>SUMIFS('Forbrug af biomasse'!$E$1:$E$425,'Forbrug af biomasse'!$A$1:$A$425,$F428,'Forbrug af biomasse'!$C$1:$C$425,$D428,'Forbrug af biomasse'!$B$1:$B$425,$A$1,'Forbrug af biomasse'!$D$1:$D$425,H$2)*'[1]Processer - data'!H428</f>
        <v>146017381.97855964</v>
      </c>
      <c r="I428" s="287">
        <f>SUMIFS('Forbrug af biomasse'!$E$1:$E$425,'Forbrug af biomasse'!$A$1:$A$425,$F428,'Forbrug af biomasse'!$C$1:$C$425,$D428,'Forbrug af biomasse'!$B$1:$B$425,$A$1,'Forbrug af biomasse'!$D$1:$D$425,I$2)*'[1]Processer - data'!I428</f>
        <v>146017381.97855961</v>
      </c>
      <c r="J428" s="288">
        <f>SUMIFS('Forbrug af biomasse'!$E$1:$E$425,'Forbrug af biomasse'!$A$1:$A$425,$F428,'Forbrug af biomasse'!$C$1:$C$425,$D428,'Forbrug af biomasse'!$B$1:$B$425,$A$1,'Forbrug af biomasse'!$D$1:$D$425,J$2)*'[1]Processer - data'!J428</f>
        <v>146017381.97855961</v>
      </c>
      <c r="M428" s="172"/>
      <c r="N428" s="172"/>
      <c r="O428" s="172"/>
    </row>
    <row r="429" spans="1:15" x14ac:dyDescent="0.55000000000000004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86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287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288">
        <f>SUMIFS('Forbrug af biomasse'!$E$1:$E$425,'Forbrug af biomasse'!$A$1:$A$425,$F429,'Forbrug af biomasse'!$C$1:$C$425,$D429,'Forbrug af biomasse'!$B$1:$B$425,$A$1,'Forbrug af biomasse'!$D$1:$D$425,J$2)*'[1]Processer - data'!J429</f>
        <v>0</v>
      </c>
      <c r="M429" s="172"/>
      <c r="N429" s="172"/>
      <c r="O429" s="172"/>
    </row>
    <row r="430" spans="1:15" x14ac:dyDescent="0.55000000000000004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86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287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288">
        <f>SUMIFS('Forbrug af biomasse'!$E$1:$E$425,'Forbrug af biomasse'!$A$1:$A$425,$F430,'Forbrug af biomasse'!$C$1:$C$425,$D430,'Forbrug af biomasse'!$B$1:$B$425,$A$1,'Forbrug af biomasse'!$D$1:$D$425,J$2)*'[1]Processer - data'!J430</f>
        <v>0</v>
      </c>
      <c r="M430" s="172"/>
      <c r="N430" s="172"/>
      <c r="O430" s="172"/>
    </row>
    <row r="431" spans="1:15" x14ac:dyDescent="0.55000000000000004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86">
        <f>SUMIFS('Forbrug af biomasse'!$E$1:$E$425,'Forbrug af biomasse'!$A$1:$A$425,$F431,'Forbrug af biomasse'!$C$1:$C$425,$D431,'Forbrug af biomasse'!$B$1:$B$425,$A$1,'Forbrug af biomasse'!$D$1:$D$425,H$2)*'[1]Processer - data'!H431</f>
        <v>108393271.28469765</v>
      </c>
      <c r="I431" s="287">
        <f>SUMIFS('Forbrug af biomasse'!$E$1:$E$425,'Forbrug af biomasse'!$A$1:$A$425,$F431,'Forbrug af biomasse'!$C$1:$C$425,$D431,'Forbrug af biomasse'!$B$1:$B$425,$A$1,'Forbrug af biomasse'!$D$1:$D$425,I$2)*'[1]Processer - data'!I431</f>
        <v>108393271.28469765</v>
      </c>
      <c r="J431" s="288">
        <f>SUMIFS('Forbrug af biomasse'!$E$1:$E$425,'Forbrug af biomasse'!$A$1:$A$425,$F431,'Forbrug af biomasse'!$C$1:$C$425,$D431,'Forbrug af biomasse'!$B$1:$B$425,$A$1,'Forbrug af biomasse'!$D$1:$D$425,J$2)*'[1]Processer - data'!J431</f>
        <v>108393271.28469765</v>
      </c>
      <c r="M431" s="172"/>
      <c r="N431" s="172"/>
      <c r="O431" s="172"/>
    </row>
    <row r="432" spans="1:15" x14ac:dyDescent="0.55000000000000004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86">
        <f>SUMIFS('Forbrug af biomasse'!$E$1:$E$425,'Forbrug af biomasse'!$A$1:$A$425,$F432,'Forbrug af biomasse'!$C$1:$C$425,$D432,'Forbrug af biomasse'!$B$1:$B$425,$A$1,'Forbrug af biomasse'!$D$1:$D$425,H$2)*'[1]Processer - data'!H432</f>
        <v>3588623510.4669328</v>
      </c>
      <c r="I432" s="287">
        <f>SUMIFS('Forbrug af biomasse'!$E$1:$E$425,'Forbrug af biomasse'!$A$1:$A$425,$F432,'Forbrug af biomasse'!$C$1:$C$425,$D432,'Forbrug af biomasse'!$B$1:$B$425,$A$1,'Forbrug af biomasse'!$D$1:$D$425,I$2)*'[1]Processer - data'!I432</f>
        <v>3588623510.4669318</v>
      </c>
      <c r="J432" s="288">
        <f>SUMIFS('Forbrug af biomasse'!$E$1:$E$425,'Forbrug af biomasse'!$A$1:$A$425,$F432,'Forbrug af biomasse'!$C$1:$C$425,$D432,'Forbrug af biomasse'!$B$1:$B$425,$A$1,'Forbrug af biomasse'!$D$1:$D$425,J$2)*'[1]Processer - data'!J432</f>
        <v>3588623510.4669318</v>
      </c>
      <c r="M432" s="172"/>
      <c r="N432" s="172"/>
      <c r="O432" s="172"/>
    </row>
    <row r="433" spans="1:13" x14ac:dyDescent="0.55000000000000004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86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8534106.1751940791</v>
      </c>
      <c r="I433" s="287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8693440.1016305443</v>
      </c>
      <c r="J433" s="288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8438551.5342086051</v>
      </c>
      <c r="L433" s="133"/>
      <c r="M433" s="126"/>
    </row>
    <row r="434" spans="1:13" x14ac:dyDescent="0.55000000000000004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86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270953.680396009</v>
      </c>
      <c r="I434" s="287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275077.411444325</v>
      </c>
      <c r="J434" s="288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269577.12447057531</v>
      </c>
      <c r="L434" s="128"/>
      <c r="M434" s="126"/>
    </row>
    <row r="435" spans="1:13" x14ac:dyDescent="0.55000000000000004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86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3881990.8998577143</v>
      </c>
      <c r="I435" s="287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3875220.5525499326</v>
      </c>
      <c r="J435" s="288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3870761.5010252795</v>
      </c>
      <c r="L435" s="128"/>
      <c r="M435" s="126"/>
    </row>
    <row r="436" spans="1:13" x14ac:dyDescent="0.55000000000000004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86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30413304.875726663</v>
      </c>
      <c r="I436" s="287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95875938.998603612</v>
      </c>
      <c r="J436" s="288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91789375.641806006</v>
      </c>
      <c r="L436" s="128"/>
      <c r="M436" s="126"/>
    </row>
    <row r="437" spans="1:13" s="172" customFormat="1" x14ac:dyDescent="0.55000000000000004">
      <c r="A437" s="172" t="str">
        <f>IF('[1]Processer - data'!A437&lt;&gt;"",'[1]Processer - data'!A437,"")</f>
        <v>Biogasanlæg</v>
      </c>
      <c r="B437" s="172" t="str">
        <f>IF('[1]Processer - data'!B437&lt;&gt;"",'[1]Processer - data'!B437,"")</f>
        <v/>
      </c>
      <c r="C437" s="172" t="str">
        <f>IF('[1]Processer - data'!C437&lt;&gt;"",'[1]Processer - data'!C437,"")</f>
        <v/>
      </c>
      <c r="D437" s="172" t="str">
        <f>IF('[1]Processer - data'!D437&lt;&gt;"",'[1]Processer - data'!D437,"")</f>
        <v>Svinegylle</v>
      </c>
      <c r="E437" s="172" t="str">
        <f>IF('[1]Processer - data'!E437&lt;&gt;"",'[1]Processer - data'!E437,"")</f>
        <v>Ton</v>
      </c>
      <c r="F437" s="172" t="str">
        <f>IF('[1]Processer - data'!F437&lt;&gt;"",'[1]Processer - data'!F437,"")</f>
        <v>CO2 - atmosfære</v>
      </c>
      <c r="G437" s="172" t="str">
        <f>IF('[1]Processer - data'!G437&lt;&gt;"",'[1]Processer - data'!G437,"")</f>
        <v>t CO2-ækvivalenter</v>
      </c>
      <c r="H437" s="292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-32257.365042424757</v>
      </c>
      <c r="I437" s="293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-101689.21712719031</v>
      </c>
      <c r="J437" s="294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-97354.871796820575</v>
      </c>
      <c r="L437" s="128"/>
      <c r="M437" s="126"/>
    </row>
    <row r="438" spans="1:13" x14ac:dyDescent="0.55000000000000004">
      <c r="A438" s="172" t="str">
        <f>IF('[1]Processer - data'!A438&lt;&gt;"",'[1]Processer - data'!A438,"")</f>
        <v>Biogasanlæg</v>
      </c>
      <c r="B438" s="172" t="str">
        <f>IF('[1]Processer - data'!B438&lt;&gt;"",'[1]Processer - data'!B438,"")</f>
        <v/>
      </c>
      <c r="C438" s="172" t="str">
        <f>IF('[1]Processer - data'!C438&lt;&gt;"",'[1]Processer - data'!C438,"")</f>
        <v/>
      </c>
      <c r="D438" s="172" t="str">
        <f>IF('[1]Processer - data'!D438&lt;&gt;"",'[1]Processer - data'!D438,"")</f>
        <v>Kvæggylle</v>
      </c>
      <c r="E438" s="172" t="str">
        <f>IF('[1]Processer - data'!E438&lt;&gt;"",'[1]Processer - data'!E438,"")</f>
        <v>Ton</v>
      </c>
      <c r="F438" s="172" t="str">
        <f>IF('[1]Processer - data'!F438&lt;&gt;"",'[1]Processer - data'!F438,"")</f>
        <v>Biogas</v>
      </c>
      <c r="G438" s="172" t="str">
        <f>IF('[1]Processer - data'!G438&lt;&gt;"",'[1]Processer - data'!G438,"")</f>
        <v>Nm3 CH4</v>
      </c>
      <c r="H438" s="286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57342790.956111364</v>
      </c>
      <c r="I438" s="287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139131150.75867423</v>
      </c>
      <c r="J438" s="288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136472616.08132389</v>
      </c>
      <c r="L438" s="128"/>
      <c r="M438" s="126"/>
    </row>
    <row r="439" spans="1:13" s="172" customFormat="1" x14ac:dyDescent="0.55000000000000004">
      <c r="A439" s="172" t="str">
        <f>IF('[1]Processer - data'!A439&lt;&gt;"",'[1]Processer - data'!A439,"")</f>
        <v>Biogasanlæg</v>
      </c>
      <c r="B439" s="172" t="str">
        <f>IF('[1]Processer - data'!B439&lt;&gt;"",'[1]Processer - data'!B439,"")</f>
        <v/>
      </c>
      <c r="C439" s="172" t="str">
        <f>IF('[1]Processer - data'!C439&lt;&gt;"",'[1]Processer - data'!C439,"")</f>
        <v/>
      </c>
      <c r="D439" s="172" t="str">
        <f>IF('[1]Processer - data'!D439&lt;&gt;"",'[1]Processer - data'!D439,"")</f>
        <v>Kvæggylle</v>
      </c>
      <c r="E439" s="172" t="str">
        <f>IF('[1]Processer - data'!E439&lt;&gt;"",'[1]Processer - data'!E439,"")</f>
        <v>Ton</v>
      </c>
      <c r="F439" s="172" t="str">
        <f>IF('[1]Processer - data'!F439&lt;&gt;"",'[1]Processer - data'!F439,"")</f>
        <v>CO2 - atmosfære</v>
      </c>
      <c r="G439" s="172" t="str">
        <f>IF('[1]Processer - data'!G439&lt;&gt;"",'[1]Processer - data'!G439,"")</f>
        <v>t CO2-ækvivalenter</v>
      </c>
      <c r="H439" s="292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-119673.00061953654</v>
      </c>
      <c r="I439" s="293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-290363.30484303256</v>
      </c>
      <c r="J439" s="294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-284815.00806875952</v>
      </c>
      <c r="L439" s="128"/>
      <c r="M439" s="126"/>
    </row>
    <row r="440" spans="1:13" x14ac:dyDescent="0.55000000000000004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86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53759.86093242302</v>
      </c>
      <c r="I440" s="287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54644.856187822908</v>
      </c>
      <c r="J440" s="288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56431.73278225986</v>
      </c>
      <c r="L440" s="128"/>
      <c r="M440" s="126"/>
    </row>
    <row r="441" spans="1:13" x14ac:dyDescent="0.55000000000000004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86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40271680.293017551</v>
      </c>
      <c r="I441" s="287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79587774.553765386</v>
      </c>
      <c r="J441" s="288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83339331.830657274</v>
      </c>
      <c r="L441" s="128"/>
      <c r="M441" s="126"/>
    </row>
    <row r="442" spans="1:13" x14ac:dyDescent="0.55000000000000004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86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31482143.493156105</v>
      </c>
      <c r="I442" s="287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31469231.350359168</v>
      </c>
      <c r="J442" s="288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31452512.457946908</v>
      </c>
      <c r="L442" s="129"/>
      <c r="M442" s="126"/>
    </row>
    <row r="443" spans="1:13" x14ac:dyDescent="0.55000000000000004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86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310039.29866931034</v>
      </c>
      <c r="I443" s="287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308124.4912154827</v>
      </c>
      <c r="J443" s="288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304975.75063757278</v>
      </c>
      <c r="L443" s="128"/>
      <c r="M443" s="126"/>
    </row>
    <row r="444" spans="1:13" x14ac:dyDescent="0.55000000000000004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86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33612562.656912327</v>
      </c>
      <c r="I444" s="287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16661974.214809956</v>
      </c>
      <c r="J444" s="288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16867128.386906005</v>
      </c>
      <c r="L444" s="128"/>
      <c r="M444" s="126"/>
    </row>
    <row r="445" spans="1:13" x14ac:dyDescent="0.55000000000000004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86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77790350.583637342</v>
      </c>
      <c r="I445" s="287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56819696.139017135</v>
      </c>
      <c r="J445" s="288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56454701.7391527</v>
      </c>
      <c r="L445" s="128"/>
      <c r="M445" s="126"/>
    </row>
    <row r="446" spans="1:13" x14ac:dyDescent="0.55000000000000004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86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287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288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  <c r="L446" s="128"/>
      <c r="M446" s="126"/>
    </row>
    <row r="447" spans="1:13" x14ac:dyDescent="0.55000000000000004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86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287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288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  <c r="L447" s="128"/>
      <c r="M447" s="126"/>
    </row>
    <row r="448" spans="1:13" x14ac:dyDescent="0.55000000000000004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86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1991.3211030641837</v>
      </c>
      <c r="I448" s="287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1977.3250193561946</v>
      </c>
      <c r="J448" s="288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1970.3722276763394</v>
      </c>
      <c r="L448" s="128"/>
      <c r="M448" s="126"/>
    </row>
    <row r="449" spans="1:13" x14ac:dyDescent="0.55000000000000004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86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287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288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  <c r="L449" s="129"/>
      <c r="M449" s="126"/>
    </row>
    <row r="450" spans="1:13" x14ac:dyDescent="0.55000000000000004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86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48345002.496000007</v>
      </c>
      <c r="I450" s="287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48345002.496000007</v>
      </c>
      <c r="J450" s="288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48345002.496000007</v>
      </c>
      <c r="L450" s="128"/>
      <c r="M450" s="126"/>
    </row>
    <row r="451" spans="1:13" ht="14.7" thickBot="1" x14ac:dyDescent="0.6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86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20296537.965774857</v>
      </c>
      <c r="I451" s="287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20948706.0181107</v>
      </c>
      <c r="J451" s="288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21728483.45145556</v>
      </c>
      <c r="L451" s="143"/>
      <c r="M451" s="126"/>
    </row>
    <row r="452" spans="1:13" x14ac:dyDescent="0.55000000000000004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292">
        <f ca="1">SUMIFS('Forbrug af biomasse'!$E$1:$E$425,'Forbrug af biomasse'!$A$1:$A$425,"Biogas",'Forbrug af biomasse'!$B$1:$B$425,$A$1,'Forbrug af biomasse'!$D$1:$D$425,H$2)*'[1]Processer - data'!H452</f>
        <v>9571125.1585832145</v>
      </c>
      <c r="I452" s="293">
        <f ca="1">SUMIFS('Forbrug af biomasse'!$E$1:$E$425,'Forbrug af biomasse'!$A$1:$A$425,"Biogas",'Forbrug af biomasse'!$B$1:$B$425,$A$1,'Forbrug af biomasse'!$D$1:$D$425,I$2)*'[1]Processer - data'!I452</f>
        <v>20204950.696798485</v>
      </c>
      <c r="J452" s="294">
        <f ca="1">SUMIFS('Forbrug af biomasse'!$E$1:$E$425,'Forbrug af biomasse'!$A$1:$A$425,"Biogas",'Forbrug af biomasse'!$B$1:$B$425,$A$1,'Forbrug af biomasse'!$D$1:$D$425,J$2)*'[1]Processer - data'!J452</f>
        <v>19825065.796666823</v>
      </c>
    </row>
    <row r="453" spans="1:13" x14ac:dyDescent="0.55000000000000004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292">
        <f>(1-IF(VLOOKUP($D453,Biogasanlæg!$A$3:$D$7,MATCH(H$2,Biogasanlæg!$A$2:$D$2,0),FALSE)&gt;1,1,VLOOKUP($D453,Biogasanlæg!$A$3:$D$7,MATCH(H$2,Biogasanlæg!$A$2:$D$2,0),FALSE)))*SUMIFS('Resultater - Vestdanmark'!H$3:H$482,'Resultater - Vestdanmark'!$F$3:$F$482,$D453)*'[1]Processer - data'!H$453</f>
        <v>67935911.099748671</v>
      </c>
      <c r="I453" s="293">
        <f>(1-IF(VLOOKUP($D453,Biogasanlæg!$A$3:$D$7,MATCH(I$2,Biogasanlæg!$A$2:$D$2,0),FALSE)&gt;1,1,VLOOKUP($D453,Biogasanlæg!$A$3:$D$7,MATCH(I$2,Biogasanlæg!$A$2:$D$2,0),FALSE)))*SUMIFS('Resultater - Vestdanmark'!I$3:I$482,'Resultater - Vestdanmark'!$F$3:$F$482,$D453)*'[1]Processer - data'!I$453</f>
        <v>37551409.441119738</v>
      </c>
      <c r="J453" s="294">
        <f>(1-IF(VLOOKUP($D453,Biogasanlæg!$A$3:$D$7,MATCH(J$2,Biogasanlæg!$A$2:$D$2,0),FALSE)&gt;1,1,VLOOKUP($D453,Biogasanlæg!$A$3:$D$7,MATCH(J$2,Biogasanlæg!$A$2:$D$2,0),FALSE)))*SUMIFS('Resultater - Vestdanmark'!J$3:J$482,'Resultater - Vestdanmark'!$F$3:$F$482,$D453)*'[1]Processer - data'!J$453</f>
        <v>35950838.793040685</v>
      </c>
    </row>
    <row r="454" spans="1:13" x14ac:dyDescent="0.55000000000000004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292">
        <f>(1-IF(VLOOKUP($D454,Biogasanlæg!$A$3:$D$7,MATCH(H$2,Biogasanlæg!$A$2:$D$2,0),FALSE)&gt;1,1,VLOOKUP($D454,Biogasanlæg!$A$3:$D$7,MATCH(H$2,Biogasanlæg!$A$2:$D$2,0),FALSE)))*SUMIFS('Resultater - Vestdanmark'!H$3:H$482,'Resultater - Vestdanmark'!$F$3:$F$482,$D454)*'[1]Processer - data'!H$453</f>
        <v>48007671.221957028</v>
      </c>
      <c r="I454" s="293">
        <f>(1-IF(VLOOKUP($D454,Biogasanlæg!$A$3:$D$7,MATCH(I$2,Biogasanlæg!$A$2:$D$2,0),FALSE)&gt;1,1,VLOOKUP($D454,Biogasanlæg!$A$3:$D$7,MATCH(I$2,Biogasanlæg!$A$2:$D$2,0),FALSE)))*SUMIFS('Resultater - Vestdanmark'!I$3:I$482,'Resultater - Vestdanmark'!$F$3:$F$482,$D454)*'[1]Processer - data'!I$453</f>
        <v>16515007.816819113</v>
      </c>
      <c r="J454" s="294">
        <f>(1-IF(VLOOKUP($D454,Biogasanlæg!$A$3:$D$7,MATCH(J$2,Biogasanlæg!$A$2:$D$2,0),FALSE)&gt;1,1,VLOOKUP($D454,Biogasanlæg!$A$3:$D$7,MATCH(J$2,Biogasanlæg!$A$2:$D$2,0),FALSE)))*SUMIFS('Resultater - Vestdanmark'!J$3:J$482,'Resultater - Vestdanmark'!$F$3:$F$482,$D454)*'[1]Processer - data'!J$453</f>
        <v>16199437.071243376</v>
      </c>
    </row>
    <row r="455" spans="1:13" x14ac:dyDescent="0.55000000000000004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292">
        <f>(1-IF(VLOOKUP($D455,Biogasanlæg!$A$3:$D$7,MATCH(H$2,Biogasanlæg!$A$2:$D$2,0),FALSE)&gt;1,1,VLOOKUP($D455,Biogasanlæg!$A$3:$D$7,MATCH(H$2,Biogasanlæg!$A$2:$D$2,0),FALSE)))*SUMIFS('Resultater - Vestdanmark'!H$3:H$482,'Resultater - Vestdanmark'!$F$3:$F$482,$D455)*'[1]Processer - data'!H$453</f>
        <v>21750.172743652063</v>
      </c>
      <c r="I455" s="293">
        <f>(1-IF(VLOOKUP($D455,Biogasanlæg!$A$3:$D$7,MATCH(I$2,Biogasanlæg!$A$2:$D$2,0),FALSE)&gt;1,1,VLOOKUP($D455,Biogasanlæg!$A$3:$D$7,MATCH(I$2,Biogasanlæg!$A$2:$D$2,0),FALSE)))*SUMIFS('Resultater - Vestdanmark'!I$3:I$482,'Resultater - Vestdanmark'!$F$3:$F$482,$D455)*'[1]Processer - data'!I$453</f>
        <v>22108.224259195529</v>
      </c>
      <c r="J455" s="294">
        <f>(1-IF(VLOOKUP($D455,Biogasanlæg!$A$3:$D$7,MATCH(J$2,Biogasanlæg!$A$2:$D$2,0),FALSE)&gt;1,1,VLOOKUP($D455,Biogasanlæg!$A$3:$D$7,MATCH(J$2,Biogasanlæg!$A$2:$D$2,0),FALSE)))*SUMIFS('Resultater - Vestdanmark'!J$3:J$482,'Resultater - Vestdanmark'!$F$3:$F$482,$D455)*'[1]Processer - data'!J$453</f>
        <v>22831.159064578416</v>
      </c>
    </row>
    <row r="456" spans="1:13" x14ac:dyDescent="0.55000000000000004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292">
        <f>(1-IF(VLOOKUP($D456,Biogasanlæg!$A$3:$D$7,MATCH(H$2,Biogasanlæg!$A$2:$D$2,0),FALSE)&gt;1,1,VLOOKUP($D456,Biogasanlæg!$A$3:$D$7,MATCH(H$2,Biogasanlæg!$A$2:$D$2,0),FALSE)))*SUMIFS('Resultater - Vestdanmark'!H$3:H$482,'Resultater - Vestdanmark'!$F$3:$F$482,$D456)*'[1]Processer - data'!H$453</f>
        <v>10224311.649011683</v>
      </c>
      <c r="I456" s="293">
        <f>(1-IF(VLOOKUP($D456,Biogasanlæg!$A$3:$D$7,MATCH(I$2,Biogasanlæg!$A$2:$D$2,0),FALSE)&gt;1,1,VLOOKUP($D456,Biogasanlæg!$A$3:$D$7,MATCH(I$2,Biogasanlæg!$A$2:$D$2,0),FALSE)))*SUMIFS('Resultater - Vestdanmark'!I$3:I$482,'Resultater - Vestdanmark'!$F$3:$F$482,$D456)*'[1]Processer - data'!I$453</f>
        <v>7030253.4189159423</v>
      </c>
      <c r="J456" s="294">
        <f>(1-IF(VLOOKUP($D456,Biogasanlæg!$A$3:$D$7,MATCH(J$2,Biogasanlæg!$A$2:$D$2,0),FALSE)&gt;1,1,VLOOKUP($D456,Biogasanlæg!$A$3:$D$7,MATCH(J$2,Biogasanlæg!$A$2:$D$2,0),FALSE)))*SUMIFS('Resultater - Vestdanmark'!J$3:J$482,'Resultater - Vestdanmark'!$F$3:$F$482,$D456)*'[1]Processer - data'!J$453</f>
        <v>7361640.9783747252</v>
      </c>
    </row>
    <row r="457" spans="1:13" x14ac:dyDescent="0.55000000000000004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292">
        <f ca="1">H452*'[1]Processer - data'!H$457*Biogasanlæg!AA$3</f>
        <v>49012317.500056781</v>
      </c>
      <c r="I457" s="293">
        <f ca="1">I452*'[1]Processer - data'!I$457*Biogasanlæg!AB$3</f>
        <v>123985848.2949653</v>
      </c>
      <c r="J457" s="294">
        <f ca="1">J452*'[1]Processer - data'!J$457*Biogasanlæg!AC$3</f>
        <v>120557385.71915281</v>
      </c>
    </row>
    <row r="458" spans="1:13" x14ac:dyDescent="0.55000000000000004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292">
        <f ca="1">-SUMIFS('Resultater - Vestdanmark'!H$3:H$482,'Resultater - Vestdanmark'!$F$3:$F$482,"Gødning",'Resultater - Vestdanmark'!$A$3:$A$482,"&lt;&gt;Gødning")-SUM(H453:H457)</f>
        <v>115302944.8742784</v>
      </c>
      <c r="I458" s="293">
        <f ca="1">-SUMIFS('Resultater - Vestdanmark'!I$3:I$482,'Resultater - Vestdanmark'!$F$3:$F$482,"Gødning",'Resultater - Vestdanmark'!$A$3:$A$482,"&lt;&gt;Gødning")-SUM(I453:I457)</f>
        <v>110460248.18439952</v>
      </c>
      <c r="J458" s="294">
        <f ca="1">-SUMIFS('Resultater - Vestdanmark'!J$3:J$482,'Resultater - Vestdanmark'!$F$3:$F$482,"Gødning",'Resultater - Vestdanmark'!$A$3:$A$482,"&lt;&gt;Gødning")-SUM(J453:J457)</f>
        <v>95537602.33487916</v>
      </c>
    </row>
    <row r="459" spans="1:13" x14ac:dyDescent="0.55000000000000004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295">
        <f>SUMIFS('Forbrug af biomasse'!$E$1:$E$425,'Forbrug af biomasse'!$A$1:$A$425,$F459,'Forbrug af biomasse'!$C$1:$C$425,$D459,'Forbrug af biomasse'!$B$1:$B$425,$A$1,'Forbrug af biomasse'!$D$1:$D$425,H$2)*'[1]Processer - data'!H459</f>
        <v>11.985300912376998</v>
      </c>
      <c r="I459" s="297">
        <f>SUMIFS('Forbrug af biomasse'!$E$1:$E$425,'Forbrug af biomasse'!$A$1:$A$425,$F459,'Forbrug af biomasse'!$C$1:$C$425,$D459,'Forbrug af biomasse'!$B$1:$B$425,$A$1,'Forbrug af biomasse'!$D$1:$D$425,I$2)*'[1]Processer - data'!I459</f>
        <v>12.857369854211505</v>
      </c>
      <c r="J459" s="298">
        <f>SUMIFS('Forbrug af biomasse'!$E$1:$E$425,'Forbrug af biomasse'!$A$1:$A$425,$F459,'Forbrug af biomasse'!$C$1:$C$425,$D459,'Forbrug af biomasse'!$B$1:$B$425,$A$1,'Forbrug af biomasse'!$D$1:$D$425,J$2)*'[1]Processer - data'!J459</f>
        <v>10.38165726157278</v>
      </c>
    </row>
    <row r="460" spans="1:13" x14ac:dyDescent="0.55000000000000004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295">
        <f>SUMIFS('Forbrug af biomasse'!$E$1:$E$425,'Forbrug af biomasse'!$A$1:$A$425,$F460,'Forbrug af biomasse'!$C$1:$C$425,$D460,'Forbrug af biomasse'!$B$1:$B$425,$A$1,'Forbrug af biomasse'!$D$1:$D$425,H$2)*'[1]Processer - data'!H460</f>
        <v>0.10860274541641778</v>
      </c>
      <c r="I460" s="297">
        <f>SUMIFS('Forbrug af biomasse'!$E$1:$E$425,'Forbrug af biomasse'!$A$1:$A$425,$F460,'Forbrug af biomasse'!$C$1:$C$425,$D460,'Forbrug af biomasse'!$B$1:$B$425,$A$1,'Forbrug af biomasse'!$D$1:$D$425,I$2)*'[1]Processer - data'!I460</f>
        <v>5.6872558977215286</v>
      </c>
      <c r="J460" s="298">
        <f>SUMIFS('Forbrug af biomasse'!$E$1:$E$425,'Forbrug af biomasse'!$A$1:$A$425,$F460,'Forbrug af biomasse'!$C$1:$C$425,$D460,'Forbrug af biomasse'!$B$1:$B$425,$A$1,'Forbrug af biomasse'!$D$1:$D$425,J$2)*'[1]Processer - data'!J460</f>
        <v>5.4772475199898727</v>
      </c>
    </row>
    <row r="461" spans="1:13" x14ac:dyDescent="0.55000000000000004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295">
        <f>SUMIFS('Forbrug af biomasse'!$E$1:$E$425,'Forbrug af biomasse'!$A$1:$A$425,$F461,'Forbrug af biomasse'!$C$1:$C$425,$D461,'Forbrug af biomasse'!$B$1:$B$425,$A$1,'Forbrug af biomasse'!$D$1:$D$425,H$2)*'[1]Processer - data'!H461</f>
        <v>3.1685732410795864</v>
      </c>
      <c r="I461" s="297">
        <f>SUMIFS('Forbrug af biomasse'!$E$1:$E$425,'Forbrug af biomasse'!$A$1:$A$425,$F461,'Forbrug af biomasse'!$C$1:$C$425,$D461,'Forbrug af biomasse'!$B$1:$B$425,$A$1,'Forbrug af biomasse'!$D$1:$D$425,I$2)*'[1]Processer - data'!I461</f>
        <v>3.2663029818159193</v>
      </c>
      <c r="J461" s="298">
        <f>SUMIFS('Forbrug af biomasse'!$E$1:$E$425,'Forbrug af biomasse'!$A$1:$A$425,$F461,'Forbrug af biomasse'!$C$1:$C$425,$D461,'Forbrug af biomasse'!$B$1:$B$425,$A$1,'Forbrug af biomasse'!$D$1:$D$425,J$2)*'[1]Processer - data'!J461</f>
        <v>3.1606621911634383</v>
      </c>
    </row>
    <row r="462" spans="1:13" x14ac:dyDescent="0.55000000000000004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295">
        <f>SUMIFS('Forbrug af biomasse'!$E$1:$E$425,'Forbrug af biomasse'!$A$1:$A$425,$F462,'Forbrug af biomasse'!$C$1:$C$425,$D462,'Forbrug af biomasse'!$B$1:$B$425,$A$1,'Forbrug af biomasse'!$D$1:$D$425,H$2)*'[1]Processer - data'!H462</f>
        <v>33.750241076188566</v>
      </c>
      <c r="I462" s="297">
        <f>SUMIFS('Forbrug af biomasse'!$E$1:$E$425,'Forbrug af biomasse'!$A$1:$A$425,$F462,'Forbrug af biomasse'!$C$1:$C$425,$D462,'Forbrug af biomasse'!$B$1:$B$425,$A$1,'Forbrug af biomasse'!$D$1:$D$425,I$2)*'[1]Processer - data'!I462</f>
        <v>31.93969521225883</v>
      </c>
      <c r="J462" s="298">
        <f>SUMIFS('Forbrug af biomasse'!$E$1:$E$425,'Forbrug af biomasse'!$A$1:$A$425,$F462,'Forbrug af biomasse'!$C$1:$C$425,$D462,'Forbrug af biomasse'!$B$1:$B$425,$A$1,'Forbrug af biomasse'!$D$1:$D$425,J$2)*'[1]Processer - data'!J462</f>
        <v>29.003597326661179</v>
      </c>
    </row>
    <row r="463" spans="1:13" x14ac:dyDescent="0.55000000000000004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295">
        <f>SUMIFS('Forbrug af biomasse'!$E$1:$E$425,'Forbrug af biomasse'!$A$1:$A$425,$F463,'Forbrug af biomasse'!$C$1:$C$425,$D463,'Forbrug af biomasse'!$B$1:$B$425,$A$1,'Forbrug af biomasse'!$D$1:$D$425,H$2)*'[1]Processer - data'!H463</f>
        <v>9.4691817325671721</v>
      </c>
      <c r="I463" s="297">
        <f>SUMIFS('Forbrug af biomasse'!$E$1:$E$425,'Forbrug af biomasse'!$A$1:$A$425,$F463,'Forbrug af biomasse'!$C$1:$C$425,$D463,'Forbrug af biomasse'!$B$1:$B$425,$A$1,'Forbrug af biomasse'!$D$1:$D$425,I$2)*'[1]Processer - data'!I463</f>
        <v>9.4026271924825835</v>
      </c>
      <c r="J463" s="298">
        <f>SUMIFS('Forbrug af biomasse'!$E$1:$E$425,'Forbrug af biomasse'!$A$1:$A$425,$F463,'Forbrug af biomasse'!$C$1:$C$425,$D463,'Forbrug af biomasse'!$B$1:$B$425,$A$1,'Forbrug af biomasse'!$D$1:$D$425,J$2)*'[1]Processer - data'!J463</f>
        <v>9.3695650972414288</v>
      </c>
    </row>
    <row r="464" spans="1:13" x14ac:dyDescent="0.55000000000000004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295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297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298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2" customFormat="1" x14ac:dyDescent="0.55000000000000004">
      <c r="A465" s="172" t="str">
        <f>IF('[1]Processer - data'!A465&lt;&gt;"",'[1]Processer - data'!A465,"")</f>
        <v>Til energi</v>
      </c>
      <c r="B465" s="172" t="str">
        <f>IF('[1]Processer - data'!B465&lt;&gt;"",'[1]Processer - data'!B465,"")</f>
        <v/>
      </c>
      <c r="C465" s="172" t="str">
        <f>IF('[1]Processer - data'!C465&lt;&gt;"",'[1]Processer - data'!C465,"")</f>
        <v/>
      </c>
      <c r="D465" s="172" t="str">
        <f>IF('[1]Processer - data'!D465&lt;&gt;"",'[1]Processer - data'!D465,"")</f>
        <v>Pyrolyseolie</v>
      </c>
      <c r="E465" s="172" t="str">
        <f>IF('[1]Processer - data'!E465&lt;&gt;"",'[1]Processer - data'!E465,"")</f>
        <v>Ton</v>
      </c>
      <c r="F465" s="172" t="str">
        <f>IF('[1]Processer - data'!F465&lt;&gt;"",'[1]Processer - data'!F465,"")</f>
        <v>Energi</v>
      </c>
      <c r="G465" s="172" t="str">
        <f>IF('[1]Processer - data'!G465&lt;&gt;"",'[1]Processer - data'!G465,"")</f>
        <v>PJ</v>
      </c>
      <c r="H465" s="295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297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298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2" customFormat="1" x14ac:dyDescent="0.55000000000000004">
      <c r="A466" s="172" t="str">
        <f>IF('[1]Processer - data'!A466&lt;&gt;"",'[1]Processer - data'!A466,"")</f>
        <v>Til energi</v>
      </c>
      <c r="B466" s="172" t="str">
        <f>IF('[1]Processer - data'!B466&lt;&gt;"",'[1]Processer - data'!B466,"")</f>
        <v/>
      </c>
      <c r="C466" s="172" t="str">
        <f>IF('[1]Processer - data'!C466&lt;&gt;"",'[1]Processer - data'!C466,"")</f>
        <v/>
      </c>
      <c r="D466" s="172" t="str">
        <f>IF('[1]Processer - data'!D466&lt;&gt;"",'[1]Processer - data'!D466,"")</f>
        <v>Pyrolysegas</v>
      </c>
      <c r="E466" s="172" t="str">
        <f>IF('[1]Processer - data'!E466&lt;&gt;"",'[1]Processer - data'!E466,"")</f>
        <v>Ton</v>
      </c>
      <c r="F466" s="172" t="str">
        <f>IF('[1]Processer - data'!F466&lt;&gt;"",'[1]Processer - data'!F466,"")</f>
        <v>Energi</v>
      </c>
      <c r="G466" s="172" t="str">
        <f>IF('[1]Processer - data'!G466&lt;&gt;"",'[1]Processer - data'!G466,"")</f>
        <v>PJ</v>
      </c>
      <c r="H466" s="295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297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298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55000000000000004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292">
        <f ca="1">SUM(H433:H451)*'[1]Processer - data'!$H$467</f>
        <v>12.653144702450682</v>
      </c>
      <c r="I467" s="293">
        <f ca="1">SUM(I433:I451)*'[1]Processer - data'!$H$467</f>
        <v>18.009447052160485</v>
      </c>
      <c r="J467" s="294">
        <f ca="1">SUM(J433:J451)*'[1]Processer - data'!$H$467</f>
        <v>17.914432082924378</v>
      </c>
    </row>
    <row r="468" spans="1:10" x14ac:dyDescent="0.55000000000000004">
      <c r="A468" s="104" t="str">
        <f>IF('[1]Processer - data'!A468&lt;&gt;"",'[1]Processer - data'!A468,"")</f>
        <v>Proteinproces</v>
      </c>
      <c r="B468" s="104" t="str">
        <f>IF('[1]Processer - data'!B468&lt;&gt;"",'[1]Processer - data'!B468,"")</f>
        <v/>
      </c>
      <c r="C468" s="104" t="str">
        <f>IF('[1]Processer - data'!C468&lt;&gt;"",'[1]Processer - data'!C468,"")</f>
        <v/>
      </c>
      <c r="D468" s="104" t="str">
        <f>IF('[1]Processer - data'!D468&lt;&gt;"",'[1]Processer - data'!D468,"")</f>
        <v>Græs</v>
      </c>
      <c r="E468" s="104" t="str">
        <f>IF('[1]Processer - data'!E468&lt;&gt;"",'[1]Processer - data'!E468,"")</f>
        <v>Ton</v>
      </c>
      <c r="F468" s="104" t="str">
        <f>IF('[1]Processer - data'!F468&lt;&gt;"",'[1]Processer - data'!F468,"")</f>
        <v>Græsprotein</v>
      </c>
      <c r="G468" s="104" t="str">
        <f>IF('[1]Processer - data'!G468&lt;&gt;"",'[1]Processer - data'!G468,"")</f>
        <v>Ton</v>
      </c>
      <c r="H468" s="286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287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288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55000000000000004">
      <c r="A469" s="104" t="str">
        <f>IF('[1]Processer - data'!A469&lt;&gt;"",'[1]Processer - data'!A469,"")</f>
        <v>Proteinproces</v>
      </c>
      <c r="B469" s="104" t="str">
        <f>IF('[1]Processer - data'!B469&lt;&gt;"",'[1]Processer - data'!B469,"")</f>
        <v/>
      </c>
      <c r="C469" s="104" t="str">
        <f>IF('[1]Processer - data'!C469&lt;&gt;"",'[1]Processer - data'!C469,"")</f>
        <v/>
      </c>
      <c r="D469" s="104" t="str">
        <f>IF('[1]Processer - data'!D469&lt;&gt;"",'[1]Processer - data'!D469,"")</f>
        <v>Græs</v>
      </c>
      <c r="E469" s="104" t="str">
        <f>IF('[1]Processer - data'!E469&lt;&gt;"",'[1]Processer - data'!E469,"")</f>
        <v>Ton</v>
      </c>
      <c r="F469" s="104" t="str">
        <f>IF('[1]Processer - data'!F469&lt;&gt;"",'[1]Processer - data'!F469,"")</f>
        <v>Fiberfraktion</v>
      </c>
      <c r="G469" s="104" t="str">
        <f>IF('[1]Processer - data'!G469&lt;&gt;"",'[1]Processer - data'!G469,"")</f>
        <v>Ton</v>
      </c>
      <c r="H469" s="286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287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288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x14ac:dyDescent="0.55000000000000004">
      <c r="A470" s="104" t="str">
        <f>IF('[1]Processer - data'!A470&lt;&gt;"",'[1]Processer - data'!A470,"")</f>
        <v>Proteinproces</v>
      </c>
      <c r="B470" s="104" t="str">
        <f>IF('[1]Processer - data'!B470&lt;&gt;"",'[1]Processer - data'!B470,"")</f>
        <v/>
      </c>
      <c r="C470" s="104" t="str">
        <f>IF('[1]Processer - data'!C470&lt;&gt;"",'[1]Processer - data'!C470,"")</f>
        <v/>
      </c>
      <c r="D470" s="104" t="str">
        <f>IF('[1]Processer - data'!D470&lt;&gt;"",'[1]Processer - data'!D470,"")</f>
        <v>Græs</v>
      </c>
      <c r="E470" s="104" t="str">
        <f>IF('[1]Processer - data'!E470&lt;&gt;"",'[1]Processer - data'!E470,"")</f>
        <v>Ton</v>
      </c>
      <c r="F470" s="104" t="str">
        <f>IF('[1]Processer - data'!F470&lt;&gt;"",'[1]Processer - data'!F470,"")</f>
        <v>Brun saft</v>
      </c>
      <c r="G470" s="104" t="str">
        <f>IF('[1]Processer - data'!G470&lt;&gt;"",'[1]Processer - data'!G470,"")</f>
        <v>PJ</v>
      </c>
      <c r="H470" s="286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287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288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55000000000000004">
      <c r="A471" s="104" t="str">
        <f>IF('[1]Processer - data'!A471&lt;&gt;"",'[1]Processer - data'!A471,"")</f>
        <v>Rapskageproduktion</v>
      </c>
      <c r="B471" s="104" t="str">
        <f>IF('[1]Processer - data'!B471&lt;&gt;"",'[1]Processer - data'!B471,"")</f>
        <v/>
      </c>
      <c r="C471" s="104" t="str">
        <f>IF('[1]Processer - data'!C471&lt;&gt;"",'[1]Processer - data'!C471,"")</f>
        <v/>
      </c>
      <c r="D471" s="104" t="str">
        <f>IF('[1]Processer - data'!D471&lt;&gt;"",'[1]Processer - data'!D471,"")</f>
        <v>Raps</v>
      </c>
      <c r="E471" s="104" t="str">
        <f>IF('[1]Processer - data'!E471&lt;&gt;"",'[1]Processer - data'!E471,"")</f>
        <v>Ton</v>
      </c>
      <c r="F471" s="104" t="str">
        <f>IF('[1]Processer - data'!F471&lt;&gt;"",'[1]Processer - data'!F471,"")</f>
        <v>Rapskage</v>
      </c>
      <c r="G471" s="104" t="str">
        <f>IF('[1]Processer - data'!G471&lt;&gt;"",'[1]Processer - data'!G471,"")</f>
        <v>Ton</v>
      </c>
      <c r="H471" s="308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242416.84244736095</v>
      </c>
      <c r="I471" s="309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253895.35257685397</v>
      </c>
      <c r="J471" s="310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244519.97857097647</v>
      </c>
    </row>
    <row r="472" spans="1:10" ht="14.7" thickBot="1" x14ac:dyDescent="0.6">
      <c r="A472" s="104" t="str">
        <f>IF('[1]Processer - data'!A472&lt;&gt;"",'[1]Processer - data'!A472,"")</f>
        <v>Rapskageproduktion</v>
      </c>
      <c r="B472" s="104" t="str">
        <f>IF('[1]Processer - data'!B472&lt;&gt;"",'[1]Processer - data'!B472,"")</f>
        <v/>
      </c>
      <c r="C472" s="104" t="str">
        <f>IF('[1]Processer - data'!C472&lt;&gt;"",'[1]Processer - data'!C472,"")</f>
        <v/>
      </c>
      <c r="D472" s="104" t="str">
        <f>IF('[1]Processer - data'!D472&lt;&gt;"",'[1]Processer - data'!D472,"")</f>
        <v>Raps</v>
      </c>
      <c r="E472" s="104" t="str">
        <f>IF('[1]Processer - data'!E472&lt;&gt;"",'[1]Processer - data'!E472,"")</f>
        <v>Ton</v>
      </c>
      <c r="F472" s="104" t="str">
        <f>IF('[1]Processer - data'!F472&lt;&gt;"",'[1]Processer - data'!F472,"")</f>
        <v>Rapsolie</v>
      </c>
      <c r="G472" s="104" t="str">
        <f>IF('[1]Processer - data'!G472&lt;&gt;"",'[1]Processer - data'!G472,"")</f>
        <v>Ton</v>
      </c>
      <c r="H472" s="308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155146.779166311</v>
      </c>
      <c r="I472" s="309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162493.02564918654</v>
      </c>
      <c r="J472" s="310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156492.78628542495</v>
      </c>
    </row>
    <row r="473" spans="1:10" x14ac:dyDescent="0.55000000000000004">
      <c r="A473" s="104" t="str">
        <f>IF('[1]Processer - data'!A473&lt;&gt;"",'[1]Processer - data'!A473,"")</f>
        <v>Pyrolyseproces</v>
      </c>
      <c r="B473" s="104" t="str">
        <f>IF('[1]Processer - data'!B473&lt;&gt;"",'[1]Processer - data'!B473,"")</f>
        <v/>
      </c>
      <c r="C473" s="104" t="str">
        <f>IF('[1]Processer - data'!C473&lt;&gt;"",'[1]Processer - data'!C473,"")</f>
        <v/>
      </c>
      <c r="D473" s="104" t="str">
        <f>IF('[1]Processer - data'!D473&lt;&gt;"",'[1]Processer - data'!D473,"")</f>
        <v>Halm</v>
      </c>
      <c r="E473" s="104" t="str">
        <f>IF('[1]Processer - data'!E473&lt;&gt;"",'[1]Processer - data'!E473,"")</f>
        <v>Ton</v>
      </c>
      <c r="F473" s="104" t="str">
        <f>IF('[1]Processer - data'!F473&lt;&gt;"",'[1]Processer - data'!F473,"")</f>
        <v>CO2 - atmosfære</v>
      </c>
      <c r="G473" s="104" t="str">
        <f>IF('[1]Processer - data'!G473&lt;&gt;"",'[1]Processer - data'!G473,"")</f>
        <v>t CO2-ækvivalenter</v>
      </c>
      <c r="H473" s="283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284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285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55000000000000004">
      <c r="A474" s="104" t="str">
        <f>IF('[1]Processer - data'!A474&lt;&gt;"",'[1]Processer - data'!A474,"")</f>
        <v>Pyrolyseproces</v>
      </c>
      <c r="B474" s="104" t="str">
        <f>IF('[1]Processer - data'!B474&lt;&gt;"",'[1]Processer - data'!B474,"")</f>
        <v/>
      </c>
      <c r="C474" s="104" t="str">
        <f>IF('[1]Processer - data'!C474&lt;&gt;"",'[1]Processer - data'!C474,"")</f>
        <v/>
      </c>
      <c r="D474" s="104" t="str">
        <f>IF('[1]Processer - data'!D474&lt;&gt;"",'[1]Processer - data'!D474,"")</f>
        <v>Halm</v>
      </c>
      <c r="E474" s="104" t="str">
        <f>IF('[1]Processer - data'!E474&lt;&gt;"",'[1]Processer - data'!E474,"")</f>
        <v>Ton</v>
      </c>
      <c r="F474" s="104" t="str">
        <f>IF('[1]Processer - data'!F474&lt;&gt;"",'[1]Processer - data'!F474,"")</f>
        <v>Pyrolyseolie</v>
      </c>
      <c r="G474" s="104" t="str">
        <f>IF('[1]Processer - data'!G474&lt;&gt;"",'[1]Processer - data'!G474,"")</f>
        <v>Ton</v>
      </c>
      <c r="H474" s="286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287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288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4.7" thickBot="1" x14ac:dyDescent="0.6">
      <c r="A475" s="104" t="str">
        <f>IF('[1]Processer - data'!A475&lt;&gt;"",'[1]Processer - data'!A475,"")</f>
        <v>Pyrolyseproces</v>
      </c>
      <c r="B475" s="104" t="str">
        <f>IF('[1]Processer - data'!B475&lt;&gt;"",'[1]Processer - data'!B475,"")</f>
        <v/>
      </c>
      <c r="C475" s="104" t="str">
        <f>IF('[1]Processer - data'!C475&lt;&gt;"",'[1]Processer - data'!C475,"")</f>
        <v/>
      </c>
      <c r="D475" s="104" t="str">
        <f>IF('[1]Processer - data'!D475&lt;&gt;"",'[1]Processer - data'!D475,"")</f>
        <v>Halm</v>
      </c>
      <c r="E475" s="104" t="str">
        <f>IF('[1]Processer - data'!E475&lt;&gt;"",'[1]Processer - data'!E475,"")</f>
        <v>Ton</v>
      </c>
      <c r="F475" s="104" t="str">
        <f>IF('[1]Processer - data'!F475&lt;&gt;"",'[1]Processer - data'!F475,"")</f>
        <v>Pyrolysegas</v>
      </c>
      <c r="G475" s="104" t="str">
        <f>IF('[1]Processer - data'!G475&lt;&gt;"",'[1]Processer - data'!G475,"")</f>
        <v>Ton</v>
      </c>
      <c r="H475" s="289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290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291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55000000000000004">
      <c r="H476" s="98"/>
      <c r="I476" s="98"/>
      <c r="J476" s="98"/>
    </row>
    <row r="477" spans="1:10" x14ac:dyDescent="0.55000000000000004">
      <c r="H477" s="98"/>
      <c r="I477" s="98"/>
      <c r="J477" s="98"/>
    </row>
    <row r="478" spans="1:10" x14ac:dyDescent="0.55000000000000004">
      <c r="H478" s="98"/>
      <c r="I478" s="98"/>
      <c r="J478" s="98"/>
    </row>
    <row r="479" spans="1:10" x14ac:dyDescent="0.55000000000000004">
      <c r="H479" s="98"/>
      <c r="I479" s="98"/>
      <c r="J479" s="98"/>
    </row>
    <row r="480" spans="1:10" x14ac:dyDescent="0.55000000000000004">
      <c r="H480" s="98"/>
      <c r="I480" s="98"/>
      <c r="J480" s="98"/>
    </row>
  </sheetData>
  <autoFilter ref="A2:U475" xr:uid="{909A89E6-B9A6-46D5-83F7-24899AA46FB2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15A3-622E-4BC7-B85B-59DB51A8F146}">
  <sheetPr codeName="Sheet17">
    <tabColor rgb="FFFF0000"/>
  </sheetPr>
  <dimension ref="A1:U480"/>
  <sheetViews>
    <sheetView topLeftCell="A446" zoomScale="80" zoomScaleNormal="80" workbookViewId="0">
      <selection activeCell="H472" sqref="H472"/>
    </sheetView>
  </sheetViews>
  <sheetFormatPr defaultRowHeight="14.4" x14ac:dyDescent="0.55000000000000004"/>
  <cols>
    <col min="1" max="1" width="27.83984375" bestFit="1" customWidth="1"/>
    <col min="2" max="2" width="19.26171875" bestFit="1" customWidth="1"/>
    <col min="3" max="3" width="12.26171875" bestFit="1" customWidth="1"/>
    <col min="4" max="4" width="18.41796875" bestFit="1" customWidth="1"/>
    <col min="5" max="5" width="6" bestFit="1" customWidth="1"/>
    <col min="6" max="6" width="16.41796875" bestFit="1" customWidth="1"/>
    <col min="7" max="7" width="16" bestFit="1" customWidth="1"/>
    <col min="8" max="8" width="35.15625" bestFit="1" customWidth="1"/>
    <col min="9" max="10" width="14.41796875" bestFit="1" customWidth="1"/>
    <col min="11" max="11" width="4.41796875" bestFit="1" customWidth="1"/>
    <col min="12" max="12" width="10.68359375" bestFit="1" customWidth="1"/>
  </cols>
  <sheetData>
    <row r="1" spans="1:21" x14ac:dyDescent="0.55000000000000004">
      <c r="A1" t="s">
        <v>24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101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4.7" thickBot="1" x14ac:dyDescent="0.6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M2" s="172"/>
      <c r="N2" s="172"/>
      <c r="O2" s="172"/>
      <c r="U2" t="str">
        <f>IF('[1]Processer - data'!$A$1&lt;&gt;"",'[1]Processer - data'!$A$1,"")</f>
        <v/>
      </c>
    </row>
    <row r="3" spans="1:21" x14ac:dyDescent="0.55000000000000004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11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3178286.4109467091</v>
      </c>
      <c r="I3" s="312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3335400.0632957984</v>
      </c>
      <c r="J3" s="313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3491788.2152479719</v>
      </c>
      <c r="M3" s="172">
        <f>SUMIF($F$3:$F$472,"Roer",H3:H472)</f>
        <v>2252973.7408705982</v>
      </c>
      <c r="N3" s="172">
        <f>SUMIF($F$3:$F$472,"Roer",I3:I472)</f>
        <v>2381738.5992335565</v>
      </c>
      <c r="O3" s="172">
        <f>SUMIF($F$3:$F$472,"Roer",J3:J472)</f>
        <v>2322627.8500566902</v>
      </c>
    </row>
    <row r="4" spans="1:21" x14ac:dyDescent="0.55000000000000004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08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165083.0224523381</v>
      </c>
      <c r="I4" s="309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168912.745758362</v>
      </c>
      <c r="J4" s="310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172292.68030975034</v>
      </c>
      <c r="M4" s="172">
        <f ca="1">SUMIF($F$3:$F$472,"Bioaffald",H3:H472)</f>
        <v>165083.0224523381</v>
      </c>
      <c r="N4" s="172">
        <f ca="1">SUMIF($F$3:$F$472,"Bioaffald",I3:I472)</f>
        <v>168912.745758362</v>
      </c>
      <c r="O4" s="172">
        <f ca="1">SUMIF($F$3:$F$472,"Bioaffald",J3:J472)</f>
        <v>172292.68030975034</v>
      </c>
    </row>
    <row r="5" spans="1:21" x14ac:dyDescent="0.55000000000000004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08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452346.51233766804</v>
      </c>
      <c r="I5" s="309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456074.89013160887</v>
      </c>
      <c r="J5" s="310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457927.02496060182</v>
      </c>
    </row>
    <row r="6" spans="1:21" s="172" customFormat="1" x14ac:dyDescent="0.55000000000000004">
      <c r="A6" s="172" t="str">
        <f>IF('[1]Processer - data'!A6&lt;&gt;"",'[1]Processer - data'!A6,"")</f>
        <v>Bioaffaldsproduktion</v>
      </c>
      <c r="B6" s="172" t="str">
        <f>IF('[1]Processer - data'!B6&lt;&gt;"",'[1]Processer - data'!B6,"")</f>
        <v/>
      </c>
      <c r="C6" s="172" t="str">
        <f>IF('[1]Processer - data'!C6&lt;&gt;"",'[1]Processer - data'!C6,"")</f>
        <v/>
      </c>
      <c r="D6" s="172" t="str">
        <f>IF('[1]Processer - data'!D6&lt;&gt;"",'[1]Processer - data'!D6,"")</f>
        <v>Befolkning</v>
      </c>
      <c r="E6" s="172" t="str">
        <f>IF('[1]Processer - data'!E6&lt;&gt;"",'[1]Processer - data'!E6,"")</f>
        <v>Antal</v>
      </c>
      <c r="F6" s="172" t="str">
        <f>IF('[1]Processer - data'!F6&lt;&gt;"",'[1]Processer - data'!F6,"")</f>
        <v>Industriaffald</v>
      </c>
      <c r="G6" s="172" t="str">
        <f>IF('[1]Processer - data'!G6&lt;&gt;"",'[1]Processer - data'!G6,"")</f>
        <v>Ton</v>
      </c>
      <c r="H6" s="308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163400.16637728616</v>
      </c>
      <c r="I6" s="309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164746.96033994757</v>
      </c>
      <c r="J6" s="310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165416.00305599862</v>
      </c>
      <c r="L6"/>
      <c r="M6"/>
      <c r="N6"/>
      <c r="O6"/>
    </row>
    <row r="7" spans="1:21" x14ac:dyDescent="0.55000000000000004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08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1.1976865502381491</v>
      </c>
      <c r="I7" s="309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3243.3351780449079</v>
      </c>
      <c r="J7" s="310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48650.027670673619</v>
      </c>
    </row>
    <row r="8" spans="1:21" x14ac:dyDescent="0.55000000000000004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08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-0.19402522113858015</v>
      </c>
      <c r="I8" s="309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-525.42029884327508</v>
      </c>
      <c r="J8" s="310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-7881.3044826491259</v>
      </c>
    </row>
    <row r="9" spans="1:21" x14ac:dyDescent="0.55000000000000004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08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0</v>
      </c>
      <c r="I9" s="309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3600</v>
      </c>
      <c r="J9" s="310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4500</v>
      </c>
    </row>
    <row r="10" spans="1:21" x14ac:dyDescent="0.55000000000000004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08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0</v>
      </c>
      <c r="I10" s="309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-149.28</v>
      </c>
      <c r="J10" s="310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-186.60000000000002</v>
      </c>
    </row>
    <row r="11" spans="1:21" x14ac:dyDescent="0.55000000000000004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08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390443.90484017046</v>
      </c>
      <c r="I11" s="309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369498.37750573945</v>
      </c>
      <c r="J11" s="310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334252.10473615903</v>
      </c>
    </row>
    <row r="12" spans="1:21" x14ac:dyDescent="0.55000000000000004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08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478572.02297745162</v>
      </c>
      <c r="I12" s="309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452898.82571529562</v>
      </c>
      <c r="J12" s="310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409697.02424612403</v>
      </c>
    </row>
    <row r="13" spans="1:21" x14ac:dyDescent="0.55000000000000004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08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-127230</v>
      </c>
      <c r="I13" s="309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-120404.69318966437</v>
      </c>
      <c r="J13" s="310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-108919.34733362029</v>
      </c>
    </row>
    <row r="14" spans="1:21" x14ac:dyDescent="0.55000000000000004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08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09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10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55000000000000004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08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09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10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55000000000000004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08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09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-20133.486609464144</v>
      </c>
      <c r="J16" s="310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-18978.107996938234</v>
      </c>
    </row>
    <row r="17" spans="1:10" x14ac:dyDescent="0.55000000000000004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08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09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10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55000000000000004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08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09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10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55000000000000004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08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09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-4429.3670540821113</v>
      </c>
      <c r="J19" s="310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-41751.837593264114</v>
      </c>
    </row>
    <row r="20" spans="1:10" x14ac:dyDescent="0.55000000000000004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08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09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10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55000000000000004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08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09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10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55000000000000004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08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09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10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-112747.52501299921</v>
      </c>
    </row>
    <row r="23" spans="1:10" x14ac:dyDescent="0.55000000000000004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08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09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10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1537.5312784913644</v>
      </c>
    </row>
    <row r="24" spans="1:10" x14ac:dyDescent="0.55000000000000004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08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09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10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803.18798130145899</v>
      </c>
    </row>
    <row r="25" spans="1:10" x14ac:dyDescent="0.55000000000000004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08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09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10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-11677.422233489202</v>
      </c>
    </row>
    <row r="26" spans="1:10" x14ac:dyDescent="0.55000000000000004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08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09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10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55000000000000004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08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09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10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55000000000000004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08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09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10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x14ac:dyDescent="0.55000000000000004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08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09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10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x14ac:dyDescent="0.55000000000000004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08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09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10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x14ac:dyDescent="0.55000000000000004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08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09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10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x14ac:dyDescent="0.55000000000000004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08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09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10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x14ac:dyDescent="0.55000000000000004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08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09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10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x14ac:dyDescent="0.55000000000000004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08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09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10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x14ac:dyDescent="0.55000000000000004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08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09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10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x14ac:dyDescent="0.55000000000000004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08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09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10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x14ac:dyDescent="0.55000000000000004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08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09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10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x14ac:dyDescent="0.55000000000000004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08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09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10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55000000000000004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08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09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10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55000000000000004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08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09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10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55000000000000004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08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09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10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55000000000000004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08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09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10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55000000000000004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08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09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10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55000000000000004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08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09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10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55000000000000004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08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09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10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55000000000000004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08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09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10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55000000000000004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08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09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10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55000000000000004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08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09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10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55000000000000004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08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09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10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55000000000000004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08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09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10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55000000000000004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08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09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10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55000000000000004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08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09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10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55000000000000004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08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09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10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55000000000000004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08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09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10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55000000000000004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08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09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10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55000000000000004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08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09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10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55000000000000004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08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09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10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55000000000000004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08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09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10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55000000000000004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08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09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10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55000000000000004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08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09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10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55000000000000004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08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09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10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55000000000000004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08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09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10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55000000000000004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08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09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10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55000000000000004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08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09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10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55000000000000004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08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09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10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55000000000000004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08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09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10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55000000000000004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08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09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10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55000000000000004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08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09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10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55000000000000004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08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09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10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55000000000000004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08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09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10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55000000000000004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08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09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10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55000000000000004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08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09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10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55000000000000004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08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09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10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55000000000000004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08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2136227.0597648998</v>
      </c>
      <c r="I74" s="309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2024837.6614764591</v>
      </c>
      <c r="J74" s="310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1938532.0932882407</v>
      </c>
    </row>
    <row r="75" spans="1:10" x14ac:dyDescent="0.55000000000000004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08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2304461.4931079326</v>
      </c>
      <c r="I75" s="309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2184299.8380428459</v>
      </c>
      <c r="J75" s="310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2091197.4416372697</v>
      </c>
    </row>
    <row r="76" spans="1:10" x14ac:dyDescent="0.55000000000000004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08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295415.33610748179</v>
      </c>
      <c r="I76" s="309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280011.47892677027</v>
      </c>
      <c r="J76" s="310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268076.42346638505</v>
      </c>
    </row>
    <row r="77" spans="1:10" x14ac:dyDescent="0.55000000000000004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08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24146.299060980604</v>
      </c>
      <c r="I77" s="309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22887.237337648923</v>
      </c>
      <c r="J77" s="310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21911.704305907471</v>
      </c>
    </row>
    <row r="78" spans="1:10" x14ac:dyDescent="0.55000000000000004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08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-1318366527.9400001</v>
      </c>
      <c r="I78" s="309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-1249622873.7485683</v>
      </c>
      <c r="J78" s="310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-1196359634.8273683</v>
      </c>
    </row>
    <row r="79" spans="1:10" x14ac:dyDescent="0.55000000000000004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08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-101250.40139999999</v>
      </c>
      <c r="I79" s="309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-95970.896472443128</v>
      </c>
      <c r="J79" s="310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-91880.285700443143</v>
      </c>
    </row>
    <row r="80" spans="1:10" x14ac:dyDescent="0.55000000000000004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08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172641.16763381023</v>
      </c>
      <c r="I80" s="309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163639.13028265885</v>
      </c>
      <c r="J80" s="310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156664.265884605</v>
      </c>
    </row>
    <row r="81" spans="1:10" x14ac:dyDescent="0.55000000000000004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08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7300.7971009769335</v>
      </c>
      <c r="I81" s="309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45280.709826269078</v>
      </c>
      <c r="J81" s="310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74707.908445362846</v>
      </c>
    </row>
    <row r="82" spans="1:10" x14ac:dyDescent="0.55000000000000004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08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09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10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55000000000000004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08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7913.4866089252109</v>
      </c>
      <c r="I83" s="309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49080.708023629362</v>
      </c>
      <c r="J83" s="310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80977.463814749761</v>
      </c>
    </row>
    <row r="84" spans="1:10" x14ac:dyDescent="0.55000000000000004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08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242.02673255564358</v>
      </c>
      <c r="I84" s="309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1501.0884558873256</v>
      </c>
      <c r="J84" s="310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2476.621487628775</v>
      </c>
    </row>
    <row r="85" spans="1:10" x14ac:dyDescent="0.55000000000000004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08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-13214445.09</v>
      </c>
      <c r="I85" s="309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-81958099.28143169</v>
      </c>
      <c r="J85" s="310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-135221338.20263165</v>
      </c>
    </row>
    <row r="86" spans="1:10" x14ac:dyDescent="0.55000000000000004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08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-892.06425000000002</v>
      </c>
      <c r="I86" s="309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-5532.7249739940389</v>
      </c>
      <c r="J86" s="310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-9128.3531639940375</v>
      </c>
    </row>
    <row r="87" spans="1:10" x14ac:dyDescent="0.55000000000000004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08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1903.4865492896727</v>
      </c>
      <c r="I87" s="309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11805.72763555619</v>
      </c>
      <c r="J87" s="310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19478.078473415422</v>
      </c>
    </row>
    <row r="88" spans="1:10" x14ac:dyDescent="0.55000000000000004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08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28671.874161460488</v>
      </c>
      <c r="I88" s="309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28492.704311595535</v>
      </c>
      <c r="J88" s="310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27116.148351611824</v>
      </c>
    </row>
    <row r="89" spans="1:10" x14ac:dyDescent="0.55000000000000004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08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832011.45504165464</v>
      </c>
      <c r="I89" s="309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826812.23553314724</v>
      </c>
      <c r="J89" s="310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786866.80605885829</v>
      </c>
    </row>
    <row r="90" spans="1:10" x14ac:dyDescent="0.55000000000000004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08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16305.094847697548</v>
      </c>
      <c r="I90" s="309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16203.204703389418</v>
      </c>
      <c r="J90" s="310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15420.386134770446</v>
      </c>
    </row>
    <row r="91" spans="1:10" x14ac:dyDescent="0.55000000000000004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08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311447.09427315003</v>
      </c>
      <c r="I91" s="309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309500.86889536137</v>
      </c>
      <c r="J91" s="310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294548.08445486653</v>
      </c>
    </row>
    <row r="92" spans="1:10" x14ac:dyDescent="0.55000000000000004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08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3548.0077474534546</v>
      </c>
      <c r="I92" s="309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3525.8363326428594</v>
      </c>
      <c r="J92" s="310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3355.4940946949005</v>
      </c>
    </row>
    <row r="93" spans="1:10" x14ac:dyDescent="0.55000000000000004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08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-215867190</v>
      </c>
      <c r="I93" s="309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-214518241.13794559</v>
      </c>
      <c r="J93" s="310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-204154312.17794558</v>
      </c>
    </row>
    <row r="94" spans="1:10" x14ac:dyDescent="0.55000000000000004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08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-902.88225</v>
      </c>
      <c r="I94" s="309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-897.24016060370673</v>
      </c>
      <c r="J94" s="310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-853.89217660370673</v>
      </c>
    </row>
    <row r="95" spans="1:10" x14ac:dyDescent="0.55000000000000004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08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233489.30229120082</v>
      </c>
      <c r="I95" s="309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232030.23327460969</v>
      </c>
      <c r="J95" s="310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220820.25485284967</v>
      </c>
    </row>
    <row r="96" spans="1:10" x14ac:dyDescent="0.55000000000000004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08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1722.3429671759945</v>
      </c>
      <c r="I96" s="309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1776.0856693662658</v>
      </c>
      <c r="J96" s="310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2188.9890516117057</v>
      </c>
    </row>
    <row r="97" spans="1:10" x14ac:dyDescent="0.55000000000000004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08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93072.7641877797</v>
      </c>
      <c r="I97" s="309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95976.93713306167</v>
      </c>
      <c r="J97" s="310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118289.60067363255</v>
      </c>
    </row>
    <row r="98" spans="1:10" x14ac:dyDescent="0.55000000000000004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08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768.42993920159756</v>
      </c>
      <c r="I98" s="309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792.40745248648784</v>
      </c>
      <c r="J98" s="310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976.62588456522246</v>
      </c>
    </row>
    <row r="99" spans="1:10" x14ac:dyDescent="0.55000000000000004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08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35550.925348119883</v>
      </c>
      <c r="I99" s="309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36660.22984204728</v>
      </c>
      <c r="J99" s="310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45182.979142241609</v>
      </c>
    </row>
    <row r="100" spans="1:10" x14ac:dyDescent="0.55000000000000004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08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710.54820124551452</v>
      </c>
      <c r="I100" s="309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732.71961605610988</v>
      </c>
      <c r="J100" s="310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903.06185400406844</v>
      </c>
    </row>
    <row r="101" spans="1:10" x14ac:dyDescent="0.55000000000000004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08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-43231034</v>
      </c>
      <c r="I101" s="309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-44579982.862054422</v>
      </c>
      <c r="J101" s="310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-54943911.822054416</v>
      </c>
    </row>
    <row r="102" spans="1:10" x14ac:dyDescent="0.55000000000000004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08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-217.9716</v>
      </c>
      <c r="I102" s="309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-224.77302283388784</v>
      </c>
      <c r="J102" s="310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-277.02812683388782</v>
      </c>
    </row>
    <row r="103" spans="1:10" x14ac:dyDescent="0.55000000000000004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08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39103.117544225825</v>
      </c>
      <c r="I103" s="309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40323.261987545491</v>
      </c>
      <c r="J103" s="310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49697.590909284576</v>
      </c>
    </row>
    <row r="104" spans="1:10" x14ac:dyDescent="0.55000000000000004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08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8381070.1225531893</v>
      </c>
      <c r="I104" s="309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7968013.7311890414</v>
      </c>
      <c r="J104" s="310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7586881.0240243496</v>
      </c>
    </row>
    <row r="105" spans="1:10" x14ac:dyDescent="0.55000000000000004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08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533.44592409892732</v>
      </c>
      <c r="I105" s="309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507.15533767330135</v>
      </c>
      <c r="J105" s="310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482.89665874509575</v>
      </c>
    </row>
    <row r="106" spans="1:10" x14ac:dyDescent="0.55000000000000004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08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11823.107951660928</v>
      </c>
      <c r="I106" s="309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11240.412635453014</v>
      </c>
      <c r="J106" s="310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10702.751802787869</v>
      </c>
    </row>
    <row r="107" spans="1:10" x14ac:dyDescent="0.55000000000000004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08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17466.020886846287</v>
      </c>
      <c r="I107" s="309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16605.217737186707</v>
      </c>
      <c r="J107" s="310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15810.943053088155</v>
      </c>
    </row>
    <row r="108" spans="1:10" x14ac:dyDescent="0.55000000000000004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08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737.66017754835775</v>
      </c>
      <c r="I108" s="309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701.30500493487057</v>
      </c>
      <c r="J108" s="310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667.75959649352649</v>
      </c>
    </row>
    <row r="109" spans="1:10" x14ac:dyDescent="0.55000000000000004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08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-29023948.800000001</v>
      </c>
      <c r="I109" s="309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-27593519.585214522</v>
      </c>
      <c r="J109" s="310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-26273643.242814526</v>
      </c>
    </row>
    <row r="110" spans="1:10" x14ac:dyDescent="0.55000000000000004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08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-687.90527999999995</v>
      </c>
      <c r="I110" s="309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-654.00224990930519</v>
      </c>
      <c r="J110" s="310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-622.71946646930519</v>
      </c>
    </row>
    <row r="111" spans="1:10" x14ac:dyDescent="0.55000000000000004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08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1120.7211113095154</v>
      </c>
      <c r="I111" s="309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1065.4869930890486</v>
      </c>
      <c r="J111" s="310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1014.5217267347451</v>
      </c>
    </row>
    <row r="112" spans="1:10" x14ac:dyDescent="0.55000000000000004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08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80339.647949355684</v>
      </c>
      <c r="I112" s="309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109265.23151286467</v>
      </c>
      <c r="J112" s="310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135955.25786367254</v>
      </c>
    </row>
    <row r="113" spans="1:10" x14ac:dyDescent="0.55000000000000004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08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141.94171980595465</v>
      </c>
      <c r="I113" s="309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193.04658747955327</v>
      </c>
      <c r="J113" s="310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240.2017386234574</v>
      </c>
    </row>
    <row r="114" spans="1:10" x14ac:dyDescent="0.55000000000000004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08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534.46752083856347</v>
      </c>
      <c r="I114" s="309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726.89785045293831</v>
      </c>
      <c r="J114" s="310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904.4559127414924</v>
      </c>
    </row>
    <row r="115" spans="1:10" x14ac:dyDescent="0.55000000000000004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08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983.98614463731735</v>
      </c>
      <c r="I115" s="309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1338.2617007112476</v>
      </c>
      <c r="J115" s="310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1665.1565378127891</v>
      </c>
    </row>
    <row r="116" spans="1:10" x14ac:dyDescent="0.55000000000000004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08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100.97503348524653</v>
      </c>
      <c r="I116" s="309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137.33020609873373</v>
      </c>
      <c r="J116" s="310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170.87561454007789</v>
      </c>
    </row>
    <row r="117" spans="1:10" x14ac:dyDescent="0.55000000000000004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08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-3972959.7600000002</v>
      </c>
      <c r="I117" s="309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-5403388.9747854788</v>
      </c>
      <c r="J117" s="310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-6723265.3171854792</v>
      </c>
    </row>
    <row r="118" spans="1:10" x14ac:dyDescent="0.55000000000000004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08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-177.36427499999999</v>
      </c>
      <c r="I118" s="309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-241.22272208863745</v>
      </c>
      <c r="J118" s="310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-300.14577308863744</v>
      </c>
    </row>
    <row r="119" spans="1:10" x14ac:dyDescent="0.55000000000000004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08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168.75160230287838</v>
      </c>
      <c r="I119" s="309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229.509132345392</v>
      </c>
      <c r="J119" s="310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285.57092533512582</v>
      </c>
    </row>
    <row r="120" spans="1:10" x14ac:dyDescent="0.55000000000000004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08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2050859.7378424879</v>
      </c>
      <c r="I120" s="309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2136979.4262200929</v>
      </c>
      <c r="J120" s="310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2024462.3207392881</v>
      </c>
    </row>
    <row r="121" spans="1:10" x14ac:dyDescent="0.55000000000000004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08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669395.49128244352</v>
      </c>
      <c r="I121" s="309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646874.83564218285</v>
      </c>
      <c r="J121" s="310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612815.32003721921</v>
      </c>
    </row>
    <row r="122" spans="1:10" x14ac:dyDescent="0.55000000000000004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08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-46809922.689700156</v>
      </c>
      <c r="I122" s="309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-45499593.889754348</v>
      </c>
      <c r="J122" s="310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-43103930.86080201</v>
      </c>
    </row>
    <row r="123" spans="1:10" x14ac:dyDescent="0.55000000000000004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08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665196.60976250691</v>
      </c>
      <c r="I123" s="309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646576.06468756462</v>
      </c>
      <c r="J123" s="310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612532.28009180154</v>
      </c>
    </row>
    <row r="124" spans="1:10" x14ac:dyDescent="0.55000000000000004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08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27941.849064152942</v>
      </c>
      <c r="I124" s="309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27093.888564426128</v>
      </c>
      <c r="J124" s="310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25840.991983412205</v>
      </c>
    </row>
    <row r="125" spans="1:10" x14ac:dyDescent="0.55000000000000004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08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9120.1496799168617</v>
      </c>
      <c r="I125" s="309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8201.4616036905572</v>
      </c>
      <c r="J125" s="310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7822.2032636355043</v>
      </c>
    </row>
    <row r="126" spans="1:10" x14ac:dyDescent="0.55000000000000004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08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-431816.49766284862</v>
      </c>
      <c r="I126" s="309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-390589.57102143043</v>
      </c>
      <c r="J126" s="310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-372527.62554067071</v>
      </c>
    </row>
    <row r="127" spans="1:10" x14ac:dyDescent="0.55000000000000004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08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53119.057334325189</v>
      </c>
      <c r="I127" s="309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48047.608022322856</v>
      </c>
      <c r="J127" s="310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45825.753316088281</v>
      </c>
    </row>
    <row r="128" spans="1:10" x14ac:dyDescent="0.55000000000000004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08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17419.002948073918</v>
      </c>
      <c r="I128" s="309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17024.121544965245</v>
      </c>
      <c r="J128" s="310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16236.878930169163</v>
      </c>
    </row>
    <row r="129" spans="1:10" x14ac:dyDescent="0.55000000000000004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08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5685.5190147439562</v>
      </c>
      <c r="I129" s="309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5153.2905236391998</v>
      </c>
      <c r="J129" s="310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4914.9880716790049</v>
      </c>
    </row>
    <row r="130" spans="1:10" x14ac:dyDescent="0.55000000000000004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08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-177491.36894308048</v>
      </c>
      <c r="I130" s="309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-161816.8982720889</v>
      </c>
      <c r="J130" s="310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-154334.03592424662</v>
      </c>
    </row>
    <row r="131" spans="1:10" x14ac:dyDescent="0.55000000000000004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08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72685.722938236315</v>
      </c>
      <c r="I131" s="309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66266.761615330703</v>
      </c>
      <c r="J131" s="310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63202.40269670268</v>
      </c>
    </row>
    <row r="132" spans="1:10" x14ac:dyDescent="0.55000000000000004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08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175691.44121500885</v>
      </c>
      <c r="I132" s="309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223456.40358567334</v>
      </c>
      <c r="J132" s="310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287719.03891718976</v>
      </c>
    </row>
    <row r="133" spans="1:10" x14ac:dyDescent="0.55000000000000004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08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57345.247183975865</v>
      </c>
      <c r="I133" s="309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67641.420674954294</v>
      </c>
      <c r="J133" s="310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87094.056090138125</v>
      </c>
    </row>
    <row r="134" spans="1:10" x14ac:dyDescent="0.55000000000000004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08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-4010075.6910701026</v>
      </c>
      <c r="I134" s="309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-4757732.100957551</v>
      </c>
      <c r="J134" s="310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-6125982.9011261035</v>
      </c>
    </row>
    <row r="135" spans="1:10" x14ac:dyDescent="0.55000000000000004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08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85053.045820675907</v>
      </c>
      <c r="I135" s="309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100910.71529805925</v>
      </c>
      <c r="J135" s="310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129931.08971644276</v>
      </c>
    </row>
    <row r="136" spans="1:10" x14ac:dyDescent="0.55000000000000004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08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2393.7003792651926</v>
      </c>
      <c r="I136" s="309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2833.1123938177379</v>
      </c>
      <c r="J136" s="310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3672.5531030970678</v>
      </c>
    </row>
    <row r="137" spans="1:10" x14ac:dyDescent="0.55000000000000004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08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781.29781954121086</v>
      </c>
      <c r="I137" s="309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857.59792144949245</v>
      </c>
      <c r="J137" s="310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1111.7010092863791</v>
      </c>
    </row>
    <row r="138" spans="1:10" x14ac:dyDescent="0.55000000000000004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08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-36992.516560208642</v>
      </c>
      <c r="I138" s="309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-40842.574218368085</v>
      </c>
      <c r="J138" s="310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-52944.077690477141</v>
      </c>
    </row>
    <row r="139" spans="1:10" x14ac:dyDescent="0.55000000000000004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08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6791.8831080941573</v>
      </c>
      <c r="I139" s="309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7498.7596335417184</v>
      </c>
      <c r="J139" s="310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9720.6143397763008</v>
      </c>
    </row>
    <row r="140" spans="1:10" x14ac:dyDescent="0.55000000000000004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08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1492.2374631505099</v>
      </c>
      <c r="I140" s="309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1780.1523627076374</v>
      </c>
      <c r="J140" s="310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2307.6049146210116</v>
      </c>
    </row>
    <row r="141" spans="1:10" x14ac:dyDescent="0.55000000000000004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08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487.06257737866866</v>
      </c>
      <c r="I141" s="309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538.86141949498915</v>
      </c>
      <c r="J141" s="310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698.52406230831923</v>
      </c>
    </row>
    <row r="142" spans="1:10" x14ac:dyDescent="0.55000000000000004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08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-15205.191187594357</v>
      </c>
      <c r="I142" s="309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-16920.622484058313</v>
      </c>
      <c r="J142" s="310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-21934.140257112627</v>
      </c>
    </row>
    <row r="143" spans="1:10" x14ac:dyDescent="0.55000000000000004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08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9293.7066016947356</v>
      </c>
      <c r="I143" s="309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10342.211350369531</v>
      </c>
      <c r="J143" s="310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13406.570268997539</v>
      </c>
    </row>
    <row r="144" spans="1:10" x14ac:dyDescent="0.55000000000000004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08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79382.462637587189</v>
      </c>
      <c r="I144" s="309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82715.890477068679</v>
      </c>
      <c r="J144" s="310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78360.699940578925</v>
      </c>
    </row>
    <row r="145" spans="1:10" x14ac:dyDescent="0.55000000000000004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08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-770119.05905611347</v>
      </c>
      <c r="I145" s="309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-748561.46774886642</v>
      </c>
      <c r="J145" s="310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-709147.90644259541</v>
      </c>
    </row>
    <row r="146" spans="1:10" x14ac:dyDescent="0.55000000000000004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08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8755.0768343454401</v>
      </c>
      <c r="I146" s="309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8509.9999646862343</v>
      </c>
      <c r="J146" s="310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8061.9280029631773</v>
      </c>
    </row>
    <row r="147" spans="1:10" x14ac:dyDescent="0.55000000000000004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08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499.82869849372969</v>
      </c>
      <c r="I147" s="309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484.66023229883166</v>
      </c>
      <c r="J147" s="310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462.24819843530184</v>
      </c>
    </row>
    <row r="148" spans="1:10" x14ac:dyDescent="0.55000000000000004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08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-3939.8334376901089</v>
      </c>
      <c r="I148" s="309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-3563.6847148085772</v>
      </c>
      <c r="J148" s="310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-3398.8900459156948</v>
      </c>
    </row>
    <row r="149" spans="1:10" x14ac:dyDescent="0.55000000000000004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08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323.10057535558866</v>
      </c>
      <c r="I149" s="309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292.25311169896588</v>
      </c>
      <c r="J149" s="310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278.73851693832006</v>
      </c>
    </row>
    <row r="150" spans="1:10" x14ac:dyDescent="0.55000000000000004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08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157.19958443228344</v>
      </c>
      <c r="I150" s="309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153.63593657862805</v>
      </c>
      <c r="J150" s="310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146.53138459811348</v>
      </c>
    </row>
    <row r="151" spans="1:10" x14ac:dyDescent="0.55000000000000004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08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-1034.856822305195</v>
      </c>
      <c r="I151" s="309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-943.46740429298632</v>
      </c>
      <c r="J151" s="310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-899.83885380544928</v>
      </c>
    </row>
    <row r="152" spans="1:10" x14ac:dyDescent="0.55000000000000004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08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223.0481068481555</v>
      </c>
      <c r="I152" s="309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203.3504672962695</v>
      </c>
      <c r="J152" s="310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193.94697747910098</v>
      </c>
    </row>
    <row r="153" spans="1:10" x14ac:dyDescent="0.55000000000000004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08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5785.478271838314</v>
      </c>
      <c r="I153" s="309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7358.3673667172652</v>
      </c>
      <c r="J153" s="310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9474.5209928154509</v>
      </c>
    </row>
    <row r="154" spans="1:10" x14ac:dyDescent="0.55000000000000004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08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-56127.095769740605</v>
      </c>
      <c r="I154" s="309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-66591.682015347134</v>
      </c>
      <c r="J154" s="310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-85742.428688059255</v>
      </c>
    </row>
    <row r="155" spans="1:10" x14ac:dyDescent="0.55000000000000004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08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1119.437381710318</v>
      </c>
      <c r="I155" s="309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1328.1502835059441</v>
      </c>
      <c r="J155" s="310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1710.1059400224922</v>
      </c>
    </row>
    <row r="156" spans="1:10" x14ac:dyDescent="0.55000000000000004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08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36.428046934984714</v>
      </c>
      <c r="I156" s="309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43.115150144965426</v>
      </c>
      <c r="J156" s="310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55.890009447177398</v>
      </c>
    </row>
    <row r="157" spans="1:10" x14ac:dyDescent="0.55000000000000004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08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-287.13924954030608</v>
      </c>
      <c r="I157" s="309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-317.02374428268206</v>
      </c>
      <c r="J157" s="310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-410.95670555162485</v>
      </c>
    </row>
    <row r="158" spans="1:10" x14ac:dyDescent="0.55000000000000004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08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41.312128830928614</v>
      </c>
      <c r="I158" s="309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45.611757317179645</v>
      </c>
      <c r="J158" s="310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59.126352077825466</v>
      </c>
    </row>
    <row r="159" spans="1:10" x14ac:dyDescent="0.55000000000000004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08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11.45687283886752</v>
      </c>
      <c r="I159" s="309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13.667381872514948</v>
      </c>
      <c r="J159" s="310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17.716976501408269</v>
      </c>
    </row>
    <row r="160" spans="1:10" x14ac:dyDescent="0.55000000000000004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08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-75.421465409104954</v>
      </c>
      <c r="I160" s="309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-83.930424000399185</v>
      </c>
      <c r="J160" s="310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-108.79869777829524</v>
      </c>
    </row>
    <row r="161" spans="1:10" x14ac:dyDescent="0.55000000000000004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08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28.519268699737236</v>
      </c>
      <c r="I161" s="309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31.736778132943797</v>
      </c>
      <c r="J161" s="310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41.140267950112332</v>
      </c>
    </row>
    <row r="162" spans="1:10" x14ac:dyDescent="0.55000000000000004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08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9513.5863477905532</v>
      </c>
      <c r="I162" s="309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9243.1243106394777</v>
      </c>
      <c r="J162" s="310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8756.8172002088941</v>
      </c>
    </row>
    <row r="163" spans="1:10" x14ac:dyDescent="0.55000000000000004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08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-8140116.9867659071</v>
      </c>
      <c r="I163" s="309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-7908701.3520720471</v>
      </c>
      <c r="J163" s="310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-7492602.0362424925</v>
      </c>
    </row>
    <row r="164" spans="1:10" x14ac:dyDescent="0.55000000000000004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08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1762.6798231887965</v>
      </c>
      <c r="I164" s="309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1712.568544602939</v>
      </c>
      <c r="J164" s="310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1622.465433106157</v>
      </c>
    </row>
    <row r="165" spans="1:10" x14ac:dyDescent="0.55000000000000004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08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693.36028731789952</v>
      </c>
      <c r="I165" s="309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822.26406439735013</v>
      </c>
      <c r="J165" s="310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1058.778806934348</v>
      </c>
    </row>
    <row r="166" spans="1:10" x14ac:dyDescent="0.55000000000000004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08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-593260.38009379094</v>
      </c>
      <c r="I166" s="309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-703554.41507739201</v>
      </c>
      <c r="J166" s="310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-905923.7007456834</v>
      </c>
    </row>
    <row r="167" spans="1:10" x14ac:dyDescent="0.55000000000000004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08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225.37891139039866</v>
      </c>
      <c r="I167" s="309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267.27948383976513</v>
      </c>
      <c r="J167" s="310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344.15933429524551</v>
      </c>
    </row>
    <row r="168" spans="1:10" x14ac:dyDescent="0.55000000000000004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08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104910.18611455506</v>
      </c>
      <c r="I168" s="309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109315.57394733132</v>
      </c>
      <c r="J168" s="310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103559.8461131693</v>
      </c>
    </row>
    <row r="169" spans="1:10" x14ac:dyDescent="0.55000000000000004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08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-370524.95033607027</v>
      </c>
      <c r="I169" s="309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-360153.01452360908</v>
      </c>
      <c r="J169" s="310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-341190.092266533</v>
      </c>
    </row>
    <row r="170" spans="1:10" x14ac:dyDescent="0.55000000000000004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08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5616.4032839463534</v>
      </c>
      <c r="I170" s="309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5459.1858703682619</v>
      </c>
      <c r="J170" s="310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5171.7466068550711</v>
      </c>
    </row>
    <row r="171" spans="1:10" x14ac:dyDescent="0.55000000000000004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08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1750.6053726466703</v>
      </c>
      <c r="I171" s="309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1697.479174619986</v>
      </c>
      <c r="J171" s="310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1618.9830278167497</v>
      </c>
    </row>
    <row r="172" spans="1:10" x14ac:dyDescent="0.55000000000000004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08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-4121.8938012983772</v>
      </c>
      <c r="I172" s="309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-3728.3631828769294</v>
      </c>
      <c r="J172" s="310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-3555.9533247092104</v>
      </c>
    </row>
    <row r="173" spans="1:10" x14ac:dyDescent="0.55000000000000004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08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549.30054904663734</v>
      </c>
      <c r="I173" s="309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496.85703759627626</v>
      </c>
      <c r="J173" s="310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473.88098961494558</v>
      </c>
    </row>
    <row r="174" spans="1:10" x14ac:dyDescent="0.55000000000000004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08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1845.915969818406</v>
      </c>
      <c r="I174" s="309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1804.0698383058555</v>
      </c>
      <c r="J174" s="310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1720.6446434709026</v>
      </c>
    </row>
    <row r="175" spans="1:10" x14ac:dyDescent="0.55000000000000004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08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-2794.0549437266272</v>
      </c>
      <c r="I175" s="309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-2547.3086792216368</v>
      </c>
      <c r="J175" s="310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-2429.514058217168</v>
      </c>
    </row>
    <row r="176" spans="1:10" x14ac:dyDescent="0.55000000000000004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08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1271.3476011272733</v>
      </c>
      <c r="I176" s="309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1159.0734054569723</v>
      </c>
      <c r="J176" s="310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1105.4746352624302</v>
      </c>
    </row>
    <row r="177" spans="1:10" x14ac:dyDescent="0.55000000000000004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08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7645.9658984285725</v>
      </c>
      <c r="I177" s="309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9724.6629078001679</v>
      </c>
      <c r="J177" s="310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12521.326848228649</v>
      </c>
    </row>
    <row r="178" spans="1:10" x14ac:dyDescent="0.55000000000000004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08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-27004.252301040244</v>
      </c>
      <c r="I178" s="309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-32039.045627273659</v>
      </c>
      <c r="J178" s="310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-41252.983883135348</v>
      </c>
    </row>
    <row r="179" spans="1:10" x14ac:dyDescent="0.55000000000000004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08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718.12182871381867</v>
      </c>
      <c r="I179" s="309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852.01166762972878</v>
      </c>
      <c r="J179" s="310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1097.0371590298637</v>
      </c>
    </row>
    <row r="180" spans="1:10" x14ac:dyDescent="0.55000000000000004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08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127.58598070016448</v>
      </c>
      <c r="I180" s="309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151.00696241272593</v>
      </c>
      <c r="J180" s="310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195.7497660905706</v>
      </c>
    </row>
    <row r="181" spans="1:10" x14ac:dyDescent="0.55000000000000004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08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-300.40800239605193</v>
      </c>
      <c r="I181" s="309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-331.67346465014998</v>
      </c>
      <c r="J181" s="310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-429.94708380574986</v>
      </c>
    </row>
    <row r="182" spans="1:10" x14ac:dyDescent="0.55000000000000004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08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70.234399998019043</v>
      </c>
      <c r="I182" s="309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77.544161936991102</v>
      </c>
      <c r="J182" s="310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100.52020991832178</v>
      </c>
    </row>
    <row r="183" spans="1:10" x14ac:dyDescent="0.55000000000000004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08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134.53231835071648</v>
      </c>
      <c r="I183" s="309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160.48921856374059</v>
      </c>
      <c r="J183" s="310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208.04157961966368</v>
      </c>
    </row>
    <row r="184" spans="1:10" x14ac:dyDescent="0.55000000000000004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08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-203.63369477528411</v>
      </c>
      <c r="I184" s="309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-226.6074021573468</v>
      </c>
      <c r="J184" s="310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-293.75033612989398</v>
      </c>
    </row>
    <row r="185" spans="1:10" x14ac:dyDescent="0.55000000000000004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08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162.55642946119403</v>
      </c>
      <c r="I185" s="309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180.89584940657954</v>
      </c>
      <c r="J185" s="310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234.4946196011216</v>
      </c>
    </row>
    <row r="186" spans="1:10" x14ac:dyDescent="0.55000000000000004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08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1219312.186444331</v>
      </c>
      <c r="I186" s="309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1270513.535612202</v>
      </c>
      <c r="J186" s="310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1203617.9428202172</v>
      </c>
    </row>
    <row r="187" spans="1:10" x14ac:dyDescent="0.55000000000000004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08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-3808814.7702311832</v>
      </c>
      <c r="I187" s="309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-3702196.3568623648</v>
      </c>
      <c r="J187" s="310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-3507266.8161823452</v>
      </c>
    </row>
    <row r="188" spans="1:10" x14ac:dyDescent="0.55000000000000004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08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55871.488321742392</v>
      </c>
      <c r="I188" s="309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54307.503251117101</v>
      </c>
      <c r="J188" s="310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51448.082614338469</v>
      </c>
    </row>
    <row r="189" spans="1:10" x14ac:dyDescent="0.55000000000000004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08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63522.285434047881</v>
      </c>
      <c r="I189" s="309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61594.553708893429</v>
      </c>
      <c r="J189" s="310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58746.250647210501</v>
      </c>
    </row>
    <row r="190" spans="1:10" x14ac:dyDescent="0.55000000000000004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08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-138685.62922252828</v>
      </c>
      <c r="I190" s="309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-125444.86076388492</v>
      </c>
      <c r="J190" s="310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-119643.94234705786</v>
      </c>
    </row>
    <row r="191" spans="1:10" x14ac:dyDescent="0.55000000000000004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08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17060.139966839099</v>
      </c>
      <c r="I191" s="309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15431.352871598587</v>
      </c>
      <c r="J191" s="310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14717.764299501541</v>
      </c>
    </row>
    <row r="192" spans="1:10" x14ac:dyDescent="0.55000000000000004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08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80390.415202441174</v>
      </c>
      <c r="I192" s="309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78567.998612567491</v>
      </c>
      <c r="J192" s="310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74934.796364587484</v>
      </c>
    </row>
    <row r="193" spans="1:10" x14ac:dyDescent="0.55000000000000004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08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-121509.09190211787</v>
      </c>
      <c r="I193" s="309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-110778.48168360438</v>
      </c>
      <c r="J193" s="310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-105655.7773282932</v>
      </c>
    </row>
    <row r="194" spans="1:10" x14ac:dyDescent="0.55000000000000004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08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47390.506613773643</v>
      </c>
      <c r="I194" s="309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43205.395470486204</v>
      </c>
      <c r="J194" s="310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41207.458107689163</v>
      </c>
    </row>
    <row r="195" spans="1:10" x14ac:dyDescent="0.55000000000000004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08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121604.4199838896</v>
      </c>
      <c r="I195" s="309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154664.82693637558</v>
      </c>
      <c r="J195" s="310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199144.05963025414</v>
      </c>
    </row>
    <row r="196" spans="1:10" x14ac:dyDescent="0.55000000000000004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08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-379860.64283560839</v>
      </c>
      <c r="I196" s="309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-450683.55650590413</v>
      </c>
      <c r="J196" s="310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-580293.23685926083</v>
      </c>
    </row>
    <row r="197" spans="1:10" x14ac:dyDescent="0.55000000000000004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08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7143.8131021069394</v>
      </c>
      <c r="I197" s="309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8475.7375016194328</v>
      </c>
      <c r="J197" s="310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10913.229645465735</v>
      </c>
    </row>
    <row r="198" spans="1:10" x14ac:dyDescent="0.55000000000000004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08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6335.2033729641935</v>
      </c>
      <c r="I198" s="309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7498.1578098803211</v>
      </c>
      <c r="J198" s="310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9719.8341979930083</v>
      </c>
    </row>
    <row r="199" spans="1:10" x14ac:dyDescent="0.55000000000000004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08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-13831.392558198058</v>
      </c>
      <c r="I199" s="309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-15270.917732297203</v>
      </c>
      <c r="J199" s="310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-19795.634097422302</v>
      </c>
    </row>
    <row r="200" spans="1:10" x14ac:dyDescent="0.55000000000000004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08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2181.3353300534141</v>
      </c>
      <c r="I200" s="309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2408.3614308275246</v>
      </c>
      <c r="J200" s="310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3121.9500029245692</v>
      </c>
    </row>
    <row r="201" spans="1:10" x14ac:dyDescent="0.55000000000000004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08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8017.4953729155104</v>
      </c>
      <c r="I201" s="309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9564.4049178073492</v>
      </c>
      <c r="J201" s="310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12398.302671231746</v>
      </c>
    </row>
    <row r="202" spans="1:10" x14ac:dyDescent="0.55000000000000004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08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-12118.342462085115</v>
      </c>
      <c r="I202" s="309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-13485.519215356699</v>
      </c>
      <c r="J202" s="310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-17481.228612499421</v>
      </c>
    </row>
    <row r="203" spans="1:10" x14ac:dyDescent="0.55000000000000004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08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6059.4219383129521</v>
      </c>
      <c r="I203" s="309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6743.0385994400449</v>
      </c>
      <c r="J203" s="310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8740.975962237093</v>
      </c>
    </row>
    <row r="204" spans="1:10" x14ac:dyDescent="0.55000000000000004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08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24612.677857086128</v>
      </c>
      <c r="I204" s="309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25646.213260838555</v>
      </c>
      <c r="J204" s="310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24295.878462455803</v>
      </c>
    </row>
    <row r="205" spans="1:10" x14ac:dyDescent="0.55000000000000004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08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7306.9808769558731</v>
      </c>
      <c r="I205" s="309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7061.1501203360021</v>
      </c>
      <c r="J205" s="310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6689.3635868966203</v>
      </c>
    </row>
    <row r="206" spans="1:10" x14ac:dyDescent="0.55000000000000004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08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09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10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55000000000000004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08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14497.851557614207</v>
      </c>
      <c r="I207" s="309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14092.0198163569</v>
      </c>
      <c r="J207" s="310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13350.041086632189</v>
      </c>
    </row>
    <row r="208" spans="1:10" x14ac:dyDescent="0.55000000000000004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08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416.06078973908456</v>
      </c>
      <c r="I208" s="309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403.4344558707042</v>
      </c>
      <c r="J208" s="310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384.77852727552704</v>
      </c>
    </row>
    <row r="209" spans="1:10" x14ac:dyDescent="0.55000000000000004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08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123.51960448705799</v>
      </c>
      <c r="I209" s="309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111.07726616970227</v>
      </c>
      <c r="J209" s="310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105.94074519075649</v>
      </c>
    </row>
    <row r="210" spans="1:10" x14ac:dyDescent="0.55000000000000004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08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09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10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55000000000000004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08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1436.4242201645229</v>
      </c>
      <c r="I211" s="309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1299.2841241487472</v>
      </c>
      <c r="J211" s="310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1239.2016212979379</v>
      </c>
    </row>
    <row r="212" spans="1:10" x14ac:dyDescent="0.55000000000000004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08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174.21569511364672</v>
      </c>
      <c r="I212" s="309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170.2662992535561</v>
      </c>
      <c r="J212" s="310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162.39271316090608</v>
      </c>
    </row>
    <row r="213" spans="1:10" x14ac:dyDescent="0.55000000000000004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08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51.720936667380549</v>
      </c>
      <c r="I213" s="309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46.879275596576036</v>
      </c>
      <c r="J213" s="310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44.711447823323965</v>
      </c>
    </row>
    <row r="214" spans="1:10" x14ac:dyDescent="0.55000000000000004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08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09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10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55000000000000004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08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1320.212416786286</v>
      </c>
      <c r="I215" s="309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1203.6229120141877</v>
      </c>
      <c r="J215" s="310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1147.9640490308725</v>
      </c>
    </row>
    <row r="216" spans="1:10" x14ac:dyDescent="0.55000000000000004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08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1793.798128990067</v>
      </c>
      <c r="I216" s="309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2281.4752721636146</v>
      </c>
      <c r="J216" s="310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2937.5925777332927</v>
      </c>
    </row>
    <row r="217" spans="1:10" x14ac:dyDescent="0.55000000000000004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08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532.54053466904622</v>
      </c>
      <c r="I217" s="309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628.15664943335867</v>
      </c>
      <c r="J217" s="310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808.804870052046</v>
      </c>
    </row>
    <row r="218" spans="1:10" x14ac:dyDescent="0.55000000000000004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08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09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10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55000000000000004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08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1853.7172540181223</v>
      </c>
      <c r="I219" s="309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2199.3325724950073</v>
      </c>
      <c r="J219" s="310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2831.8268971644038</v>
      </c>
    </row>
    <row r="220" spans="1:10" x14ac:dyDescent="0.55000000000000004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08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30.322952687784319</v>
      </c>
      <c r="I220" s="309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35.889342634971896</v>
      </c>
      <c r="J220" s="310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46.523221934222811</v>
      </c>
    </row>
    <row r="221" spans="1:10" x14ac:dyDescent="0.55000000000000004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08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9.0022400938663676</v>
      </c>
      <c r="I221" s="309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9.8813822332469243</v>
      </c>
      <c r="J221" s="310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12.809199191246011</v>
      </c>
    </row>
    <row r="222" spans="1:10" x14ac:dyDescent="0.55000000000000004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08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09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10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55000000000000004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08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183.66337594414472</v>
      </c>
      <c r="I223" s="309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202.77844712148078</v>
      </c>
      <c r="J223" s="310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262.86094997228986</v>
      </c>
    </row>
    <row r="224" spans="1:10" x14ac:dyDescent="0.55000000000000004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08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12.697025075863115</v>
      </c>
      <c r="I224" s="309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15.146811245735424</v>
      </c>
      <c r="J224" s="310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19.634755318545913</v>
      </c>
    </row>
    <row r="225" spans="1:10" x14ac:dyDescent="0.55000000000000004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08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3.7694768510062779</v>
      </c>
      <c r="I225" s="309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4.1703586787936713</v>
      </c>
      <c r="J225" s="310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5.4060205095473508</v>
      </c>
    </row>
    <row r="226" spans="1:10" x14ac:dyDescent="0.55000000000000004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08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09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10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55000000000000004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08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168.80435878655354</v>
      </c>
      <c r="I227" s="309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187.84866256868824</v>
      </c>
      <c r="J227" s="310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243.50752555200322</v>
      </c>
    </row>
    <row r="228" spans="1:10" x14ac:dyDescent="0.55000000000000004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08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2086504.8977723797</v>
      </c>
      <c r="I228" s="309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2174121.3974670577</v>
      </c>
      <c r="J228" s="310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2059648.6778866111</v>
      </c>
    </row>
    <row r="229" spans="1:10" x14ac:dyDescent="0.55000000000000004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08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-3466648.9346714136</v>
      </c>
      <c r="I229" s="309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-3369608.6133593493</v>
      </c>
      <c r="J229" s="310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-3192190.6171323075</v>
      </c>
    </row>
    <row r="230" spans="1:10" x14ac:dyDescent="0.55000000000000004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08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58385.9270874953</v>
      </c>
      <c r="I230" s="309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56751.556480189967</v>
      </c>
      <c r="J230" s="310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53763.450563804916</v>
      </c>
    </row>
    <row r="231" spans="1:10" x14ac:dyDescent="0.55000000000000004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08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9356.9392533941373</v>
      </c>
      <c r="I231" s="309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9072.9811349816864</v>
      </c>
      <c r="J231" s="310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8653.4213137108563</v>
      </c>
    </row>
    <row r="232" spans="1:10" x14ac:dyDescent="0.55000000000000004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08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-10076.241067785293</v>
      </c>
      <c r="I232" s="309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-9114.2295337860214</v>
      </c>
      <c r="J232" s="310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-8692.7622721080552</v>
      </c>
    </row>
    <row r="233" spans="1:10" x14ac:dyDescent="0.55000000000000004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08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1534.6301669440738</v>
      </c>
      <c r="I233" s="309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1388.1140295182433</v>
      </c>
      <c r="J233" s="310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1323.9237853786713</v>
      </c>
    </row>
    <row r="234" spans="1:10" x14ac:dyDescent="0.55000000000000004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08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4066.8673481557489</v>
      </c>
      <c r="I234" s="309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3974.6731916082213</v>
      </c>
      <c r="J234" s="310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3790.8732752332749</v>
      </c>
    </row>
    <row r="235" spans="1:10" x14ac:dyDescent="0.55000000000000004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08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-2681.3278608799519</v>
      </c>
      <c r="I235" s="309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-2444.5366570882152</v>
      </c>
      <c r="J235" s="310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-2331.4944995350029</v>
      </c>
    </row>
    <row r="236" spans="1:10" x14ac:dyDescent="0.55000000000000004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08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1464.065587437058</v>
      </c>
      <c r="I236" s="309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1334.772240682549</v>
      </c>
      <c r="J236" s="310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1273.0486688590786</v>
      </c>
    </row>
    <row r="237" spans="1:10" x14ac:dyDescent="0.55000000000000004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08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152066.69520013814</v>
      </c>
      <c r="I237" s="309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193408.8341446128</v>
      </c>
      <c r="J237" s="310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249030.24923538114</v>
      </c>
    </row>
    <row r="238" spans="1:10" x14ac:dyDescent="0.55000000000000004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08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-252653.05989809873</v>
      </c>
      <c r="I238" s="309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-299758.82404393284</v>
      </c>
      <c r="J238" s="310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-385964.86552599713</v>
      </c>
    </row>
    <row r="239" spans="1:10" x14ac:dyDescent="0.55000000000000004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08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7465.313050269966</v>
      </c>
      <c r="I239" s="309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8857.1793350585504</v>
      </c>
      <c r="J239" s="310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11404.368301413164</v>
      </c>
    </row>
    <row r="240" spans="1:10" x14ac:dyDescent="0.55000000000000004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08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681.94368054022107</v>
      </c>
      <c r="I240" s="309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807.12820616975819</v>
      </c>
      <c r="J240" s="310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1046.2773042941308</v>
      </c>
    </row>
    <row r="241" spans="1:10" x14ac:dyDescent="0.55000000000000004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08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-734.36716149284473</v>
      </c>
      <c r="I241" s="309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-810.79764465298774</v>
      </c>
      <c r="J241" s="310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-1051.0339838094285</v>
      </c>
    </row>
    <row r="242" spans="1:10" x14ac:dyDescent="0.55000000000000004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08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196.22013701105115</v>
      </c>
      <c r="I242" s="309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216.64207397105534</v>
      </c>
      <c r="J242" s="310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280.83231811062728</v>
      </c>
    </row>
    <row r="243" spans="1:10" x14ac:dyDescent="0.55000000000000004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08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296.39761599009711</v>
      </c>
      <c r="I243" s="309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353.58508912630367</v>
      </c>
      <c r="J243" s="310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458.35104146002311</v>
      </c>
    </row>
    <row r="244" spans="1:10" x14ac:dyDescent="0.55000000000000004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08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-195.4180251325493</v>
      </c>
      <c r="I244" s="309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-217.46485059299206</v>
      </c>
      <c r="J244" s="310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-281.898880398323</v>
      </c>
    </row>
    <row r="245" spans="1:10" x14ac:dyDescent="0.55000000000000004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08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187.19764302048543</v>
      </c>
      <c r="I245" s="309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208.31705490421285</v>
      </c>
      <c r="J245" s="310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270.04062672768328</v>
      </c>
    </row>
    <row r="246" spans="1:10" x14ac:dyDescent="0.55000000000000004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08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14347.680241215498</v>
      </c>
      <c r="I246" s="309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14950.167933823317</v>
      </c>
      <c r="J246" s="310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14163.005642167029</v>
      </c>
    </row>
    <row r="247" spans="1:10" x14ac:dyDescent="0.55000000000000004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08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-236593.07818258772</v>
      </c>
      <c r="I247" s="309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-229970.23613549568</v>
      </c>
      <c r="J247" s="310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-217861.75020473867</v>
      </c>
    </row>
    <row r="248" spans="1:10" x14ac:dyDescent="0.55000000000000004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08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3321.9262940682847</v>
      </c>
      <c r="I248" s="309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3228.9371275774656</v>
      </c>
      <c r="J248" s="310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3058.9258233427086</v>
      </c>
    </row>
    <row r="249" spans="1:10" x14ac:dyDescent="0.55000000000000004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08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224.85874801283754</v>
      </c>
      <c r="I249" s="309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218.03488550126428</v>
      </c>
      <c r="J249" s="310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207.95234744340235</v>
      </c>
    </row>
    <row r="250" spans="1:10" x14ac:dyDescent="0.55000000000000004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08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-3089.9317551822983</v>
      </c>
      <c r="I250" s="309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-2794.9259124519658</v>
      </c>
      <c r="J250" s="310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-2665.6807835524532</v>
      </c>
    </row>
    <row r="251" spans="1:10" x14ac:dyDescent="0.55000000000000004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08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235.31362850101124</v>
      </c>
      <c r="I251" s="309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212.84747041663064</v>
      </c>
      <c r="J251" s="310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203.00481282511018</v>
      </c>
    </row>
    <row r="252" spans="1:10" x14ac:dyDescent="0.55000000000000004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08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158.38219565292272</v>
      </c>
      <c r="I252" s="309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154.79173850487027</v>
      </c>
      <c r="J252" s="310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147.63373903643699</v>
      </c>
    </row>
    <row r="253" spans="1:10" x14ac:dyDescent="0.55000000000000004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08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-1865.5146720014454</v>
      </c>
      <c r="I253" s="309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-1700.7688864079587</v>
      </c>
      <c r="J253" s="310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-1622.1206142041228</v>
      </c>
    </row>
    <row r="254" spans="1:10" x14ac:dyDescent="0.55000000000000004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08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379.7880644246078</v>
      </c>
      <c r="I254" s="309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346.24853564377321</v>
      </c>
      <c r="J254" s="310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330.23704266602653</v>
      </c>
    </row>
    <row r="255" spans="1:10" x14ac:dyDescent="0.55000000000000004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08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1045.6741895977941</v>
      </c>
      <c r="I255" s="309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1329.9600260204675</v>
      </c>
      <c r="J255" s="310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1712.436136734741</v>
      </c>
    </row>
    <row r="256" spans="1:10" x14ac:dyDescent="0.55000000000000004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08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-17243.155069928289</v>
      </c>
      <c r="I256" s="309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-20458.045861995834</v>
      </c>
      <c r="J256" s="310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-26341.466161118406</v>
      </c>
    </row>
    <row r="257" spans="1:10" x14ac:dyDescent="0.55000000000000004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08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424.74652629870178</v>
      </c>
      <c r="I257" s="309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503.93816441960456</v>
      </c>
      <c r="J257" s="310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648.86305343633217</v>
      </c>
    </row>
    <row r="258" spans="1:10" x14ac:dyDescent="0.55000000000000004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08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16.38794461190048</v>
      </c>
      <c r="I258" s="309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19.396282588811889</v>
      </c>
      <c r="J258" s="310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25.143329281793189</v>
      </c>
    </row>
    <row r="259" spans="1:10" x14ac:dyDescent="0.55000000000000004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08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-225.19751135316716</v>
      </c>
      <c r="I259" s="309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-248.63531672043791</v>
      </c>
      <c r="J259" s="310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-322.30504019316021</v>
      </c>
    </row>
    <row r="260" spans="1:10" x14ac:dyDescent="0.55000000000000004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08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30.08755687175195</v>
      </c>
      <c r="I260" s="309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33.218969371381661</v>
      </c>
      <c r="J260" s="310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43.061626962902153</v>
      </c>
    </row>
    <row r="261" spans="1:10" x14ac:dyDescent="0.55000000000000004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08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11.543062801911081</v>
      </c>
      <c r="I261" s="309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13.770201477398576</v>
      </c>
      <c r="J261" s="310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17.85026117440556</v>
      </c>
    </row>
    <row r="262" spans="1:10" x14ac:dyDescent="0.55000000000000004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08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-135.96069260201509</v>
      </c>
      <c r="I262" s="309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-151.29961365213001</v>
      </c>
      <c r="J262" s="310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-196.12912880831664</v>
      </c>
    </row>
    <row r="263" spans="1:10" x14ac:dyDescent="0.55000000000000004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08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48.560277024239056</v>
      </c>
      <c r="I263" s="309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54.038788799895251</v>
      </c>
      <c r="J263" s="310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70.05028177764197</v>
      </c>
    </row>
    <row r="264" spans="1:10" x14ac:dyDescent="0.55000000000000004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08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359549.63570951426</v>
      </c>
      <c r="I264" s="309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374647.84160445235</v>
      </c>
      <c r="J264" s="310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354921.73184656532</v>
      </c>
    </row>
    <row r="265" spans="1:10" x14ac:dyDescent="0.55000000000000004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08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-1714529.0507869916</v>
      </c>
      <c r="I265" s="309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-1666535.0216474333</v>
      </c>
      <c r="J265" s="310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-1578787.9453221196</v>
      </c>
    </row>
    <row r="266" spans="1:10" x14ac:dyDescent="0.55000000000000004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08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27436.821435762409</v>
      </c>
      <c r="I266" s="309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26668.7950165656</v>
      </c>
      <c r="J266" s="310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25264.618829791292</v>
      </c>
    </row>
    <row r="267" spans="1:10" x14ac:dyDescent="0.55000000000000004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08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5634.9095864199426</v>
      </c>
      <c r="I267" s="309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5463.9051286317126</v>
      </c>
      <c r="J267" s="310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5211.2389955157923</v>
      </c>
    </row>
    <row r="268" spans="1:10" x14ac:dyDescent="0.55000000000000004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08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-19699.653022370087</v>
      </c>
      <c r="I268" s="309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-17818.863023816688</v>
      </c>
      <c r="J268" s="310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-16994.869357975451</v>
      </c>
    </row>
    <row r="269" spans="1:10" x14ac:dyDescent="0.55000000000000004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08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2520.246642234029</v>
      </c>
      <c r="I269" s="309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2279.6304916237141</v>
      </c>
      <c r="J269" s="310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2174.2140527046977</v>
      </c>
    </row>
    <row r="270" spans="1:10" x14ac:dyDescent="0.55000000000000004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08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3969.0221549749999</v>
      </c>
      <c r="I270" s="309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3879.0461074252048</v>
      </c>
      <c r="J270" s="310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3699.6682527465828</v>
      </c>
    </row>
    <row r="271" spans="1:10" x14ac:dyDescent="0.55000000000000004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08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-10268.023823285401</v>
      </c>
      <c r="I271" s="309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-9361.2426134410889</v>
      </c>
      <c r="J271" s="310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-8928.352781605663</v>
      </c>
    </row>
    <row r="272" spans="1:10" x14ac:dyDescent="0.55000000000000004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08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3896.4599848887397</v>
      </c>
      <c r="I272" s="309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3552.3590400511525</v>
      </c>
      <c r="J272" s="310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3388.088101782891</v>
      </c>
    </row>
    <row r="273" spans="1:10" x14ac:dyDescent="0.55000000000000004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08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26204.359702741542</v>
      </c>
      <c r="I273" s="309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33328.498741575277</v>
      </c>
      <c r="J273" s="310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42913.263941448356</v>
      </c>
    </row>
    <row r="274" spans="1:10" x14ac:dyDescent="0.55000000000000004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08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-124956.70000878678</v>
      </c>
      <c r="I274" s="309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-148254.18487372255</v>
      </c>
      <c r="J274" s="310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-190889.81520712902</v>
      </c>
    </row>
    <row r="275" spans="1:10" x14ac:dyDescent="0.55000000000000004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08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3508.1135359104669</v>
      </c>
      <c r="I275" s="309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4162.1818811981002</v>
      </c>
      <c r="J275" s="310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5359.1615699557296</v>
      </c>
    </row>
    <row r="276" spans="1:10" x14ac:dyDescent="0.55000000000000004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08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410.6782013659747</v>
      </c>
      <c r="I276" s="309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486.06647358174581</v>
      </c>
      <c r="J276" s="310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630.08616945781864</v>
      </c>
    </row>
    <row r="277" spans="1:10" x14ac:dyDescent="0.55000000000000004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08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-1435.7316557940972</v>
      </c>
      <c r="I277" s="309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-1585.1578146620741</v>
      </c>
      <c r="J277" s="310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-2054.8342041915776</v>
      </c>
    </row>
    <row r="278" spans="1:10" x14ac:dyDescent="0.55000000000000004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08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322.2425520446742</v>
      </c>
      <c r="I278" s="309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355.78048135167791</v>
      </c>
      <c r="J278" s="310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461.19692027069357</v>
      </c>
    </row>
    <row r="279" spans="1:10" x14ac:dyDescent="0.55000000000000004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08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289.2665542877732</v>
      </c>
      <c r="I279" s="309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345.0781479379994</v>
      </c>
      <c r="J279" s="310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447.32352510481405</v>
      </c>
    </row>
    <row r="280" spans="1:10" x14ac:dyDescent="0.55000000000000004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08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-748.34449260594852</v>
      </c>
      <c r="I280" s="309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-832.77181399340088</v>
      </c>
      <c r="J280" s="310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-1079.5190181395938</v>
      </c>
    </row>
    <row r="281" spans="1:10" x14ac:dyDescent="0.55000000000000004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08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498.20727401405861</v>
      </c>
      <c r="I281" s="309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554.41441665538218</v>
      </c>
      <c r="J281" s="310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718.68535492364356</v>
      </c>
    </row>
    <row r="282" spans="1:10" x14ac:dyDescent="0.55000000000000004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08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323273.59927012771</v>
      </c>
      <c r="I282" s="309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336848.50208583073</v>
      </c>
      <c r="J282" s="310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319112.61844782933</v>
      </c>
    </row>
    <row r="283" spans="1:10" x14ac:dyDescent="0.55000000000000004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08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-1162070.902790843</v>
      </c>
      <c r="I283" s="309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-1129541.5824243107</v>
      </c>
      <c r="J283" s="310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-1070068.5019560563</v>
      </c>
    </row>
    <row r="284" spans="1:10" x14ac:dyDescent="0.55000000000000004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08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16513.712914339278</v>
      </c>
      <c r="I284" s="309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16051.452086242309</v>
      </c>
      <c r="J284" s="310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15206.304535756813</v>
      </c>
    </row>
    <row r="285" spans="1:10" x14ac:dyDescent="0.55000000000000004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08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5464.7230908847241</v>
      </c>
      <c r="I285" s="309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5298.8833387489158</v>
      </c>
      <c r="J285" s="310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5053.8482710611052</v>
      </c>
    </row>
    <row r="286" spans="1:10" x14ac:dyDescent="0.55000000000000004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08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-13300.644084007601</v>
      </c>
      <c r="I286" s="309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-12030.788298267966</v>
      </c>
      <c r="J286" s="310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-11474.451267134187</v>
      </c>
    </row>
    <row r="287" spans="1:10" x14ac:dyDescent="0.55000000000000004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08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1636.1525775550244</v>
      </c>
      <c r="I287" s="309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1479.9437651217061</v>
      </c>
      <c r="J287" s="310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1411.5070592201243</v>
      </c>
    </row>
    <row r="288" spans="1:10" x14ac:dyDescent="0.55000000000000004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08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2288.2245944856058</v>
      </c>
      <c r="I288" s="309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2236.3515141955445</v>
      </c>
      <c r="J288" s="310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2132.9364152732078</v>
      </c>
    </row>
    <row r="289" spans="1:10" x14ac:dyDescent="0.55000000000000004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08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-3672.0874835279487</v>
      </c>
      <c r="I289" s="309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-3347.8011370728013</v>
      </c>
      <c r="J289" s="310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-3192.9895237977589</v>
      </c>
    </row>
    <row r="290" spans="1:10" x14ac:dyDescent="0.55000000000000004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08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1503.7820431610533</v>
      </c>
      <c r="I290" s="309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1370.9812896852563</v>
      </c>
      <c r="J290" s="310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1307.5833109714874</v>
      </c>
    </row>
    <row r="291" spans="1:10" x14ac:dyDescent="0.55000000000000004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08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34307.429102438567</v>
      </c>
      <c r="I291" s="309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43634.537177707913</v>
      </c>
      <c r="J291" s="310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56183.161005511771</v>
      </c>
    </row>
    <row r="292" spans="1:10" x14ac:dyDescent="0.55000000000000004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08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-123324.84062885126</v>
      </c>
      <c r="I292" s="309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-146318.07434756536</v>
      </c>
      <c r="J292" s="310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-188396.90898074809</v>
      </c>
    </row>
    <row r="293" spans="1:10" x14ac:dyDescent="0.55000000000000004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08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2111.4683396751602</v>
      </c>
      <c r="I293" s="309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2505.139920974234</v>
      </c>
      <c r="J293" s="310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3225.5797500090212</v>
      </c>
    </row>
    <row r="294" spans="1:10" x14ac:dyDescent="0.55000000000000004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08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579.94404871994413</v>
      </c>
      <c r="I294" s="309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686.40448336048098</v>
      </c>
      <c r="J294" s="310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889.78358954136411</v>
      </c>
    </row>
    <row r="295" spans="1:10" x14ac:dyDescent="0.55000000000000004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08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-1411.5316096306585</v>
      </c>
      <c r="I295" s="309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-1558.4391084634976</v>
      </c>
      <c r="J295" s="310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-2020.1988443045338</v>
      </c>
    </row>
    <row r="296" spans="1:10" x14ac:dyDescent="0.55000000000000004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08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209.20094616550776</v>
      </c>
      <c r="I296" s="309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230.97388241783855</v>
      </c>
      <c r="J296" s="310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299.4105883194203</v>
      </c>
    </row>
    <row r="297" spans="1:10" x14ac:dyDescent="0.55000000000000004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08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242.83796518803848</v>
      </c>
      <c r="I297" s="309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289.69154585619748</v>
      </c>
      <c r="J297" s="310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375.52607796173743</v>
      </c>
    </row>
    <row r="298" spans="1:10" x14ac:dyDescent="0.55000000000000004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08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-389.70049296793417</v>
      </c>
      <c r="I298" s="309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-433.66603168671378</v>
      </c>
      <c r="J298" s="310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-562.15967070499926</v>
      </c>
    </row>
    <row r="299" spans="1:10" x14ac:dyDescent="0.55000000000000004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08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192.2758491913404</v>
      </c>
      <c r="I299" s="309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213.96817815897066</v>
      </c>
      <c r="J299" s="310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277.36615687273974</v>
      </c>
    </row>
    <row r="300" spans="1:10" x14ac:dyDescent="0.55000000000000004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08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177969.97824137105</v>
      </c>
      <c r="I300" s="309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185443.29237588114</v>
      </c>
      <c r="J300" s="310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175679.25710584028</v>
      </c>
    </row>
    <row r="301" spans="1:10" x14ac:dyDescent="0.55000000000000004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08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95054.655228607488</v>
      </c>
      <c r="I301" s="309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91856.705458575423</v>
      </c>
      <c r="J301" s="310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87020.229032836913</v>
      </c>
    </row>
    <row r="302" spans="1:10" x14ac:dyDescent="0.55000000000000004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08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-7078351.4073272571</v>
      </c>
      <c r="I302" s="309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-6880210.3472225228</v>
      </c>
      <c r="J302" s="310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-6517950.7279346259</v>
      </c>
    </row>
    <row r="303" spans="1:10" x14ac:dyDescent="0.55000000000000004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08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91965.758433844385</v>
      </c>
      <c r="I303" s="309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89391.402934828773</v>
      </c>
      <c r="J303" s="310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84684.730615158391</v>
      </c>
    </row>
    <row r="304" spans="1:10" x14ac:dyDescent="0.55000000000000004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08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1915.6352087060125</v>
      </c>
      <c r="I304" s="309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1857.5007958710155</v>
      </c>
      <c r="J304" s="310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1771.604805310506</v>
      </c>
    </row>
    <row r="305" spans="1:10" x14ac:dyDescent="0.55000000000000004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08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1023.1503431459247</v>
      </c>
      <c r="I305" s="309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920.08668153685551</v>
      </c>
      <c r="J305" s="310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877.53932054093139</v>
      </c>
    </row>
    <row r="306" spans="1:10" x14ac:dyDescent="0.55000000000000004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08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-52607.406299691625</v>
      </c>
      <c r="I306" s="309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-47584.80597744538</v>
      </c>
      <c r="J306" s="310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-45384.352521840963</v>
      </c>
    </row>
    <row r="307" spans="1:10" x14ac:dyDescent="0.55000000000000004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08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5801.9418138675701</v>
      </c>
      <c r="I307" s="309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5248.0115429475982</v>
      </c>
      <c r="J307" s="310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5005.3289282448177</v>
      </c>
    </row>
    <row r="308" spans="1:10" x14ac:dyDescent="0.55000000000000004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08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970.05512563764921</v>
      </c>
      <c r="I308" s="309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948.0643876920592</v>
      </c>
      <c r="J308" s="310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904.22325993751281</v>
      </c>
    </row>
    <row r="309" spans="1:10" x14ac:dyDescent="0.55000000000000004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08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518.11129287869664</v>
      </c>
      <c r="I309" s="309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469.6102517392568</v>
      </c>
      <c r="J309" s="310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447.89417073397317</v>
      </c>
    </row>
    <row r="310" spans="1:10" x14ac:dyDescent="0.55000000000000004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08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-18109.795364988582</v>
      </c>
      <c r="I310" s="309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-16510.498125936894</v>
      </c>
      <c r="J310" s="310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-15747.006883118998</v>
      </c>
    </row>
    <row r="311" spans="1:10" x14ac:dyDescent="0.55000000000000004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08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6448.9287377801475</v>
      </c>
      <c r="I311" s="309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5879.4162878983389</v>
      </c>
      <c r="J311" s="310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5607.5357659145993</v>
      </c>
    </row>
    <row r="312" spans="1:10" x14ac:dyDescent="0.55000000000000004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08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12515.531003246944</v>
      </c>
      <c r="I312" s="309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15918.109201051073</v>
      </c>
      <c r="J312" s="310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20495.913329014697</v>
      </c>
    </row>
    <row r="313" spans="1:10" x14ac:dyDescent="0.55000000000000004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08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6684.6076864892084</v>
      </c>
      <c r="I313" s="309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7884.8096882071995</v>
      </c>
      <c r="J313" s="310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10152.360053830969</v>
      </c>
    </row>
    <row r="314" spans="1:10" x14ac:dyDescent="0.55000000000000004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08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-497776.80126550345</v>
      </c>
      <c r="I314" s="309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-590584.52980493929</v>
      </c>
      <c r="J314" s="310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-760427.58492570627</v>
      </c>
    </row>
    <row r="315" spans="1:10" x14ac:dyDescent="0.55000000000000004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08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11758.881135608359</v>
      </c>
      <c r="I315" s="309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13951.259417574436</v>
      </c>
      <c r="J315" s="310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17963.427706245715</v>
      </c>
    </row>
    <row r="316" spans="1:10" x14ac:dyDescent="0.55000000000000004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08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134.71481023026971</v>
      </c>
      <c r="I316" s="309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159.44443247794558</v>
      </c>
      <c r="J316" s="310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206.68722728622572</v>
      </c>
    </row>
    <row r="317" spans="1:10" x14ac:dyDescent="0.55000000000000004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08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71.951853718038194</v>
      </c>
      <c r="I317" s="309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78.978538848683854</v>
      </c>
      <c r="J317" s="310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102.37958739644201</v>
      </c>
    </row>
    <row r="318" spans="1:10" x14ac:dyDescent="0.55000000000000004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08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-3699.5544476115733</v>
      </c>
      <c r="I318" s="309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-4084.5917269656875</v>
      </c>
      <c r="J318" s="310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-5294.8411275481121</v>
      </c>
    </row>
    <row r="319" spans="1:10" x14ac:dyDescent="0.55000000000000004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08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741.84506610753328</v>
      </c>
      <c r="I319" s="309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819.05382462187958</v>
      </c>
      <c r="J319" s="310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1061.7364393246585</v>
      </c>
    </row>
    <row r="320" spans="1:10" x14ac:dyDescent="0.55000000000000004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08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68.217994516528847</v>
      </c>
      <c r="I320" s="309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81.380093394376203</v>
      </c>
      <c r="J320" s="310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105.49271365937653</v>
      </c>
    </row>
    <row r="321" spans="1:10" x14ac:dyDescent="0.55000000000000004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08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36.435571961250638</v>
      </c>
      <c r="I321" s="309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40.310475366057602</v>
      </c>
      <c r="J321" s="310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52.254319918963553</v>
      </c>
    </row>
    <row r="322" spans="1:10" x14ac:dyDescent="0.55000000000000004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08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-1273.5502223053275</v>
      </c>
      <c r="I322" s="309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-1417.2306194807106</v>
      </c>
      <c r="J322" s="310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-1837.1508030305506</v>
      </c>
    </row>
    <row r="323" spans="1:10" x14ac:dyDescent="0.55000000000000004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08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824.56979392080507</v>
      </c>
      <c r="I323" s="309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917.59676169511658</v>
      </c>
      <c r="J323" s="310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1189.4772836788547</v>
      </c>
    </row>
    <row r="324" spans="1:10" x14ac:dyDescent="0.55000000000000004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08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533476.73476254696</v>
      </c>
      <c r="I324" s="309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555878.48623619205</v>
      </c>
      <c r="J324" s="310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526610.147241942</v>
      </c>
    </row>
    <row r="325" spans="1:10" x14ac:dyDescent="0.55000000000000004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08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88626.174913066206</v>
      </c>
      <c r="I325" s="309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85644.500264934279</v>
      </c>
      <c r="J325" s="310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81135.111380828137</v>
      </c>
    </row>
    <row r="326" spans="1:10" x14ac:dyDescent="0.55000000000000004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08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-5600272.2373240925</v>
      </c>
      <c r="I326" s="309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-5443506.3727712473</v>
      </c>
      <c r="J326" s="310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-5156892.6725102626</v>
      </c>
    </row>
    <row r="327" spans="1:10" x14ac:dyDescent="0.55000000000000004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08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84888.716282593246</v>
      </c>
      <c r="I327" s="309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82512.465194274628</v>
      </c>
      <c r="J327" s="310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78167.985488090853</v>
      </c>
    </row>
    <row r="328" spans="1:10" x14ac:dyDescent="0.55000000000000004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08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19618.292165198382</v>
      </c>
      <c r="I328" s="309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19022.929389098845</v>
      </c>
      <c r="J328" s="310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18143.256353764795</v>
      </c>
    </row>
    <row r="329" spans="1:10" x14ac:dyDescent="0.55000000000000004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08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3259.1752922503911</v>
      </c>
      <c r="I329" s="309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2930.8730620890647</v>
      </c>
      <c r="J329" s="310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2795.3413597959288</v>
      </c>
    </row>
    <row r="330" spans="1:10" x14ac:dyDescent="0.55000000000000004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08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-154460.03049042419</v>
      </c>
      <c r="I330" s="309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-139713.22859534738</v>
      </c>
      <c r="J330" s="310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-133252.50126145847</v>
      </c>
    </row>
    <row r="331" spans="1:10" x14ac:dyDescent="0.55000000000000004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08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18296.871108113697</v>
      </c>
      <c r="I331" s="309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16550.009265121666</v>
      </c>
      <c r="J331" s="310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15784.690917601589</v>
      </c>
    </row>
    <row r="332" spans="1:10" x14ac:dyDescent="0.55000000000000004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08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17812.105731467851</v>
      </c>
      <c r="I332" s="309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17408.31285511727</v>
      </c>
      <c r="J332" s="310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16603.304168175429</v>
      </c>
    </row>
    <row r="333" spans="1:10" x14ac:dyDescent="0.55000000000000004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08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2959.114606618693</v>
      </c>
      <c r="I333" s="309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2682.1082158208528</v>
      </c>
      <c r="J333" s="310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2558.0800902337619</v>
      </c>
    </row>
    <row r="334" spans="1:10" x14ac:dyDescent="0.55000000000000004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08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-106849.10053628395</v>
      </c>
      <c r="I334" s="309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-97413.131325212598</v>
      </c>
      <c r="J334" s="310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-92908.477853526463</v>
      </c>
    </row>
    <row r="335" spans="1:10" x14ac:dyDescent="0.55000000000000004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08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36463.764238355216</v>
      </c>
      <c r="I335" s="309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33243.606511748578</v>
      </c>
      <c r="J335" s="310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31706.329910049222</v>
      </c>
    </row>
    <row r="336" spans="1:10" x14ac:dyDescent="0.55000000000000004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08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38880.351590888582</v>
      </c>
      <c r="I336" s="309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49450.693081936399</v>
      </c>
      <c r="J336" s="310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63671.954166525713</v>
      </c>
    </row>
    <row r="337" spans="1:10" x14ac:dyDescent="0.55000000000000004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08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6459.1698498517517</v>
      </c>
      <c r="I337" s="309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7618.8951391753681</v>
      </c>
      <c r="J337" s="310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9809.9725578637645</v>
      </c>
    </row>
    <row r="338" spans="1:10" x14ac:dyDescent="0.55000000000000004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08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-408153.79453945684</v>
      </c>
      <c r="I338" s="309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-484251.80969334964</v>
      </c>
      <c r="J338" s="310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-623515.20494896802</v>
      </c>
    </row>
    <row r="339" spans="1:10" x14ac:dyDescent="0.55000000000000004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08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10853.999809499195</v>
      </c>
      <c r="I339" s="309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12877.667978297199</v>
      </c>
      <c r="J339" s="310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16581.087830807151</v>
      </c>
    </row>
    <row r="340" spans="1:10" x14ac:dyDescent="0.55000000000000004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08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1429.8019900252984</v>
      </c>
      <c r="I340" s="309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1692.2710017238799</v>
      </c>
      <c r="J340" s="310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2193.6846318642888</v>
      </c>
    </row>
    <row r="341" spans="1:10" x14ac:dyDescent="0.55000000000000004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08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237.5321602645615</v>
      </c>
      <c r="I341" s="309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260.72911228642022</v>
      </c>
      <c r="J341" s="310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337.98218259350773</v>
      </c>
    </row>
    <row r="342" spans="1:10" x14ac:dyDescent="0.55000000000000004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08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-11257.211235050621</v>
      </c>
      <c r="I342" s="309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-12428.824208568762</v>
      </c>
      <c r="J342" s="310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-16111.438788885431</v>
      </c>
    </row>
    <row r="343" spans="1:10" x14ac:dyDescent="0.55000000000000004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08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2339.4656465387015</v>
      </c>
      <c r="I343" s="309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2582.94942288026</v>
      </c>
      <c r="J343" s="310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3348.2677704003372</v>
      </c>
    </row>
    <row r="344" spans="1:10" x14ac:dyDescent="0.55000000000000004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08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1298.165202502795</v>
      </c>
      <c r="I344" s="309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1548.6354615043629</v>
      </c>
      <c r="J344" s="310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2007.4904130612115</v>
      </c>
    </row>
    <row r="345" spans="1:10" x14ac:dyDescent="0.55000000000000004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08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215.66341848867819</v>
      </c>
      <c r="I345" s="309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238.59910659816725</v>
      </c>
      <c r="J345" s="310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309.29513818280941</v>
      </c>
    </row>
    <row r="346" spans="1:10" x14ac:dyDescent="0.55000000000000004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08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-7787.2760428250604</v>
      </c>
      <c r="I346" s="309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-8665.8271161561952</v>
      </c>
      <c r="J346" s="310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-11233.47959501729</v>
      </c>
    </row>
    <row r="347" spans="1:10" x14ac:dyDescent="0.55000000000000004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08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4662.312112003121</v>
      </c>
      <c r="I347" s="309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5188.3085307353276</v>
      </c>
      <c r="J347" s="310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6725.5851324346841</v>
      </c>
    </row>
    <row r="348" spans="1:10" x14ac:dyDescent="0.55000000000000004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08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132407.14540962569</v>
      </c>
      <c r="I348" s="309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137967.18537298322</v>
      </c>
      <c r="J348" s="310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130702.88130012646</v>
      </c>
    </row>
    <row r="349" spans="1:10" x14ac:dyDescent="0.55000000000000004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08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-291295.71990117652</v>
      </c>
      <c r="I349" s="309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-283141.61177291331</v>
      </c>
      <c r="J349" s="310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-268233.52505622967</v>
      </c>
    </row>
    <row r="350" spans="1:10" x14ac:dyDescent="0.55000000000000004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08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5205.4395989305913</v>
      </c>
      <c r="I350" s="309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5059.7261042070058</v>
      </c>
      <c r="J350" s="310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4793.3193579436438</v>
      </c>
    </row>
    <row r="351" spans="1:10" x14ac:dyDescent="0.55000000000000004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08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2075.102347154057</v>
      </c>
      <c r="I351" s="309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2012.1285325279352</v>
      </c>
      <c r="J351" s="310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1919.0821263994758</v>
      </c>
    </row>
    <row r="352" spans="1:10" x14ac:dyDescent="0.55000000000000004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08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-3458.5039119234279</v>
      </c>
      <c r="I352" s="309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-3128.3092856466656</v>
      </c>
      <c r="J352" s="310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-2983.6475845762993</v>
      </c>
    </row>
    <row r="353" spans="1:10" x14ac:dyDescent="0.55000000000000004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08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368.73511677680449</v>
      </c>
      <c r="I353" s="309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333.53077490531524</v>
      </c>
      <c r="J353" s="310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318.10738647038733</v>
      </c>
    </row>
    <row r="354" spans="1:10" x14ac:dyDescent="0.55000000000000004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08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1461.6254375303615</v>
      </c>
      <c r="I354" s="309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1428.4910092676269</v>
      </c>
      <c r="J354" s="310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1362.4336215558294</v>
      </c>
    </row>
    <row r="355" spans="1:10" x14ac:dyDescent="0.55000000000000004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08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-1879.232705396179</v>
      </c>
      <c r="I355" s="309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-1713.2754642069085</v>
      </c>
      <c r="J355" s="310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-1634.0488531453175</v>
      </c>
    </row>
    <row r="356" spans="1:10" x14ac:dyDescent="0.55000000000000004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08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595.12573571760834</v>
      </c>
      <c r="I356" s="309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542.56948497930102</v>
      </c>
      <c r="J356" s="310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517.47956659875535</v>
      </c>
    </row>
    <row r="357" spans="1:10" x14ac:dyDescent="0.55000000000000004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08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9649.9735250189897</v>
      </c>
      <c r="I357" s="309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12273.497010926079</v>
      </c>
      <c r="J357" s="310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15803.166557197108</v>
      </c>
    </row>
    <row r="358" spans="1:10" x14ac:dyDescent="0.55000000000000004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08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-21229.941755041782</v>
      </c>
      <c r="I358" s="309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-25188.146850781133</v>
      </c>
      <c r="J358" s="310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-32431.871665889583</v>
      </c>
    </row>
    <row r="359" spans="1:10" x14ac:dyDescent="0.55000000000000004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08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665.57538963205775</v>
      </c>
      <c r="I359" s="309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789.6682359167005</v>
      </c>
      <c r="J359" s="310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1016.764712291076</v>
      </c>
    </row>
    <row r="360" spans="1:10" x14ac:dyDescent="0.55000000000000004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08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151.23566518854705</v>
      </c>
      <c r="I360" s="309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178.99802378962383</v>
      </c>
      <c r="J360" s="310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232.0344752828457</v>
      </c>
    </row>
    <row r="361" spans="1:10" x14ac:dyDescent="0.55000000000000004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08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-252.05944198091174</v>
      </c>
      <c r="I361" s="309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-278.29294743411663</v>
      </c>
      <c r="J361" s="310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-360.75011704422525</v>
      </c>
    </row>
    <row r="362" spans="1:10" x14ac:dyDescent="0.55000000000000004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08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47.147030400691499</v>
      </c>
      <c r="I362" s="309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52.053935967881571</v>
      </c>
      <c r="J362" s="310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67.47732440280943</v>
      </c>
    </row>
    <row r="363" spans="1:10" x14ac:dyDescent="0.55000000000000004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08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106.52481580225133</v>
      </c>
      <c r="I363" s="309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127.07789961057098</v>
      </c>
      <c r="J363" s="310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164.73061060629567</v>
      </c>
    </row>
    <row r="364" spans="1:10" x14ac:dyDescent="0.55000000000000004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08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-136.96047746003742</v>
      </c>
      <c r="I364" s="309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-152.41219302973596</v>
      </c>
      <c r="J364" s="310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-197.57136133484289</v>
      </c>
    </row>
    <row r="365" spans="1:10" x14ac:dyDescent="0.55000000000000004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08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76.093677758106608</v>
      </c>
      <c r="I365" s="309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84.678474534341788</v>
      </c>
      <c r="J365" s="310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109.76839291488749</v>
      </c>
    </row>
    <row r="366" spans="1:10" x14ac:dyDescent="0.55000000000000004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08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30701.40932395155</v>
      </c>
      <c r="I366" s="309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31990.622698686529</v>
      </c>
      <c r="J366" s="310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30306.239487308794</v>
      </c>
    </row>
    <row r="367" spans="1:10" x14ac:dyDescent="0.55000000000000004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08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-151050.93387384163</v>
      </c>
      <c r="I367" s="309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-146822.63402755381</v>
      </c>
      <c r="J367" s="310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-139092.06928876796</v>
      </c>
    </row>
    <row r="368" spans="1:10" x14ac:dyDescent="0.55000000000000004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08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2474.3330826602437</v>
      </c>
      <c r="I368" s="309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2405.0702060611807</v>
      </c>
      <c r="J368" s="310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2278.4374763569049</v>
      </c>
    </row>
    <row r="369" spans="1:10" x14ac:dyDescent="0.55000000000000004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08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2148.3620538691534</v>
      </c>
      <c r="I369" s="309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2083.1650027860119</v>
      </c>
      <c r="J369" s="310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1986.83367317741</v>
      </c>
    </row>
    <row r="370" spans="1:10" x14ac:dyDescent="0.55000000000000004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08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-8808.2844208635306</v>
      </c>
      <c r="I370" s="309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-7967.328835282322</v>
      </c>
      <c r="J370" s="310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-7598.897444055393</v>
      </c>
    </row>
    <row r="371" spans="1:10" x14ac:dyDescent="0.55000000000000004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08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782.59363664275531</v>
      </c>
      <c r="I371" s="309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707.87687472528353</v>
      </c>
      <c r="J371" s="310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675.14268398654212</v>
      </c>
    </row>
    <row r="372" spans="1:10" x14ac:dyDescent="0.55000000000000004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08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2174.912378814317</v>
      </c>
      <c r="I372" s="309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2125.6080383566687</v>
      </c>
      <c r="J372" s="310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2027.3140250222561</v>
      </c>
    </row>
    <row r="373" spans="1:10" x14ac:dyDescent="0.55000000000000004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08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-7643.2635026903145</v>
      </c>
      <c r="I373" s="309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-6968.277950902725</v>
      </c>
      <c r="J373" s="310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-6646.0454445025989</v>
      </c>
    </row>
    <row r="374" spans="1:10" x14ac:dyDescent="0.55000000000000004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08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1815.3830026986316</v>
      </c>
      <c r="I374" s="309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1655.064403535978</v>
      </c>
      <c r="J374" s="310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1578.5296334302682</v>
      </c>
    </row>
    <row r="375" spans="1:10" x14ac:dyDescent="0.55000000000000004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08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2237.5513514799004</v>
      </c>
      <c r="I375" s="309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2845.8710019236164</v>
      </c>
      <c r="J375" s="310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3664.2998652836986</v>
      </c>
    </row>
    <row r="376" spans="1:10" x14ac:dyDescent="0.55000000000000004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08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-11008.75264928111</v>
      </c>
      <c r="I376" s="309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-13061.273628231522</v>
      </c>
      <c r="J376" s="310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-16817.495650369216</v>
      </c>
    </row>
    <row r="377" spans="1:10" x14ac:dyDescent="0.55000000000000004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08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316.37197479141111</v>
      </c>
      <c r="I377" s="309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375.35777782457734</v>
      </c>
      <c r="J377" s="310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483.30491922722223</v>
      </c>
    </row>
    <row r="378" spans="1:10" x14ac:dyDescent="0.55000000000000004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08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156.57491049939674</v>
      </c>
      <c r="I378" s="309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185.31739533454751</v>
      </c>
      <c r="J378" s="310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240.22625321145046</v>
      </c>
    </row>
    <row r="379" spans="1:10" x14ac:dyDescent="0.55000000000000004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08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-641.95713304752667</v>
      </c>
      <c r="I379" s="309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-708.76988887280299</v>
      </c>
      <c r="J379" s="310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-918.77578187215192</v>
      </c>
    </row>
    <row r="380" spans="1:10" x14ac:dyDescent="0.55000000000000004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08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100.06360744999898</v>
      </c>
      <c r="I380" s="309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110.47789374325237</v>
      </c>
      <c r="J380" s="310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143.21208448199377</v>
      </c>
    </row>
    <row r="381" spans="1:10" x14ac:dyDescent="0.55000000000000004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08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158.50992640815937</v>
      </c>
      <c r="I381" s="309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189.09310815207587</v>
      </c>
      <c r="J381" s="310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245.12069575269092</v>
      </c>
    </row>
    <row r="382" spans="1:10" x14ac:dyDescent="0.55000000000000004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08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-557.04916994867449</v>
      </c>
      <c r="I382" s="309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-619.89478418724241</v>
      </c>
      <c r="J382" s="310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-803.56731283531417</v>
      </c>
    </row>
    <row r="383" spans="1:10" x14ac:dyDescent="0.55000000000000004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08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232.11761973009638</v>
      </c>
      <c r="I383" s="309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258.30484910677114</v>
      </c>
      <c r="J383" s="310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334.83961921248113</v>
      </c>
    </row>
    <row r="384" spans="1:10" x14ac:dyDescent="0.55000000000000004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08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432346.04194797156</v>
      </c>
      <c r="I384" s="309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450501.11404618341</v>
      </c>
      <c r="J384" s="310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426781.14709357038</v>
      </c>
    </row>
    <row r="385" spans="1:10" x14ac:dyDescent="0.55000000000000004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08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-1567607.1136619709</v>
      </c>
      <c r="I385" s="309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-1523725.8032473489</v>
      </c>
      <c r="J385" s="310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-1443497.9756771696</v>
      </c>
    </row>
    <row r="386" spans="1:10" x14ac:dyDescent="0.55000000000000004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08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61628.729475109525</v>
      </c>
      <c r="I386" s="309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59903.584580711453</v>
      </c>
      <c r="J386" s="310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56749.516805305531</v>
      </c>
    </row>
    <row r="387" spans="1:10" x14ac:dyDescent="0.55000000000000004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08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35477.25037276862</v>
      </c>
      <c r="I387" s="309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34134.380734039711</v>
      </c>
      <c r="J387" s="310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32555.912260789319</v>
      </c>
    </row>
    <row r="388" spans="1:10" x14ac:dyDescent="0.55000000000000004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08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-107194.97937143044</v>
      </c>
      <c r="I388" s="309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-96210.33681652839</v>
      </c>
      <c r="J388" s="310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-91761.303900157116</v>
      </c>
    </row>
    <row r="389" spans="1:10" x14ac:dyDescent="0.55000000000000004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08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22857.602155742003</v>
      </c>
      <c r="I389" s="309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20515.304122613197</v>
      </c>
      <c r="J389" s="310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19566.619538908537</v>
      </c>
    </row>
    <row r="390" spans="1:10" x14ac:dyDescent="0.55000000000000004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08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46996.225732903971</v>
      </c>
      <c r="I390" s="309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41794.123367341621</v>
      </c>
      <c r="J390" s="310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39861.447142262245</v>
      </c>
    </row>
    <row r="391" spans="1:10" x14ac:dyDescent="0.55000000000000004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08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-121714.04157490926</v>
      </c>
      <c r="I391" s="309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-100971.34408987583</v>
      </c>
      <c r="J391" s="310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-96302.148987453838</v>
      </c>
    </row>
    <row r="392" spans="1:10" x14ac:dyDescent="0.55000000000000004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08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69381.128263989667</v>
      </c>
      <c r="I392" s="309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57557.087782477021</v>
      </c>
      <c r="J392" s="310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54895.488347449187</v>
      </c>
    </row>
    <row r="393" spans="1:10" x14ac:dyDescent="0.55000000000000004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08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55280.419618069624</v>
      </c>
      <c r="I393" s="309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70309.422423392782</v>
      </c>
      <c r="J393" s="310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90529.334231969464</v>
      </c>
    </row>
    <row r="394" spans="1:10" x14ac:dyDescent="0.55000000000000004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08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-200436.61935485722</v>
      </c>
      <c r="I394" s="309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-237806.91726981744</v>
      </c>
      <c r="J394" s="310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-306196.54029515712</v>
      </c>
    </row>
    <row r="395" spans="1:10" x14ac:dyDescent="0.55000000000000004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08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7879.9426740734016</v>
      </c>
      <c r="I395" s="309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9349.1143565272214</v>
      </c>
      <c r="J395" s="310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12037.776292034505</v>
      </c>
    </row>
    <row r="396" spans="1:10" x14ac:dyDescent="0.55000000000000004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08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4536.174955287267</v>
      </c>
      <c r="I396" s="309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5327.3310972200707</v>
      </c>
      <c r="J396" s="310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6905.7995704704617</v>
      </c>
    </row>
    <row r="397" spans="1:10" x14ac:dyDescent="0.55000000000000004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08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-13706.112386050478</v>
      </c>
      <c r="I397" s="309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-15015.486092752984</v>
      </c>
      <c r="J397" s="310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-19464.519009124237</v>
      </c>
    </row>
    <row r="398" spans="1:10" x14ac:dyDescent="0.55000000000000004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08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2922.6076245295421</v>
      </c>
      <c r="I398" s="309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3201.8104700032154</v>
      </c>
      <c r="J398" s="310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4150.4950537078712</v>
      </c>
    </row>
    <row r="399" spans="1:10" x14ac:dyDescent="0.55000000000000004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08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6009.0085878318096</v>
      </c>
      <c r="I399" s="309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6522.7822596429141</v>
      </c>
      <c r="J399" s="310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8455.4584847222941</v>
      </c>
    </row>
    <row r="400" spans="1:10" x14ac:dyDescent="0.55000000000000004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08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-15562.541665367786</v>
      </c>
      <c r="I400" s="309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-15758.533470674265</v>
      </c>
      <c r="J400" s="310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-20427.728573096269</v>
      </c>
    </row>
    <row r="401" spans="1:10" x14ac:dyDescent="0.55000000000000004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08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8871.1761225514183</v>
      </c>
      <c r="I401" s="309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8982.8980932189588</v>
      </c>
      <c r="J401" s="310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11644.497528246797</v>
      </c>
    </row>
    <row r="402" spans="1:10" x14ac:dyDescent="0.55000000000000004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08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187413.07432328182</v>
      </c>
      <c r="I402" s="309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177359.22120275494</v>
      </c>
      <c r="J402" s="310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161179.02528703219</v>
      </c>
    </row>
    <row r="403" spans="1:10" x14ac:dyDescent="0.55000000000000004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08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203030.83051688864</v>
      </c>
      <c r="I403" s="309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192139.15630298451</v>
      </c>
      <c r="J403" s="310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174610.61072761822</v>
      </c>
    </row>
    <row r="404" spans="1:10" x14ac:dyDescent="0.55000000000000004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08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222833.98833453824</v>
      </c>
      <c r="I404" s="309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222296.53737538058</v>
      </c>
      <c r="J404" s="310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218167.31964379738</v>
      </c>
    </row>
    <row r="405" spans="1:10" x14ac:dyDescent="0.55000000000000004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08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8674.9504905317481</v>
      </c>
      <c r="I405" s="309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8654.0274684352171</v>
      </c>
      <c r="J405" s="310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8493.2765899277038</v>
      </c>
    </row>
    <row r="406" spans="1:10" s="172" customFormat="1" x14ac:dyDescent="0.55000000000000004">
      <c r="A406" s="172" t="str">
        <f>IF('[1]Processer - data'!A406&lt;&gt;"",'[1]Processer - data'!A406,"")</f>
        <v>Mejeri</v>
      </c>
      <c r="B406" s="172" t="str">
        <f>IF('[1]Processer - data'!B406&lt;&gt;"",'[1]Processer - data'!B406,"")</f>
        <v/>
      </c>
      <c r="C406" s="172" t="str">
        <f>IF('[1]Processer - data'!C406&lt;&gt;"",'[1]Processer - data'!C406,"")</f>
        <v/>
      </c>
      <c r="D406" s="172" t="str">
        <f>IF('[1]Processer - data'!D406&lt;&gt;"",'[1]Processer - data'!D406,"")</f>
        <v>Råmælk</v>
      </c>
      <c r="E406" s="172" t="str">
        <f>IF('[1]Processer - data'!E406&lt;&gt;"",'[1]Processer - data'!E406,"")</f>
        <v>Ton</v>
      </c>
      <c r="F406" s="172" t="str">
        <f>IF('[1]Processer - data'!F406&lt;&gt;"",'[1]Processer - data'!F406,"")</f>
        <v>Industriaffald</v>
      </c>
      <c r="G406" s="172" t="str">
        <f>IF('[1]Processer - data'!G406&lt;&gt;"",'[1]Processer - data'!G406,"")</f>
        <v>Ton</v>
      </c>
      <c r="H406" s="308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1139.8884944558718</v>
      </c>
      <c r="I406" s="309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1137.1392093523875</v>
      </c>
      <c r="J406" s="310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1116.0165439165003</v>
      </c>
    </row>
    <row r="407" spans="1:10" x14ac:dyDescent="0.55000000000000004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08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115489.08079619991</v>
      </c>
      <c r="I407" s="309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115210.53389359287</v>
      </c>
      <c r="J407" s="310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113070.46736338305</v>
      </c>
    </row>
    <row r="408" spans="1:10" x14ac:dyDescent="0.55000000000000004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08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206750.71206041813</v>
      </c>
      <c r="I408" s="309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199670.11202830033</v>
      </c>
      <c r="J408" s="310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194183.99559105173</v>
      </c>
    </row>
    <row r="409" spans="1:10" x14ac:dyDescent="0.55000000000000004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08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2934.8675209995276</v>
      </c>
      <c r="I409" s="309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3825.3658288618731</v>
      </c>
      <c r="J409" s="310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3720.2604521030635</v>
      </c>
    </row>
    <row r="410" spans="1:10" x14ac:dyDescent="0.55000000000000004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08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18438.823741508058</v>
      </c>
      <c r="I410" s="309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17807.348596028591</v>
      </c>
      <c r="J410" s="310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17318.075630515144</v>
      </c>
    </row>
    <row r="411" spans="1:10" x14ac:dyDescent="0.55000000000000004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08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18193.595560018719</v>
      </c>
      <c r="I411" s="309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17570.518754029476</v>
      </c>
      <c r="J411" s="310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17087.752902053573</v>
      </c>
    </row>
    <row r="412" spans="1:10" x14ac:dyDescent="0.55000000000000004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08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7577.0634215631153</v>
      </c>
      <c r="I412" s="309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7545.7953205064359</v>
      </c>
      <c r="J412" s="310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7305.5635465813803</v>
      </c>
    </row>
    <row r="413" spans="1:10" x14ac:dyDescent="0.55000000000000004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08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3275.6676732725955</v>
      </c>
      <c r="I413" s="309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3659.7718795162909</v>
      </c>
      <c r="J413" s="310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3543.2575223897543</v>
      </c>
    </row>
    <row r="414" spans="1:10" x14ac:dyDescent="0.55000000000000004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08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485.07942488126918</v>
      </c>
      <c r="I414" s="309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483.07765828201667</v>
      </c>
      <c r="J414" s="310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467.69815249589072</v>
      </c>
    </row>
    <row r="415" spans="1:10" x14ac:dyDescent="0.55000000000000004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08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4985.8796582732966</v>
      </c>
      <c r="I415" s="309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4965.3045382911068</v>
      </c>
      <c r="J415" s="310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4807.2265800843434</v>
      </c>
    </row>
    <row r="416" spans="1:10" x14ac:dyDescent="0.55000000000000004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08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15969.006082579654</v>
      </c>
      <c r="I416" s="309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15244.045659594452</v>
      </c>
      <c r="J416" s="310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14575.114892812006</v>
      </c>
    </row>
    <row r="417" spans="1:10" ht="14.7" thickBot="1" x14ac:dyDescent="0.6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14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43.642267650662333</v>
      </c>
      <c r="I417" s="315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56.22741107277497</v>
      </c>
      <c r="J417" s="316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53.760070968776368</v>
      </c>
    </row>
    <row r="418" spans="1:10" x14ac:dyDescent="0.55000000000000004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83">
        <f>SUMIFS('Forbrug af biomasse'!$E$1:$E$425,'Forbrug af biomasse'!$A$1:$A$425,$F418,'Forbrug af biomasse'!$C$1:$C$425,$D418,'Forbrug af biomasse'!$B$1:$B$425,$A$1,'Forbrug af biomasse'!$D$1:$D$425,H$2)*'[1]Processer - data'!H418</f>
        <v>649382479.82762504</v>
      </c>
      <c r="I418" s="284">
        <f>SUMIFS('Forbrug af biomasse'!$E$1:$E$425,'Forbrug af biomasse'!$A$1:$A$425,$F418,'Forbrug af biomasse'!$C$1:$C$425,$D418,'Forbrug af biomasse'!$B$1:$B$425,$A$1,'Forbrug af biomasse'!$D$1:$D$425,I$2)*'[1]Processer - data'!I418</f>
        <v>649382479.82762516</v>
      </c>
      <c r="J418" s="285">
        <f>SUMIFS('Forbrug af biomasse'!$E$1:$E$425,'Forbrug af biomasse'!$A$1:$A$425,$F418,'Forbrug af biomasse'!$C$1:$C$425,$D418,'Forbrug af biomasse'!$B$1:$B$425,$A$1,'Forbrug af biomasse'!$D$1:$D$425,J$2)*'[1]Processer - data'!J418</f>
        <v>649382479.82762504</v>
      </c>
    </row>
    <row r="419" spans="1:10" x14ac:dyDescent="0.55000000000000004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86">
        <f>SUMIFS('Forbrug af biomasse'!$E$1:$E$425,'Forbrug af biomasse'!$A$1:$A$425,$F419,'Forbrug af biomasse'!$C$1:$C$425,$D419,'Forbrug af biomasse'!$B$1:$B$425,$A$1,'Forbrug af biomasse'!$D$1:$D$425,H$2)*'[1]Processer - data'!H419</f>
        <v>18032293.716852441</v>
      </c>
      <c r="I419" s="287">
        <f>SUMIFS('Forbrug af biomasse'!$E$1:$E$425,'Forbrug af biomasse'!$A$1:$A$425,$F419,'Forbrug af biomasse'!$C$1:$C$425,$D419,'Forbrug af biomasse'!$B$1:$B$425,$A$1,'Forbrug af biomasse'!$D$1:$D$425,I$2)*'[1]Processer - data'!I419</f>
        <v>18032293.716852445</v>
      </c>
      <c r="J419" s="288">
        <f>SUMIFS('Forbrug af biomasse'!$E$1:$E$425,'Forbrug af biomasse'!$A$1:$A$425,$F419,'Forbrug af biomasse'!$C$1:$C$425,$D419,'Forbrug af biomasse'!$B$1:$B$425,$A$1,'Forbrug af biomasse'!$D$1:$D$425,J$2)*'[1]Processer - data'!J419</f>
        <v>18032293.716852441</v>
      </c>
    </row>
    <row r="420" spans="1:10" x14ac:dyDescent="0.55000000000000004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86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287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288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x14ac:dyDescent="0.55000000000000004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86">
        <f>SUMIFS('Forbrug af biomasse'!$E$1:$E$425,'Forbrug af biomasse'!$A$1:$A$425,$F421,'Forbrug af biomasse'!$C$1:$C$425,$D421,'Forbrug af biomasse'!$B$1:$B$425,$A$1,'Forbrug af biomasse'!$D$1:$D$425,H$2)*'[1]Processer - data'!H421</f>
        <v>8576334.816551771</v>
      </c>
      <c r="I421" s="287">
        <f>SUMIFS('Forbrug af biomasse'!$E$1:$E$425,'Forbrug af biomasse'!$A$1:$A$425,$F421,'Forbrug af biomasse'!$C$1:$C$425,$D421,'Forbrug af biomasse'!$B$1:$B$425,$A$1,'Forbrug af biomasse'!$D$1:$D$425,I$2)*'[1]Processer - data'!I421</f>
        <v>8576334.816551771</v>
      </c>
      <c r="J421" s="288">
        <f>SUMIFS('Forbrug af biomasse'!$E$1:$E$425,'Forbrug af biomasse'!$A$1:$A$425,$F421,'Forbrug af biomasse'!$C$1:$C$425,$D421,'Forbrug af biomasse'!$B$1:$B$425,$A$1,'Forbrug af biomasse'!$D$1:$D$425,J$2)*'[1]Processer - data'!J421</f>
        <v>8576334.816551771</v>
      </c>
    </row>
    <row r="422" spans="1:10" x14ac:dyDescent="0.55000000000000004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86">
        <f>SUMIFS('Forbrug af biomasse'!$E$1:$E$425,'Forbrug af biomasse'!$A$1:$A$425,$F422,'Forbrug af biomasse'!$C$1:$C$425,$D422,'Forbrug af biomasse'!$B$1:$B$425,$A$1,'Forbrug af biomasse'!$D$1:$D$425,H$2)*'[1]Processer - data'!H422</f>
        <v>15723280.49701158</v>
      </c>
      <c r="I422" s="287">
        <f>SUMIFS('Forbrug af biomasse'!$E$1:$E$425,'Forbrug af biomasse'!$A$1:$A$425,$F422,'Forbrug af biomasse'!$C$1:$C$425,$D422,'Forbrug af biomasse'!$B$1:$B$425,$A$1,'Forbrug af biomasse'!$D$1:$D$425,I$2)*'[1]Processer - data'!I422</f>
        <v>15723280.497011581</v>
      </c>
      <c r="J422" s="288">
        <f>SUMIFS('Forbrug af biomasse'!$E$1:$E$425,'Forbrug af biomasse'!$A$1:$A$425,$F422,'Forbrug af biomasse'!$C$1:$C$425,$D422,'Forbrug af biomasse'!$B$1:$B$425,$A$1,'Forbrug af biomasse'!$D$1:$D$425,J$2)*'[1]Processer - data'!J422</f>
        <v>15723280.49701158</v>
      </c>
    </row>
    <row r="423" spans="1:10" x14ac:dyDescent="0.55000000000000004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86">
        <f>SUMIFS('Forbrug af biomasse'!$E$1:$E$425,'Forbrug af biomasse'!$A$1:$A$425,$F423,'Forbrug af biomasse'!$C$1:$C$425,$D423,'Forbrug af biomasse'!$B$1:$B$425,$A$1,'Forbrug af biomasse'!$D$1:$D$425,H$2)*'[1]Processer - data'!H423</f>
        <v>183951386.51398861</v>
      </c>
      <c r="I423" s="287">
        <f>SUMIFS('Forbrug af biomasse'!$E$1:$E$425,'Forbrug af biomasse'!$A$1:$A$425,$F423,'Forbrug af biomasse'!$C$1:$C$425,$D423,'Forbrug af biomasse'!$B$1:$B$425,$A$1,'Forbrug af biomasse'!$D$1:$D$425,I$2)*'[1]Processer - data'!I423</f>
        <v>183951386.51398864</v>
      </c>
      <c r="J423" s="288">
        <f>SUMIFS('Forbrug af biomasse'!$E$1:$E$425,'Forbrug af biomasse'!$A$1:$A$425,$F423,'Forbrug af biomasse'!$C$1:$C$425,$D423,'Forbrug af biomasse'!$B$1:$B$425,$A$1,'Forbrug af biomasse'!$D$1:$D$425,J$2)*'[1]Processer - data'!J423</f>
        <v>183951386.51398861</v>
      </c>
    </row>
    <row r="424" spans="1:10" x14ac:dyDescent="0.55000000000000004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86">
        <f>SUMIFS('Forbrug af biomasse'!$E$1:$E$425,'Forbrug af biomasse'!$A$1:$A$425,$F424,'Forbrug af biomasse'!$C$1:$C$425,$D424,'Forbrug af biomasse'!$B$1:$B$425,$A$1,'Forbrug af biomasse'!$D$1:$D$425,H$2)*'[1]Processer - data'!H424</f>
        <v>26498675.522935595</v>
      </c>
      <c r="I424" s="287">
        <f>SUMIFS('Forbrug af biomasse'!$E$1:$E$425,'Forbrug af biomasse'!$A$1:$A$425,$F424,'Forbrug af biomasse'!$C$1:$C$425,$D424,'Forbrug af biomasse'!$B$1:$B$425,$A$1,'Forbrug af biomasse'!$D$1:$D$425,I$2)*'[1]Processer - data'!I424</f>
        <v>26498675.522935599</v>
      </c>
      <c r="J424" s="288">
        <f>SUMIFS('Forbrug af biomasse'!$E$1:$E$425,'Forbrug af biomasse'!$A$1:$A$425,$F424,'Forbrug af biomasse'!$C$1:$C$425,$D424,'Forbrug af biomasse'!$B$1:$B$425,$A$1,'Forbrug af biomasse'!$D$1:$D$425,J$2)*'[1]Processer - data'!J424</f>
        <v>26498675.522935595</v>
      </c>
    </row>
    <row r="425" spans="1:10" x14ac:dyDescent="0.55000000000000004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86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287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288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x14ac:dyDescent="0.55000000000000004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86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287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288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x14ac:dyDescent="0.55000000000000004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86">
        <f>SUMIFS('Forbrug af biomasse'!$E$1:$E$425,'Forbrug af biomasse'!$A$1:$A$425,$F427,'Forbrug af biomasse'!$C$1:$C$425,$D427,'Forbrug af biomasse'!$B$1:$B$425,$A$1,'Forbrug af biomasse'!$D$1:$D$425,H$2)*'[1]Processer - data'!H427</f>
        <v>249813239.78468746</v>
      </c>
      <c r="I427" s="287">
        <f>SUMIFS('Forbrug af biomasse'!$E$1:$E$425,'Forbrug af biomasse'!$A$1:$A$425,$F427,'Forbrug af biomasse'!$C$1:$C$425,$D427,'Forbrug af biomasse'!$B$1:$B$425,$A$1,'Forbrug af biomasse'!$D$1:$D$425,I$2)*'[1]Processer - data'!I427</f>
        <v>249813239.78468749</v>
      </c>
      <c r="J427" s="288">
        <f>SUMIFS('Forbrug af biomasse'!$E$1:$E$425,'Forbrug af biomasse'!$A$1:$A$425,$F427,'Forbrug af biomasse'!$C$1:$C$425,$D427,'Forbrug af biomasse'!$B$1:$B$425,$A$1,'Forbrug af biomasse'!$D$1:$D$425,J$2)*'[1]Processer - data'!J427</f>
        <v>249813239.78468746</v>
      </c>
    </row>
    <row r="428" spans="1:10" x14ac:dyDescent="0.55000000000000004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86">
        <f>SUMIFS('Forbrug af biomasse'!$E$1:$E$425,'Forbrug af biomasse'!$A$1:$A$425,$F428,'Forbrug af biomasse'!$C$1:$C$425,$D428,'Forbrug af biomasse'!$B$1:$B$425,$A$1,'Forbrug af biomasse'!$D$1:$D$425,H$2)*'[1]Processer - data'!H428</f>
        <v>17922340.706383828</v>
      </c>
      <c r="I428" s="287">
        <f>SUMIFS('Forbrug af biomasse'!$E$1:$E$425,'Forbrug af biomasse'!$A$1:$A$425,$F428,'Forbrug af biomasse'!$C$1:$C$425,$D428,'Forbrug af biomasse'!$B$1:$B$425,$A$1,'Forbrug af biomasse'!$D$1:$D$425,I$2)*'[1]Processer - data'!I428</f>
        <v>17922340.706383832</v>
      </c>
      <c r="J428" s="288">
        <f>SUMIFS('Forbrug af biomasse'!$E$1:$E$425,'Forbrug af biomasse'!$A$1:$A$425,$F428,'Forbrug af biomasse'!$C$1:$C$425,$D428,'Forbrug af biomasse'!$B$1:$B$425,$A$1,'Forbrug af biomasse'!$D$1:$D$425,J$2)*'[1]Processer - data'!J428</f>
        <v>17922340.706383828</v>
      </c>
    </row>
    <row r="429" spans="1:10" x14ac:dyDescent="0.55000000000000004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86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287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288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x14ac:dyDescent="0.55000000000000004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86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287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288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x14ac:dyDescent="0.55000000000000004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86">
        <f>SUMIFS('Forbrug af biomasse'!$E$1:$E$425,'Forbrug af biomasse'!$A$1:$A$425,$F431,'Forbrug af biomasse'!$C$1:$C$425,$D431,'Forbrug af biomasse'!$B$1:$B$425,$A$1,'Forbrug af biomasse'!$D$1:$D$425,H$2)*'[1]Processer - data'!H431</f>
        <v>13304314.266702106</v>
      </c>
      <c r="I431" s="287">
        <f>SUMIFS('Forbrug af biomasse'!$E$1:$E$425,'Forbrug af biomasse'!$A$1:$A$425,$F431,'Forbrug af biomasse'!$C$1:$C$425,$D431,'Forbrug af biomasse'!$B$1:$B$425,$A$1,'Forbrug af biomasse'!$D$1:$D$425,I$2)*'[1]Processer - data'!I431</f>
        <v>13304314.266702108</v>
      </c>
      <c r="J431" s="288">
        <f>SUMIFS('Forbrug af biomasse'!$E$1:$E$425,'Forbrug af biomasse'!$A$1:$A$425,$F431,'Forbrug af biomasse'!$C$1:$C$425,$D431,'Forbrug af biomasse'!$B$1:$B$425,$A$1,'Forbrug af biomasse'!$D$1:$D$425,J$2)*'[1]Processer - data'!J431</f>
        <v>13304314.266702106</v>
      </c>
    </row>
    <row r="432" spans="1:10" x14ac:dyDescent="0.55000000000000004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86">
        <f>SUMIFS('Forbrug af biomasse'!$E$1:$E$425,'Forbrug af biomasse'!$A$1:$A$425,$F432,'Forbrug af biomasse'!$C$1:$C$425,$D432,'Forbrug af biomasse'!$B$1:$B$425,$A$1,'Forbrug af biomasse'!$D$1:$D$425,H$2)*'[1]Processer - data'!H432</f>
        <v>440471759.93726146</v>
      </c>
      <c r="I432" s="287">
        <f>SUMIFS('Forbrug af biomasse'!$E$1:$E$425,'Forbrug af biomasse'!$A$1:$A$425,$F432,'Forbrug af biomasse'!$C$1:$C$425,$D432,'Forbrug af biomasse'!$B$1:$B$425,$A$1,'Forbrug af biomasse'!$D$1:$D$425,I$2)*'[1]Processer - data'!I432</f>
        <v>440471759.93726152</v>
      </c>
      <c r="J432" s="288">
        <f>SUMIFS('Forbrug af biomasse'!$E$1:$E$425,'Forbrug af biomasse'!$A$1:$A$425,$F432,'Forbrug af biomasse'!$C$1:$C$425,$D432,'Forbrug af biomasse'!$B$1:$B$425,$A$1,'Forbrug af biomasse'!$D$1:$D$425,J$2)*'[1]Processer - data'!J432</f>
        <v>440471759.93726146</v>
      </c>
    </row>
    <row r="433" spans="1:10" x14ac:dyDescent="0.55000000000000004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86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3660894.2248059185</v>
      </c>
      <c r="I433" s="287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3501560.2983694556</v>
      </c>
      <c r="J433" s="288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3756448.8657913944</v>
      </c>
    </row>
    <row r="434" spans="1:10" x14ac:dyDescent="0.55000000000000004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86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90230.719603990976</v>
      </c>
      <c r="I434" s="287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86106.988555675081</v>
      </c>
      <c r="J434" s="288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91607.275529424704</v>
      </c>
    </row>
    <row r="435" spans="1:10" x14ac:dyDescent="0.55000000000000004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86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508955.35014228517</v>
      </c>
      <c r="I435" s="287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515725.69745006849</v>
      </c>
      <c r="J435" s="288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520184.74897472042</v>
      </c>
    </row>
    <row r="436" spans="1:10" x14ac:dyDescent="0.55000000000000004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86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4565127.1242733356</v>
      </c>
      <c r="I436" s="287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13892146.969952501</v>
      </c>
      <c r="J436" s="288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13300015.728813034</v>
      </c>
    </row>
    <row r="437" spans="1:10" s="172" customFormat="1" x14ac:dyDescent="0.55000000000000004">
      <c r="A437" s="172" t="str">
        <f>IF('[1]Processer - data'!A437&lt;&gt;"",'[1]Processer - data'!A437,"")</f>
        <v>Biogasanlæg</v>
      </c>
      <c r="B437" s="172" t="str">
        <f>IF('[1]Processer - data'!B437&lt;&gt;"",'[1]Processer - data'!B437,"")</f>
        <v/>
      </c>
      <c r="C437" s="172" t="str">
        <f>IF('[1]Processer - data'!C437&lt;&gt;"",'[1]Processer - data'!C437,"")</f>
        <v/>
      </c>
      <c r="D437" s="172" t="str">
        <f>IF('[1]Processer - data'!D437&lt;&gt;"",'[1]Processer - data'!D437,"")</f>
        <v>Svinegylle</v>
      </c>
      <c r="E437" s="172" t="str">
        <f>IF('[1]Processer - data'!E437&lt;&gt;"",'[1]Processer - data'!E437,"")</f>
        <v>Ton</v>
      </c>
      <c r="F437" s="172" t="str">
        <f>IF('[1]Processer - data'!F437&lt;&gt;"",'[1]Processer - data'!F437,"")</f>
        <v>CO2 - atmosfære</v>
      </c>
      <c r="G437" s="172" t="str">
        <f>IF('[1]Processer - data'!G437&lt;&gt;"",'[1]Processer - data'!G437,"")</f>
        <v>t CO2-ækvivalenter</v>
      </c>
      <c r="H437" s="292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-4841.9260160802014</v>
      </c>
      <c r="I437" s="293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-14734.474200152699</v>
      </c>
      <c r="J437" s="294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-14106.440065864836</v>
      </c>
    </row>
    <row r="438" spans="1:10" x14ac:dyDescent="0.55000000000000004">
      <c r="A438" s="172" t="str">
        <f>IF('[1]Processer - data'!A438&lt;&gt;"",'[1]Processer - data'!A438,"")</f>
        <v>Biogasanlæg</v>
      </c>
      <c r="B438" s="172" t="str">
        <f>IF('[1]Processer - data'!B438&lt;&gt;"",'[1]Processer - data'!B438,"")</f>
        <v/>
      </c>
      <c r="C438" s="172" t="str">
        <f>IF('[1]Processer - data'!C438&lt;&gt;"",'[1]Processer - data'!C438,"")</f>
        <v/>
      </c>
      <c r="D438" s="172" t="str">
        <f>IF('[1]Processer - data'!D438&lt;&gt;"",'[1]Processer - data'!D438,"")</f>
        <v>Kvæggylle</v>
      </c>
      <c r="E438" s="172" t="str">
        <f>IF('[1]Processer - data'!E438&lt;&gt;"",'[1]Processer - data'!E438,"")</f>
        <v>Ton</v>
      </c>
      <c r="F438" s="172" t="str">
        <f>IF('[1]Processer - data'!F438&lt;&gt;"",'[1]Processer - data'!F438,"")</f>
        <v>Biogas</v>
      </c>
      <c r="G438" s="172" t="str">
        <f>IF('[1]Processer - data'!G438&lt;&gt;"",'[1]Processer - data'!G438,"")</f>
        <v>Nm3 CH4</v>
      </c>
      <c r="H438" s="286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4041695.3438886409</v>
      </c>
      <c r="I438" s="287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9888608.7742910944</v>
      </c>
      <c r="J438" s="288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9699656.0545453709</v>
      </c>
    </row>
    <row r="439" spans="1:10" s="172" customFormat="1" x14ac:dyDescent="0.55000000000000004">
      <c r="A439" s="172" t="str">
        <f>IF('[1]Processer - data'!A439&lt;&gt;"",'[1]Processer - data'!A439,"")</f>
        <v>Biogasanlæg</v>
      </c>
      <c r="B439" s="172" t="str">
        <f>IF('[1]Processer - data'!B439&lt;&gt;"",'[1]Processer - data'!B439,"")</f>
        <v/>
      </c>
      <c r="C439" s="172" t="str">
        <f>IF('[1]Processer - data'!C439&lt;&gt;"",'[1]Processer - data'!C439,"")</f>
        <v/>
      </c>
      <c r="D439" s="172" t="str">
        <f>IF('[1]Processer - data'!D439&lt;&gt;"",'[1]Processer - data'!D439,"")</f>
        <v>Kvæggylle</v>
      </c>
      <c r="E439" s="172" t="str">
        <f>IF('[1]Processer - data'!E439&lt;&gt;"",'[1]Processer - data'!E439,"")</f>
        <v>Ton</v>
      </c>
      <c r="F439" s="172" t="str">
        <f>IF('[1]Processer - data'!F439&lt;&gt;"",'[1]Processer - data'!F439,"")</f>
        <v>CO2 - atmosfære</v>
      </c>
      <c r="G439" s="172" t="str">
        <f>IF('[1]Processer - data'!G439&lt;&gt;"",'[1]Processer - data'!G439,"")</f>
        <v>t CO2-ækvivalenter</v>
      </c>
      <c r="H439" s="292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-8434.9192170182378</v>
      </c>
      <c r="I439" s="293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-20637.28437769684</v>
      </c>
      <c r="J439" s="294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-20242.944678317715</v>
      </c>
    </row>
    <row r="440" spans="1:10" x14ac:dyDescent="0.55000000000000004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86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4423.7890675769768</v>
      </c>
      <c r="I440" s="287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4586.3226097511979</v>
      </c>
      <c r="J440" s="288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4736.2945027640226</v>
      </c>
    </row>
    <row r="441" spans="1:10" x14ac:dyDescent="0.55000000000000004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86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5153539.7069824543</v>
      </c>
      <c r="I441" s="287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10741653.287765445</v>
      </c>
      <c r="J441" s="288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11311743.210479997</v>
      </c>
    </row>
    <row r="442" spans="1:10" x14ac:dyDescent="0.55000000000000004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86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1520456.5068438919</v>
      </c>
      <c r="I442" s="287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1533368.6496408333</v>
      </c>
      <c r="J442" s="288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1550087.542053089</v>
      </c>
    </row>
    <row r="443" spans="1:10" x14ac:dyDescent="0.55000000000000004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86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1855522.7013306897</v>
      </c>
      <c r="I443" s="287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1857437.5087845169</v>
      </c>
      <c r="J443" s="288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1860586.2493624268</v>
      </c>
    </row>
    <row r="444" spans="1:10" x14ac:dyDescent="0.55000000000000004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86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28662772.283087686</v>
      </c>
      <c r="I444" s="287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14426838.735190043</v>
      </c>
      <c r="J444" s="288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14715525.183094</v>
      </c>
    </row>
    <row r="445" spans="1:10" x14ac:dyDescent="0.55000000000000004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86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30367543.436362661</v>
      </c>
      <c r="I445" s="287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22042207.70098285</v>
      </c>
      <c r="J445" s="288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22088264.42084733</v>
      </c>
    </row>
    <row r="446" spans="1:10" x14ac:dyDescent="0.55000000000000004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86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287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288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</row>
    <row r="447" spans="1:10" x14ac:dyDescent="0.55000000000000004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86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287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288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</row>
    <row r="448" spans="1:10" x14ac:dyDescent="0.55000000000000004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86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1698.0788969358161</v>
      </c>
      <c r="I448" s="287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1712.0749806438052</v>
      </c>
      <c r="J448" s="288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1719.0277723236602</v>
      </c>
    </row>
    <row r="449" spans="1:10" x14ac:dyDescent="0.55000000000000004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86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287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288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</row>
    <row r="450" spans="1:10" x14ac:dyDescent="0.55000000000000004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86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12086250.624000002</v>
      </c>
      <c r="I450" s="287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12086250.624000002</v>
      </c>
      <c r="J450" s="288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12086250.624000002</v>
      </c>
    </row>
    <row r="451" spans="1:10" x14ac:dyDescent="0.55000000000000004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86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16800254.634225141</v>
      </c>
      <c r="I451" s="287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17628378.214828786</v>
      </c>
      <c r="J451" s="288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18451940.166548576</v>
      </c>
    </row>
    <row r="452" spans="1:10" x14ac:dyDescent="0.55000000000000004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292">
        <f ca="1">SUMIFS('Forbrug af biomasse'!$E$1:$E$425,'Forbrug af biomasse'!$A$1:$A$425,"Biogas",'Forbrug af biomasse'!$B$1:$B$425,$A$1,'Forbrug af biomasse'!$D$1:$D$425,H$2)*'[1]Processer - data'!H452</f>
        <v>2462895.6491667829</v>
      </c>
      <c r="I452" s="293">
        <f ca="1">SUMIFS('Forbrug af biomasse'!$E$1:$E$425,'Forbrug af biomasse'!$A$1:$A$425,"Biogas",'Forbrug af biomasse'!$B$1:$B$425,$A$1,'Forbrug af biomasse'!$D$1:$D$425,I$2)*'[1]Processer - data'!I452</f>
        <v>3474664.144204089</v>
      </c>
      <c r="J452" s="294">
        <f ca="1">SUMIFS('Forbrug af biomasse'!$E$1:$E$425,'Forbrug af biomasse'!$A$1:$A$425,"Biogas",'Forbrug af biomasse'!$B$1:$B$425,$A$1,'Forbrug af biomasse'!$D$1:$D$425,J$2)*'[1]Processer - data'!J452</f>
        <v>3485476.5557184103</v>
      </c>
    </row>
    <row r="453" spans="1:10" x14ac:dyDescent="0.55000000000000004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292">
        <f>(1-IF(VLOOKUP($D453,Biogasanlæg!$A$3:$D$7,MATCH(H$2,Biogasanlæg!$A$2:$D$2,0),FALSE)&gt;1,1,VLOOKUP($D453,Biogasanlæg!$A$3:$D$7,MATCH(H$2,Biogasanlæg!$A$2:$D$2,0),FALSE)))*SUMIFS('Resultater - Østdanmark'!H$3:H$482,'Resultater - Østdanmark'!$F$3:$F$482,'Resultater - Østdanmark'!$D453)*'[1]Processer - data'!H$453</f>
        <v>10197381.433584651</v>
      </c>
      <c r="I453" s="293">
        <f>(1-IF(VLOOKUP($D453,Biogasanlæg!$A$3:$D$7,MATCH(I$2,Biogasanlæg!$A$2:$D$2,0),FALSE)&gt;1,1,VLOOKUP($D453,Biogasanlæg!$A$3:$D$7,MATCH(I$2,Biogasanlæg!$A$2:$D$2,0),FALSE)))*SUMIFS('Resultater - Østdanmark'!I$3:I$482,'Resultater - Østdanmark'!$F$3:$F$482,'Resultater - Østdanmark'!$D453)*'[1]Processer - data'!I$453</f>
        <v>5441090.8965647286</v>
      </c>
      <c r="J453" s="294">
        <f>(1-IF(VLOOKUP($D453,Biogasanlæg!$A$3:$D$7,MATCH(J$2,Biogasanlæg!$A$2:$D$2,0),FALSE)&gt;1,1,VLOOKUP($D453,Biogasanlæg!$A$3:$D$7,MATCH(J$2,Biogasanlæg!$A$2:$D$2,0),FALSE)))*SUMIFS('Resultater - Østdanmark'!J$3:J$482,'Resultater - Østdanmark'!$F$3:$F$482,'Resultater - Østdanmark'!$D453)*'[1]Processer - data'!J$453</f>
        <v>5209172.8271184387</v>
      </c>
    </row>
    <row r="454" spans="1:10" x14ac:dyDescent="0.55000000000000004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292">
        <f>(1-IF(VLOOKUP($D454,Biogasanlæg!$A$3:$D$7,MATCH(H$2,Biogasanlæg!$A$2:$D$2,0),FALSE)&gt;1,1,VLOOKUP($D454,Biogasanlæg!$A$3:$D$7,MATCH(H$2,Biogasanlæg!$A$2:$D$2,0),FALSE)))*SUMIFS('Resultater - Østdanmark'!H$3:H$482,'Resultater - Østdanmark'!$F$3:$F$482,'Resultater - Østdanmark'!$D454)*'[1]Processer - data'!H$453</f>
        <v>3383727.5447096331</v>
      </c>
      <c r="I454" s="293">
        <f>(1-IF(VLOOKUP($D454,Biogasanlæg!$A$3:$D$7,MATCH(I$2,Biogasanlæg!$A$2:$D$2,0),FALSE)&gt;1,1,VLOOKUP($D454,Biogasanlæg!$A$3:$D$7,MATCH(I$2,Biogasanlæg!$A$2:$D$2,0),FALSE)))*SUMIFS('Resultater - Østdanmark'!I$3:I$482,'Resultater - Østdanmark'!$F$3:$F$482,'Resultater - Østdanmark'!$D454)*'[1]Processer - data'!I$453</f>
        <v>1173787.8276314177</v>
      </c>
      <c r="J454" s="294">
        <f>(1-IF(VLOOKUP($D454,Biogasanlæg!$A$3:$D$7,MATCH(J$2,Biogasanlæg!$A$2:$D$2,0),FALSE)&gt;1,1,VLOOKUP($D454,Biogasanlæg!$A$3:$D$7,MATCH(J$2,Biogasanlæg!$A$2:$D$2,0),FALSE)))*SUMIFS('Resultater - Østdanmark'!J$3:J$482,'Resultater - Østdanmark'!$F$3:$F$482,'Resultater - Østdanmark'!$D454)*'[1]Processer - data'!J$453</f>
        <v>1151358.9493637283</v>
      </c>
    </row>
    <row r="455" spans="1:10" x14ac:dyDescent="0.55000000000000004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292">
        <f>(1-IF(VLOOKUP($D455,Biogasanlæg!$A$3:$D$7,MATCH(H$2,Biogasanlæg!$A$2:$D$2,0),FALSE)&gt;1,1,VLOOKUP($D455,Biogasanlæg!$A$3:$D$7,MATCH(H$2,Biogasanlæg!$A$2:$D$2,0),FALSE)))*SUMIFS('Resultater - Østdanmark'!H$3:H$482,'Resultater - Østdanmark'!$F$3:$F$482,'Resultater - Østdanmark'!$D455)*'[1]Processer - data'!H$453</f>
        <v>1789.7772563479373</v>
      </c>
      <c r="I455" s="293">
        <f>(1-IF(VLOOKUP($D455,Biogasanlæg!$A$3:$D$7,MATCH(I$2,Biogasanlæg!$A$2:$D$2,0),FALSE)&gt;1,1,VLOOKUP($D455,Biogasanlæg!$A$3:$D$7,MATCH(I$2,Biogasanlæg!$A$2:$D$2,0),FALSE)))*SUMIFS('Resultater - Østdanmark'!I$3:I$482,'Resultater - Østdanmark'!$F$3:$F$482,'Resultater - Østdanmark'!$D455)*'[1]Processer - data'!I$453</f>
        <v>1855.5351016550646</v>
      </c>
      <c r="J455" s="294">
        <f>(1-IF(VLOOKUP($D455,Biogasanlæg!$A$3:$D$7,MATCH(J$2,Biogasanlæg!$A$2:$D$2,0),FALSE)&gt;1,1,VLOOKUP($D455,Biogasanlæg!$A$3:$D$7,MATCH(J$2,Biogasanlæg!$A$2:$D$2,0),FALSE)))*SUMIFS('Resultater - Østdanmark'!J$3:J$482,'Resultater - Østdanmark'!$F$3:$F$482,'Resultater - Østdanmark'!$D455)*'[1]Processer - data'!J$453</f>
        <v>1916.2107530266658</v>
      </c>
    </row>
    <row r="456" spans="1:10" x14ac:dyDescent="0.55000000000000004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292">
        <f>(1-IF(VLOOKUP($D456,Biogasanlæg!$A$3:$D$7,MATCH(H$2,Biogasanlæg!$A$2:$D$2,0),FALSE)&gt;1,1,VLOOKUP($D456,Biogasanlæg!$A$3:$D$7,MATCH(H$2,Biogasanlæg!$A$2:$D$2,0),FALSE)))*SUMIFS('Resultater - Østdanmark'!H$3:H$482,'Resultater - Østdanmark'!$F$3:$F$482,'Resultater - Østdanmark'!$D456)*'[1]Processer - data'!H$453</f>
        <v>1308398.2509883197</v>
      </c>
      <c r="I456" s="293">
        <f>(1-IF(VLOOKUP($D456,Biogasanlæg!$A$3:$D$7,MATCH(I$2,Biogasanlæg!$A$2:$D$2,0),FALSE)&gt;1,1,VLOOKUP($D456,Biogasanlæg!$A$3:$D$7,MATCH(I$2,Biogasanlæg!$A$2:$D$2,0),FALSE)))*SUMIFS('Resultater - Østdanmark'!I$3:I$482,'Resultater - Østdanmark'!$F$3:$F$482,'Resultater - Østdanmark'!$D456)*'[1]Processer - data'!I$453</f>
        <v>948846.04041928099</v>
      </c>
      <c r="J456" s="294">
        <f>(1-IF(VLOOKUP($D456,Biogasanlæg!$A$3:$D$7,MATCH(J$2,Biogasanlæg!$A$2:$D$2,0),FALSE)&gt;1,1,VLOOKUP($D456,Biogasanlæg!$A$3:$D$7,MATCH(J$2,Biogasanlæg!$A$2:$D$2,0),FALSE)))*SUMIFS('Resultater - Østdanmark'!J$3:J$482,'Resultater - Østdanmark'!$F$3:$F$482,'Resultater - Østdanmark'!$D456)*'[1]Processer - data'!J$453</f>
        <v>999203.98359239975</v>
      </c>
    </row>
    <row r="457" spans="1:10" x14ac:dyDescent="0.55000000000000004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292">
        <f ca="1">H452*'[1]Processer - data'!H$457*Biogasanlæg!AA$3</f>
        <v>12612124.648502612</v>
      </c>
      <c r="I457" s="293">
        <f ca="1">I452*'[1]Processer - data'!I$457*Biogasanlæg!AB$3</f>
        <v>21321961.529334795</v>
      </c>
      <c r="J457" s="294">
        <f ca="1">J452*'[1]Processer - data'!J$457*Biogasanlæg!AC$3</f>
        <v>21195386.983959295</v>
      </c>
    </row>
    <row r="458" spans="1:10" x14ac:dyDescent="0.55000000000000004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292">
        <f ca="1">-SUMIFS('Resultater - Østdanmark'!H$3:H$482,'Resultater - Østdanmark'!$F$3:$F$482,"Gødning",'Resultater - Østdanmark'!$A$3:$A$482,"&lt;&gt;Gødning")-SUM(H453:H457)</f>
        <v>62055543.764534786</v>
      </c>
      <c r="I458" s="293">
        <f ca="1">-SUMIFS('Resultater - Østdanmark'!I$3:I$482,'Resultater - Østdanmark'!$F$3:$F$482,"Gødning",'Resultater - Østdanmark'!$A$3:$A$482,"&lt;&gt;Gødning")-SUM(I453:I457)</f>
        <v>59509662.373254009</v>
      </c>
      <c r="J458" s="294">
        <f ca="1">-SUMIFS('Resultater - Østdanmark'!J$3:J$482,'Resultater - Østdanmark'!$F$3:$F$482,"Gødning",'Resultater - Østdanmark'!$A$3:$A$482,"&lt;&gt;Gødning")-SUM(J453:J457)</f>
        <v>57962034.710872479</v>
      </c>
    </row>
    <row r="459" spans="1:10" x14ac:dyDescent="0.55000000000000004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295">
        <f>SUMIFS('Forbrug af biomasse'!$E$1:$E$425,'Forbrug af biomasse'!$A$1:$A$425,$F459,'Forbrug af biomasse'!$C$1:$C$425,$D459,'Forbrug af biomasse'!$B$1:$B$425,$A$1,'Forbrug af biomasse'!$D$1:$D$425,H$2)*'[1]Processer - data'!H459</f>
        <v>7.5882895761801983</v>
      </c>
      <c r="I459" s="297">
        <f>SUMIFS('Forbrug af biomasse'!$E$1:$E$425,'Forbrug af biomasse'!$A$1:$A$425,$F459,'Forbrug af biomasse'!$C$1:$C$425,$D459,'Forbrug af biomasse'!$B$1:$B$425,$A$1,'Forbrug af biomasse'!$D$1:$D$425,I$2)*'[1]Processer - data'!I459</f>
        <v>7.4163719537476229</v>
      </c>
      <c r="J459" s="298">
        <f>SUMIFS('Forbrug af biomasse'!$E$1:$E$425,'Forbrug af biomasse'!$A$1:$A$425,$F459,'Forbrug af biomasse'!$C$1:$C$425,$D459,'Forbrug af biomasse'!$B$1:$B$425,$A$1,'Forbrug af biomasse'!$D$1:$D$425,J$2)*'[1]Processer - data'!J459</f>
        <v>7.1976519459865562</v>
      </c>
    </row>
    <row r="460" spans="1:10" x14ac:dyDescent="0.55000000000000004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295">
        <f>SUMIFS('Forbrug af biomasse'!$E$1:$E$425,'Forbrug af biomasse'!$A$1:$A$425,$F460,'Forbrug af biomasse'!$C$1:$C$425,$D460,'Forbrug af biomasse'!$B$1:$B$425,$A$1,'Forbrug af biomasse'!$D$1:$D$425,H$2)*'[1]Processer - data'!H460</f>
        <v>4.3360605653950737E-2</v>
      </c>
      <c r="I460" s="297">
        <f>SUMIFS('Forbrug af biomasse'!$E$1:$E$425,'Forbrug af biomasse'!$A$1:$A$425,$F460,'Forbrug af biomasse'!$C$1:$C$425,$D460,'Forbrug af biomasse'!$B$1:$B$425,$A$1,'Forbrug af biomasse'!$D$1:$D$425,I$2)*'[1]Processer - data'!I460</f>
        <v>2.2893672624073167</v>
      </c>
      <c r="J460" s="298">
        <f>SUMIFS('Forbrug af biomasse'!$E$1:$E$425,'Forbrug af biomasse'!$A$1:$A$425,$F460,'Forbrug af biomasse'!$C$1:$C$425,$D460,'Forbrug af biomasse'!$B$1:$B$425,$A$1,'Forbrug af biomasse'!$D$1:$D$425,J$2)*'[1]Processer - data'!J460</f>
        <v>2.2306275985397446</v>
      </c>
    </row>
    <row r="461" spans="1:10" x14ac:dyDescent="0.55000000000000004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295">
        <f>SUMIFS('Forbrug af biomasse'!$E$1:$E$425,'Forbrug af biomasse'!$A$1:$A$425,$F461,'Forbrug af biomasse'!$C$1:$C$425,$D461,'Forbrug af biomasse'!$B$1:$B$425,$A$1,'Forbrug af biomasse'!$D$1:$D$425,H$2)*'[1]Processer - data'!H461</f>
        <v>0.69142268698841347</v>
      </c>
      <c r="I461" s="297">
        <f>SUMIFS('Forbrug af biomasse'!$E$1:$E$425,'Forbrug af biomasse'!$A$1:$A$425,$F461,'Forbrug af biomasse'!$C$1:$C$425,$D461,'Forbrug af biomasse'!$B$1:$B$425,$A$1,'Forbrug af biomasse'!$D$1:$D$425,I$2)*'[1]Processer - data'!I461</f>
        <v>0.72532206131240562</v>
      </c>
      <c r="J461" s="298">
        <f>SUMIFS('Forbrug af biomasse'!$E$1:$E$425,'Forbrug af biomasse'!$A$1:$A$425,$F461,'Forbrug af biomasse'!$C$1:$C$425,$D461,'Forbrug af biomasse'!$B$1:$B$425,$A$1,'Forbrug af biomasse'!$D$1:$D$425,J$2)*'[1]Processer - data'!J461</f>
        <v>0.70784862559551565</v>
      </c>
    </row>
    <row r="462" spans="1:10" x14ac:dyDescent="0.55000000000000004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295">
        <f>SUMIFS('Forbrug af biomasse'!$E$1:$E$425,'Forbrug af biomasse'!$A$1:$A$425,$F462,'Forbrug af biomasse'!$C$1:$C$425,$D462,'Forbrug af biomasse'!$B$1:$B$425,$A$1,'Forbrug af biomasse'!$D$1:$D$425,H$2)*'[1]Processer - data'!H462</f>
        <v>9.878857920085288</v>
      </c>
      <c r="I462" s="297">
        <f>SUMIFS('Forbrug af biomasse'!$E$1:$E$425,'Forbrug af biomasse'!$A$1:$A$425,$F462,'Forbrug af biomasse'!$C$1:$C$425,$D462,'Forbrug af biomasse'!$B$1:$B$425,$A$1,'Forbrug af biomasse'!$D$1:$D$425,I$2)*'[1]Processer - data'!I462</f>
        <v>9.3489024359990136</v>
      </c>
      <c r="J462" s="298">
        <f>SUMIFS('Forbrug af biomasse'!$E$1:$E$425,'Forbrug af biomasse'!$A$1:$A$425,$F462,'Forbrug af biomasse'!$C$1:$C$425,$D462,'Forbrug af biomasse'!$B$1:$B$425,$A$1,'Forbrug af biomasse'!$D$1:$D$425,J$2)*'[1]Processer - data'!J462</f>
        <v>8.4803440270882753</v>
      </c>
    </row>
    <row r="463" spans="1:10" x14ac:dyDescent="0.55000000000000004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295">
        <f>SUMIFS('Forbrug af biomasse'!$E$1:$E$425,'Forbrug af biomasse'!$A$1:$A$425,$F463,'Forbrug af biomasse'!$C$1:$C$425,$D463,'Forbrug af biomasse'!$B$1:$B$425,$A$1,'Forbrug af biomasse'!$D$1:$D$425,H$2)*'[1]Processer - data'!H463</f>
        <v>8.0747487919351268</v>
      </c>
      <c r="I463" s="297">
        <f>SUMIFS('Forbrug af biomasse'!$E$1:$E$425,'Forbrug af biomasse'!$A$1:$A$425,$F463,'Forbrug af biomasse'!$C$1:$C$425,$D463,'Forbrug af biomasse'!$B$1:$B$425,$A$1,'Forbrug af biomasse'!$D$1:$D$425,I$2)*'[1]Processer - data'!I463</f>
        <v>8.1413033320197155</v>
      </c>
      <c r="J463" s="298">
        <f>SUMIFS('Forbrug af biomasse'!$E$1:$E$425,'Forbrug af biomasse'!$A$1:$A$425,$F463,'Forbrug af biomasse'!$C$1:$C$425,$D463,'Forbrug af biomasse'!$B$1:$B$425,$A$1,'Forbrug af biomasse'!$D$1:$D$425,J$2)*'[1]Processer - data'!J463</f>
        <v>8.1743654272608701</v>
      </c>
    </row>
    <row r="464" spans="1:10" x14ac:dyDescent="0.55000000000000004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295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297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298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2" customFormat="1" x14ac:dyDescent="0.55000000000000004">
      <c r="A465" s="172" t="str">
        <f>IF('[1]Processer - data'!A465&lt;&gt;"",'[1]Processer - data'!A465,"")</f>
        <v>Til energi</v>
      </c>
      <c r="B465" s="172" t="str">
        <f>IF('[1]Processer - data'!B465&lt;&gt;"",'[1]Processer - data'!B465,"")</f>
        <v/>
      </c>
      <c r="C465" s="172" t="str">
        <f>IF('[1]Processer - data'!C465&lt;&gt;"",'[1]Processer - data'!C465,"")</f>
        <v/>
      </c>
      <c r="D465" s="172" t="str">
        <f>IF('[1]Processer - data'!D465&lt;&gt;"",'[1]Processer - data'!D465,"")</f>
        <v>Pyrolyseolie</v>
      </c>
      <c r="E465" s="172" t="str">
        <f>IF('[1]Processer - data'!E465&lt;&gt;"",'[1]Processer - data'!E465,"")</f>
        <v>Ton</v>
      </c>
      <c r="F465" s="172" t="str">
        <f>IF('[1]Processer - data'!F465&lt;&gt;"",'[1]Processer - data'!F465,"")</f>
        <v>Energi</v>
      </c>
      <c r="G465" s="172" t="str">
        <f>IF('[1]Processer - data'!G465&lt;&gt;"",'[1]Processer - data'!G465,"")</f>
        <v>PJ</v>
      </c>
      <c r="H465" s="295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297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298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2" customFormat="1" x14ac:dyDescent="0.55000000000000004">
      <c r="A466" s="172" t="str">
        <f>IF('[1]Processer - data'!A466&lt;&gt;"",'[1]Processer - data'!A466,"")</f>
        <v>Til energi</v>
      </c>
      <c r="B466" s="172" t="str">
        <f>IF('[1]Processer - data'!B466&lt;&gt;"",'[1]Processer - data'!B466,"")</f>
        <v/>
      </c>
      <c r="C466" s="172" t="str">
        <f>IF('[1]Processer - data'!C466&lt;&gt;"",'[1]Processer - data'!C466,"")</f>
        <v/>
      </c>
      <c r="D466" s="172" t="str">
        <f>IF('[1]Processer - data'!D466&lt;&gt;"",'[1]Processer - data'!D466,"")</f>
        <v>Pyrolysegas</v>
      </c>
      <c r="E466" s="172" t="str">
        <f>IF('[1]Processer - data'!E466&lt;&gt;"",'[1]Processer - data'!E466,"")</f>
        <v>Ton</v>
      </c>
      <c r="F466" s="172" t="str">
        <f>IF('[1]Processer - data'!F466&lt;&gt;"",'[1]Processer - data'!F466,"")</f>
        <v>Energi</v>
      </c>
      <c r="G466" s="172" t="str">
        <f>IF('[1]Processer - data'!G466&lt;&gt;"",'[1]Processer - data'!G466,"")</f>
        <v>PJ</v>
      </c>
      <c r="H466" s="295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297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298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55000000000000004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292">
        <f ca="1">SUM(H433:H451)*'[1]Processer - data'!$H$467</f>
        <v>3.924088547650185</v>
      </c>
      <c r="I467" s="293">
        <f ca="1">SUM(I433:I451)*'[1]Processer - data'!$H$467</f>
        <v>3.8833464421887758</v>
      </c>
      <c r="J467" s="294">
        <f ca="1">SUM(J433:J451)*'[1]Processer - data'!$H$467</f>
        <v>3.9276185346717729</v>
      </c>
    </row>
    <row r="468" spans="1:10" x14ac:dyDescent="0.55000000000000004">
      <c r="A468" s="104" t="str">
        <f>IF('[1]Processer - data'!A468&lt;&gt;"",'[1]Processer - data'!A468,"")</f>
        <v>Proteinproces</v>
      </c>
      <c r="B468" s="104" t="str">
        <f>IF('[1]Processer - data'!B468&lt;&gt;"",'[1]Processer - data'!B468,"")</f>
        <v/>
      </c>
      <c r="C468" s="104" t="str">
        <f>IF('[1]Processer - data'!C468&lt;&gt;"",'[1]Processer - data'!C468,"")</f>
        <v/>
      </c>
      <c r="D468" s="104" t="str">
        <f>IF('[1]Processer - data'!D468&lt;&gt;"",'[1]Processer - data'!D468,"")</f>
        <v>Græs</v>
      </c>
      <c r="E468" s="104" t="str">
        <f>IF('[1]Processer - data'!E468&lt;&gt;"",'[1]Processer - data'!E468,"")</f>
        <v>Ton</v>
      </c>
      <c r="F468" s="104" t="str">
        <f>IF('[1]Processer - data'!F468&lt;&gt;"",'[1]Processer - data'!F468,"")</f>
        <v>Græsprotein</v>
      </c>
      <c r="G468" s="104" t="str">
        <f>IF('[1]Processer - data'!G468&lt;&gt;"",'[1]Processer - data'!G468,"")</f>
        <v>Ton</v>
      </c>
      <c r="H468" s="286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287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288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55000000000000004">
      <c r="A469" s="104" t="str">
        <f>IF('[1]Processer - data'!A469&lt;&gt;"",'[1]Processer - data'!A469,"")</f>
        <v>Proteinproces</v>
      </c>
      <c r="B469" s="104" t="str">
        <f>IF('[1]Processer - data'!B469&lt;&gt;"",'[1]Processer - data'!B469,"")</f>
        <v/>
      </c>
      <c r="C469" s="104" t="str">
        <f>IF('[1]Processer - data'!C469&lt;&gt;"",'[1]Processer - data'!C469,"")</f>
        <v/>
      </c>
      <c r="D469" s="104" t="str">
        <f>IF('[1]Processer - data'!D469&lt;&gt;"",'[1]Processer - data'!D469,"")</f>
        <v>Græs</v>
      </c>
      <c r="E469" s="104" t="str">
        <f>IF('[1]Processer - data'!E469&lt;&gt;"",'[1]Processer - data'!E469,"")</f>
        <v>Ton</v>
      </c>
      <c r="F469" s="104" t="str">
        <f>IF('[1]Processer - data'!F469&lt;&gt;"",'[1]Processer - data'!F469,"")</f>
        <v>Fiberfraktion</v>
      </c>
      <c r="G469" s="104" t="str">
        <f>IF('[1]Processer - data'!G469&lt;&gt;"",'[1]Processer - data'!G469,"")</f>
        <v>Ton</v>
      </c>
      <c r="H469" s="286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287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288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ht="14.7" thickBot="1" x14ac:dyDescent="0.6">
      <c r="A470" s="104" t="str">
        <f>IF('[1]Processer - data'!A470&lt;&gt;"",'[1]Processer - data'!A470,"")</f>
        <v>Proteinproces</v>
      </c>
      <c r="B470" s="104" t="str">
        <f>IF('[1]Processer - data'!B470&lt;&gt;"",'[1]Processer - data'!B470,"")</f>
        <v/>
      </c>
      <c r="C470" s="104" t="str">
        <f>IF('[1]Processer - data'!C470&lt;&gt;"",'[1]Processer - data'!C470,"")</f>
        <v/>
      </c>
      <c r="D470" s="104" t="str">
        <f>IF('[1]Processer - data'!D470&lt;&gt;"",'[1]Processer - data'!D470,"")</f>
        <v>Græs</v>
      </c>
      <c r="E470" s="104" t="str">
        <f>IF('[1]Processer - data'!E470&lt;&gt;"",'[1]Processer - data'!E470,"")</f>
        <v>Ton</v>
      </c>
      <c r="F470" s="104" t="str">
        <f>IF('[1]Processer - data'!F470&lt;&gt;"",'[1]Processer - data'!F470,"")</f>
        <v>Brun saft</v>
      </c>
      <c r="G470" s="104" t="str">
        <f>IF('[1]Processer - data'!G470&lt;&gt;"",'[1]Processer - data'!G470,"")</f>
        <v>PJ</v>
      </c>
      <c r="H470" s="286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287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288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55000000000000004">
      <c r="A471" s="104" t="str">
        <f>IF('[1]Processer - data'!A471&lt;&gt;"",'[1]Processer - data'!A471,"")</f>
        <v>Rapskageproduktion</v>
      </c>
      <c r="B471" s="104" t="str">
        <f>IF('[1]Processer - data'!B471&lt;&gt;"",'[1]Processer - data'!B471,"")</f>
        <v/>
      </c>
      <c r="C471" s="104" t="str">
        <f>IF('[1]Processer - data'!C471&lt;&gt;"",'[1]Processer - data'!C471,"")</f>
        <v/>
      </c>
      <c r="D471" s="104" t="str">
        <f>IF('[1]Processer - data'!D471&lt;&gt;"",'[1]Processer - data'!D471,"")</f>
        <v>Raps</v>
      </c>
      <c r="E471" s="104" t="str">
        <f>IF('[1]Processer - data'!E471&lt;&gt;"",'[1]Processer - data'!E471,"")</f>
        <v>Ton</v>
      </c>
      <c r="F471" s="104" t="str">
        <f>IF('[1]Processer - data'!F471&lt;&gt;"",'[1]Processer - data'!F471,"")</f>
        <v>Rapskage</v>
      </c>
      <c r="G471" s="104" t="str">
        <f>IF('[1]Processer - data'!G471&lt;&gt;"",'[1]Processer - data'!G471,"")</f>
        <v>Ton</v>
      </c>
      <c r="H471" s="311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96787.066191854246</v>
      </c>
      <c r="I471" s="312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102203.89564318379</v>
      </c>
      <c r="J471" s="313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99581.589220524314</v>
      </c>
    </row>
    <row r="472" spans="1:10" ht="14.7" thickBot="1" x14ac:dyDescent="0.6">
      <c r="A472" s="104" t="str">
        <f>IF('[1]Processer - data'!A472&lt;&gt;"",'[1]Processer - data'!A472,"")</f>
        <v>Rapskageproduktion</v>
      </c>
      <c r="B472" s="104" t="str">
        <f>IF('[1]Processer - data'!B472&lt;&gt;"",'[1]Processer - data'!B472,"")</f>
        <v/>
      </c>
      <c r="C472" s="104" t="str">
        <f>IF('[1]Processer - data'!C472&lt;&gt;"",'[1]Processer - data'!C472,"")</f>
        <v/>
      </c>
      <c r="D472" s="104" t="str">
        <f>IF('[1]Processer - data'!D472&lt;&gt;"",'[1]Processer - data'!D472,"")</f>
        <v>Raps</v>
      </c>
      <c r="E472" s="104" t="str">
        <f>IF('[1]Processer - data'!E472&lt;&gt;"",'[1]Processer - data'!E472,"")</f>
        <v>Ton</v>
      </c>
      <c r="F472" s="104" t="str">
        <f>IF('[1]Processer - data'!F472&lt;&gt;"",'[1]Processer - data'!F472,"")</f>
        <v>Rapsolie</v>
      </c>
      <c r="G472" s="104" t="str">
        <f>IF('[1]Processer - data'!G472&lt;&gt;"",'[1]Processer - data'!G472,"")</f>
        <v>Ton</v>
      </c>
      <c r="H472" s="308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61943.722362786721</v>
      </c>
      <c r="I472" s="309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65410.493211637622</v>
      </c>
      <c r="J472" s="310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63732.21710113556</v>
      </c>
    </row>
    <row r="473" spans="1:10" x14ac:dyDescent="0.55000000000000004">
      <c r="A473" s="104" t="str">
        <f>IF('[1]Processer - data'!A473&lt;&gt;"",'[1]Processer - data'!A473,"")</f>
        <v>Pyrolyseproces</v>
      </c>
      <c r="B473" s="104" t="str">
        <f>IF('[1]Processer - data'!B473&lt;&gt;"",'[1]Processer - data'!B473,"")</f>
        <v/>
      </c>
      <c r="C473" s="104" t="str">
        <f>IF('[1]Processer - data'!C473&lt;&gt;"",'[1]Processer - data'!C473,"")</f>
        <v/>
      </c>
      <c r="D473" s="104" t="str">
        <f>IF('[1]Processer - data'!D473&lt;&gt;"",'[1]Processer - data'!D473,"")</f>
        <v>Halm</v>
      </c>
      <c r="E473" s="104" t="str">
        <f>IF('[1]Processer - data'!E473&lt;&gt;"",'[1]Processer - data'!E473,"")</f>
        <v>Ton</v>
      </c>
      <c r="F473" s="104" t="str">
        <f>IF('[1]Processer - data'!F473&lt;&gt;"",'[1]Processer - data'!F473,"")</f>
        <v>CO2 - atmosfære</v>
      </c>
      <c r="G473" s="104" t="str">
        <f>IF('[1]Processer - data'!G473&lt;&gt;"",'[1]Processer - data'!G473,"")</f>
        <v>t CO2-ækvivalenter</v>
      </c>
      <c r="H473" s="283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284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285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55000000000000004">
      <c r="A474" s="104" t="str">
        <f>IF('[1]Processer - data'!A474&lt;&gt;"",'[1]Processer - data'!A474,"")</f>
        <v>Pyrolyseproces</v>
      </c>
      <c r="B474" s="104" t="str">
        <f>IF('[1]Processer - data'!B474&lt;&gt;"",'[1]Processer - data'!B474,"")</f>
        <v/>
      </c>
      <c r="C474" s="104" t="str">
        <f>IF('[1]Processer - data'!C474&lt;&gt;"",'[1]Processer - data'!C474,"")</f>
        <v/>
      </c>
      <c r="D474" s="104" t="str">
        <f>IF('[1]Processer - data'!D474&lt;&gt;"",'[1]Processer - data'!D474,"")</f>
        <v>Halm</v>
      </c>
      <c r="E474" s="104" t="str">
        <f>IF('[1]Processer - data'!E474&lt;&gt;"",'[1]Processer - data'!E474,"")</f>
        <v>Ton</v>
      </c>
      <c r="F474" s="104" t="str">
        <f>IF('[1]Processer - data'!F474&lt;&gt;"",'[1]Processer - data'!F474,"")</f>
        <v>Pyrolyseolie</v>
      </c>
      <c r="G474" s="104" t="str">
        <f>IF('[1]Processer - data'!G474&lt;&gt;"",'[1]Processer - data'!G474,"")</f>
        <v>Ton</v>
      </c>
      <c r="H474" s="286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287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288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4.7" thickBot="1" x14ac:dyDescent="0.6">
      <c r="A475" s="104" t="str">
        <f>IF('[1]Processer - data'!A475&lt;&gt;"",'[1]Processer - data'!A475,"")</f>
        <v>Pyrolyseproces</v>
      </c>
      <c r="B475" s="104" t="str">
        <f>IF('[1]Processer - data'!B475&lt;&gt;"",'[1]Processer - data'!B475,"")</f>
        <v/>
      </c>
      <c r="C475" s="104" t="str">
        <f>IF('[1]Processer - data'!C475&lt;&gt;"",'[1]Processer - data'!C475,"")</f>
        <v/>
      </c>
      <c r="D475" s="104" t="str">
        <f>IF('[1]Processer - data'!D475&lt;&gt;"",'[1]Processer - data'!D475,"")</f>
        <v>Halm</v>
      </c>
      <c r="E475" s="104" t="str">
        <f>IF('[1]Processer - data'!E475&lt;&gt;"",'[1]Processer - data'!E475,"")</f>
        <v>Ton</v>
      </c>
      <c r="F475" s="104" t="str">
        <f>IF('[1]Processer - data'!F475&lt;&gt;"",'[1]Processer - data'!F475,"")</f>
        <v>Pyrolysegas</v>
      </c>
      <c r="G475" s="104" t="str">
        <f>IF('[1]Processer - data'!G475&lt;&gt;"",'[1]Processer - data'!G475,"")</f>
        <v>Ton</v>
      </c>
      <c r="H475" s="289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290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291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55000000000000004">
      <c r="H476" s="98"/>
      <c r="I476" s="98"/>
      <c r="J476" s="98"/>
    </row>
    <row r="477" spans="1:10" x14ac:dyDescent="0.55000000000000004">
      <c r="H477" s="98"/>
      <c r="I477" s="98"/>
      <c r="J477" s="98"/>
    </row>
    <row r="478" spans="1:10" x14ac:dyDescent="0.55000000000000004">
      <c r="H478" s="98"/>
      <c r="I478" s="98"/>
      <c r="J478" s="98"/>
    </row>
    <row r="479" spans="1:10" x14ac:dyDescent="0.55000000000000004">
      <c r="H479" s="98"/>
      <c r="I479" s="98"/>
      <c r="J479" s="98"/>
    </row>
    <row r="480" spans="1:10" x14ac:dyDescent="0.55000000000000004">
      <c r="H480" s="98"/>
      <c r="I480" s="98"/>
      <c r="J480" s="9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9478-A184-4362-901E-6AC334CD2ACE}">
  <sheetPr codeName="Sheet28" filterMode="1">
    <tabColor rgb="FFFF0000"/>
  </sheetPr>
  <dimension ref="A1:U489"/>
  <sheetViews>
    <sheetView zoomScale="80" zoomScaleNormal="80" workbookViewId="0">
      <selection activeCell="H3" sqref="H3"/>
    </sheetView>
  </sheetViews>
  <sheetFormatPr defaultRowHeight="14.4" x14ac:dyDescent="0.55000000000000004"/>
  <cols>
    <col min="1" max="1" width="27.83984375" bestFit="1" customWidth="1"/>
    <col min="2" max="2" width="19.26171875" bestFit="1" customWidth="1"/>
    <col min="3" max="3" width="12.26171875" bestFit="1" customWidth="1"/>
    <col min="4" max="4" width="18.41796875" bestFit="1" customWidth="1"/>
    <col min="5" max="5" width="6" bestFit="1" customWidth="1"/>
    <col min="6" max="6" width="26.41796875" customWidth="1"/>
    <col min="7" max="7" width="16" bestFit="1" customWidth="1"/>
    <col min="8" max="8" width="35.15625" bestFit="1" customWidth="1"/>
    <col min="9" max="9" width="17.41796875" customWidth="1"/>
    <col min="10" max="10" width="15.83984375" customWidth="1"/>
    <col min="11" max="11" width="4.41796875" bestFit="1" customWidth="1"/>
    <col min="12" max="12" width="12.41796875" bestFit="1" customWidth="1"/>
    <col min="13" max="13" width="11.26171875" customWidth="1"/>
    <col min="14" max="14" width="12.26171875" customWidth="1"/>
    <col min="15" max="15" width="11.15625" customWidth="1"/>
    <col min="17" max="17" width="16.15625" customWidth="1"/>
  </cols>
  <sheetData>
    <row r="1" spans="1:21" x14ac:dyDescent="0.55000000000000004"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101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R1" t="str">
        <f>IF('[1]Processer - data'!$A$1&lt;&gt;"",'[1]Processer - data'!$A$1,"")</f>
        <v/>
      </c>
    </row>
    <row r="2" spans="1:21" ht="14.7" thickBot="1" x14ac:dyDescent="0.6">
      <c r="A2" s="99" t="str">
        <f>'Resultater - Vestdanmark'!A2</f>
        <v>Processer</v>
      </c>
      <c r="B2" s="99" t="str">
        <f>'Resultater - Vestdanmark'!B2</f>
        <v>Konventionel/økologisk</v>
      </c>
      <c r="C2" s="99" t="str">
        <f>'Resultater - Vestdanmark'!C2</f>
        <v>Jordbundstype</v>
      </c>
      <c r="D2" s="99" t="str">
        <f>'Resultater - Vestdanmark'!D2</f>
        <v>Input</v>
      </c>
      <c r="E2" s="99" t="str">
        <f>'Resultater - Vestdanmark'!E2</f>
        <v>Enhed</v>
      </c>
      <c r="F2" s="99" t="str">
        <f>'Resultater - Vestdanmark'!F2</f>
        <v>Output</v>
      </c>
      <c r="G2" s="99" t="str">
        <f>'Resultater - Vestdanmark'!G2</f>
        <v>Enhed</v>
      </c>
      <c r="H2" s="99">
        <f>'Resultater - Vestdanmark'!H2</f>
        <v>2019</v>
      </c>
      <c r="I2" s="99">
        <f>'Resultater - Vestdanmark'!I2</f>
        <v>2030</v>
      </c>
      <c r="J2" s="99">
        <f>'Resultater - Vestdanmark'!J2</f>
        <v>2050</v>
      </c>
      <c r="K2" t="str">
        <f>IF('[1]Processer - data'!K2&lt;&gt;"",'[1]Processer - data'!K2,"")</f>
        <v>Kilde</v>
      </c>
      <c r="M2">
        <v>2019</v>
      </c>
      <c r="N2">
        <v>2030</v>
      </c>
      <c r="O2">
        <v>2050</v>
      </c>
    </row>
    <row r="3" spans="1:21" x14ac:dyDescent="0.55000000000000004">
      <c r="A3" s="99" t="str">
        <f>'Resultater - Vestdanmark'!A3</f>
        <v>Spildevandsproduktion</v>
      </c>
      <c r="B3" s="99" t="str">
        <f>'Resultater - Vestdanmark'!B3</f>
        <v/>
      </c>
      <c r="C3" s="99" t="str">
        <f>'Resultater - Vestdanmark'!C3</f>
        <v/>
      </c>
      <c r="D3" s="99" t="str">
        <f>'Resultater - Vestdanmark'!D3</f>
        <v>Befolkning</v>
      </c>
      <c r="E3" s="99" t="str">
        <f>'Resultater - Vestdanmark'!E3</f>
        <v>Antal</v>
      </c>
      <c r="F3" s="99" t="str">
        <f>'Resultater - Vestdanmark'!F3</f>
        <v>Spildevandsslam</v>
      </c>
      <c r="G3" s="99" t="str">
        <f>'Resultater - Vestdanmark'!G3</f>
        <v>Ton</v>
      </c>
      <c r="H3" s="283">
        <f>'Resultater - Vestdanmark'!H3+'Resultater - Østdanmark'!H3</f>
        <v>6905432.901678659</v>
      </c>
      <c r="I3" s="284">
        <f>'Resultater - Vestdanmark'!I3+'Resultater - Østdanmark'!I3</f>
        <v>7187550.2724163011</v>
      </c>
      <c r="J3" s="285">
        <f>'Resultater - Vestdanmark'!J3+'Resultater - Østdanmark'!J3</f>
        <v>7494121.763909651</v>
      </c>
      <c r="L3" s="99" t="s">
        <v>112</v>
      </c>
      <c r="M3" s="99">
        <f>SUMIF($F$3:$F$487,$L$3,H$3:H$487)</f>
        <v>14517462.442375839</v>
      </c>
      <c r="N3" s="99">
        <f>SUMIF($F$3:$F$487,$L$3,I$3:I$487)</f>
        <v>13845136.338703688</v>
      </c>
      <c r="O3" s="99">
        <f>SUMIF($F$3:$F$487,$L$3,J$3:J$487)</f>
        <v>12687016.082447961</v>
      </c>
      <c r="Q3" s="99"/>
      <c r="U3" s="99"/>
    </row>
    <row r="4" spans="1:21" x14ac:dyDescent="0.55000000000000004">
      <c r="A4" s="99" t="str">
        <f>'Resultater - Vestdanmark'!A4</f>
        <v>Bioaffaldsproduktion</v>
      </c>
      <c r="B4" s="99" t="str">
        <f>'Resultater - Vestdanmark'!B4</f>
        <v/>
      </c>
      <c r="C4" s="99" t="str">
        <f>'Resultater - Vestdanmark'!C4</f>
        <v/>
      </c>
      <c r="D4" s="99" t="str">
        <f>'Resultater - Vestdanmark'!D4</f>
        <v>Befolkning</v>
      </c>
      <c r="E4" s="99" t="str">
        <f>'Resultater - Vestdanmark'!E4</f>
        <v>Antal</v>
      </c>
      <c r="F4" s="99" t="str">
        <f>'Resultater - Vestdanmark'!F4</f>
        <v>Bioaffald</v>
      </c>
      <c r="G4" s="99" t="str">
        <f>'Resultater - Vestdanmark'!G4</f>
        <v>Ton</v>
      </c>
      <c r="H4" s="286">
        <f ca="1">'Resultater - Vestdanmark'!H4+'Resultater - Østdanmark'!H4</f>
        <v>358674.32551850227</v>
      </c>
      <c r="I4" s="287">
        <f ca="1">'Resultater - Vestdanmark'!I4+'Resultater - Østdanmark'!I4</f>
        <v>363994.97174274386</v>
      </c>
      <c r="J4" s="288">
        <f ca="1">'Resultater - Vestdanmark'!J4+'Resultater - Østdanmark'!J4</f>
        <v>369776.8151095995</v>
      </c>
      <c r="L4" s="99" t="s">
        <v>168</v>
      </c>
      <c r="M4" s="99">
        <f t="shared" ref="M4:O6" si="0">SUMIFS(H$3:H$487,$F$3:$F$487,$L$3,$A$3:$A$487,$L4)</f>
        <v>1383287.873779177</v>
      </c>
      <c r="N4" s="99">
        <f t="shared" si="0"/>
        <v>1386268.5363437086</v>
      </c>
      <c r="O4" s="99">
        <f t="shared" si="0"/>
        <v>1391779.6896342733</v>
      </c>
    </row>
    <row r="5" spans="1:21" x14ac:dyDescent="0.55000000000000004">
      <c r="A5" s="99" t="str">
        <f>'Resultater - Vestdanmark'!A5</f>
        <v>Bioaffaldsproduktion</v>
      </c>
      <c r="B5" s="99" t="str">
        <f>'Resultater - Vestdanmark'!B5</f>
        <v/>
      </c>
      <c r="C5" s="99" t="str">
        <f>'Resultater - Vestdanmark'!C5</f>
        <v/>
      </c>
      <c r="D5" s="99" t="str">
        <f>'Resultater - Vestdanmark'!D5</f>
        <v>Befolkning</v>
      </c>
      <c r="E5" s="99" t="str">
        <f>'Resultater - Vestdanmark'!E5</f>
        <v>Antal</v>
      </c>
      <c r="F5" s="99" t="str">
        <f>'Resultater - Vestdanmark'!F5</f>
        <v>Have/parkaffald</v>
      </c>
      <c r="G5" s="99" t="str">
        <f>'Resultater - Vestdanmark'!G5</f>
        <v>Ton</v>
      </c>
      <c r="H5" s="286">
        <f>'Resultater - Vestdanmark'!H5+'Resultater - Østdanmark'!H5</f>
        <v>982809</v>
      </c>
      <c r="I5" s="287">
        <f>'Resultater - Vestdanmark'!I5+'Resultater - Østdanmark'!I5</f>
        <v>982809</v>
      </c>
      <c r="J5" s="288">
        <f>'Resultater - Vestdanmark'!J5+'Resultater - Østdanmark'!J5</f>
        <v>982809</v>
      </c>
      <c r="L5" s="99" t="s">
        <v>169</v>
      </c>
      <c r="M5" s="99">
        <f t="shared" si="0"/>
        <v>4119285.0829287488</v>
      </c>
      <c r="N5" s="99">
        <f t="shared" si="0"/>
        <v>4104323.8031063229</v>
      </c>
      <c r="O5" s="99">
        <f t="shared" si="0"/>
        <v>4076660.8574560597</v>
      </c>
    </row>
    <row r="6" spans="1:21" s="172" customFormat="1" x14ac:dyDescent="0.55000000000000004">
      <c r="A6" s="99" t="str">
        <f>'Resultater - Vestdanmark'!A6</f>
        <v>Bioaffaldsproduktion</v>
      </c>
      <c r="B6" s="99" t="str">
        <f>'Resultater - Vestdanmark'!B6</f>
        <v/>
      </c>
      <c r="C6" s="99" t="str">
        <f>'Resultater - Vestdanmark'!C6</f>
        <v/>
      </c>
      <c r="D6" s="99" t="str">
        <f>'Resultater - Vestdanmark'!D6</f>
        <v>Befolkning</v>
      </c>
      <c r="E6" s="99" t="str">
        <f>'Resultater - Vestdanmark'!E6</f>
        <v>Antal</v>
      </c>
      <c r="F6" s="99" t="str">
        <f>'Resultater - Vestdanmark'!F6</f>
        <v>Industriaffald</v>
      </c>
      <c r="G6" s="99" t="str">
        <f>'Resultater - Vestdanmark'!G6</f>
        <v>Ton</v>
      </c>
      <c r="H6" s="286">
        <f>'Resultater - Vestdanmark'!H6+'Resultater - Østdanmark'!H6</f>
        <v>355018</v>
      </c>
      <c r="I6" s="287">
        <f>'Resultater - Vestdanmark'!I6+'Resultater - Østdanmark'!I6</f>
        <v>355018</v>
      </c>
      <c r="J6" s="288">
        <f>'Resultater - Vestdanmark'!J6+'Resultater - Østdanmark'!J6</f>
        <v>355018</v>
      </c>
      <c r="L6" s="99" t="s">
        <v>170</v>
      </c>
      <c r="M6" s="99">
        <f t="shared" si="0"/>
        <v>16688.944028790498</v>
      </c>
      <c r="N6" s="99">
        <f t="shared" si="0"/>
        <v>16724.542422002487</v>
      </c>
      <c r="O6" s="99">
        <f t="shared" si="0"/>
        <v>16790.36275477802</v>
      </c>
    </row>
    <row r="7" spans="1:21" x14ac:dyDescent="0.55000000000000004">
      <c r="A7" s="99" t="str">
        <f>'Resultater - Vestdanmark'!A7</f>
        <v>Muslingefarm</v>
      </c>
      <c r="B7" s="99" t="str">
        <f>'Resultater - Vestdanmark'!B7</f>
        <v/>
      </c>
      <c r="C7" s="99" t="str">
        <f>'Resultater - Vestdanmark'!C7</f>
        <v/>
      </c>
      <c r="D7" s="99" t="str">
        <f>'Resultater - Vestdanmark'!D7</f>
        <v>Muslingeareal</v>
      </c>
      <c r="E7" s="99" t="str">
        <f>'Resultater - Vestdanmark'!E7</f>
        <v>Hektar</v>
      </c>
      <c r="F7" s="99" t="str">
        <f>'Resultater - Vestdanmark'!F7</f>
        <v>Muslinger</v>
      </c>
      <c r="G7" s="99" t="str">
        <f>'Resultater - Vestdanmark'!G7</f>
        <v>Ton</v>
      </c>
      <c r="H7" s="286">
        <f>'Resultater - Vestdanmark'!H7+'Resultater - Østdanmark'!H7</f>
        <v>880.09999999999991</v>
      </c>
      <c r="I7" s="287">
        <f>'Resultater - Vestdanmark'!I7+'Resultater - Østdanmark'!I7</f>
        <v>148232.6739623498</v>
      </c>
      <c r="J7" s="288">
        <f>'Resultater - Vestdanmark'!J7+'Resultater - Østdanmark'!J7</f>
        <v>243411.82603765032</v>
      </c>
      <c r="L7" s="99" t="s">
        <v>42</v>
      </c>
      <c r="M7" s="99">
        <f>SUMIFS(H$3:H$487,$F$3:$F$487,$L$3,$C$3:$C$487,$L7)+SUMIFS(H$3:H$487,$F$3:$F$487,$L$3,$C$3:$C$487,"",$A$3:$A$487,"Grøntsager I drivhus")</f>
        <v>5798.8658431352524</v>
      </c>
      <c r="N7" s="99">
        <f>SUMIFS(I$3:I$487,$F$3:$F$487,$L$3,$C$3:$C$487,$L7)+SUMIFS(I$3:I$487,$F$3:$F$487,$L$3,$C$3:$C$487,"",$A$3:$A$487,"Grøntsager I drivhus")</f>
        <v>5747.6132469276017</v>
      </c>
      <c r="O7" s="99">
        <f>SUMIFS(J$3:J$487,$F$3:$F$487,$L$3,$C$3:$C$487,$L7)+SUMIFS(J$3:J$487,$F$3:$F$487,$L$3,$C$3:$C$487,"",$A$3:$A$487,"Grøntsager I drivhus")</f>
        <v>5664.7472241695159</v>
      </c>
    </row>
    <row r="8" spans="1:21" x14ac:dyDescent="0.55000000000000004">
      <c r="A8" s="99" t="str">
        <f>'Resultater - Vestdanmark'!A8</f>
        <v>Muslingefarm</v>
      </c>
      <c r="B8" s="99" t="str">
        <f>'Resultater - Vestdanmark'!B8</f>
        <v/>
      </c>
      <c r="C8" s="99" t="str">
        <f>'Resultater - Vestdanmark'!C8</f>
        <v/>
      </c>
      <c r="D8" s="99" t="str">
        <f>'Resultater - Vestdanmark'!D8</f>
        <v>Muslingeareal</v>
      </c>
      <c r="E8" s="99" t="str">
        <f>'Resultater - Vestdanmark'!E8</f>
        <v>Hektar</v>
      </c>
      <c r="F8" s="99" t="str">
        <f>'Resultater - Vestdanmark'!F8</f>
        <v>CO2 - atmosfære</v>
      </c>
      <c r="G8" s="99" t="str">
        <f>'Resultater - Vestdanmark'!G8</f>
        <v>t CO2-ækvivalenter</v>
      </c>
      <c r="H8" s="286">
        <f>'Resultater - Vestdanmark'!H8+'Resultater - Østdanmark'!H8</f>
        <v>-142.57619999999997</v>
      </c>
      <c r="I8" s="287">
        <f>'Resultater - Vestdanmark'!I8+'Resultater - Østdanmark'!I8</f>
        <v>-24013.693181900664</v>
      </c>
      <c r="J8" s="288">
        <f>'Resultater - Vestdanmark'!J8+'Resultater - Østdanmark'!J8</f>
        <v>-39432.71581809935</v>
      </c>
      <c r="L8" s="99" t="s">
        <v>41</v>
      </c>
      <c r="M8" s="99">
        <f>SUMIFS(H$3:H$487,$F$3:$F$487,$L$3,$C$3:$C$487,$L8)+SUMIFS(H$3:H$487,$F$3:$F$487,$L$3,$C$3:$C$487,"",$A$3:$A$487,"Grøntsager I drivhus")</f>
        <v>1473168.6340477788</v>
      </c>
      <c r="N8" s="99">
        <f>SUMIFS(I$3:I$487,$F$3:$F$487,$L$3,$C$3:$C$487,$L8)+SUMIFS(I$3:I$487,$F$3:$F$487,$L$3,$C$3:$C$487,"",$A$3:$A$487,"Grøntsager I drivhus")</f>
        <v>1363682.5742994456</v>
      </c>
      <c r="O8" s="99">
        <f>SUMIFS(J$3:J$487,$F$3:$F$487,$L$3,$C$3:$C$487,$L8)</f>
        <v>1357934.9610525186</v>
      </c>
    </row>
    <row r="9" spans="1:21" x14ac:dyDescent="0.55000000000000004">
      <c r="A9" s="99" t="str">
        <f>'Resultater - Vestdanmark'!A9</f>
        <v>Tangfarm</v>
      </c>
      <c r="B9" s="99" t="str">
        <f>'Resultater - Vestdanmark'!B9</f>
        <v/>
      </c>
      <c r="C9" s="99" t="str">
        <f>'Resultater - Vestdanmark'!C9</f>
        <v/>
      </c>
      <c r="D9" s="99" t="str">
        <f>'Resultater - Vestdanmark'!D9</f>
        <v>Tangfarmareal</v>
      </c>
      <c r="E9" s="99" t="str">
        <f>'Resultater - Vestdanmark'!E9</f>
        <v>Hektar</v>
      </c>
      <c r="F9" s="99" t="str">
        <f>'Resultater - Vestdanmark'!F9</f>
        <v>Tang</v>
      </c>
      <c r="G9" s="99" t="str">
        <f>'Resultater - Vestdanmark'!G9</f>
        <v>Ton</v>
      </c>
      <c r="H9" s="286">
        <f>'Resultater - Vestdanmark'!H9+'Resultater - Østdanmark'!H9</f>
        <v>76.5</v>
      </c>
      <c r="I9" s="287">
        <f>'Resultater - Vestdanmark'!I9+'Resultater - Østdanmark'!I9</f>
        <v>14400</v>
      </c>
      <c r="J9" s="288">
        <f>'Resultater - Vestdanmark'!J9+'Resultater - Østdanmark'!J9</f>
        <v>18000</v>
      </c>
      <c r="L9" s="99" t="s">
        <v>40</v>
      </c>
      <c r="M9" s="99">
        <f>SUMIFS(H$3:H$487,$F$3:$F$487,$L$3,$C$3:$C$487,$L9)+SUMIFS(H$3:H$487,$F$3:$F$487,$L$3,$C$3:$C$487,"",$A$3:$A$487,"Grøntsager I drivhus")</f>
        <v>2863539.7669857088</v>
      </c>
      <c r="N9" s="99">
        <f>SUMIFS(I$3:I$487,$F$3:$F$487,$L$3,$C$3:$C$487,$L9)+SUMIFS(I$3:I$487,$F$3:$F$487,$L$3,$C$3:$C$487,"",$A$3:$A$487,"Grøntsager I drivhus")</f>
        <v>2591318.0386518659</v>
      </c>
      <c r="O9" s="99">
        <f>SUMIFS(J$3:J$487,$F$3:$F$487,$L$3,$C$3:$C$487,$L9)</f>
        <v>2585570.4254049379</v>
      </c>
    </row>
    <row r="10" spans="1:21" x14ac:dyDescent="0.55000000000000004">
      <c r="A10" s="99" t="str">
        <f>'Resultater - Vestdanmark'!A10</f>
        <v>Tangfarm</v>
      </c>
      <c r="B10" s="99" t="str">
        <f>'Resultater - Vestdanmark'!B10</f>
        <v/>
      </c>
      <c r="C10" s="99" t="str">
        <f>'Resultater - Vestdanmark'!C10</f>
        <v/>
      </c>
      <c r="D10" s="99" t="str">
        <f>'Resultater - Vestdanmark'!D10</f>
        <v>Tangfarmareal</v>
      </c>
      <c r="E10" s="99" t="str">
        <f>'Resultater - Vestdanmark'!E10</f>
        <v>Hektar</v>
      </c>
      <c r="F10" s="99" t="str">
        <f>'Resultater - Vestdanmark'!F10</f>
        <v>CO2 - atmosfære</v>
      </c>
      <c r="G10" s="99" t="str">
        <f>'Resultater - Vestdanmark'!G10</f>
        <v>t CO2-ækvivalenter</v>
      </c>
      <c r="H10" s="286">
        <f>'Resultater - Vestdanmark'!H10+'Resultater - Østdanmark'!H10</f>
        <v>-15.861000000000001</v>
      </c>
      <c r="I10" s="287">
        <f>'Resultater - Vestdanmark'!I10+'Resultater - Østdanmark'!I10</f>
        <v>-597.12</v>
      </c>
      <c r="J10" s="288">
        <f>'Resultater - Vestdanmark'!J10+'Resultater - Østdanmark'!J10</f>
        <v>-746.40000000000009</v>
      </c>
    </row>
    <row r="11" spans="1:21" hidden="1" x14ac:dyDescent="0.55000000000000004">
      <c r="A11" s="99" t="str">
        <f>'Resultater - Vestdanmark'!A11</f>
        <v>Skovproduktion</v>
      </c>
      <c r="B11" s="99" t="str">
        <f>'Resultater - Vestdanmark'!B11</f>
        <v/>
      </c>
      <c r="C11" s="99" t="str">
        <f>'Resultater - Vestdanmark'!C11</f>
        <v>Basisskov</v>
      </c>
      <c r="D11" s="99" t="str">
        <f>'Resultater - Vestdanmark'!D11</f>
        <v>Areal-basisskov</v>
      </c>
      <c r="E11" s="99" t="str">
        <f>'Resultater - Vestdanmark'!E11</f>
        <v>Hektar</v>
      </c>
      <c r="F11" s="99" t="str">
        <f>'Resultater - Vestdanmark'!F11</f>
        <v>Træer</v>
      </c>
      <c r="G11" s="99" t="str">
        <f>'Resultater - Vestdanmark'!G11</f>
        <v>m3</v>
      </c>
      <c r="H11" s="286">
        <f>'Resultater - Vestdanmark'!H11+'Resultater - Østdanmark'!H11</f>
        <v>1724360.8435879257</v>
      </c>
      <c r="I11" s="287">
        <f>'Resultater - Vestdanmark'!I11+'Resultater - Østdanmark'!I11</f>
        <v>1631856.7815804055</v>
      </c>
      <c r="J11" s="288">
        <f>'Resultater - Vestdanmark'!J11+'Resultater - Østdanmark'!J11</f>
        <v>1476194.7469248427</v>
      </c>
    </row>
    <row r="12" spans="1:21" hidden="1" x14ac:dyDescent="0.55000000000000004">
      <c r="A12" s="99" t="str">
        <f>'Resultater - Vestdanmark'!A12</f>
        <v>Skovproduktion</v>
      </c>
      <c r="B12" s="99" t="str">
        <f>'Resultater - Vestdanmark'!B12</f>
        <v/>
      </c>
      <c r="C12" s="99" t="str">
        <f>'Resultater - Vestdanmark'!C12</f>
        <v>Basisskov</v>
      </c>
      <c r="D12" s="99" t="str">
        <f>'Resultater - Vestdanmark'!D12</f>
        <v>Areal-basisskov</v>
      </c>
      <c r="E12" s="99" t="str">
        <f>'Resultater - Vestdanmark'!E12</f>
        <v>Hektar</v>
      </c>
      <c r="F12" s="99" t="str">
        <f>'Resultater - Vestdanmark'!F12</f>
        <v>Træ til energi</v>
      </c>
      <c r="G12" s="99" t="str">
        <f>'Resultater - Vestdanmark'!G12</f>
        <v>m3</v>
      </c>
      <c r="H12" s="286">
        <f>'Resultater - Vestdanmark'!H12+'Resultater - Østdanmark'!H12</f>
        <v>2113570.8536589644</v>
      </c>
      <c r="I12" s="287">
        <f>'Resultater - Vestdanmark'!I12+'Resultater - Østdanmark'!I12</f>
        <v>2000187.4571203692</v>
      </c>
      <c r="J12" s="288">
        <f>'Resultater - Vestdanmark'!J12+'Resultater - Østdanmark'!J12</f>
        <v>1809390.536224924</v>
      </c>
    </row>
    <row r="13" spans="1:21" hidden="1" x14ac:dyDescent="0.55000000000000004">
      <c r="A13" s="99" t="str">
        <f>'Resultater - Vestdanmark'!A13</f>
        <v>Skovproduktion</v>
      </c>
      <c r="B13" s="99" t="str">
        <f>'Resultater - Vestdanmark'!B13</f>
        <v/>
      </c>
      <c r="C13" s="99" t="str">
        <f>'Resultater - Vestdanmark'!C13</f>
        <v>Basisskov</v>
      </c>
      <c r="D13" s="99" t="str">
        <f>'Resultater - Vestdanmark'!D13</f>
        <v>Areal-basisskov</v>
      </c>
      <c r="E13" s="99" t="str">
        <f>'Resultater - Vestdanmark'!E13</f>
        <v>Hektar</v>
      </c>
      <c r="F13" s="99" t="str">
        <f>'Resultater - Vestdanmark'!F13</f>
        <v>CO2 - atmosfære</v>
      </c>
      <c r="G13" s="99" t="str">
        <f>'Resultater - Vestdanmark'!G13</f>
        <v>t CO2-ækvivalenter</v>
      </c>
      <c r="H13" s="286">
        <f>'Resultater - Vestdanmark'!H13+'Resultater - Østdanmark'!H13</f>
        <v>-561900</v>
      </c>
      <c r="I13" s="287">
        <f>'Resultater - Vestdanmark'!I13+'Resultater - Østdanmark'!I13</f>
        <v>-531756.63839717361</v>
      </c>
      <c r="J13" s="288">
        <f>'Resultater - Vestdanmark'!J13+'Resultater - Østdanmark'!J13</f>
        <v>-481032.62804968352</v>
      </c>
    </row>
    <row r="14" spans="1:21" hidden="1" x14ac:dyDescent="0.55000000000000004">
      <c r="A14" s="99" t="str">
        <f>'Resultater - Vestdanmark'!A14</f>
        <v>Skovproduktion</v>
      </c>
      <c r="B14" s="99" t="str">
        <f>'Resultater - Vestdanmark'!B14</f>
        <v/>
      </c>
      <c r="C14" s="99" t="str">
        <f>'Resultater - Vestdanmark'!C14</f>
        <v>Skovtype1</v>
      </c>
      <c r="D14" s="99" t="str">
        <f>'Resultater - Vestdanmark'!D14</f>
        <v>Areal-skovtype1-10</v>
      </c>
      <c r="E14" s="99" t="str">
        <f>'Resultater - Vestdanmark'!E14</f>
        <v>Hektar</v>
      </c>
      <c r="F14" s="99" t="str">
        <f>'Resultater - Vestdanmark'!F14</f>
        <v>Træer</v>
      </c>
      <c r="G14" s="99" t="str">
        <f>'Resultater - Vestdanmark'!G14</f>
        <v>m3</v>
      </c>
      <c r="H14" s="286">
        <f>'Resultater - Vestdanmark'!H14+'Resultater - Østdanmark'!H14</f>
        <v>0</v>
      </c>
      <c r="I14" s="287">
        <f>'Resultater - Vestdanmark'!I14+'Resultater - Østdanmark'!I14</f>
        <v>0</v>
      </c>
      <c r="J14" s="288">
        <f>'Resultater - Vestdanmark'!J14+'Resultater - Østdanmark'!J14</f>
        <v>0</v>
      </c>
    </row>
    <row r="15" spans="1:21" hidden="1" x14ac:dyDescent="0.55000000000000004">
      <c r="A15" s="99" t="str">
        <f>'Resultater - Vestdanmark'!A15</f>
        <v>Skovproduktion</v>
      </c>
      <c r="B15" s="99" t="str">
        <f>'Resultater - Vestdanmark'!B15</f>
        <v/>
      </c>
      <c r="C15" s="99" t="str">
        <f>'Resultater - Vestdanmark'!C15</f>
        <v>Skovtype1</v>
      </c>
      <c r="D15" s="99" t="str">
        <f>'Resultater - Vestdanmark'!D15</f>
        <v>Areal-skovtype1-10</v>
      </c>
      <c r="E15" s="99" t="str">
        <f>'Resultater - Vestdanmark'!E15</f>
        <v>Hektar</v>
      </c>
      <c r="F15" s="99" t="str">
        <f>'Resultater - Vestdanmark'!F15</f>
        <v>Træ til energi</v>
      </c>
      <c r="G15" s="99" t="str">
        <f>'Resultater - Vestdanmark'!G15</f>
        <v>m3</v>
      </c>
      <c r="H15" s="286">
        <f>'Resultater - Vestdanmark'!H15+'Resultater - Østdanmark'!H15</f>
        <v>0</v>
      </c>
      <c r="I15" s="287">
        <f>'Resultater - Vestdanmark'!I15+'Resultater - Østdanmark'!I15</f>
        <v>0</v>
      </c>
      <c r="J15" s="288">
        <f>'Resultater - Vestdanmark'!J15+'Resultater - Østdanmark'!J15</f>
        <v>0</v>
      </c>
    </row>
    <row r="16" spans="1:21" hidden="1" x14ac:dyDescent="0.55000000000000004">
      <c r="A16" s="99" t="str">
        <f>'Resultater - Vestdanmark'!A16</f>
        <v>Skovproduktion</v>
      </c>
      <c r="B16" s="99" t="str">
        <f>'Resultater - Vestdanmark'!B16</f>
        <v/>
      </c>
      <c r="C16" s="99" t="str">
        <f>'Resultater - Vestdanmark'!C16</f>
        <v>Skovtype1</v>
      </c>
      <c r="D16" s="99" t="str">
        <f>'Resultater - Vestdanmark'!D16</f>
        <v>Areal-skovtype1-10</v>
      </c>
      <c r="E16" s="99" t="str">
        <f>'Resultater - Vestdanmark'!E16</f>
        <v>Hektar</v>
      </c>
      <c r="F16" s="99" t="str">
        <f>'Resultater - Vestdanmark'!F16</f>
        <v>CO2 - atmosfære</v>
      </c>
      <c r="G16" s="99" t="str">
        <f>'Resultater - Vestdanmark'!G16</f>
        <v>t CO2-ækvivalenter</v>
      </c>
      <c r="H16" s="286">
        <f>'Resultater - Vestdanmark'!H16+'Resultater - Østdanmark'!H16</f>
        <v>0</v>
      </c>
      <c r="I16" s="287">
        <f>'Resultater - Vestdanmark'!I16+'Resultater - Østdanmark'!I16</f>
        <v>-116007.64000642353</v>
      </c>
      <c r="J16" s="288">
        <f>'Resultater - Vestdanmark'!J16+'Resultater - Østdanmark'!J16</f>
        <v>-110905.01293436263</v>
      </c>
    </row>
    <row r="17" spans="1:10" hidden="1" x14ac:dyDescent="0.55000000000000004">
      <c r="A17" s="99" t="str">
        <f>'Resultater - Vestdanmark'!A17</f>
        <v>Skovproduktion</v>
      </c>
      <c r="B17" s="99" t="str">
        <f>'Resultater - Vestdanmark'!B17</f>
        <v/>
      </c>
      <c r="C17" s="99" t="str">
        <f>'Resultater - Vestdanmark'!C17</f>
        <v>Skovtype1</v>
      </c>
      <c r="D17" s="99" t="str">
        <f>'Resultater - Vestdanmark'!D17</f>
        <v>Areal-skovtype1-20</v>
      </c>
      <c r="E17" s="99" t="str">
        <f>'Resultater - Vestdanmark'!E17</f>
        <v>Hektar</v>
      </c>
      <c r="F17" s="99" t="str">
        <f>'Resultater - Vestdanmark'!F17</f>
        <v>Træer</v>
      </c>
      <c r="G17" s="99" t="str">
        <f>'Resultater - Vestdanmark'!G17</f>
        <v>m3</v>
      </c>
      <c r="H17" s="286">
        <f>'Resultater - Vestdanmark'!H17+'Resultater - Østdanmark'!H17</f>
        <v>0</v>
      </c>
      <c r="I17" s="287">
        <f>'Resultater - Vestdanmark'!I17+'Resultater - Østdanmark'!I17</f>
        <v>0</v>
      </c>
      <c r="J17" s="288">
        <f>'Resultater - Vestdanmark'!J17+'Resultater - Østdanmark'!J17</f>
        <v>0</v>
      </c>
    </row>
    <row r="18" spans="1:10" hidden="1" x14ac:dyDescent="0.55000000000000004">
      <c r="A18" s="99" t="str">
        <f>'Resultater - Vestdanmark'!A18</f>
        <v>Skovproduktion</v>
      </c>
      <c r="B18" s="99" t="str">
        <f>'Resultater - Vestdanmark'!B18</f>
        <v/>
      </c>
      <c r="C18" s="99" t="str">
        <f>'Resultater - Vestdanmark'!C18</f>
        <v>Skovtype1</v>
      </c>
      <c r="D18" s="99" t="str">
        <f>'Resultater - Vestdanmark'!D18</f>
        <v>Areal-skovtype1-20</v>
      </c>
      <c r="E18" s="99" t="str">
        <f>'Resultater - Vestdanmark'!E18</f>
        <v>Hektar</v>
      </c>
      <c r="F18" s="99" t="str">
        <f>'Resultater - Vestdanmark'!F18</f>
        <v>Træ til energi</v>
      </c>
      <c r="G18" s="99" t="str">
        <f>'Resultater - Vestdanmark'!G18</f>
        <v>m3</v>
      </c>
      <c r="H18" s="286">
        <f>'Resultater - Vestdanmark'!H18+'Resultater - Østdanmark'!H18</f>
        <v>0</v>
      </c>
      <c r="I18" s="287">
        <f>'Resultater - Vestdanmark'!I18+'Resultater - Østdanmark'!I18</f>
        <v>0</v>
      </c>
      <c r="J18" s="288">
        <f>'Resultater - Vestdanmark'!J18+'Resultater - Østdanmark'!J18</f>
        <v>0</v>
      </c>
    </row>
    <row r="19" spans="1:10" hidden="1" x14ac:dyDescent="0.55000000000000004">
      <c r="A19" s="99" t="str">
        <f>'Resultater - Vestdanmark'!A19</f>
        <v>Skovproduktion</v>
      </c>
      <c r="B19" s="99" t="str">
        <f>'Resultater - Vestdanmark'!B19</f>
        <v/>
      </c>
      <c r="C19" s="99" t="str">
        <f>'Resultater - Vestdanmark'!C19</f>
        <v>Skovtype1</v>
      </c>
      <c r="D19" s="99" t="str">
        <f>'Resultater - Vestdanmark'!D19</f>
        <v>Areal-skovtype1-20</v>
      </c>
      <c r="E19" s="99" t="str">
        <f>'Resultater - Vestdanmark'!E19</f>
        <v>Hektar</v>
      </c>
      <c r="F19" s="99" t="str">
        <f>'Resultater - Vestdanmark'!F19</f>
        <v>CO2 - atmosfære</v>
      </c>
      <c r="G19" s="99" t="str">
        <f>'Resultater - Vestdanmark'!G19</f>
        <v>t CO2-ækvivalenter</v>
      </c>
      <c r="H19" s="286">
        <f>'Resultater - Vestdanmark'!H19+'Resultater - Østdanmark'!H19</f>
        <v>0</v>
      </c>
      <c r="I19" s="287">
        <f>'Resultater - Vestdanmark'!I19+'Resultater - Østdanmark'!I19</f>
        <v>-25521.680801413175</v>
      </c>
      <c r="J19" s="288">
        <f>'Resultater - Vestdanmark'!J19+'Resultater - Østdanmark'!J19</f>
        <v>-243991.02845559781</v>
      </c>
    </row>
    <row r="20" spans="1:10" hidden="1" x14ac:dyDescent="0.55000000000000004">
      <c r="A20" s="99" t="str">
        <f>'Resultater - Vestdanmark'!A20</f>
        <v>Skovproduktion</v>
      </c>
      <c r="B20" s="99" t="str">
        <f>'Resultater - Vestdanmark'!B20</f>
        <v/>
      </c>
      <c r="C20" s="99" t="str">
        <f>'Resultater - Vestdanmark'!C20</f>
        <v>Skovtype1</v>
      </c>
      <c r="D20" s="99" t="str">
        <f>'Resultater - Vestdanmark'!D20</f>
        <v>Areal-skovtype1-30</v>
      </c>
      <c r="E20" s="99" t="str">
        <f>'Resultater - Vestdanmark'!E20</f>
        <v>Hektar</v>
      </c>
      <c r="F20" s="99" t="str">
        <f>'Resultater - Vestdanmark'!F20</f>
        <v>Træer</v>
      </c>
      <c r="G20" s="99" t="str">
        <f>'Resultater - Vestdanmark'!G20</f>
        <v>m3</v>
      </c>
      <c r="H20" s="286">
        <f>'Resultater - Vestdanmark'!H20+'Resultater - Østdanmark'!H20</f>
        <v>0</v>
      </c>
      <c r="I20" s="287">
        <f>'Resultater - Vestdanmark'!I20+'Resultater - Østdanmark'!I20</f>
        <v>0</v>
      </c>
      <c r="J20" s="288">
        <f>'Resultater - Vestdanmark'!J20+'Resultater - Østdanmark'!J20</f>
        <v>0</v>
      </c>
    </row>
    <row r="21" spans="1:10" hidden="1" x14ac:dyDescent="0.55000000000000004">
      <c r="A21" s="99" t="str">
        <f>'Resultater - Vestdanmark'!A21</f>
        <v>Skovproduktion</v>
      </c>
      <c r="B21" s="99" t="str">
        <f>'Resultater - Vestdanmark'!B21</f>
        <v/>
      </c>
      <c r="C21" s="99" t="str">
        <f>'Resultater - Vestdanmark'!C21</f>
        <v>Skovtype1</v>
      </c>
      <c r="D21" s="99" t="str">
        <f>'Resultater - Vestdanmark'!D21</f>
        <v>Areal-skovtype1-30</v>
      </c>
      <c r="E21" s="99" t="str">
        <f>'Resultater - Vestdanmark'!E21</f>
        <v>Hektar</v>
      </c>
      <c r="F21" s="99" t="str">
        <f>'Resultater - Vestdanmark'!F21</f>
        <v>Træ til energi</v>
      </c>
      <c r="G21" s="99" t="str">
        <f>'Resultater - Vestdanmark'!G21</f>
        <v>m3</v>
      </c>
      <c r="H21" s="286">
        <f>'Resultater - Vestdanmark'!H21+'Resultater - Østdanmark'!H21</f>
        <v>0</v>
      </c>
      <c r="I21" s="287">
        <f>'Resultater - Vestdanmark'!I21+'Resultater - Østdanmark'!I21</f>
        <v>0</v>
      </c>
      <c r="J21" s="288">
        <f>'Resultater - Vestdanmark'!J21+'Resultater - Østdanmark'!J21</f>
        <v>0</v>
      </c>
    </row>
    <row r="22" spans="1:10" hidden="1" x14ac:dyDescent="0.55000000000000004">
      <c r="A22" s="99" t="str">
        <f>'Resultater - Vestdanmark'!A22</f>
        <v>Skovproduktion</v>
      </c>
      <c r="B22" s="99" t="str">
        <f>'Resultater - Vestdanmark'!B22</f>
        <v/>
      </c>
      <c r="C22" s="99" t="str">
        <f>'Resultater - Vestdanmark'!C22</f>
        <v>Skovtype1</v>
      </c>
      <c r="D22" s="99" t="str">
        <f>'Resultater - Vestdanmark'!D22</f>
        <v>Areal-skovtype1-30</v>
      </c>
      <c r="E22" s="99" t="str">
        <f>'Resultater - Vestdanmark'!E22</f>
        <v>Hektar</v>
      </c>
      <c r="F22" s="99" t="str">
        <f>'Resultater - Vestdanmark'!F22</f>
        <v>CO2 - atmosfære</v>
      </c>
      <c r="G22" s="99" t="str">
        <f>'Resultater - Vestdanmark'!G22</f>
        <v>t CO2-ækvivalenter</v>
      </c>
      <c r="H22" s="286">
        <f>'Resultater - Vestdanmark'!H22+'Resultater - Østdanmark'!H22</f>
        <v>0</v>
      </c>
      <c r="I22" s="287">
        <f>'Resultater - Vestdanmark'!I22+'Resultater - Østdanmark'!I22</f>
        <v>0</v>
      </c>
      <c r="J22" s="288">
        <f>'Resultater - Vestdanmark'!J22+'Resultater - Østdanmark'!J22</f>
        <v>-649642.78403597174</v>
      </c>
    </row>
    <row r="23" spans="1:10" hidden="1" x14ac:dyDescent="0.55000000000000004">
      <c r="A23" s="99" t="str">
        <f>'Resultater - Vestdanmark'!A23</f>
        <v>Skovproduktion</v>
      </c>
      <c r="B23" s="99" t="str">
        <f>'Resultater - Vestdanmark'!B23</f>
        <v/>
      </c>
      <c r="C23" s="99" t="str">
        <f>'Resultater - Vestdanmark'!C23</f>
        <v>Skovtype1</v>
      </c>
      <c r="D23" s="99" t="str">
        <f>'Resultater - Vestdanmark'!D23</f>
        <v>Areal-skovtype1-40</v>
      </c>
      <c r="E23" s="99" t="str">
        <f>'Resultater - Vestdanmark'!E23</f>
        <v>Hektar</v>
      </c>
      <c r="F23" s="99" t="str">
        <f>'Resultater - Vestdanmark'!F23</f>
        <v>Træer</v>
      </c>
      <c r="G23" s="99" t="str">
        <f>'Resultater - Vestdanmark'!G23</f>
        <v>m3</v>
      </c>
      <c r="H23" s="286">
        <f>'Resultater - Vestdanmark'!H23+'Resultater - Østdanmark'!H23</f>
        <v>0</v>
      </c>
      <c r="I23" s="287">
        <f>'Resultater - Vestdanmark'!I23+'Resultater - Østdanmark'!I23</f>
        <v>0</v>
      </c>
      <c r="J23" s="288">
        <f>'Resultater - Vestdanmark'!J23+'Resultater - Østdanmark'!J23</f>
        <v>8859.1399251234579</v>
      </c>
    </row>
    <row r="24" spans="1:10" hidden="1" x14ac:dyDescent="0.55000000000000004">
      <c r="A24" s="99" t="str">
        <f>'Resultater - Vestdanmark'!A24</f>
        <v>Skovproduktion</v>
      </c>
      <c r="B24" s="99" t="str">
        <f>'Resultater - Vestdanmark'!B24</f>
        <v/>
      </c>
      <c r="C24" s="99" t="str">
        <f>'Resultater - Vestdanmark'!C24</f>
        <v>Skovtype1</v>
      </c>
      <c r="D24" s="99" t="str">
        <f>'Resultater - Vestdanmark'!D24</f>
        <v>Areal-skovtype1-40</v>
      </c>
      <c r="E24" s="99" t="str">
        <f>'Resultater - Vestdanmark'!E24</f>
        <v>Hektar</v>
      </c>
      <c r="F24" s="99" t="str">
        <f>'Resultater - Vestdanmark'!F24</f>
        <v>Træ til energi</v>
      </c>
      <c r="G24" s="99" t="str">
        <f>'Resultater - Vestdanmark'!G24</f>
        <v>m3</v>
      </c>
      <c r="H24" s="286">
        <f>'Resultater - Vestdanmark'!H24+'Resultater - Østdanmark'!H24</f>
        <v>0</v>
      </c>
      <c r="I24" s="287">
        <f>'Resultater - Vestdanmark'!I24+'Resultater - Østdanmark'!I24</f>
        <v>0</v>
      </c>
      <c r="J24" s="288">
        <f>'Resultater - Vestdanmark'!J24+'Resultater - Østdanmark'!J24</f>
        <v>4627.9089161092688</v>
      </c>
    </row>
    <row r="25" spans="1:10" hidden="1" x14ac:dyDescent="0.55000000000000004">
      <c r="A25" s="99" t="str">
        <f>'Resultater - Vestdanmark'!A25</f>
        <v>Skovproduktion</v>
      </c>
      <c r="B25" s="99" t="str">
        <f>'Resultater - Vestdanmark'!B25</f>
        <v/>
      </c>
      <c r="C25" s="99" t="str">
        <f>'Resultater - Vestdanmark'!C25</f>
        <v>Skovtype1</v>
      </c>
      <c r="D25" s="99" t="str">
        <f>'Resultater - Vestdanmark'!D25</f>
        <v>Areal-skovtype1-40</v>
      </c>
      <c r="E25" s="99" t="str">
        <f>'Resultater - Vestdanmark'!E25</f>
        <v>Hektar</v>
      </c>
      <c r="F25" s="99" t="str">
        <f>'Resultater - Vestdanmark'!F25</f>
        <v>CO2 - atmosfære</v>
      </c>
      <c r="G25" s="99" t="str">
        <f>'Resultater - Vestdanmark'!G25</f>
        <v>t CO2-ækvivalenter</v>
      </c>
      <c r="H25" s="286">
        <f>'Resultater - Vestdanmark'!H25+'Resultater - Østdanmark'!H25</f>
        <v>0</v>
      </c>
      <c r="I25" s="287">
        <f>'Resultater - Vestdanmark'!I25+'Resultater - Østdanmark'!I25</f>
        <v>0</v>
      </c>
      <c r="J25" s="288">
        <f>'Resultater - Vestdanmark'!J25+'Resultater - Østdanmark'!J25</f>
        <v>-67284.431203725646</v>
      </c>
    </row>
    <row r="26" spans="1:10" hidden="1" x14ac:dyDescent="0.55000000000000004">
      <c r="A26" s="99" t="str">
        <f>'Resultater - Vestdanmark'!A26</f>
        <v>Skovproduktion</v>
      </c>
      <c r="B26" s="99" t="str">
        <f>'Resultater - Vestdanmark'!B26</f>
        <v/>
      </c>
      <c r="C26" s="99" t="str">
        <f>'Resultater - Vestdanmark'!C26</f>
        <v>Skovtype2</v>
      </c>
      <c r="D26" s="99" t="str">
        <f>'Resultater - Vestdanmark'!D26</f>
        <v>Areal-skovtype2-10</v>
      </c>
      <c r="E26" s="99" t="str">
        <f>'Resultater - Vestdanmark'!E26</f>
        <v>Hektar</v>
      </c>
      <c r="F26" s="99" t="str">
        <f>'Resultater - Vestdanmark'!F26</f>
        <v>Træer</v>
      </c>
      <c r="G26" s="99" t="str">
        <f>'Resultater - Vestdanmark'!G26</f>
        <v>m3</v>
      </c>
      <c r="H26" s="286">
        <f>'Resultater - Vestdanmark'!H26+'Resultater - Østdanmark'!H26</f>
        <v>0</v>
      </c>
      <c r="I26" s="287">
        <f>'Resultater - Vestdanmark'!I26+'Resultater - Østdanmark'!I26</f>
        <v>0</v>
      </c>
      <c r="J26" s="288">
        <f>'Resultater - Vestdanmark'!J26+'Resultater - Østdanmark'!J26</f>
        <v>0</v>
      </c>
    </row>
    <row r="27" spans="1:10" hidden="1" x14ac:dyDescent="0.55000000000000004">
      <c r="A27" s="99" t="str">
        <f>'Resultater - Vestdanmark'!A27</f>
        <v>Skovproduktion</v>
      </c>
      <c r="B27" s="99" t="str">
        <f>'Resultater - Vestdanmark'!B27</f>
        <v/>
      </c>
      <c r="C27" s="99" t="str">
        <f>'Resultater - Vestdanmark'!C27</f>
        <v>Skovtype2</v>
      </c>
      <c r="D27" s="99" t="str">
        <f>'Resultater - Vestdanmark'!D27</f>
        <v>Areal-skovtype2-10</v>
      </c>
      <c r="E27" s="99" t="str">
        <f>'Resultater - Vestdanmark'!E27</f>
        <v>Hektar</v>
      </c>
      <c r="F27" s="99" t="str">
        <f>'Resultater - Vestdanmark'!F27</f>
        <v>Træ til energi</v>
      </c>
      <c r="G27" s="99" t="str">
        <f>'Resultater - Vestdanmark'!G27</f>
        <v>m3</v>
      </c>
      <c r="H27" s="286">
        <f>'Resultater - Vestdanmark'!H27+'Resultater - Østdanmark'!H27</f>
        <v>0</v>
      </c>
      <c r="I27" s="287">
        <f>'Resultater - Vestdanmark'!I27+'Resultater - Østdanmark'!I27</f>
        <v>0</v>
      </c>
      <c r="J27" s="288">
        <f>'Resultater - Vestdanmark'!J27+'Resultater - Østdanmark'!J27</f>
        <v>0</v>
      </c>
    </row>
    <row r="28" spans="1:10" hidden="1" x14ac:dyDescent="0.55000000000000004">
      <c r="A28" s="99" t="str">
        <f>'Resultater - Vestdanmark'!A28</f>
        <v>Skovproduktion</v>
      </c>
      <c r="B28" s="99" t="str">
        <f>'Resultater - Vestdanmark'!B28</f>
        <v/>
      </c>
      <c r="C28" s="99" t="str">
        <f>'Resultater - Vestdanmark'!C28</f>
        <v>Skovtype2</v>
      </c>
      <c r="D28" s="99" t="str">
        <f>'Resultater - Vestdanmark'!D28</f>
        <v>Areal-skovtype2-10</v>
      </c>
      <c r="E28" s="99" t="str">
        <f>'Resultater - Vestdanmark'!E28</f>
        <v>Hektar</v>
      </c>
      <c r="F28" s="99" t="str">
        <f>'Resultater - Vestdanmark'!F28</f>
        <v>CO2 - atmosfære</v>
      </c>
      <c r="G28" s="99" t="str">
        <f>'Resultater - Vestdanmark'!G28</f>
        <v>t CO2-ækvivalenter</v>
      </c>
      <c r="H28" s="286">
        <f>'Resultater - Vestdanmark'!H28+'Resultater - Østdanmark'!H28</f>
        <v>0</v>
      </c>
      <c r="I28" s="287">
        <f>'Resultater - Vestdanmark'!I28+'Resultater - Østdanmark'!I28</f>
        <v>0</v>
      </c>
      <c r="J28" s="288">
        <f>'Resultater - Vestdanmark'!J28+'Resultater - Østdanmark'!J28</f>
        <v>0</v>
      </c>
    </row>
    <row r="29" spans="1:10" hidden="1" x14ac:dyDescent="0.55000000000000004">
      <c r="A29" s="99" t="str">
        <f>'Resultater - Vestdanmark'!A29</f>
        <v>Skovproduktion</v>
      </c>
      <c r="B29" s="99" t="str">
        <f>'Resultater - Vestdanmark'!B29</f>
        <v/>
      </c>
      <c r="C29" s="99" t="str">
        <f>'Resultater - Vestdanmark'!C29</f>
        <v>Skovtype2</v>
      </c>
      <c r="D29" s="99" t="str">
        <f>'Resultater - Vestdanmark'!D29</f>
        <v>Areal-skovtype2-20</v>
      </c>
      <c r="E29" s="99" t="str">
        <f>'Resultater - Vestdanmark'!E29</f>
        <v>Hektar</v>
      </c>
      <c r="F29" s="99" t="str">
        <f>'Resultater - Vestdanmark'!F29</f>
        <v>Træer</v>
      </c>
      <c r="G29" s="99" t="str">
        <f>'Resultater - Vestdanmark'!G29</f>
        <v>m3</v>
      </c>
      <c r="H29" s="286">
        <f>'Resultater - Vestdanmark'!H29+'Resultater - Østdanmark'!H29</f>
        <v>0</v>
      </c>
      <c r="I29" s="287">
        <f>'Resultater - Vestdanmark'!I29+'Resultater - Østdanmark'!I29</f>
        <v>0</v>
      </c>
      <c r="J29" s="288">
        <f>'Resultater - Vestdanmark'!J29+'Resultater - Østdanmark'!J29</f>
        <v>0</v>
      </c>
    </row>
    <row r="30" spans="1:10" hidden="1" x14ac:dyDescent="0.55000000000000004">
      <c r="A30" s="99" t="str">
        <f>'Resultater - Vestdanmark'!A30</f>
        <v>Skovproduktion</v>
      </c>
      <c r="B30" s="99" t="str">
        <f>'Resultater - Vestdanmark'!B30</f>
        <v/>
      </c>
      <c r="C30" s="99" t="str">
        <f>'Resultater - Vestdanmark'!C30</f>
        <v>Skovtype2</v>
      </c>
      <c r="D30" s="99" t="str">
        <f>'Resultater - Vestdanmark'!D30</f>
        <v>Areal-skovtype2-20</v>
      </c>
      <c r="E30" s="99" t="str">
        <f>'Resultater - Vestdanmark'!E30</f>
        <v>Hektar</v>
      </c>
      <c r="F30" s="99" t="str">
        <f>'Resultater - Vestdanmark'!F30</f>
        <v>Træ til energi</v>
      </c>
      <c r="G30" s="99" t="str">
        <f>'Resultater - Vestdanmark'!G30</f>
        <v>m3</v>
      </c>
      <c r="H30" s="286">
        <f>'Resultater - Vestdanmark'!H30+'Resultater - Østdanmark'!H30</f>
        <v>0</v>
      </c>
      <c r="I30" s="287">
        <f>'Resultater - Vestdanmark'!I30+'Resultater - Østdanmark'!I30</f>
        <v>0</v>
      </c>
      <c r="J30" s="288">
        <f>'Resultater - Vestdanmark'!J30+'Resultater - Østdanmark'!J30</f>
        <v>0</v>
      </c>
    </row>
    <row r="31" spans="1:10" hidden="1" x14ac:dyDescent="0.55000000000000004">
      <c r="A31" s="99" t="str">
        <f>'Resultater - Vestdanmark'!A31</f>
        <v>Skovproduktion</v>
      </c>
      <c r="B31" s="99" t="str">
        <f>'Resultater - Vestdanmark'!B31</f>
        <v/>
      </c>
      <c r="C31" s="99" t="str">
        <f>'Resultater - Vestdanmark'!C31</f>
        <v>Skovtype2</v>
      </c>
      <c r="D31" s="99" t="str">
        <f>'Resultater - Vestdanmark'!D31</f>
        <v>Areal-skovtype2-20</v>
      </c>
      <c r="E31" s="99" t="str">
        <f>'Resultater - Vestdanmark'!E31</f>
        <v>Hektar</v>
      </c>
      <c r="F31" s="99" t="str">
        <f>'Resultater - Vestdanmark'!F31</f>
        <v>CO2 - atmosfære</v>
      </c>
      <c r="G31" s="99" t="str">
        <f>'Resultater - Vestdanmark'!G31</f>
        <v>t CO2-ækvivalenter</v>
      </c>
      <c r="H31" s="286">
        <f>'Resultater - Vestdanmark'!H31+'Resultater - Østdanmark'!H31</f>
        <v>0</v>
      </c>
      <c r="I31" s="287">
        <f>'Resultater - Vestdanmark'!I31+'Resultater - Østdanmark'!I31</f>
        <v>0</v>
      </c>
      <c r="J31" s="288">
        <f>'Resultater - Vestdanmark'!J31+'Resultater - Østdanmark'!J31</f>
        <v>0</v>
      </c>
    </row>
    <row r="32" spans="1:10" hidden="1" x14ac:dyDescent="0.55000000000000004">
      <c r="A32" s="99" t="str">
        <f>'Resultater - Vestdanmark'!A32</f>
        <v>Skovproduktion</v>
      </c>
      <c r="B32" s="99" t="str">
        <f>'Resultater - Vestdanmark'!B32</f>
        <v/>
      </c>
      <c r="C32" s="99" t="str">
        <f>'Resultater - Vestdanmark'!C32</f>
        <v>Skovtype2</v>
      </c>
      <c r="D32" s="99" t="str">
        <f>'Resultater - Vestdanmark'!D32</f>
        <v>Areal-skovtype2-30</v>
      </c>
      <c r="E32" s="99" t="str">
        <f>'Resultater - Vestdanmark'!E32</f>
        <v>Hektar</v>
      </c>
      <c r="F32" s="99" t="str">
        <f>'Resultater - Vestdanmark'!F32</f>
        <v>Træer</v>
      </c>
      <c r="G32" s="99" t="str">
        <f>'Resultater - Vestdanmark'!G32</f>
        <v>m3</v>
      </c>
      <c r="H32" s="286">
        <f>'Resultater - Vestdanmark'!H32+'Resultater - Østdanmark'!H32</f>
        <v>0</v>
      </c>
      <c r="I32" s="287">
        <f>'Resultater - Vestdanmark'!I32+'Resultater - Østdanmark'!I32</f>
        <v>0</v>
      </c>
      <c r="J32" s="288">
        <f>'Resultater - Vestdanmark'!J32+'Resultater - Østdanmark'!J32</f>
        <v>0</v>
      </c>
    </row>
    <row r="33" spans="1:10" hidden="1" x14ac:dyDescent="0.55000000000000004">
      <c r="A33" s="99" t="str">
        <f>'Resultater - Vestdanmark'!A33</f>
        <v>Skovproduktion</v>
      </c>
      <c r="B33" s="99" t="str">
        <f>'Resultater - Vestdanmark'!B33</f>
        <v/>
      </c>
      <c r="C33" s="99" t="str">
        <f>'Resultater - Vestdanmark'!C33</f>
        <v>Skovtype2</v>
      </c>
      <c r="D33" s="99" t="str">
        <f>'Resultater - Vestdanmark'!D33</f>
        <v>Areal-skovtype2-30</v>
      </c>
      <c r="E33" s="99" t="str">
        <f>'Resultater - Vestdanmark'!E33</f>
        <v>Hektar</v>
      </c>
      <c r="F33" s="99" t="str">
        <f>'Resultater - Vestdanmark'!F33</f>
        <v>Træ til energi</v>
      </c>
      <c r="G33" s="99" t="str">
        <f>'Resultater - Vestdanmark'!G33</f>
        <v>m3</v>
      </c>
      <c r="H33" s="286">
        <f>'Resultater - Vestdanmark'!H33+'Resultater - Østdanmark'!H33</f>
        <v>0</v>
      </c>
      <c r="I33" s="287">
        <f>'Resultater - Vestdanmark'!I33+'Resultater - Østdanmark'!I33</f>
        <v>0</v>
      </c>
      <c r="J33" s="288">
        <f>'Resultater - Vestdanmark'!J33+'Resultater - Østdanmark'!J33</f>
        <v>0</v>
      </c>
    </row>
    <row r="34" spans="1:10" hidden="1" x14ac:dyDescent="0.55000000000000004">
      <c r="A34" s="99" t="str">
        <f>'Resultater - Vestdanmark'!A34</f>
        <v>Skovproduktion</v>
      </c>
      <c r="B34" s="99" t="str">
        <f>'Resultater - Vestdanmark'!B34</f>
        <v/>
      </c>
      <c r="C34" s="99" t="str">
        <f>'Resultater - Vestdanmark'!C34</f>
        <v>Skovtype2</v>
      </c>
      <c r="D34" s="99" t="str">
        <f>'Resultater - Vestdanmark'!D34</f>
        <v>Areal-skovtype2-30</v>
      </c>
      <c r="E34" s="99" t="str">
        <f>'Resultater - Vestdanmark'!E34</f>
        <v>Hektar</v>
      </c>
      <c r="F34" s="99" t="str">
        <f>'Resultater - Vestdanmark'!F34</f>
        <v>CO2 - atmosfære</v>
      </c>
      <c r="G34" s="99" t="str">
        <f>'Resultater - Vestdanmark'!G34</f>
        <v>t CO2-ækvivalenter</v>
      </c>
      <c r="H34" s="286">
        <f>'Resultater - Vestdanmark'!H34+'Resultater - Østdanmark'!H34</f>
        <v>0</v>
      </c>
      <c r="I34" s="287">
        <f>'Resultater - Vestdanmark'!I34+'Resultater - Østdanmark'!I34</f>
        <v>0</v>
      </c>
      <c r="J34" s="288">
        <f>'Resultater - Vestdanmark'!J34+'Resultater - Østdanmark'!J34</f>
        <v>0</v>
      </c>
    </row>
    <row r="35" spans="1:10" hidden="1" x14ac:dyDescent="0.55000000000000004">
      <c r="A35" s="99" t="str">
        <f>'Resultater - Vestdanmark'!A35</f>
        <v>Skovproduktion</v>
      </c>
      <c r="B35" s="99" t="str">
        <f>'Resultater - Vestdanmark'!B35</f>
        <v/>
      </c>
      <c r="C35" s="99" t="str">
        <f>'Resultater - Vestdanmark'!C35</f>
        <v>Skovtype2</v>
      </c>
      <c r="D35" s="99" t="str">
        <f>'Resultater - Vestdanmark'!D35</f>
        <v>Areal-skovtype2-40</v>
      </c>
      <c r="E35" s="99" t="str">
        <f>'Resultater - Vestdanmark'!E35</f>
        <v>Hektar</v>
      </c>
      <c r="F35" s="99" t="str">
        <f>'Resultater - Vestdanmark'!F35</f>
        <v>Træer</v>
      </c>
      <c r="G35" s="99" t="str">
        <f>'Resultater - Vestdanmark'!G35</f>
        <v>m3</v>
      </c>
      <c r="H35" s="286">
        <f>'Resultater - Vestdanmark'!H35+'Resultater - Østdanmark'!H35</f>
        <v>0</v>
      </c>
      <c r="I35" s="287">
        <f>'Resultater - Vestdanmark'!I35+'Resultater - Østdanmark'!I35</f>
        <v>0</v>
      </c>
      <c r="J35" s="288">
        <f>'Resultater - Vestdanmark'!J35+'Resultater - Østdanmark'!J35</f>
        <v>0</v>
      </c>
    </row>
    <row r="36" spans="1:10" hidden="1" x14ac:dyDescent="0.55000000000000004">
      <c r="A36" s="99" t="str">
        <f>'Resultater - Vestdanmark'!A36</f>
        <v>Skovproduktion</v>
      </c>
      <c r="B36" s="99" t="str">
        <f>'Resultater - Vestdanmark'!B36</f>
        <v/>
      </c>
      <c r="C36" s="99" t="str">
        <f>'Resultater - Vestdanmark'!C36</f>
        <v>Skovtype2</v>
      </c>
      <c r="D36" s="99" t="str">
        <f>'Resultater - Vestdanmark'!D36</f>
        <v>Areal-skovtype2-40</v>
      </c>
      <c r="E36" s="99" t="str">
        <f>'Resultater - Vestdanmark'!E36</f>
        <v>Hektar</v>
      </c>
      <c r="F36" s="99" t="str">
        <f>'Resultater - Vestdanmark'!F36</f>
        <v>Træ til energi</v>
      </c>
      <c r="G36" s="99" t="str">
        <f>'Resultater - Vestdanmark'!G36</f>
        <v>m3</v>
      </c>
      <c r="H36" s="286">
        <f>'Resultater - Vestdanmark'!H36+'Resultater - Østdanmark'!H36</f>
        <v>0</v>
      </c>
      <c r="I36" s="287">
        <f>'Resultater - Vestdanmark'!I36+'Resultater - Østdanmark'!I36</f>
        <v>0</v>
      </c>
      <c r="J36" s="288">
        <f>'Resultater - Vestdanmark'!J36+'Resultater - Østdanmark'!J36</f>
        <v>0</v>
      </c>
    </row>
    <row r="37" spans="1:10" hidden="1" x14ac:dyDescent="0.55000000000000004">
      <c r="A37" s="99" t="str">
        <f>'Resultater - Vestdanmark'!A37</f>
        <v>Skovproduktion</v>
      </c>
      <c r="B37" s="99" t="str">
        <f>'Resultater - Vestdanmark'!B37</f>
        <v/>
      </c>
      <c r="C37" s="99" t="str">
        <f>'Resultater - Vestdanmark'!C37</f>
        <v>Skovtype2</v>
      </c>
      <c r="D37" s="99" t="str">
        <f>'Resultater - Vestdanmark'!D37</f>
        <v>Areal-skovtype2-40</v>
      </c>
      <c r="E37" s="99" t="str">
        <f>'Resultater - Vestdanmark'!E37</f>
        <v>Hektar</v>
      </c>
      <c r="F37" s="99" t="str">
        <f>'Resultater - Vestdanmark'!F37</f>
        <v>CO2 - atmosfære</v>
      </c>
      <c r="G37" s="99" t="str">
        <f>'Resultater - Vestdanmark'!G37</f>
        <v>t CO2-ækvivalenter</v>
      </c>
      <c r="H37" s="286">
        <f>'Resultater - Vestdanmark'!H37+'Resultater - Østdanmark'!H37</f>
        <v>0</v>
      </c>
      <c r="I37" s="287">
        <f>'Resultater - Vestdanmark'!I37+'Resultater - Østdanmark'!I37</f>
        <v>0</v>
      </c>
      <c r="J37" s="288">
        <f>'Resultater - Vestdanmark'!J37+'Resultater - Østdanmark'!J37</f>
        <v>0</v>
      </c>
    </row>
    <row r="38" spans="1:10" hidden="1" x14ac:dyDescent="0.55000000000000004">
      <c r="A38" s="99" t="str">
        <f>'Resultater - Vestdanmark'!A38</f>
        <v>Skovproduktion</v>
      </c>
      <c r="B38" s="99" t="str">
        <f>'Resultater - Vestdanmark'!B38</f>
        <v/>
      </c>
      <c r="C38" s="99" t="str">
        <f>'Resultater - Vestdanmark'!C38</f>
        <v>Skovtype3</v>
      </c>
      <c r="D38" s="99" t="str">
        <f>'Resultater - Vestdanmark'!D38</f>
        <v>Areal-skovtype3-10</v>
      </c>
      <c r="E38" s="99" t="str">
        <f>'Resultater - Vestdanmark'!E38</f>
        <v>Hektar</v>
      </c>
      <c r="F38" s="99" t="str">
        <f>'Resultater - Vestdanmark'!F38</f>
        <v>Træer</v>
      </c>
      <c r="G38" s="99" t="str">
        <f>'Resultater - Vestdanmark'!G38</f>
        <v>m3</v>
      </c>
      <c r="H38" s="286">
        <f>'Resultater - Vestdanmark'!H38+'Resultater - Østdanmark'!H38</f>
        <v>0</v>
      </c>
      <c r="I38" s="287">
        <f>'Resultater - Vestdanmark'!I38+'Resultater - Østdanmark'!I38</f>
        <v>0</v>
      </c>
      <c r="J38" s="288">
        <f>'Resultater - Vestdanmark'!J38+'Resultater - Østdanmark'!J38</f>
        <v>0</v>
      </c>
    </row>
    <row r="39" spans="1:10" hidden="1" x14ac:dyDescent="0.55000000000000004">
      <c r="A39" s="99" t="str">
        <f>'Resultater - Vestdanmark'!A39</f>
        <v>Skovproduktion</v>
      </c>
      <c r="B39" s="99" t="str">
        <f>'Resultater - Vestdanmark'!B39</f>
        <v/>
      </c>
      <c r="C39" s="99" t="str">
        <f>'Resultater - Vestdanmark'!C39</f>
        <v>Skovtype3</v>
      </c>
      <c r="D39" s="99" t="str">
        <f>'Resultater - Vestdanmark'!D39</f>
        <v>Areal-skovtype3-10</v>
      </c>
      <c r="E39" s="99" t="str">
        <f>'Resultater - Vestdanmark'!E39</f>
        <v>Hektar</v>
      </c>
      <c r="F39" s="99" t="str">
        <f>'Resultater - Vestdanmark'!F39</f>
        <v>Træ til energi</v>
      </c>
      <c r="G39" s="99" t="str">
        <f>'Resultater - Vestdanmark'!G39</f>
        <v>m3</v>
      </c>
      <c r="H39" s="286">
        <f>'Resultater - Vestdanmark'!H39+'Resultater - Østdanmark'!H39</f>
        <v>0</v>
      </c>
      <c r="I39" s="287">
        <f>'Resultater - Vestdanmark'!I39+'Resultater - Østdanmark'!I39</f>
        <v>0</v>
      </c>
      <c r="J39" s="288">
        <f>'Resultater - Vestdanmark'!J39+'Resultater - Østdanmark'!J39</f>
        <v>0</v>
      </c>
    </row>
    <row r="40" spans="1:10" hidden="1" x14ac:dyDescent="0.55000000000000004">
      <c r="A40" s="99" t="str">
        <f>'Resultater - Vestdanmark'!A40</f>
        <v>Skovproduktion</v>
      </c>
      <c r="B40" s="99" t="str">
        <f>'Resultater - Vestdanmark'!B40</f>
        <v/>
      </c>
      <c r="C40" s="99" t="str">
        <f>'Resultater - Vestdanmark'!C40</f>
        <v>Skovtype3</v>
      </c>
      <c r="D40" s="99" t="str">
        <f>'Resultater - Vestdanmark'!D40</f>
        <v>Areal-skovtype3-10</v>
      </c>
      <c r="E40" s="99" t="str">
        <f>'Resultater - Vestdanmark'!E40</f>
        <v>Hektar</v>
      </c>
      <c r="F40" s="99" t="str">
        <f>'Resultater - Vestdanmark'!F40</f>
        <v>CO2 - atmosfære</v>
      </c>
      <c r="G40" s="99" t="str">
        <f>'Resultater - Vestdanmark'!G40</f>
        <v>t CO2-ækvivalenter</v>
      </c>
      <c r="H40" s="286">
        <f>'Resultater - Vestdanmark'!H40+'Resultater - Østdanmark'!H40</f>
        <v>0</v>
      </c>
      <c r="I40" s="287">
        <f>'Resultater - Vestdanmark'!I40+'Resultater - Østdanmark'!I40</f>
        <v>0</v>
      </c>
      <c r="J40" s="288">
        <f>'Resultater - Vestdanmark'!J40+'Resultater - Østdanmark'!J40</f>
        <v>0</v>
      </c>
    </row>
    <row r="41" spans="1:10" hidden="1" x14ac:dyDescent="0.55000000000000004">
      <c r="A41" s="99" t="str">
        <f>'Resultater - Vestdanmark'!A41</f>
        <v>Skovproduktion</v>
      </c>
      <c r="B41" s="99" t="str">
        <f>'Resultater - Vestdanmark'!B41</f>
        <v/>
      </c>
      <c r="C41" s="99" t="str">
        <f>'Resultater - Vestdanmark'!C41</f>
        <v>Skovtype3</v>
      </c>
      <c r="D41" s="99" t="str">
        <f>'Resultater - Vestdanmark'!D41</f>
        <v>Areal-skovtype3-20</v>
      </c>
      <c r="E41" s="99" t="str">
        <f>'Resultater - Vestdanmark'!E41</f>
        <v>Hektar</v>
      </c>
      <c r="F41" s="99" t="str">
        <f>'Resultater - Vestdanmark'!F41</f>
        <v>Træer</v>
      </c>
      <c r="G41" s="99" t="str">
        <f>'Resultater - Vestdanmark'!G41</f>
        <v>m3</v>
      </c>
      <c r="H41" s="286">
        <f>'Resultater - Vestdanmark'!H41+'Resultater - Østdanmark'!H41</f>
        <v>0</v>
      </c>
      <c r="I41" s="287">
        <f>'Resultater - Vestdanmark'!I41+'Resultater - Østdanmark'!I41</f>
        <v>0</v>
      </c>
      <c r="J41" s="288">
        <f>'Resultater - Vestdanmark'!J41+'Resultater - Østdanmark'!J41</f>
        <v>0</v>
      </c>
    </row>
    <row r="42" spans="1:10" hidden="1" x14ac:dyDescent="0.55000000000000004">
      <c r="A42" s="99" t="str">
        <f>'Resultater - Vestdanmark'!A42</f>
        <v>Skovproduktion</v>
      </c>
      <c r="B42" s="99" t="str">
        <f>'Resultater - Vestdanmark'!B42</f>
        <v/>
      </c>
      <c r="C42" s="99" t="str">
        <f>'Resultater - Vestdanmark'!C42</f>
        <v>Skovtype3</v>
      </c>
      <c r="D42" s="99" t="str">
        <f>'Resultater - Vestdanmark'!D42</f>
        <v>Areal-skovtype3-20</v>
      </c>
      <c r="E42" s="99" t="str">
        <f>'Resultater - Vestdanmark'!E42</f>
        <v>Hektar</v>
      </c>
      <c r="F42" s="99" t="str">
        <f>'Resultater - Vestdanmark'!F42</f>
        <v>Træ til energi</v>
      </c>
      <c r="G42" s="99" t="str">
        <f>'Resultater - Vestdanmark'!G42</f>
        <v>m3</v>
      </c>
      <c r="H42" s="286">
        <f>'Resultater - Vestdanmark'!H42+'Resultater - Østdanmark'!H42</f>
        <v>0</v>
      </c>
      <c r="I42" s="287">
        <f>'Resultater - Vestdanmark'!I42+'Resultater - Østdanmark'!I42</f>
        <v>0</v>
      </c>
      <c r="J42" s="288">
        <f>'Resultater - Vestdanmark'!J42+'Resultater - Østdanmark'!J42</f>
        <v>0</v>
      </c>
    </row>
    <row r="43" spans="1:10" hidden="1" x14ac:dyDescent="0.55000000000000004">
      <c r="A43" s="99" t="str">
        <f>'Resultater - Vestdanmark'!A43</f>
        <v>Skovproduktion</v>
      </c>
      <c r="B43" s="99" t="str">
        <f>'Resultater - Vestdanmark'!B43</f>
        <v/>
      </c>
      <c r="C43" s="99" t="str">
        <f>'Resultater - Vestdanmark'!C43</f>
        <v>Skovtype3</v>
      </c>
      <c r="D43" s="99" t="str">
        <f>'Resultater - Vestdanmark'!D43</f>
        <v>Areal-skovtype3-20</v>
      </c>
      <c r="E43" s="99" t="str">
        <f>'Resultater - Vestdanmark'!E43</f>
        <v>Hektar</v>
      </c>
      <c r="F43" s="99" t="str">
        <f>'Resultater - Vestdanmark'!F43</f>
        <v>CO2 - atmosfære</v>
      </c>
      <c r="G43" s="99" t="str">
        <f>'Resultater - Vestdanmark'!G43</f>
        <v>t CO2-ækvivalenter</v>
      </c>
      <c r="H43" s="286">
        <f>'Resultater - Vestdanmark'!H43+'Resultater - Østdanmark'!H43</f>
        <v>0</v>
      </c>
      <c r="I43" s="287">
        <f>'Resultater - Vestdanmark'!I43+'Resultater - Østdanmark'!I43</f>
        <v>0</v>
      </c>
      <c r="J43" s="288">
        <f>'Resultater - Vestdanmark'!J43+'Resultater - Østdanmark'!J43</f>
        <v>0</v>
      </c>
    </row>
    <row r="44" spans="1:10" hidden="1" x14ac:dyDescent="0.55000000000000004">
      <c r="A44" s="99" t="str">
        <f>'Resultater - Vestdanmark'!A44</f>
        <v>Skovproduktion</v>
      </c>
      <c r="B44" s="99" t="str">
        <f>'Resultater - Vestdanmark'!B44</f>
        <v/>
      </c>
      <c r="C44" s="99" t="str">
        <f>'Resultater - Vestdanmark'!C44</f>
        <v>Skovtype3</v>
      </c>
      <c r="D44" s="99" t="str">
        <f>'Resultater - Vestdanmark'!D44</f>
        <v>Areal-skovtype3-30</v>
      </c>
      <c r="E44" s="99" t="str">
        <f>'Resultater - Vestdanmark'!E44</f>
        <v>Hektar</v>
      </c>
      <c r="F44" s="99" t="str">
        <f>'Resultater - Vestdanmark'!F44</f>
        <v>Træer</v>
      </c>
      <c r="G44" s="99" t="str">
        <f>'Resultater - Vestdanmark'!G44</f>
        <v>m3</v>
      </c>
      <c r="H44" s="286">
        <f>'Resultater - Vestdanmark'!H44+'Resultater - Østdanmark'!H44</f>
        <v>0</v>
      </c>
      <c r="I44" s="287">
        <f>'Resultater - Vestdanmark'!I44+'Resultater - Østdanmark'!I44</f>
        <v>0</v>
      </c>
      <c r="J44" s="288">
        <f>'Resultater - Vestdanmark'!J44+'Resultater - Østdanmark'!J44</f>
        <v>0</v>
      </c>
    </row>
    <row r="45" spans="1:10" hidden="1" x14ac:dyDescent="0.55000000000000004">
      <c r="A45" s="99" t="str">
        <f>'Resultater - Vestdanmark'!A45</f>
        <v>Skovproduktion</v>
      </c>
      <c r="B45" s="99" t="str">
        <f>'Resultater - Vestdanmark'!B45</f>
        <v/>
      </c>
      <c r="C45" s="99" t="str">
        <f>'Resultater - Vestdanmark'!C45</f>
        <v>Skovtype3</v>
      </c>
      <c r="D45" s="99" t="str">
        <f>'Resultater - Vestdanmark'!D45</f>
        <v>Areal-skovtype3-30</v>
      </c>
      <c r="E45" s="99" t="str">
        <f>'Resultater - Vestdanmark'!E45</f>
        <v>Hektar</v>
      </c>
      <c r="F45" s="99" t="str">
        <f>'Resultater - Vestdanmark'!F45</f>
        <v>Træ til energi</v>
      </c>
      <c r="G45" s="99" t="str">
        <f>'Resultater - Vestdanmark'!G45</f>
        <v>m3</v>
      </c>
      <c r="H45" s="286">
        <f>'Resultater - Vestdanmark'!H45+'Resultater - Østdanmark'!H45</f>
        <v>0</v>
      </c>
      <c r="I45" s="287">
        <f>'Resultater - Vestdanmark'!I45+'Resultater - Østdanmark'!I45</f>
        <v>0</v>
      </c>
      <c r="J45" s="288">
        <f>'Resultater - Vestdanmark'!J45+'Resultater - Østdanmark'!J45</f>
        <v>0</v>
      </c>
    </row>
    <row r="46" spans="1:10" hidden="1" x14ac:dyDescent="0.55000000000000004">
      <c r="A46" s="99" t="str">
        <f>'Resultater - Vestdanmark'!A46</f>
        <v>Skovproduktion</v>
      </c>
      <c r="B46" s="99" t="str">
        <f>'Resultater - Vestdanmark'!B46</f>
        <v/>
      </c>
      <c r="C46" s="99" t="str">
        <f>'Resultater - Vestdanmark'!C46</f>
        <v>Skovtype3</v>
      </c>
      <c r="D46" s="99" t="str">
        <f>'Resultater - Vestdanmark'!D46</f>
        <v>Areal-skovtype3-30</v>
      </c>
      <c r="E46" s="99" t="str">
        <f>'Resultater - Vestdanmark'!E46</f>
        <v>Hektar</v>
      </c>
      <c r="F46" s="99" t="str">
        <f>'Resultater - Vestdanmark'!F46</f>
        <v>CO2 - atmosfære</v>
      </c>
      <c r="G46" s="99" t="str">
        <f>'Resultater - Vestdanmark'!G46</f>
        <v>t CO2-ækvivalenter</v>
      </c>
      <c r="H46" s="286">
        <f>'Resultater - Vestdanmark'!H46+'Resultater - Østdanmark'!H46</f>
        <v>0</v>
      </c>
      <c r="I46" s="287">
        <f>'Resultater - Vestdanmark'!I46+'Resultater - Østdanmark'!I46</f>
        <v>0</v>
      </c>
      <c r="J46" s="288">
        <f>'Resultater - Vestdanmark'!J46+'Resultater - Østdanmark'!J46</f>
        <v>0</v>
      </c>
    </row>
    <row r="47" spans="1:10" hidden="1" x14ac:dyDescent="0.55000000000000004">
      <c r="A47" s="99" t="str">
        <f>'Resultater - Vestdanmark'!A47</f>
        <v>Skovproduktion</v>
      </c>
      <c r="B47" s="99" t="str">
        <f>'Resultater - Vestdanmark'!B47</f>
        <v/>
      </c>
      <c r="C47" s="99" t="str">
        <f>'Resultater - Vestdanmark'!C47</f>
        <v>Skovtype3</v>
      </c>
      <c r="D47" s="99" t="str">
        <f>'Resultater - Vestdanmark'!D47</f>
        <v>Areal-skovtype3-40</v>
      </c>
      <c r="E47" s="99" t="str">
        <f>'Resultater - Vestdanmark'!E47</f>
        <v>Hektar</v>
      </c>
      <c r="F47" s="99" t="str">
        <f>'Resultater - Vestdanmark'!F47</f>
        <v>Træer</v>
      </c>
      <c r="G47" s="99" t="str">
        <f>'Resultater - Vestdanmark'!G47</f>
        <v>m3</v>
      </c>
      <c r="H47" s="286">
        <f>'Resultater - Vestdanmark'!H47+'Resultater - Østdanmark'!H47</f>
        <v>0</v>
      </c>
      <c r="I47" s="287">
        <f>'Resultater - Vestdanmark'!I47+'Resultater - Østdanmark'!I47</f>
        <v>0</v>
      </c>
      <c r="J47" s="288">
        <f>'Resultater - Vestdanmark'!J47+'Resultater - Østdanmark'!J47</f>
        <v>0</v>
      </c>
    </row>
    <row r="48" spans="1:10" hidden="1" x14ac:dyDescent="0.55000000000000004">
      <c r="A48" s="99" t="str">
        <f>'Resultater - Vestdanmark'!A48</f>
        <v>Skovproduktion</v>
      </c>
      <c r="B48" s="99" t="str">
        <f>'Resultater - Vestdanmark'!B48</f>
        <v/>
      </c>
      <c r="C48" s="99" t="str">
        <f>'Resultater - Vestdanmark'!C48</f>
        <v>Skovtype3</v>
      </c>
      <c r="D48" s="99" t="str">
        <f>'Resultater - Vestdanmark'!D48</f>
        <v>Areal-skovtype3-40</v>
      </c>
      <c r="E48" s="99" t="str">
        <f>'Resultater - Vestdanmark'!E48</f>
        <v>Hektar</v>
      </c>
      <c r="F48" s="99" t="str">
        <f>'Resultater - Vestdanmark'!F48</f>
        <v>Træ til energi</v>
      </c>
      <c r="G48" s="99" t="str">
        <f>'Resultater - Vestdanmark'!G48</f>
        <v>m3</v>
      </c>
      <c r="H48" s="286">
        <f>'Resultater - Vestdanmark'!H48+'Resultater - Østdanmark'!H48</f>
        <v>0</v>
      </c>
      <c r="I48" s="287">
        <f>'Resultater - Vestdanmark'!I48+'Resultater - Østdanmark'!I48</f>
        <v>0</v>
      </c>
      <c r="J48" s="288">
        <f>'Resultater - Vestdanmark'!J48+'Resultater - Østdanmark'!J48</f>
        <v>0</v>
      </c>
    </row>
    <row r="49" spans="1:10" hidden="1" x14ac:dyDescent="0.55000000000000004">
      <c r="A49" s="99" t="str">
        <f>'Resultater - Vestdanmark'!A49</f>
        <v>Skovproduktion</v>
      </c>
      <c r="B49" s="99" t="str">
        <f>'Resultater - Vestdanmark'!B49</f>
        <v/>
      </c>
      <c r="C49" s="99" t="str">
        <f>'Resultater - Vestdanmark'!C49</f>
        <v>Skovtype3</v>
      </c>
      <c r="D49" s="99" t="str">
        <f>'Resultater - Vestdanmark'!D49</f>
        <v>Areal-skovtype3-40</v>
      </c>
      <c r="E49" s="99" t="str">
        <f>'Resultater - Vestdanmark'!E49</f>
        <v>Hektar</v>
      </c>
      <c r="F49" s="99" t="str">
        <f>'Resultater - Vestdanmark'!F49</f>
        <v>CO2 - atmosfære</v>
      </c>
      <c r="G49" s="99" t="str">
        <f>'Resultater - Vestdanmark'!G49</f>
        <v>t CO2-ækvivalenter</v>
      </c>
      <c r="H49" s="286">
        <f>'Resultater - Vestdanmark'!H49+'Resultater - Østdanmark'!H49</f>
        <v>0</v>
      </c>
      <c r="I49" s="287">
        <f>'Resultater - Vestdanmark'!I49+'Resultater - Østdanmark'!I49</f>
        <v>0</v>
      </c>
      <c r="J49" s="288">
        <f>'Resultater - Vestdanmark'!J49+'Resultater - Østdanmark'!J49</f>
        <v>0</v>
      </c>
    </row>
    <row r="50" spans="1:10" hidden="1" x14ac:dyDescent="0.55000000000000004">
      <c r="A50" s="99" t="str">
        <f>'Resultater - Vestdanmark'!A50</f>
        <v>Skovproduktion</v>
      </c>
      <c r="B50" s="99" t="str">
        <f>'Resultater - Vestdanmark'!B50</f>
        <v/>
      </c>
      <c r="C50" s="99" t="str">
        <f>'Resultater - Vestdanmark'!C50</f>
        <v>Skovtype4</v>
      </c>
      <c r="D50" s="99" t="str">
        <f>'Resultater - Vestdanmark'!D50</f>
        <v>Areal-skovtype4-10</v>
      </c>
      <c r="E50" s="99" t="str">
        <f>'Resultater - Vestdanmark'!E50</f>
        <v>Hektar</v>
      </c>
      <c r="F50" s="99" t="str">
        <f>'Resultater - Vestdanmark'!F50</f>
        <v>Træer</v>
      </c>
      <c r="G50" s="99" t="str">
        <f>'Resultater - Vestdanmark'!G50</f>
        <v>m3</v>
      </c>
      <c r="H50" s="286">
        <f>'Resultater - Vestdanmark'!H50+'Resultater - Østdanmark'!H50</f>
        <v>0</v>
      </c>
      <c r="I50" s="287">
        <f>'Resultater - Vestdanmark'!I50+'Resultater - Østdanmark'!I50</f>
        <v>0</v>
      </c>
      <c r="J50" s="288">
        <f>'Resultater - Vestdanmark'!J50+'Resultater - Østdanmark'!J50</f>
        <v>0</v>
      </c>
    </row>
    <row r="51" spans="1:10" hidden="1" x14ac:dyDescent="0.55000000000000004">
      <c r="A51" s="99" t="str">
        <f>'Resultater - Vestdanmark'!A51</f>
        <v>Skovproduktion</v>
      </c>
      <c r="B51" s="99" t="str">
        <f>'Resultater - Vestdanmark'!B51</f>
        <v/>
      </c>
      <c r="C51" s="99" t="str">
        <f>'Resultater - Vestdanmark'!C51</f>
        <v>Skovtype4</v>
      </c>
      <c r="D51" s="99" t="str">
        <f>'Resultater - Vestdanmark'!D51</f>
        <v>Areal-skovtype4-10</v>
      </c>
      <c r="E51" s="99" t="str">
        <f>'Resultater - Vestdanmark'!E51</f>
        <v>Hektar</v>
      </c>
      <c r="F51" s="99" t="str">
        <f>'Resultater - Vestdanmark'!F51</f>
        <v>Træ til energi</v>
      </c>
      <c r="G51" s="99" t="str">
        <f>'Resultater - Vestdanmark'!G51</f>
        <v>m3</v>
      </c>
      <c r="H51" s="286">
        <f>'Resultater - Vestdanmark'!H51+'Resultater - Østdanmark'!H51</f>
        <v>0</v>
      </c>
      <c r="I51" s="287">
        <f>'Resultater - Vestdanmark'!I51+'Resultater - Østdanmark'!I51</f>
        <v>0</v>
      </c>
      <c r="J51" s="288">
        <f>'Resultater - Vestdanmark'!J51+'Resultater - Østdanmark'!J51</f>
        <v>0</v>
      </c>
    </row>
    <row r="52" spans="1:10" hidden="1" x14ac:dyDescent="0.55000000000000004">
      <c r="A52" s="99" t="str">
        <f>'Resultater - Vestdanmark'!A52</f>
        <v>Skovproduktion</v>
      </c>
      <c r="B52" s="99" t="str">
        <f>'Resultater - Vestdanmark'!B52</f>
        <v/>
      </c>
      <c r="C52" s="99" t="str">
        <f>'Resultater - Vestdanmark'!C52</f>
        <v>Skovtype4</v>
      </c>
      <c r="D52" s="99" t="str">
        <f>'Resultater - Vestdanmark'!D52</f>
        <v>Areal-skovtype4-10</v>
      </c>
      <c r="E52" s="99" t="str">
        <f>'Resultater - Vestdanmark'!E52</f>
        <v>Hektar</v>
      </c>
      <c r="F52" s="99" t="str">
        <f>'Resultater - Vestdanmark'!F52</f>
        <v>CO2 - atmosfære</v>
      </c>
      <c r="G52" s="99" t="str">
        <f>'Resultater - Vestdanmark'!G52</f>
        <v>t CO2-ækvivalenter</v>
      </c>
      <c r="H52" s="286">
        <f>'Resultater - Vestdanmark'!H52+'Resultater - Østdanmark'!H52</f>
        <v>0</v>
      </c>
      <c r="I52" s="287">
        <f>'Resultater - Vestdanmark'!I52+'Resultater - Østdanmark'!I52</f>
        <v>0</v>
      </c>
      <c r="J52" s="288">
        <f>'Resultater - Vestdanmark'!J52+'Resultater - Østdanmark'!J52</f>
        <v>0</v>
      </c>
    </row>
    <row r="53" spans="1:10" hidden="1" x14ac:dyDescent="0.55000000000000004">
      <c r="A53" s="99" t="str">
        <f>'Resultater - Vestdanmark'!A53</f>
        <v>Skovproduktion</v>
      </c>
      <c r="B53" s="99" t="str">
        <f>'Resultater - Vestdanmark'!B53</f>
        <v/>
      </c>
      <c r="C53" s="99" t="str">
        <f>'Resultater - Vestdanmark'!C53</f>
        <v>Skovtype4</v>
      </c>
      <c r="D53" s="99" t="str">
        <f>'Resultater - Vestdanmark'!D53</f>
        <v>Areal-skovtype4-20</v>
      </c>
      <c r="E53" s="99" t="str">
        <f>'Resultater - Vestdanmark'!E53</f>
        <v>Hektar</v>
      </c>
      <c r="F53" s="99" t="str">
        <f>'Resultater - Vestdanmark'!F53</f>
        <v>Træer</v>
      </c>
      <c r="G53" s="99" t="str">
        <f>'Resultater - Vestdanmark'!G53</f>
        <v>m3</v>
      </c>
      <c r="H53" s="286">
        <f>'Resultater - Vestdanmark'!H53+'Resultater - Østdanmark'!H53</f>
        <v>0</v>
      </c>
      <c r="I53" s="287">
        <f>'Resultater - Vestdanmark'!I53+'Resultater - Østdanmark'!I53</f>
        <v>0</v>
      </c>
      <c r="J53" s="288">
        <f>'Resultater - Vestdanmark'!J53+'Resultater - Østdanmark'!J53</f>
        <v>0</v>
      </c>
    </row>
    <row r="54" spans="1:10" hidden="1" x14ac:dyDescent="0.55000000000000004">
      <c r="A54" s="99" t="str">
        <f>'Resultater - Vestdanmark'!A54</f>
        <v>Skovproduktion</v>
      </c>
      <c r="B54" s="99" t="str">
        <f>'Resultater - Vestdanmark'!B54</f>
        <v/>
      </c>
      <c r="C54" s="99" t="str">
        <f>'Resultater - Vestdanmark'!C54</f>
        <v>Skovtype4</v>
      </c>
      <c r="D54" s="99" t="str">
        <f>'Resultater - Vestdanmark'!D54</f>
        <v>Areal-skovtype4-20</v>
      </c>
      <c r="E54" s="99" t="str">
        <f>'Resultater - Vestdanmark'!E54</f>
        <v>Hektar</v>
      </c>
      <c r="F54" s="99" t="str">
        <f>'Resultater - Vestdanmark'!F54</f>
        <v>Træ til energi</v>
      </c>
      <c r="G54" s="99" t="str">
        <f>'Resultater - Vestdanmark'!G54</f>
        <v>m3</v>
      </c>
      <c r="H54" s="286">
        <f>'Resultater - Vestdanmark'!H54+'Resultater - Østdanmark'!H54</f>
        <v>0</v>
      </c>
      <c r="I54" s="287">
        <f>'Resultater - Vestdanmark'!I54+'Resultater - Østdanmark'!I54</f>
        <v>0</v>
      </c>
      <c r="J54" s="288">
        <f>'Resultater - Vestdanmark'!J54+'Resultater - Østdanmark'!J54</f>
        <v>0</v>
      </c>
    </row>
    <row r="55" spans="1:10" hidden="1" x14ac:dyDescent="0.55000000000000004">
      <c r="A55" s="99" t="str">
        <f>'Resultater - Vestdanmark'!A55</f>
        <v>Skovproduktion</v>
      </c>
      <c r="B55" s="99" t="str">
        <f>'Resultater - Vestdanmark'!B55</f>
        <v/>
      </c>
      <c r="C55" s="99" t="str">
        <f>'Resultater - Vestdanmark'!C55</f>
        <v>Skovtype4</v>
      </c>
      <c r="D55" s="99" t="str">
        <f>'Resultater - Vestdanmark'!D55</f>
        <v>Areal-skovtype4-20</v>
      </c>
      <c r="E55" s="99" t="str">
        <f>'Resultater - Vestdanmark'!E55</f>
        <v>Hektar</v>
      </c>
      <c r="F55" s="99" t="str">
        <f>'Resultater - Vestdanmark'!F55</f>
        <v>CO2 - atmosfære</v>
      </c>
      <c r="G55" s="99" t="str">
        <f>'Resultater - Vestdanmark'!G55</f>
        <v>t CO2-ækvivalenter</v>
      </c>
      <c r="H55" s="286">
        <f>'Resultater - Vestdanmark'!H55+'Resultater - Østdanmark'!H55</f>
        <v>0</v>
      </c>
      <c r="I55" s="287">
        <f>'Resultater - Vestdanmark'!I55+'Resultater - Østdanmark'!I55</f>
        <v>0</v>
      </c>
      <c r="J55" s="288">
        <f>'Resultater - Vestdanmark'!J55+'Resultater - Østdanmark'!J55</f>
        <v>0</v>
      </c>
    </row>
    <row r="56" spans="1:10" hidden="1" x14ac:dyDescent="0.55000000000000004">
      <c r="A56" s="99" t="str">
        <f>'Resultater - Vestdanmark'!A56</f>
        <v>Skovproduktion</v>
      </c>
      <c r="B56" s="99" t="str">
        <f>'Resultater - Vestdanmark'!B56</f>
        <v/>
      </c>
      <c r="C56" s="99" t="str">
        <f>'Resultater - Vestdanmark'!C56</f>
        <v>Skovtype4</v>
      </c>
      <c r="D56" s="99" t="str">
        <f>'Resultater - Vestdanmark'!D56</f>
        <v>Areal-skovtype4-30</v>
      </c>
      <c r="E56" s="99" t="str">
        <f>'Resultater - Vestdanmark'!E56</f>
        <v>Hektar</v>
      </c>
      <c r="F56" s="99" t="str">
        <f>'Resultater - Vestdanmark'!F56</f>
        <v>Træer</v>
      </c>
      <c r="G56" s="99" t="str">
        <f>'Resultater - Vestdanmark'!G56</f>
        <v>m3</v>
      </c>
      <c r="H56" s="286">
        <f>'Resultater - Vestdanmark'!H56+'Resultater - Østdanmark'!H56</f>
        <v>0</v>
      </c>
      <c r="I56" s="287">
        <f>'Resultater - Vestdanmark'!I56+'Resultater - Østdanmark'!I56</f>
        <v>0</v>
      </c>
      <c r="J56" s="288">
        <f>'Resultater - Vestdanmark'!J56+'Resultater - Østdanmark'!J56</f>
        <v>0</v>
      </c>
    </row>
    <row r="57" spans="1:10" hidden="1" x14ac:dyDescent="0.55000000000000004">
      <c r="A57" s="99" t="str">
        <f>'Resultater - Vestdanmark'!A57</f>
        <v>Skovproduktion</v>
      </c>
      <c r="B57" s="99" t="str">
        <f>'Resultater - Vestdanmark'!B57</f>
        <v/>
      </c>
      <c r="C57" s="99" t="str">
        <f>'Resultater - Vestdanmark'!C57</f>
        <v>Skovtype4</v>
      </c>
      <c r="D57" s="99" t="str">
        <f>'Resultater - Vestdanmark'!D57</f>
        <v>Areal-skovtype4-30</v>
      </c>
      <c r="E57" s="99" t="str">
        <f>'Resultater - Vestdanmark'!E57</f>
        <v>Hektar</v>
      </c>
      <c r="F57" s="99" t="str">
        <f>'Resultater - Vestdanmark'!F57</f>
        <v>Træ til energi</v>
      </c>
      <c r="G57" s="99" t="str">
        <f>'Resultater - Vestdanmark'!G57</f>
        <v>m3</v>
      </c>
      <c r="H57" s="286">
        <f>'Resultater - Vestdanmark'!H57+'Resultater - Østdanmark'!H57</f>
        <v>0</v>
      </c>
      <c r="I57" s="287">
        <f>'Resultater - Vestdanmark'!I57+'Resultater - Østdanmark'!I57</f>
        <v>0</v>
      </c>
      <c r="J57" s="288">
        <f>'Resultater - Vestdanmark'!J57+'Resultater - Østdanmark'!J57</f>
        <v>0</v>
      </c>
    </row>
    <row r="58" spans="1:10" hidden="1" x14ac:dyDescent="0.55000000000000004">
      <c r="A58" s="99" t="str">
        <f>'Resultater - Vestdanmark'!A58</f>
        <v>Skovproduktion</v>
      </c>
      <c r="B58" s="99" t="str">
        <f>'Resultater - Vestdanmark'!B58</f>
        <v/>
      </c>
      <c r="C58" s="99" t="str">
        <f>'Resultater - Vestdanmark'!C58</f>
        <v>Skovtype4</v>
      </c>
      <c r="D58" s="99" t="str">
        <f>'Resultater - Vestdanmark'!D58</f>
        <v>Areal-skovtype4-30</v>
      </c>
      <c r="E58" s="99" t="str">
        <f>'Resultater - Vestdanmark'!E58</f>
        <v>Hektar</v>
      </c>
      <c r="F58" s="99" t="str">
        <f>'Resultater - Vestdanmark'!F58</f>
        <v>CO2 - atmosfære</v>
      </c>
      <c r="G58" s="99" t="str">
        <f>'Resultater - Vestdanmark'!G58</f>
        <v>t CO2-ækvivalenter</v>
      </c>
      <c r="H58" s="286">
        <f>'Resultater - Vestdanmark'!H58+'Resultater - Østdanmark'!H58</f>
        <v>0</v>
      </c>
      <c r="I58" s="287">
        <f>'Resultater - Vestdanmark'!I58+'Resultater - Østdanmark'!I58</f>
        <v>0</v>
      </c>
      <c r="J58" s="288">
        <f>'Resultater - Vestdanmark'!J58+'Resultater - Østdanmark'!J58</f>
        <v>0</v>
      </c>
    </row>
    <row r="59" spans="1:10" hidden="1" x14ac:dyDescent="0.55000000000000004">
      <c r="A59" s="99" t="str">
        <f>'Resultater - Vestdanmark'!A59</f>
        <v>Skovproduktion</v>
      </c>
      <c r="B59" s="99" t="str">
        <f>'Resultater - Vestdanmark'!B59</f>
        <v/>
      </c>
      <c r="C59" s="99" t="str">
        <f>'Resultater - Vestdanmark'!C59</f>
        <v>Skovtype4</v>
      </c>
      <c r="D59" s="99" t="str">
        <f>'Resultater - Vestdanmark'!D59</f>
        <v>Areal-skovtype4-40</v>
      </c>
      <c r="E59" s="99" t="str">
        <f>'Resultater - Vestdanmark'!E59</f>
        <v>Hektar</v>
      </c>
      <c r="F59" s="99" t="str">
        <f>'Resultater - Vestdanmark'!F59</f>
        <v>Træer</v>
      </c>
      <c r="G59" s="99" t="str">
        <f>'Resultater - Vestdanmark'!G59</f>
        <v>m3</v>
      </c>
      <c r="H59" s="286">
        <f>'Resultater - Vestdanmark'!H59+'Resultater - Østdanmark'!H59</f>
        <v>0</v>
      </c>
      <c r="I59" s="287">
        <f>'Resultater - Vestdanmark'!I59+'Resultater - Østdanmark'!I59</f>
        <v>0</v>
      </c>
      <c r="J59" s="288">
        <f>'Resultater - Vestdanmark'!J59+'Resultater - Østdanmark'!J59</f>
        <v>0</v>
      </c>
    </row>
    <row r="60" spans="1:10" hidden="1" x14ac:dyDescent="0.55000000000000004">
      <c r="A60" s="99" t="str">
        <f>'Resultater - Vestdanmark'!A60</f>
        <v>Skovproduktion</v>
      </c>
      <c r="B60" s="99" t="str">
        <f>'Resultater - Vestdanmark'!B60</f>
        <v/>
      </c>
      <c r="C60" s="99" t="str">
        <f>'Resultater - Vestdanmark'!C60</f>
        <v>Skovtype4</v>
      </c>
      <c r="D60" s="99" t="str">
        <f>'Resultater - Vestdanmark'!D60</f>
        <v>Areal-skovtype4-40</v>
      </c>
      <c r="E60" s="99" t="str">
        <f>'Resultater - Vestdanmark'!E60</f>
        <v>Hektar</v>
      </c>
      <c r="F60" s="99" t="str">
        <f>'Resultater - Vestdanmark'!F60</f>
        <v>Træ til energi</v>
      </c>
      <c r="G60" s="99" t="str">
        <f>'Resultater - Vestdanmark'!G60</f>
        <v>m3</v>
      </c>
      <c r="H60" s="286">
        <f>'Resultater - Vestdanmark'!H60+'Resultater - Østdanmark'!H60</f>
        <v>0</v>
      </c>
      <c r="I60" s="287">
        <f>'Resultater - Vestdanmark'!I60+'Resultater - Østdanmark'!I60</f>
        <v>0</v>
      </c>
      <c r="J60" s="288">
        <f>'Resultater - Vestdanmark'!J60+'Resultater - Østdanmark'!J60</f>
        <v>0</v>
      </c>
    </row>
    <row r="61" spans="1:10" hidden="1" x14ac:dyDescent="0.55000000000000004">
      <c r="A61" s="99" t="str">
        <f>'Resultater - Vestdanmark'!A61</f>
        <v>Skovproduktion</v>
      </c>
      <c r="B61" s="99" t="str">
        <f>'Resultater - Vestdanmark'!B61</f>
        <v/>
      </c>
      <c r="C61" s="99" t="str">
        <f>'Resultater - Vestdanmark'!C61</f>
        <v>Skovtype4</v>
      </c>
      <c r="D61" s="99" t="str">
        <f>'Resultater - Vestdanmark'!D61</f>
        <v>Areal-skovtype4-40</v>
      </c>
      <c r="E61" s="99" t="str">
        <f>'Resultater - Vestdanmark'!E61</f>
        <v>Hektar</v>
      </c>
      <c r="F61" s="99" t="str">
        <f>'Resultater - Vestdanmark'!F61</f>
        <v>CO2 - atmosfære</v>
      </c>
      <c r="G61" s="99" t="str">
        <f>'Resultater - Vestdanmark'!G61</f>
        <v>t CO2-ækvivalenter</v>
      </c>
      <c r="H61" s="286">
        <f>'Resultater - Vestdanmark'!H61+'Resultater - Østdanmark'!H61</f>
        <v>0</v>
      </c>
      <c r="I61" s="287">
        <f>'Resultater - Vestdanmark'!I61+'Resultater - Østdanmark'!I61</f>
        <v>0</v>
      </c>
      <c r="J61" s="288">
        <f>'Resultater - Vestdanmark'!J61+'Resultater - Østdanmark'!J61</f>
        <v>0</v>
      </c>
    </row>
    <row r="62" spans="1:10" hidden="1" x14ac:dyDescent="0.55000000000000004">
      <c r="A62" s="99" t="str">
        <f>'Resultater - Vestdanmark'!A62</f>
        <v>Skovproduktion</v>
      </c>
      <c r="B62" s="99" t="str">
        <f>'Resultater - Vestdanmark'!B62</f>
        <v/>
      </c>
      <c r="C62" s="99" t="str">
        <f>'Resultater - Vestdanmark'!C62</f>
        <v>Skovtype5</v>
      </c>
      <c r="D62" s="99" t="str">
        <f>'Resultater - Vestdanmark'!D62</f>
        <v>Areal-skovtype5-10</v>
      </c>
      <c r="E62" s="99" t="str">
        <f>'Resultater - Vestdanmark'!E62</f>
        <v>Hektar</v>
      </c>
      <c r="F62" s="99" t="str">
        <f>'Resultater - Vestdanmark'!F62</f>
        <v>Træer</v>
      </c>
      <c r="G62" s="99" t="str">
        <f>'Resultater - Vestdanmark'!G62</f>
        <v>m3</v>
      </c>
      <c r="H62" s="286">
        <f>'Resultater - Vestdanmark'!H62+'Resultater - Østdanmark'!H62</f>
        <v>0</v>
      </c>
      <c r="I62" s="287">
        <f>'Resultater - Vestdanmark'!I62+'Resultater - Østdanmark'!I62</f>
        <v>0</v>
      </c>
      <c r="J62" s="288">
        <f>'Resultater - Vestdanmark'!J62+'Resultater - Østdanmark'!J62</f>
        <v>0</v>
      </c>
    </row>
    <row r="63" spans="1:10" hidden="1" x14ac:dyDescent="0.55000000000000004">
      <c r="A63" s="99" t="str">
        <f>'Resultater - Vestdanmark'!A63</f>
        <v>Skovproduktion</v>
      </c>
      <c r="B63" s="99" t="str">
        <f>'Resultater - Vestdanmark'!B63</f>
        <v/>
      </c>
      <c r="C63" s="99" t="str">
        <f>'Resultater - Vestdanmark'!C63</f>
        <v>Skovtype5</v>
      </c>
      <c r="D63" s="99" t="str">
        <f>'Resultater - Vestdanmark'!D63</f>
        <v>Areal-skovtype5-10</v>
      </c>
      <c r="E63" s="99" t="str">
        <f>'Resultater - Vestdanmark'!E63</f>
        <v>Hektar</v>
      </c>
      <c r="F63" s="99" t="str">
        <f>'Resultater - Vestdanmark'!F63</f>
        <v>Træ til energi</v>
      </c>
      <c r="G63" s="99" t="str">
        <f>'Resultater - Vestdanmark'!G63</f>
        <v>m3</v>
      </c>
      <c r="H63" s="286">
        <f>'Resultater - Vestdanmark'!H63+'Resultater - Østdanmark'!H63</f>
        <v>0</v>
      </c>
      <c r="I63" s="287">
        <f>'Resultater - Vestdanmark'!I63+'Resultater - Østdanmark'!I63</f>
        <v>0</v>
      </c>
      <c r="J63" s="288">
        <f>'Resultater - Vestdanmark'!J63+'Resultater - Østdanmark'!J63</f>
        <v>0</v>
      </c>
    </row>
    <row r="64" spans="1:10" hidden="1" x14ac:dyDescent="0.55000000000000004">
      <c r="A64" s="99" t="str">
        <f>'Resultater - Vestdanmark'!A64</f>
        <v>Skovproduktion</v>
      </c>
      <c r="B64" s="99" t="str">
        <f>'Resultater - Vestdanmark'!B64</f>
        <v/>
      </c>
      <c r="C64" s="99" t="str">
        <f>'Resultater - Vestdanmark'!C64</f>
        <v>Skovtype5</v>
      </c>
      <c r="D64" s="99" t="str">
        <f>'Resultater - Vestdanmark'!D64</f>
        <v>Areal-skovtype5-10</v>
      </c>
      <c r="E64" s="99" t="str">
        <f>'Resultater - Vestdanmark'!E64</f>
        <v>Hektar</v>
      </c>
      <c r="F64" s="99" t="str">
        <f>'Resultater - Vestdanmark'!F64</f>
        <v>CO2 - atmosfære</v>
      </c>
      <c r="G64" s="99" t="str">
        <f>'Resultater - Vestdanmark'!G64</f>
        <v>t CO2-ækvivalenter</v>
      </c>
      <c r="H64" s="286">
        <f>'Resultater - Vestdanmark'!H64+'Resultater - Østdanmark'!H64</f>
        <v>0</v>
      </c>
      <c r="I64" s="287">
        <f>'Resultater - Vestdanmark'!I64+'Resultater - Østdanmark'!I64</f>
        <v>0</v>
      </c>
      <c r="J64" s="288">
        <f>'Resultater - Vestdanmark'!J64+'Resultater - Østdanmark'!J64</f>
        <v>0</v>
      </c>
    </row>
    <row r="65" spans="1:10" hidden="1" x14ac:dyDescent="0.55000000000000004">
      <c r="A65" s="99" t="str">
        <f>'Resultater - Vestdanmark'!A65</f>
        <v>Skovproduktion</v>
      </c>
      <c r="B65" s="99" t="str">
        <f>'Resultater - Vestdanmark'!B65</f>
        <v/>
      </c>
      <c r="C65" s="99" t="str">
        <f>'Resultater - Vestdanmark'!C65</f>
        <v>Skovtype5</v>
      </c>
      <c r="D65" s="99" t="str">
        <f>'Resultater - Vestdanmark'!D65</f>
        <v>Areal-skovtype5-20</v>
      </c>
      <c r="E65" s="99" t="str">
        <f>'Resultater - Vestdanmark'!E65</f>
        <v>Hektar</v>
      </c>
      <c r="F65" s="99" t="str">
        <f>'Resultater - Vestdanmark'!F65</f>
        <v>Træer</v>
      </c>
      <c r="G65" s="99" t="str">
        <f>'Resultater - Vestdanmark'!G65</f>
        <v>m3</v>
      </c>
      <c r="H65" s="286">
        <f>'Resultater - Vestdanmark'!H65+'Resultater - Østdanmark'!H65</f>
        <v>0</v>
      </c>
      <c r="I65" s="287">
        <f>'Resultater - Vestdanmark'!I65+'Resultater - Østdanmark'!I65</f>
        <v>0</v>
      </c>
      <c r="J65" s="288">
        <f>'Resultater - Vestdanmark'!J65+'Resultater - Østdanmark'!J65</f>
        <v>0</v>
      </c>
    </row>
    <row r="66" spans="1:10" hidden="1" x14ac:dyDescent="0.55000000000000004">
      <c r="A66" s="99" t="str">
        <f>'Resultater - Vestdanmark'!A66</f>
        <v>Skovproduktion</v>
      </c>
      <c r="B66" s="99" t="str">
        <f>'Resultater - Vestdanmark'!B66</f>
        <v/>
      </c>
      <c r="C66" s="99" t="str">
        <f>'Resultater - Vestdanmark'!C66</f>
        <v>Skovtype5</v>
      </c>
      <c r="D66" s="99" t="str">
        <f>'Resultater - Vestdanmark'!D66</f>
        <v>Areal-skovtype5-20</v>
      </c>
      <c r="E66" s="99" t="str">
        <f>'Resultater - Vestdanmark'!E66</f>
        <v>Hektar</v>
      </c>
      <c r="F66" s="99" t="str">
        <f>'Resultater - Vestdanmark'!F66</f>
        <v>Træ til energi</v>
      </c>
      <c r="G66" s="99" t="str">
        <f>'Resultater - Vestdanmark'!G66</f>
        <v>m3</v>
      </c>
      <c r="H66" s="286">
        <f>'Resultater - Vestdanmark'!H66+'Resultater - Østdanmark'!H66</f>
        <v>0</v>
      </c>
      <c r="I66" s="287">
        <f>'Resultater - Vestdanmark'!I66+'Resultater - Østdanmark'!I66</f>
        <v>0</v>
      </c>
      <c r="J66" s="288">
        <f>'Resultater - Vestdanmark'!J66+'Resultater - Østdanmark'!J66</f>
        <v>0</v>
      </c>
    </row>
    <row r="67" spans="1:10" hidden="1" x14ac:dyDescent="0.55000000000000004">
      <c r="A67" s="99" t="str">
        <f>'Resultater - Vestdanmark'!A67</f>
        <v>Skovproduktion</v>
      </c>
      <c r="B67" s="99" t="str">
        <f>'Resultater - Vestdanmark'!B67</f>
        <v/>
      </c>
      <c r="C67" s="99" t="str">
        <f>'Resultater - Vestdanmark'!C67</f>
        <v>Skovtype5</v>
      </c>
      <c r="D67" s="99" t="str">
        <f>'Resultater - Vestdanmark'!D67</f>
        <v>Areal-skovtype5-20</v>
      </c>
      <c r="E67" s="99" t="str">
        <f>'Resultater - Vestdanmark'!E67</f>
        <v>Hektar</v>
      </c>
      <c r="F67" s="99" t="str">
        <f>'Resultater - Vestdanmark'!F67</f>
        <v>CO2 - atmosfære</v>
      </c>
      <c r="G67" s="99" t="str">
        <f>'Resultater - Vestdanmark'!G67</f>
        <v>t CO2-ækvivalenter</v>
      </c>
      <c r="H67" s="286">
        <f>'Resultater - Vestdanmark'!H67+'Resultater - Østdanmark'!H67</f>
        <v>0</v>
      </c>
      <c r="I67" s="287">
        <f>'Resultater - Vestdanmark'!I67+'Resultater - Østdanmark'!I67</f>
        <v>0</v>
      </c>
      <c r="J67" s="288">
        <f>'Resultater - Vestdanmark'!J67+'Resultater - Østdanmark'!J67</f>
        <v>0</v>
      </c>
    </row>
    <row r="68" spans="1:10" hidden="1" x14ac:dyDescent="0.55000000000000004">
      <c r="A68" s="99" t="str">
        <f>'Resultater - Vestdanmark'!A68</f>
        <v>Skovproduktion</v>
      </c>
      <c r="B68" s="99" t="str">
        <f>'Resultater - Vestdanmark'!B68</f>
        <v/>
      </c>
      <c r="C68" s="99" t="str">
        <f>'Resultater - Vestdanmark'!C68</f>
        <v>Skovtype5</v>
      </c>
      <c r="D68" s="99" t="str">
        <f>'Resultater - Vestdanmark'!D68</f>
        <v>Areal-skovtype5-30</v>
      </c>
      <c r="E68" s="99" t="str">
        <f>'Resultater - Vestdanmark'!E68</f>
        <v>Hektar</v>
      </c>
      <c r="F68" s="99" t="str">
        <f>'Resultater - Vestdanmark'!F68</f>
        <v>Træer</v>
      </c>
      <c r="G68" s="99" t="str">
        <f>'Resultater - Vestdanmark'!G68</f>
        <v>m3</v>
      </c>
      <c r="H68" s="286">
        <f>'Resultater - Vestdanmark'!H68+'Resultater - Østdanmark'!H68</f>
        <v>0</v>
      </c>
      <c r="I68" s="287">
        <f>'Resultater - Vestdanmark'!I68+'Resultater - Østdanmark'!I68</f>
        <v>0</v>
      </c>
      <c r="J68" s="288">
        <f>'Resultater - Vestdanmark'!J68+'Resultater - Østdanmark'!J68</f>
        <v>0</v>
      </c>
    </row>
    <row r="69" spans="1:10" hidden="1" x14ac:dyDescent="0.55000000000000004">
      <c r="A69" s="99" t="str">
        <f>'Resultater - Vestdanmark'!A69</f>
        <v>Skovproduktion</v>
      </c>
      <c r="B69" s="99" t="str">
        <f>'Resultater - Vestdanmark'!B69</f>
        <v/>
      </c>
      <c r="C69" s="99" t="str">
        <f>'Resultater - Vestdanmark'!C69</f>
        <v>Skovtype5</v>
      </c>
      <c r="D69" s="99" t="str">
        <f>'Resultater - Vestdanmark'!D69</f>
        <v>Areal-skovtype5-30</v>
      </c>
      <c r="E69" s="99" t="str">
        <f>'Resultater - Vestdanmark'!E69</f>
        <v>Hektar</v>
      </c>
      <c r="F69" s="99" t="str">
        <f>'Resultater - Vestdanmark'!F69</f>
        <v>Træ til energi</v>
      </c>
      <c r="G69" s="99" t="str">
        <f>'Resultater - Vestdanmark'!G69</f>
        <v>m3</v>
      </c>
      <c r="H69" s="286">
        <f>'Resultater - Vestdanmark'!H69+'Resultater - Østdanmark'!H69</f>
        <v>0</v>
      </c>
      <c r="I69" s="287">
        <f>'Resultater - Vestdanmark'!I69+'Resultater - Østdanmark'!I69</f>
        <v>0</v>
      </c>
      <c r="J69" s="288">
        <f>'Resultater - Vestdanmark'!J69+'Resultater - Østdanmark'!J69</f>
        <v>0</v>
      </c>
    </row>
    <row r="70" spans="1:10" hidden="1" x14ac:dyDescent="0.55000000000000004">
      <c r="A70" s="99" t="str">
        <f>'Resultater - Vestdanmark'!A70</f>
        <v>Skovproduktion</v>
      </c>
      <c r="B70" s="99" t="str">
        <f>'Resultater - Vestdanmark'!B70</f>
        <v/>
      </c>
      <c r="C70" s="99" t="str">
        <f>'Resultater - Vestdanmark'!C70</f>
        <v>Skovtype5</v>
      </c>
      <c r="D70" s="99" t="str">
        <f>'Resultater - Vestdanmark'!D70</f>
        <v>Areal-skovtype5-30</v>
      </c>
      <c r="E70" s="99" t="str">
        <f>'Resultater - Vestdanmark'!E70</f>
        <v>Hektar</v>
      </c>
      <c r="F70" s="99" t="str">
        <f>'Resultater - Vestdanmark'!F70</f>
        <v>CO2 - atmosfære</v>
      </c>
      <c r="G70" s="99" t="str">
        <f>'Resultater - Vestdanmark'!G70</f>
        <v>t CO2-ækvivalenter</v>
      </c>
      <c r="H70" s="286">
        <f>'Resultater - Vestdanmark'!H70+'Resultater - Østdanmark'!H70</f>
        <v>0</v>
      </c>
      <c r="I70" s="287">
        <f>'Resultater - Vestdanmark'!I70+'Resultater - Østdanmark'!I70</f>
        <v>0</v>
      </c>
      <c r="J70" s="288">
        <f>'Resultater - Vestdanmark'!J70+'Resultater - Østdanmark'!J70</f>
        <v>0</v>
      </c>
    </row>
    <row r="71" spans="1:10" hidden="1" x14ac:dyDescent="0.55000000000000004">
      <c r="A71" s="99" t="str">
        <f>'Resultater - Vestdanmark'!A71</f>
        <v>Skovproduktion</v>
      </c>
      <c r="B71" s="99" t="str">
        <f>'Resultater - Vestdanmark'!B71</f>
        <v/>
      </c>
      <c r="C71" s="99" t="str">
        <f>'Resultater - Vestdanmark'!C71</f>
        <v>Skovtype5</v>
      </c>
      <c r="D71" s="99" t="str">
        <f>'Resultater - Vestdanmark'!D71</f>
        <v>Areal-skovtype5-40</v>
      </c>
      <c r="E71" s="99" t="str">
        <f>'Resultater - Vestdanmark'!E71</f>
        <v>Hektar</v>
      </c>
      <c r="F71" s="99" t="str">
        <f>'Resultater - Vestdanmark'!F71</f>
        <v>Træer</v>
      </c>
      <c r="G71" s="99" t="str">
        <f>'Resultater - Vestdanmark'!G71</f>
        <v>m3</v>
      </c>
      <c r="H71" s="286">
        <f>'Resultater - Vestdanmark'!H71+'Resultater - Østdanmark'!H71</f>
        <v>0</v>
      </c>
      <c r="I71" s="287">
        <f>'Resultater - Vestdanmark'!I71+'Resultater - Østdanmark'!I71</f>
        <v>0</v>
      </c>
      <c r="J71" s="288">
        <f>'Resultater - Vestdanmark'!J71+'Resultater - Østdanmark'!J71</f>
        <v>0</v>
      </c>
    </row>
    <row r="72" spans="1:10" hidden="1" x14ac:dyDescent="0.55000000000000004">
      <c r="A72" s="99" t="str">
        <f>'Resultater - Vestdanmark'!A72</f>
        <v>Skovproduktion</v>
      </c>
      <c r="B72" s="99" t="str">
        <f>'Resultater - Vestdanmark'!B72</f>
        <v/>
      </c>
      <c r="C72" s="99" t="str">
        <f>'Resultater - Vestdanmark'!C72</f>
        <v>Skovtype5</v>
      </c>
      <c r="D72" s="99" t="str">
        <f>'Resultater - Vestdanmark'!D72</f>
        <v>Areal-skovtype5-40</v>
      </c>
      <c r="E72" s="99" t="str">
        <f>'Resultater - Vestdanmark'!E72</f>
        <v>Hektar</v>
      </c>
      <c r="F72" s="99" t="str">
        <f>'Resultater - Vestdanmark'!F72</f>
        <v>Træ til energi</v>
      </c>
      <c r="G72" s="99" t="str">
        <f>'Resultater - Vestdanmark'!G72</f>
        <v>m3</v>
      </c>
      <c r="H72" s="286">
        <f>'Resultater - Vestdanmark'!H72+'Resultater - Østdanmark'!H72</f>
        <v>0</v>
      </c>
      <c r="I72" s="287">
        <f>'Resultater - Vestdanmark'!I72+'Resultater - Østdanmark'!I72</f>
        <v>0</v>
      </c>
      <c r="J72" s="288">
        <f>'Resultater - Vestdanmark'!J72+'Resultater - Østdanmark'!J72</f>
        <v>0</v>
      </c>
    </row>
    <row r="73" spans="1:10" hidden="1" x14ac:dyDescent="0.55000000000000004">
      <c r="A73" s="99" t="str">
        <f>'Resultater - Vestdanmark'!A73</f>
        <v>Skovproduktion</v>
      </c>
      <c r="B73" s="99" t="str">
        <f>'Resultater - Vestdanmark'!B73</f>
        <v/>
      </c>
      <c r="C73" s="99" t="str">
        <f>'Resultater - Vestdanmark'!C73</f>
        <v>Skovtype5</v>
      </c>
      <c r="D73" s="99" t="str">
        <f>'Resultater - Vestdanmark'!D73</f>
        <v>Areal-skovtype5-40</v>
      </c>
      <c r="E73" s="99" t="str">
        <f>'Resultater - Vestdanmark'!E73</f>
        <v>Hektar</v>
      </c>
      <c r="F73" s="99" t="str">
        <f>'Resultater - Vestdanmark'!F73</f>
        <v>CO2 - atmosfære</v>
      </c>
      <c r="G73" s="99" t="str">
        <f>'Resultater - Vestdanmark'!G73</f>
        <v>t CO2-ækvivalenter</v>
      </c>
      <c r="H73" s="286">
        <f>'Resultater - Vestdanmark'!H73+'Resultater - Østdanmark'!H73</f>
        <v>0</v>
      </c>
      <c r="I73" s="287">
        <f>'Resultater - Vestdanmark'!I73+'Resultater - Østdanmark'!I73</f>
        <v>0</v>
      </c>
      <c r="J73" s="288">
        <f>'Resultater - Vestdanmark'!J73+'Resultater - Østdanmark'!J73</f>
        <v>0</v>
      </c>
    </row>
    <row r="74" spans="1:10" x14ac:dyDescent="0.55000000000000004">
      <c r="A74" s="99" t="str">
        <f>'Resultater - Vestdanmark'!A74</f>
        <v>Grisestald</v>
      </c>
      <c r="B74" s="99" t="str">
        <f>'Resultater - Vestdanmark'!B74</f>
        <v>Konventionel</v>
      </c>
      <c r="C74" s="99" t="str">
        <f>'Resultater - Vestdanmark'!C74</f>
        <v/>
      </c>
      <c r="D74" s="99" t="str">
        <f>'Resultater - Vestdanmark'!D74</f>
        <v>Svin</v>
      </c>
      <c r="E74" s="99" t="str">
        <f>'Resultater - Vestdanmark'!E74</f>
        <v>Antal</v>
      </c>
      <c r="F74" s="99" t="str">
        <f>'Resultater - Vestdanmark'!F74</f>
        <v>Slagtesvin</v>
      </c>
      <c r="G74" s="99" t="str">
        <f>'Resultater - Vestdanmark'!G74</f>
        <v>Antal</v>
      </c>
      <c r="H74" s="286">
        <f>'Resultater - Vestdanmark'!H74+'Resultater - Østdanmark'!H74</f>
        <v>16367972</v>
      </c>
      <c r="I74" s="287">
        <f>'Resultater - Vestdanmark'!I74+'Resultater - Østdanmark'!I74</f>
        <v>15999150.813625321</v>
      </c>
      <c r="J74" s="288">
        <f>'Resultater - Vestdanmark'!J74+'Resultater - Østdanmark'!J74</f>
        <v>15317211.798083663</v>
      </c>
    </row>
    <row r="75" spans="1:10" x14ac:dyDescent="0.55000000000000004">
      <c r="A75" s="99" t="str">
        <f>'Resultater - Vestdanmark'!A75</f>
        <v>Grisestald</v>
      </c>
      <c r="B75" s="99" t="str">
        <f>'Resultater - Vestdanmark'!B75</f>
        <v>Konventionel</v>
      </c>
      <c r="C75" s="99" t="str">
        <f>'Resultater - Vestdanmark'!C75</f>
        <v/>
      </c>
      <c r="D75" s="99" t="str">
        <f>'Resultater - Vestdanmark'!D75</f>
        <v>Svin</v>
      </c>
      <c r="E75" s="99" t="str">
        <f>'Resultater - Vestdanmark'!E75</f>
        <v>Antal</v>
      </c>
      <c r="F75" s="99" t="str">
        <f>'Resultater - Vestdanmark'!F75</f>
        <v>Svinegylle</v>
      </c>
      <c r="G75" s="99" t="str">
        <f>'Resultater - Vestdanmark'!G75</f>
        <v>Ton</v>
      </c>
      <c r="H75" s="286">
        <f>'Resultater - Vestdanmark'!H75+'Resultater - Østdanmark'!H75</f>
        <v>17657000</v>
      </c>
      <c r="I75" s="287">
        <f>'Resultater - Vestdanmark'!I75+'Resultater - Østdanmark'!I75</f>
        <v>17259133.013923913</v>
      </c>
      <c r="J75" s="288">
        <f>'Resultater - Vestdanmark'!J75+'Resultater - Østdanmark'!J75</f>
        <v>16523489.209216831</v>
      </c>
    </row>
    <row r="76" spans="1:10" x14ac:dyDescent="0.55000000000000004">
      <c r="A76" s="99" t="str">
        <f>'Resultater - Vestdanmark'!A76</f>
        <v>Grisestald</v>
      </c>
      <c r="B76" s="99" t="str">
        <f>'Resultater - Vestdanmark'!B76</f>
        <v>Konventionel</v>
      </c>
      <c r="C76" s="99" t="str">
        <f>'Resultater - Vestdanmark'!C76</f>
        <v/>
      </c>
      <c r="D76" s="99" t="str">
        <f>'Resultater - Vestdanmark'!D76</f>
        <v>Svin</v>
      </c>
      <c r="E76" s="99" t="str">
        <f>'Resultater - Vestdanmark'!E76</f>
        <v>Antal</v>
      </c>
      <c r="F76" s="99" t="str">
        <f>'Resultater - Vestdanmark'!F76</f>
        <v>Dybstrøelse</v>
      </c>
      <c r="G76" s="99" t="str">
        <f>'Resultater - Vestdanmark'!G76</f>
        <v>Ton</v>
      </c>
      <c r="H76" s="286">
        <f>'Resultater - Vestdanmark'!H76+'Resultater - Østdanmark'!H76</f>
        <v>2263500</v>
      </c>
      <c r="I76" s="287">
        <f>'Resultater - Vestdanmark'!I76+'Resultater - Østdanmark'!I76</f>
        <v>2212496.3231022703</v>
      </c>
      <c r="J76" s="288">
        <f>'Resultater - Vestdanmark'!J76+'Resultater - Østdanmark'!J76</f>
        <v>2118192.0952065638</v>
      </c>
    </row>
    <row r="77" spans="1:10" x14ac:dyDescent="0.55000000000000004">
      <c r="A77" s="99" t="str">
        <f>'Resultater - Vestdanmark'!A77</f>
        <v>Grisestald</v>
      </c>
      <c r="B77" s="99" t="str">
        <f>'Resultater - Vestdanmark'!B77</f>
        <v>Konventionel</v>
      </c>
      <c r="C77" s="99" t="str">
        <f>'Resultater - Vestdanmark'!C77</f>
        <v/>
      </c>
      <c r="D77" s="99" t="str">
        <f>'Resultater - Vestdanmark'!D77</f>
        <v>Svin</v>
      </c>
      <c r="E77" s="99" t="str">
        <f>'Resultater - Vestdanmark'!E77</f>
        <v>Antal</v>
      </c>
      <c r="F77" s="99" t="str">
        <f>'Resultater - Vestdanmark'!F77</f>
        <v>Industriaffald</v>
      </c>
      <c r="G77" s="99" t="str">
        <f>'Resultater - Vestdanmark'!G77</f>
        <v>Ton</v>
      </c>
      <c r="H77" s="286">
        <f>'Resultater - Vestdanmark'!H77+'Resultater - Østdanmark'!H77</f>
        <v>185011.20708453766</v>
      </c>
      <c r="I77" s="287">
        <f>'Resultater - Vestdanmark'!I77+'Resultater - Østdanmark'!I77</f>
        <v>180842.33064159585</v>
      </c>
      <c r="J77" s="288">
        <f>'Resultater - Vestdanmark'!J77+'Resultater - Østdanmark'!J77</f>
        <v>173134.20648159587</v>
      </c>
    </row>
    <row r="78" spans="1:10" x14ac:dyDescent="0.55000000000000004">
      <c r="A78" s="99" t="str">
        <f>'Resultater - Vestdanmark'!A78</f>
        <v>Grisestald</v>
      </c>
      <c r="B78" s="99" t="str">
        <f>'Resultater - Vestdanmark'!B78</f>
        <v>Konventionel</v>
      </c>
      <c r="C78" s="99" t="str">
        <f>'Resultater - Vestdanmark'!C78</f>
        <v/>
      </c>
      <c r="D78" s="99" t="str">
        <f>'Resultater - Vestdanmark'!D78</f>
        <v>Svin</v>
      </c>
      <c r="E78" s="99" t="str">
        <f>'Resultater - Vestdanmark'!E78</f>
        <v>Antal</v>
      </c>
      <c r="F78" s="99" t="str">
        <f>'Resultater - Vestdanmark'!F78</f>
        <v>Foder</v>
      </c>
      <c r="G78" s="99" t="str">
        <f>'Resultater - Vestdanmark'!G78</f>
        <v>FE</v>
      </c>
      <c r="H78" s="286">
        <f>'Resultater - Vestdanmark'!H78+'Resultater - Østdanmark'!H78</f>
        <v>-10101447931.960001</v>
      </c>
      <c r="I78" s="287">
        <f>'Resultater - Vestdanmark'!I78+'Resultater - Østdanmark'!I78</f>
        <v>-9873830973.0375652</v>
      </c>
      <c r="J78" s="288">
        <f>'Resultater - Vestdanmark'!J78+'Resultater - Østdanmark'!J78</f>
        <v>-9452974225.5879669</v>
      </c>
    </row>
    <row r="79" spans="1:10" x14ac:dyDescent="0.55000000000000004">
      <c r="A79" s="99" t="str">
        <f>'Resultater - Vestdanmark'!A79</f>
        <v>Grisestald</v>
      </c>
      <c r="B79" s="99" t="str">
        <f>'Resultater - Vestdanmark'!B79</f>
        <v>Konventionel</v>
      </c>
      <c r="C79" s="99" t="str">
        <f>'Resultater - Vestdanmark'!C79</f>
        <v/>
      </c>
      <c r="D79" s="99" t="str">
        <f>'Resultater - Vestdanmark'!D79</f>
        <v>Svin</v>
      </c>
      <c r="E79" s="99" t="str">
        <f>'Resultater - Vestdanmark'!E79</f>
        <v>Antal</v>
      </c>
      <c r="F79" s="99" t="str">
        <f>'Resultater - Vestdanmark'!F79</f>
        <v>Halm</v>
      </c>
      <c r="G79" s="99" t="str">
        <f>'Resultater - Vestdanmark'!G79</f>
        <v>Ton</v>
      </c>
      <c r="H79" s="286">
        <f>'Resultater - Vestdanmark'!H79+'Resultater - Østdanmark'!H79</f>
        <v>-775790.06759999995</v>
      </c>
      <c r="I79" s="287">
        <f>'Resultater - Vestdanmark'!I79+'Resultater - Østdanmark'!I79</f>
        <v>-758309.11069770774</v>
      </c>
      <c r="J79" s="288">
        <f>'Resultater - Vestdanmark'!J79+'Resultater - Østdanmark'!J79</f>
        <v>-725987.35972170788</v>
      </c>
    </row>
    <row r="80" spans="1:10" x14ac:dyDescent="0.55000000000000004">
      <c r="A80" s="99" t="str">
        <f>'Resultater - Vestdanmark'!A80</f>
        <v>Grisestald</v>
      </c>
      <c r="B80" s="99" t="str">
        <f>'Resultater - Vestdanmark'!B80</f>
        <v>Konventionel</v>
      </c>
      <c r="C80" s="99" t="str">
        <f>'Resultater - Vestdanmark'!C80</f>
        <v/>
      </c>
      <c r="D80" s="99" t="str">
        <f>'Resultater - Vestdanmark'!D80</f>
        <v>Svin</v>
      </c>
      <c r="E80" s="99" t="str">
        <f>'Resultater - Vestdanmark'!E80</f>
        <v>Antal</v>
      </c>
      <c r="F80" s="99" t="str">
        <f>'Resultater - Vestdanmark'!F80</f>
        <v>CO2 - atmosfære</v>
      </c>
      <c r="G80" s="99" t="str">
        <f>'Resultater - Vestdanmark'!G80</f>
        <v>t CO2-ækvivalenter</v>
      </c>
      <c r="H80" s="286">
        <f>'Resultater - Vestdanmark'!H80+'Resultater - Østdanmark'!H80</f>
        <v>1322792.8112606632</v>
      </c>
      <c r="I80" s="287">
        <f>'Resultater - Vestdanmark'!I80+'Resultater - Østdanmark'!I80</f>
        <v>1292986.1856153444</v>
      </c>
      <c r="J80" s="288">
        <f>'Resultater - Vestdanmark'!J80+'Resultater - Østdanmark'!J80</f>
        <v>1237874.6527096995</v>
      </c>
    </row>
    <row r="81" spans="1:10" x14ac:dyDescent="0.55000000000000004">
      <c r="A81" s="99" t="str">
        <f>'Resultater - Vestdanmark'!A81</f>
        <v>Grisestald</v>
      </c>
      <c r="B81" s="99" t="str">
        <f>'Resultater - Vestdanmark'!B81</f>
        <v>Økologisk</v>
      </c>
      <c r="C81" s="99" t="str">
        <f>'Resultater - Vestdanmark'!C81</f>
        <v/>
      </c>
      <c r="D81" s="99" t="str">
        <f>'Resultater - Vestdanmark'!D81</f>
        <v>Svin</v>
      </c>
      <c r="E81" s="99" t="str">
        <f>'Resultater - Vestdanmark'!E81</f>
        <v>Antal</v>
      </c>
      <c r="F81" s="99" t="str">
        <f>'Resultater - Vestdanmark'!F81</f>
        <v>Slagtesvin</v>
      </c>
      <c r="G81" s="99" t="str">
        <f>'Resultater - Vestdanmark'!G81</f>
        <v>Antal</v>
      </c>
      <c r="H81" s="286">
        <f>'Resultater - Vestdanmark'!H81+'Resultater - Østdanmark'!H81</f>
        <v>232028</v>
      </c>
      <c r="I81" s="287">
        <f>'Resultater - Vestdanmark'!I81+'Resultater - Østdanmark'!I81</f>
        <v>357783.20368173748</v>
      </c>
      <c r="J81" s="288">
        <f>'Resultater - Vestdanmark'!J81+'Resultater - Østdanmark'!J81</f>
        <v>590300.70258388924</v>
      </c>
    </row>
    <row r="82" spans="1:10" x14ac:dyDescent="0.55000000000000004">
      <c r="A82" s="99" t="str">
        <f>'Resultater - Vestdanmark'!A82</f>
        <v>Grisestald</v>
      </c>
      <c r="B82" s="99" t="str">
        <f>'Resultater - Vestdanmark'!B82</f>
        <v>Økologisk</v>
      </c>
      <c r="C82" s="99" t="str">
        <f>'Resultater - Vestdanmark'!C82</f>
        <v/>
      </c>
      <c r="D82" s="99" t="str">
        <f>'Resultater - Vestdanmark'!D82</f>
        <v>Svin</v>
      </c>
      <c r="E82" s="99" t="str">
        <f>'Resultater - Vestdanmark'!E82</f>
        <v>Antal</v>
      </c>
      <c r="F82" s="99" t="str">
        <f>'Resultater - Vestdanmark'!F82</f>
        <v>Svinegylle</v>
      </c>
      <c r="G82" s="99" t="str">
        <f>'Resultater - Vestdanmark'!G82</f>
        <v>Ton</v>
      </c>
      <c r="H82" s="286">
        <f>'Resultater - Vestdanmark'!H82+'Resultater - Østdanmark'!H82</f>
        <v>0</v>
      </c>
      <c r="I82" s="287">
        <f>'Resultater - Vestdanmark'!I82+'Resultater - Østdanmark'!I82</f>
        <v>0</v>
      </c>
      <c r="J82" s="288">
        <f>'Resultater - Vestdanmark'!J82+'Resultater - Østdanmark'!J82</f>
        <v>0</v>
      </c>
    </row>
    <row r="83" spans="1:10" x14ac:dyDescent="0.55000000000000004">
      <c r="A83" s="99" t="str">
        <f>'Resultater - Vestdanmark'!A83</f>
        <v>Grisestald</v>
      </c>
      <c r="B83" s="99" t="str">
        <f>'Resultater - Vestdanmark'!B83</f>
        <v>Økologisk</v>
      </c>
      <c r="C83" s="99" t="str">
        <f>'Resultater - Vestdanmark'!C83</f>
        <v/>
      </c>
      <c r="D83" s="99" t="str">
        <f>'Resultater - Vestdanmark'!D83</f>
        <v>Svin</v>
      </c>
      <c r="E83" s="99" t="str">
        <f>'Resultater - Vestdanmark'!E83</f>
        <v>Antal</v>
      </c>
      <c r="F83" s="99" t="str">
        <f>'Resultater - Vestdanmark'!F83</f>
        <v>Dybstrøelse</v>
      </c>
      <c r="G83" s="99" t="str">
        <f>'Resultater - Vestdanmark'!G83</f>
        <v>Ton</v>
      </c>
      <c r="H83" s="286">
        <f>'Resultater - Vestdanmark'!H83+'Resultater - Østdanmark'!H83</f>
        <v>251500.00000000003</v>
      </c>
      <c r="I83" s="287">
        <f>'Resultater - Vestdanmark'!I83+'Resultater - Østdanmark'!I83</f>
        <v>387808.6943211896</v>
      </c>
      <c r="J83" s="288">
        <f>'Resultater - Vestdanmark'!J83+'Resultater - Østdanmark'!J83</f>
        <v>639839.27241474367</v>
      </c>
    </row>
    <row r="84" spans="1:10" x14ac:dyDescent="0.55000000000000004">
      <c r="A84" s="99" t="str">
        <f>'Resultater - Vestdanmark'!A84</f>
        <v>Grisestald</v>
      </c>
      <c r="B84" s="99" t="str">
        <f>'Resultater - Vestdanmark'!B84</f>
        <v>Økologisk</v>
      </c>
      <c r="C84" s="99" t="str">
        <f>'Resultater - Vestdanmark'!C84</f>
        <v/>
      </c>
      <c r="D84" s="99" t="str">
        <f>'Resultater - Vestdanmark'!D84</f>
        <v>Svin</v>
      </c>
      <c r="E84" s="99" t="str">
        <f>'Resultater - Vestdanmark'!E84</f>
        <v>Antal</v>
      </c>
      <c r="F84" s="99" t="str">
        <f>'Resultater - Vestdanmark'!F84</f>
        <v>Industriaffald</v>
      </c>
      <c r="G84" s="99" t="str">
        <f>'Resultater - Vestdanmark'!G84</f>
        <v>Ton</v>
      </c>
      <c r="H84" s="286">
        <f>'Resultater - Vestdanmark'!H84+'Resultater - Østdanmark'!H84</f>
        <v>7691.8969154623392</v>
      </c>
      <c r="I84" s="287">
        <f>'Resultater - Vestdanmark'!I84+'Resultater - Østdanmark'!I84</f>
        <v>11860.773358404118</v>
      </c>
      <c r="J84" s="288">
        <f>'Resultater - Vestdanmark'!J84+'Resultater - Østdanmark'!J84</f>
        <v>19568.897518404112</v>
      </c>
    </row>
    <row r="85" spans="1:10" x14ac:dyDescent="0.55000000000000004">
      <c r="A85" s="99" t="str">
        <f>'Resultater - Vestdanmark'!A85</f>
        <v>Grisestald</v>
      </c>
      <c r="B85" s="99" t="str">
        <f>'Resultater - Vestdanmark'!B85</f>
        <v>Økologisk</v>
      </c>
      <c r="C85" s="99" t="str">
        <f>'Resultater - Vestdanmark'!C85</f>
        <v/>
      </c>
      <c r="D85" s="99" t="str">
        <f>'Resultater - Vestdanmark'!D85</f>
        <v>Svin</v>
      </c>
      <c r="E85" s="99" t="str">
        <f>'Resultater - Vestdanmark'!E85</f>
        <v>Antal</v>
      </c>
      <c r="F85" s="99" t="str">
        <f>'Resultater - Vestdanmark'!F85</f>
        <v>Foder</v>
      </c>
      <c r="G85" s="99" t="str">
        <f>'Resultater - Vestdanmark'!G85</f>
        <v>FE</v>
      </c>
      <c r="H85" s="286">
        <f>'Resultater - Vestdanmark'!H85+'Resultater - Østdanmark'!H85</f>
        <v>-419970754.27999997</v>
      </c>
      <c r="I85" s="287">
        <f>'Resultater - Vestdanmark'!I85+'Resultater - Østdanmark'!I85</f>
        <v>-647587713.20243311</v>
      </c>
      <c r="J85" s="288">
        <f>'Resultater - Vestdanmark'!J85+'Resultater - Østdanmark'!J85</f>
        <v>-1068444460.6520331</v>
      </c>
    </row>
    <row r="86" spans="1:10" x14ac:dyDescent="0.55000000000000004">
      <c r="A86" s="99" t="str">
        <f>'Resultater - Vestdanmark'!A86</f>
        <v>Grisestald</v>
      </c>
      <c r="B86" s="99" t="str">
        <f>'Resultater - Vestdanmark'!B86</f>
        <v>Økologisk</v>
      </c>
      <c r="C86" s="99" t="str">
        <f>'Resultater - Vestdanmark'!C86</f>
        <v/>
      </c>
      <c r="D86" s="99" t="str">
        <f>'Resultater - Vestdanmark'!D86</f>
        <v>Svin</v>
      </c>
      <c r="E86" s="99" t="str">
        <f>'Resultater - Vestdanmark'!E86</f>
        <v>Antal</v>
      </c>
      <c r="F86" s="99" t="str">
        <f>'Resultater - Vestdanmark'!F86</f>
        <v>Halm</v>
      </c>
      <c r="G86" s="99" t="str">
        <f>'Resultater - Vestdanmark'!G86</f>
        <v>Ton</v>
      </c>
      <c r="H86" s="286">
        <f>'Resultater - Vestdanmark'!H86+'Resultater - Østdanmark'!H86</f>
        <v>-28350.861000000001</v>
      </c>
      <c r="I86" s="287">
        <f>'Resultater - Vestdanmark'!I86+'Resultater - Østdanmark'!I86</f>
        <v>-43716.542295393781</v>
      </c>
      <c r="J86" s="288">
        <f>'Resultater - Vestdanmark'!J86+'Resultater - Østdanmark'!J86</f>
        <v>-72127.21381539377</v>
      </c>
    </row>
    <row r="87" spans="1:10" x14ac:dyDescent="0.55000000000000004">
      <c r="A87" s="99" t="str">
        <f>'Resultater - Vestdanmark'!A87</f>
        <v>Grisestald</v>
      </c>
      <c r="B87" s="99" t="str">
        <f>'Resultater - Vestdanmark'!B87</f>
        <v>Økologisk</v>
      </c>
      <c r="C87" s="99" t="str">
        <f>'Resultater - Vestdanmark'!C87</f>
        <v/>
      </c>
      <c r="D87" s="99" t="str">
        <f>'Resultater - Vestdanmark'!D87</f>
        <v>Svin</v>
      </c>
      <c r="E87" s="99" t="str">
        <f>'Resultater - Vestdanmark'!E87</f>
        <v>Antal</v>
      </c>
      <c r="F87" s="99" t="str">
        <f>'Resultater - Vestdanmark'!F87</f>
        <v>CO2 - atmosfære</v>
      </c>
      <c r="G87" s="99" t="str">
        <f>'Resultater - Vestdanmark'!G87</f>
        <v>t CO2-ækvivalenter</v>
      </c>
      <c r="H87" s="286">
        <f>'Resultater - Vestdanmark'!H87+'Resultater - Østdanmark'!H87</f>
        <v>60495.062518513841</v>
      </c>
      <c r="I87" s="287">
        <f>'Resultater - Vestdanmark'!I87+'Resultater - Østdanmark'!I87</f>
        <v>93282.350728364167</v>
      </c>
      <c r="J87" s="288">
        <f>'Resultater - Vestdanmark'!J87+'Resultater - Østdanmark'!J87</f>
        <v>153905.03692457388</v>
      </c>
    </row>
    <row r="88" spans="1:10" x14ac:dyDescent="0.55000000000000004">
      <c r="A88" s="99" t="str">
        <f>'Resultater - Vestdanmark'!A88</f>
        <v>Kostald</v>
      </c>
      <c r="B88" s="99" t="str">
        <f>'Resultater - Vestdanmark'!B88</f>
        <v>Konventionel</v>
      </c>
      <c r="C88" s="99" t="str">
        <f>'Resultater - Vestdanmark'!C88</f>
        <v/>
      </c>
      <c r="D88" s="99" t="str">
        <f>'Resultater - Vestdanmark'!D88</f>
        <v>Køer</v>
      </c>
      <c r="E88" s="99" t="str">
        <f>'Resultater - Vestdanmark'!E88</f>
        <v>Antal</v>
      </c>
      <c r="F88" s="99" t="str">
        <f>'Resultater - Vestdanmark'!F88</f>
        <v>Slagtekøer</v>
      </c>
      <c r="G88" s="99" t="str">
        <f>'Resultater - Vestdanmark'!G88</f>
        <v>Antal</v>
      </c>
      <c r="H88" s="286">
        <f>'Resultater - Vestdanmark'!H88+'Resultater - Østdanmark'!H88</f>
        <v>440600</v>
      </c>
      <c r="I88" s="287">
        <f>'Resultater - Vestdanmark'!I88+'Resultater - Østdanmark'!I88</f>
        <v>429380.51670086844</v>
      </c>
      <c r="J88" s="288">
        <f>'Resultater - Vestdanmark'!J88+'Resultater - Østdanmark'!J88</f>
        <v>408636.03759135393</v>
      </c>
    </row>
    <row r="89" spans="1:10" x14ac:dyDescent="0.55000000000000004">
      <c r="A89" s="99" t="str">
        <f>'Resultater - Vestdanmark'!A89</f>
        <v>Kostald</v>
      </c>
      <c r="B89" s="99" t="str">
        <f>'Resultater - Vestdanmark'!B89</f>
        <v>Konventionel</v>
      </c>
      <c r="C89" s="99" t="str">
        <f>'Resultater - Vestdanmark'!C89</f>
        <v/>
      </c>
      <c r="D89" s="99" t="str">
        <f>'Resultater - Vestdanmark'!D89</f>
        <v>Køer</v>
      </c>
      <c r="E89" s="99" t="str">
        <f>'Resultater - Vestdanmark'!E89</f>
        <v>Antal</v>
      </c>
      <c r="F89" s="99" t="str">
        <f>'Resultater - Vestdanmark'!F89</f>
        <v>Kvæggylle</v>
      </c>
      <c r="G89" s="99" t="str">
        <f>'Resultater - Vestdanmark'!G89</f>
        <v>Ton</v>
      </c>
      <c r="H89" s="286">
        <f>'Resultater - Vestdanmark'!H89+'Resultater - Østdanmark'!H89</f>
        <v>12785500</v>
      </c>
      <c r="I89" s="287">
        <f>'Resultater - Vestdanmark'!I89+'Resultater - Østdanmark'!I89</f>
        <v>12459928.725099757</v>
      </c>
      <c r="J89" s="288">
        <f>'Resultater - Vestdanmark'!J89+'Resultater - Østdanmark'!J89</f>
        <v>11857957.463967897</v>
      </c>
    </row>
    <row r="90" spans="1:10" x14ac:dyDescent="0.55000000000000004">
      <c r="A90" s="99" t="str">
        <f>'Resultater - Vestdanmark'!A90</f>
        <v>Kostald</v>
      </c>
      <c r="B90" s="99" t="str">
        <f>'Resultater - Vestdanmark'!B90</f>
        <v>Konventionel</v>
      </c>
      <c r="C90" s="99" t="str">
        <f>'Resultater - Vestdanmark'!C90</f>
        <v/>
      </c>
      <c r="D90" s="99" t="str">
        <f>'Resultater - Vestdanmark'!D90</f>
        <v>Køer</v>
      </c>
      <c r="E90" s="99" t="str">
        <f>'Resultater - Vestdanmark'!E90</f>
        <v>Antal</v>
      </c>
      <c r="F90" s="99" t="str">
        <f>'Resultater - Vestdanmark'!F90</f>
        <v>Dybstrøelse</v>
      </c>
      <c r="G90" s="99" t="str">
        <f>'Resultater - Vestdanmark'!G90</f>
        <v>Ton</v>
      </c>
      <c r="H90" s="286">
        <f>'Resultater - Vestdanmark'!H90+'Resultater - Østdanmark'!H90</f>
        <v>250560.00000000003</v>
      </c>
      <c r="I90" s="287">
        <f>'Resultater - Vestdanmark'!I90+'Resultater - Østdanmark'!I90</f>
        <v>244179.71462680344</v>
      </c>
      <c r="J90" s="288">
        <f>'Resultater - Vestdanmark'!J90+'Resultater - Østdanmark'!J90</f>
        <v>232382.76345639958</v>
      </c>
    </row>
    <row r="91" spans="1:10" x14ac:dyDescent="0.55000000000000004">
      <c r="A91" s="99" t="str">
        <f>'Resultater - Vestdanmark'!A91</f>
        <v>Kostald</v>
      </c>
      <c r="B91" s="99" t="str">
        <f>'Resultater - Vestdanmark'!B91</f>
        <v>Konventionel</v>
      </c>
      <c r="C91" s="99" t="str">
        <f>'Resultater - Vestdanmark'!C91</f>
        <v/>
      </c>
      <c r="D91" s="99" t="str">
        <f>'Resultater - Vestdanmark'!D91</f>
        <v>Køer</v>
      </c>
      <c r="E91" s="99" t="str">
        <f>'Resultater - Vestdanmark'!E91</f>
        <v>Antal</v>
      </c>
      <c r="F91" s="99" t="str">
        <f>'Resultater - Vestdanmark'!F91</f>
        <v>Råmælk</v>
      </c>
      <c r="G91" s="99" t="str">
        <f>'Resultater - Vestdanmark'!G91</f>
        <v>Ton</v>
      </c>
      <c r="H91" s="286">
        <f>'Resultater - Vestdanmark'!H91+'Resultater - Østdanmark'!H91</f>
        <v>4786000</v>
      </c>
      <c r="I91" s="287">
        <f>'Resultater - Vestdanmark'!I91+'Resultater - Østdanmark'!I91</f>
        <v>4664128.8082849663</v>
      </c>
      <c r="J91" s="288">
        <f>'Resultater - Vestdanmark'!J91+'Resultater - Østdanmark'!J91</f>
        <v>4438792.7278988203</v>
      </c>
    </row>
    <row r="92" spans="1:10" x14ac:dyDescent="0.55000000000000004">
      <c r="A92" s="99" t="str">
        <f>'Resultater - Vestdanmark'!A92</f>
        <v>Kostald</v>
      </c>
      <c r="B92" s="99" t="str">
        <f>'Resultater - Vestdanmark'!B92</f>
        <v>Konventionel</v>
      </c>
      <c r="C92" s="99" t="str">
        <f>'Resultater - Vestdanmark'!C92</f>
        <v/>
      </c>
      <c r="D92" s="99" t="str">
        <f>'Resultater - Vestdanmark'!D92</f>
        <v>Køer</v>
      </c>
      <c r="E92" s="99" t="str">
        <f>'Resultater - Vestdanmark'!E92</f>
        <v>Antal</v>
      </c>
      <c r="F92" s="99" t="str">
        <f>'Resultater - Vestdanmark'!F92</f>
        <v>Industriaffald</v>
      </c>
      <c r="G92" s="99" t="str">
        <f>'Resultater - Vestdanmark'!G92</f>
        <v>Ton</v>
      </c>
      <c r="H92" s="286">
        <f>'Resultater - Vestdanmark'!H92+'Resultater - Østdanmark'!H92</f>
        <v>54522.149641311174</v>
      </c>
      <c r="I92" s="287">
        <f>'Resultater - Vestdanmark'!I92+'Resultater - Østdanmark'!I92</f>
        <v>53133.792066791335</v>
      </c>
      <c r="J92" s="288">
        <f>'Resultater - Vestdanmark'!J92+'Resultater - Østdanmark'!J92</f>
        <v>50566.761666791324</v>
      </c>
    </row>
    <row r="93" spans="1:10" x14ac:dyDescent="0.55000000000000004">
      <c r="A93" s="99" t="str">
        <f>'Resultater - Vestdanmark'!A93</f>
        <v>Kostald</v>
      </c>
      <c r="B93" s="99" t="str">
        <f>'Resultater - Vestdanmark'!B93</f>
        <v>Konventionel</v>
      </c>
      <c r="C93" s="99" t="str">
        <f>'Resultater - Vestdanmark'!C93</f>
        <v/>
      </c>
      <c r="D93" s="99" t="str">
        <f>'Resultater - Vestdanmark'!D93</f>
        <v>Køer</v>
      </c>
      <c r="E93" s="99" t="str">
        <f>'Resultater - Vestdanmark'!E93</f>
        <v>Antal</v>
      </c>
      <c r="F93" s="99" t="str">
        <f>'Resultater - Vestdanmark'!F93</f>
        <v>Foder</v>
      </c>
      <c r="G93" s="99" t="str">
        <f>'Resultater - Vestdanmark'!G93</f>
        <v>FE</v>
      </c>
      <c r="H93" s="286">
        <f>'Resultater - Vestdanmark'!H93+'Resultater - Østdanmark'!H93</f>
        <v>-3317225912</v>
      </c>
      <c r="I93" s="287">
        <f>'Resultater - Vestdanmark'!I93+'Resultater - Østdanmark'!I93</f>
        <v>-3232755733.3365173</v>
      </c>
      <c r="J93" s="288">
        <f>'Resultater - Vestdanmark'!J93+'Resultater - Østdanmark'!J93</f>
        <v>-3076572974.2965169</v>
      </c>
    </row>
    <row r="94" spans="1:10" x14ac:dyDescent="0.55000000000000004">
      <c r="A94" s="99" t="str">
        <f>'Resultater - Vestdanmark'!A94</f>
        <v>Kostald</v>
      </c>
      <c r="B94" s="99" t="str">
        <f>'Resultater - Vestdanmark'!B94</f>
        <v>Konventionel</v>
      </c>
      <c r="C94" s="99" t="str">
        <f>'Resultater - Vestdanmark'!C94</f>
        <v/>
      </c>
      <c r="D94" s="99" t="str">
        <f>'Resultater - Vestdanmark'!D94</f>
        <v>Køer</v>
      </c>
      <c r="E94" s="99" t="str">
        <f>'Resultater - Vestdanmark'!E94</f>
        <v>Antal</v>
      </c>
      <c r="F94" s="99" t="str">
        <f>'Resultater - Vestdanmark'!F94</f>
        <v>Halm</v>
      </c>
      <c r="G94" s="99" t="str">
        <f>'Resultater - Vestdanmark'!G94</f>
        <v>Ton</v>
      </c>
      <c r="H94" s="286">
        <f>'Resultater - Vestdanmark'!H94+'Resultater - Østdanmark'!H94</f>
        <v>-13874.569799999999</v>
      </c>
      <c r="I94" s="287">
        <f>'Resultater - Vestdanmark'!I94+'Resultater - Østdanmark'!I94</f>
        <v>-13521.266340731423</v>
      </c>
      <c r="J94" s="288">
        <f>'Resultater - Vestdanmark'!J94+'Resultater - Østdanmark'!J94</f>
        <v>-12868.019124731421</v>
      </c>
    </row>
    <row r="95" spans="1:10" x14ac:dyDescent="0.55000000000000004">
      <c r="A95" s="99" t="str">
        <f>'Resultater - Vestdanmark'!A95</f>
        <v>Kostald</v>
      </c>
      <c r="B95" s="99" t="str">
        <f>'Resultater - Vestdanmark'!B95</f>
        <v>Konventionel</v>
      </c>
      <c r="C95" s="99" t="str">
        <f>'Resultater - Vestdanmark'!C95</f>
        <v/>
      </c>
      <c r="D95" s="99" t="str">
        <f>'Resultater - Vestdanmark'!D95</f>
        <v>Køer</v>
      </c>
      <c r="E95" s="99" t="str">
        <f>'Resultater - Vestdanmark'!E95</f>
        <v>Antal</v>
      </c>
      <c r="F95" s="99" t="str">
        <f>'Resultater - Vestdanmark'!F95</f>
        <v>CO2 - atmosfære</v>
      </c>
      <c r="G95" s="99" t="str">
        <f>'Resultater - Vestdanmark'!G95</f>
        <v>t CO2-ækvivalenter</v>
      </c>
      <c r="H95" s="286">
        <f>'Resultater - Vestdanmark'!H95+'Resultater - Østdanmark'!H95</f>
        <v>3588024.4873487833</v>
      </c>
      <c r="I95" s="287">
        <f>'Resultater - Vestdanmark'!I95+'Resultater - Østdanmark'!I95</f>
        <v>3496658.6661670199</v>
      </c>
      <c r="J95" s="288">
        <f>'Resultater - Vestdanmark'!J95+'Resultater - Østdanmark'!J95</f>
        <v>3327726.0764660821</v>
      </c>
    </row>
    <row r="96" spans="1:10" x14ac:dyDescent="0.55000000000000004">
      <c r="A96" s="99" t="str">
        <f>'Resultater - Vestdanmark'!A96</f>
        <v>Kostald</v>
      </c>
      <c r="B96" s="99" t="str">
        <f>'Resultater - Vestdanmark'!B96</f>
        <v>Økologisk</v>
      </c>
      <c r="C96" s="99" t="str">
        <f>'Resultater - Vestdanmark'!C96</f>
        <v/>
      </c>
      <c r="D96" s="99" t="str">
        <f>'Resultater - Vestdanmark'!D96</f>
        <v>Køer</v>
      </c>
      <c r="E96" s="99" t="str">
        <f>'Resultater - Vestdanmark'!E96</f>
        <v>Antal</v>
      </c>
      <c r="F96" s="99" t="str">
        <f>'Resultater - Vestdanmark'!F96</f>
        <v>Slagtekøer</v>
      </c>
      <c r="G96" s="99" t="str">
        <f>'Resultater - Vestdanmark'!G96</f>
        <v>Antal</v>
      </c>
      <c r="H96" s="286">
        <f>'Resultater - Vestdanmark'!H96+'Resultater - Østdanmark'!H96</f>
        <v>23400.000000000004</v>
      </c>
      <c r="I96" s="287">
        <f>'Resultater - Vestdanmark'!I96+'Resultater - Østdanmark'!I96</f>
        <v>26765.328207443497</v>
      </c>
      <c r="J96" s="288">
        <f>'Resultater - Vestdanmark'!J96+'Resultater - Østdanmark'!J96</f>
        <v>32987.716425747203</v>
      </c>
    </row>
    <row r="97" spans="1:10" x14ac:dyDescent="0.55000000000000004">
      <c r="A97" s="99" t="str">
        <f>'Resultater - Vestdanmark'!A97</f>
        <v>Kostald</v>
      </c>
      <c r="B97" s="99" t="str">
        <f>'Resultater - Vestdanmark'!B97</f>
        <v>Økologisk</v>
      </c>
      <c r="C97" s="99" t="str">
        <f>'Resultater - Vestdanmark'!C97</f>
        <v/>
      </c>
      <c r="D97" s="99" t="str">
        <f>'Resultater - Vestdanmark'!D97</f>
        <v>Køer</v>
      </c>
      <c r="E97" s="99" t="str">
        <f>'Resultater - Vestdanmark'!E97</f>
        <v>Antal</v>
      </c>
      <c r="F97" s="99" t="str">
        <f>'Resultater - Vestdanmark'!F97</f>
        <v>Kvæggylle</v>
      </c>
      <c r="G97" s="99" t="str">
        <f>'Resultater - Vestdanmark'!G97</f>
        <v>Ton</v>
      </c>
      <c r="H97" s="286">
        <f>'Resultater - Vestdanmark'!H97+'Resultater - Østdanmark'!H97</f>
        <v>1264500</v>
      </c>
      <c r="I97" s="287">
        <f>'Resultater - Vestdanmark'!I97+'Resultater - Østdanmark'!I97</f>
        <v>1446357.1589022353</v>
      </c>
      <c r="J97" s="288">
        <f>'Resultater - Vestdanmark'!J97+'Resultater - Østdanmark'!J97</f>
        <v>1782605.445314416</v>
      </c>
    </row>
    <row r="98" spans="1:10" x14ac:dyDescent="0.55000000000000004">
      <c r="A98" s="99" t="str">
        <f>'Resultater - Vestdanmark'!A98</f>
        <v>Kostald</v>
      </c>
      <c r="B98" s="99" t="str">
        <f>'Resultater - Vestdanmark'!B98</f>
        <v>Økologisk</v>
      </c>
      <c r="C98" s="99" t="str">
        <f>'Resultater - Vestdanmark'!C98</f>
        <v/>
      </c>
      <c r="D98" s="99" t="str">
        <f>'Resultater - Vestdanmark'!D98</f>
        <v>Køer</v>
      </c>
      <c r="E98" s="99" t="str">
        <f>'Resultater - Vestdanmark'!E98</f>
        <v>Antal</v>
      </c>
      <c r="F98" s="99" t="str">
        <f>'Resultater - Vestdanmark'!F98</f>
        <v>Dybstrøelse</v>
      </c>
      <c r="G98" s="99" t="str">
        <f>'Resultater - Vestdanmark'!G98</f>
        <v>Ton</v>
      </c>
      <c r="H98" s="286">
        <f>'Resultater - Vestdanmark'!H98+'Resultater - Østdanmark'!H98</f>
        <v>10440.000000000002</v>
      </c>
      <c r="I98" s="287">
        <f>'Resultater - Vestdanmark'!I98+'Resultater - Østdanmark'!I98</f>
        <v>11941.454123320946</v>
      </c>
      <c r="J98" s="288">
        <f>'Resultater - Vestdanmark'!J98+'Resultater - Østdanmark'!J98</f>
        <v>14717.596559179521</v>
      </c>
    </row>
    <row r="99" spans="1:10" x14ac:dyDescent="0.55000000000000004">
      <c r="A99" s="99" t="str">
        <f>'Resultater - Vestdanmark'!A99</f>
        <v>Kostald</v>
      </c>
      <c r="B99" s="99" t="str">
        <f>'Resultater - Vestdanmark'!B99</f>
        <v>Økologisk</v>
      </c>
      <c r="C99" s="99" t="str">
        <f>'Resultater - Vestdanmark'!C99</f>
        <v/>
      </c>
      <c r="D99" s="99" t="str">
        <f>'Resultater - Vestdanmark'!D99</f>
        <v>Køer</v>
      </c>
      <c r="E99" s="99" t="str">
        <f>'Resultater - Vestdanmark'!E99</f>
        <v>Antal</v>
      </c>
      <c r="F99" s="99" t="str">
        <f>'Resultater - Vestdanmark'!F99</f>
        <v>Råmælk</v>
      </c>
      <c r="G99" s="99" t="str">
        <f>'Resultater - Vestdanmark'!G99</f>
        <v>Ton</v>
      </c>
      <c r="H99" s="286">
        <f>'Resultater - Vestdanmark'!H99+'Resultater - Østdanmark'!H99</f>
        <v>482999.99999999994</v>
      </c>
      <c r="I99" s="287">
        <f>'Resultater - Vestdanmark'!I99+'Resultater - Østdanmark'!I99</f>
        <v>552463.82582030806</v>
      </c>
      <c r="J99" s="288">
        <f>'Resultater - Vestdanmark'!J99+'Resultater - Østdanmark'!J99</f>
        <v>680900.30058273068</v>
      </c>
    </row>
    <row r="100" spans="1:10" x14ac:dyDescent="0.55000000000000004">
      <c r="A100" s="99" t="str">
        <f>'Resultater - Vestdanmark'!A100</f>
        <v>Kostald</v>
      </c>
      <c r="B100" s="99" t="str">
        <f>'Resultater - Vestdanmark'!B100</f>
        <v>Økologisk</v>
      </c>
      <c r="C100" s="99" t="str">
        <f>'Resultater - Vestdanmark'!C100</f>
        <v/>
      </c>
      <c r="D100" s="99" t="str">
        <f>'Resultater - Vestdanmark'!D100</f>
        <v>Køer</v>
      </c>
      <c r="E100" s="99" t="str">
        <f>'Resultater - Vestdanmark'!E100</f>
        <v>Antal</v>
      </c>
      <c r="F100" s="99" t="str">
        <f>'Resultater - Vestdanmark'!F100</f>
        <v>Industriaffald</v>
      </c>
      <c r="G100" s="99" t="str">
        <f>'Resultater - Vestdanmark'!G100</f>
        <v>Ton</v>
      </c>
      <c r="H100" s="286">
        <f>'Resultater - Vestdanmark'!H100+'Resultater - Østdanmark'!H100</f>
        <v>9653.6103586888312</v>
      </c>
      <c r="I100" s="287">
        <f>'Resultater - Vestdanmark'!I100+'Resultater - Østdanmark'!I100</f>
        <v>11041.967933208674</v>
      </c>
      <c r="J100" s="288">
        <f>'Resultater - Vestdanmark'!J100+'Resultater - Østdanmark'!J100</f>
        <v>13608.998333208672</v>
      </c>
    </row>
    <row r="101" spans="1:10" x14ac:dyDescent="0.55000000000000004">
      <c r="A101" s="99" t="str">
        <f>'Resultater - Vestdanmark'!A101</f>
        <v>Kostald</v>
      </c>
      <c r="B101" s="99" t="str">
        <f>'Resultater - Vestdanmark'!B101</f>
        <v>Økologisk</v>
      </c>
      <c r="C101" s="99" t="str">
        <f>'Resultater - Vestdanmark'!C101</f>
        <v/>
      </c>
      <c r="D101" s="99" t="str">
        <f>'Resultater - Vestdanmark'!D101</f>
        <v>Køer</v>
      </c>
      <c r="E101" s="99" t="str">
        <f>'Resultater - Vestdanmark'!E101</f>
        <v>Antal</v>
      </c>
      <c r="F101" s="99" t="str">
        <f>'Resultater - Vestdanmark'!F101</f>
        <v>Foder</v>
      </c>
      <c r="G101" s="99" t="str">
        <f>'Resultater - Vestdanmark'!G101</f>
        <v>FE</v>
      </c>
      <c r="H101" s="286">
        <f>'Resultater - Vestdanmark'!H101+'Resultater - Østdanmark'!H101</f>
        <v>-587343064</v>
      </c>
      <c r="I101" s="287">
        <f>'Resultater - Vestdanmark'!I101+'Resultater - Østdanmark'!I101</f>
        <v>-671813242.66348267</v>
      </c>
      <c r="J101" s="288">
        <f>'Resultater - Vestdanmark'!J101+'Resultater - Østdanmark'!J101</f>
        <v>-827996001.70348251</v>
      </c>
    </row>
    <row r="102" spans="1:10" x14ac:dyDescent="0.55000000000000004">
      <c r="A102" s="99" t="str">
        <f>'Resultater - Vestdanmark'!A102</f>
        <v>Kostald</v>
      </c>
      <c r="B102" s="99" t="str">
        <f>'Resultater - Vestdanmark'!B102</f>
        <v>Økologisk</v>
      </c>
      <c r="C102" s="99" t="str">
        <f>'Resultater - Vestdanmark'!C102</f>
        <v/>
      </c>
      <c r="D102" s="99" t="str">
        <f>'Resultater - Vestdanmark'!D102</f>
        <v>Køer</v>
      </c>
      <c r="E102" s="99" t="str">
        <f>'Resultater - Vestdanmark'!E102</f>
        <v>Antal</v>
      </c>
      <c r="F102" s="99" t="str">
        <f>'Resultater - Vestdanmark'!F102</f>
        <v>Halm</v>
      </c>
      <c r="G102" s="99" t="str">
        <f>'Resultater - Vestdanmark'!G102</f>
        <v>Ton</v>
      </c>
      <c r="H102" s="286">
        <f>'Resultater - Vestdanmark'!H102+'Resultater - Østdanmark'!H102</f>
        <v>-2961.3935999999999</v>
      </c>
      <c r="I102" s="287">
        <f>'Resultater - Vestdanmark'!I102+'Resultater - Østdanmark'!I102</f>
        <v>-3387.2936604881475</v>
      </c>
      <c r="J102" s="288">
        <f>'Resultater - Vestdanmark'!J102+'Resultater - Østdanmark'!J102</f>
        <v>-4174.7697564881473</v>
      </c>
    </row>
    <row r="103" spans="1:10" x14ac:dyDescent="0.55000000000000004">
      <c r="A103" s="99" t="str">
        <f>'Resultater - Vestdanmark'!A103</f>
        <v>Kostald</v>
      </c>
      <c r="B103" s="99" t="str">
        <f>'Resultater - Vestdanmark'!B103</f>
        <v>Økologisk</v>
      </c>
      <c r="C103" s="99" t="str">
        <f>'Resultater - Vestdanmark'!C103</f>
        <v/>
      </c>
      <c r="D103" s="99" t="str">
        <f>'Resultater - Vestdanmark'!D103</f>
        <v>Køer</v>
      </c>
      <c r="E103" s="99" t="str">
        <f>'Resultater - Vestdanmark'!E103</f>
        <v>Antal</v>
      </c>
      <c r="F103" s="99" t="str">
        <f>'Resultater - Vestdanmark'!F103</f>
        <v>CO2 - atmosfære</v>
      </c>
      <c r="G103" s="99" t="str">
        <f>'Resultater - Vestdanmark'!G103</f>
        <v>t CO2-ækvivalenter</v>
      </c>
      <c r="H103" s="286">
        <f>'Resultater - Vestdanmark'!H103+'Resultater - Østdanmark'!H103</f>
        <v>531260.59557996574</v>
      </c>
      <c r="I103" s="287">
        <f>'Resultater - Vestdanmark'!I103+'Resultater - Østdanmark'!I103</f>
        <v>607665.13693930302</v>
      </c>
      <c r="J103" s="288">
        <f>'Resultater - Vestdanmark'!J103+'Resultater - Østdanmark'!J103</f>
        <v>748934.78098997765</v>
      </c>
    </row>
    <row r="104" spans="1:10" x14ac:dyDescent="0.55000000000000004">
      <c r="A104" s="99" t="str">
        <f>'Resultater - Vestdanmark'!A104</f>
        <v>Fjerkræbrug</v>
      </c>
      <c r="B104" s="99" t="str">
        <f>'Resultater - Vestdanmark'!B104</f>
        <v>Konventionel</v>
      </c>
      <c r="C104" s="99" t="str">
        <f>'Resultater - Vestdanmark'!C104</f>
        <v/>
      </c>
      <c r="D104" s="99" t="str">
        <f>'Resultater - Vestdanmark'!D104</f>
        <v>Fjerkræ</v>
      </c>
      <c r="E104" s="99" t="str">
        <f>'Resultater - Vestdanmark'!E104</f>
        <v>Antal</v>
      </c>
      <c r="F104" s="99" t="str">
        <f>'Resultater - Vestdanmark'!F104</f>
        <v>Slagtefjerkræ</v>
      </c>
      <c r="G104" s="99" t="str">
        <f>'Resultater - Vestdanmark'!G104</f>
        <v>Antal</v>
      </c>
      <c r="H104" s="286">
        <f>'Resultater - Vestdanmark'!H104+'Resultater - Østdanmark'!H104</f>
        <v>105566999.99999999</v>
      </c>
      <c r="I104" s="287">
        <f>'Resultater - Vestdanmark'!I104+'Resultater - Østdanmark'!I104</f>
        <v>102904851.25711353</v>
      </c>
      <c r="J104" s="288">
        <f>'Resultater - Vestdanmark'!J104+'Resultater - Østdanmark'!J104</f>
        <v>97982620.213951036</v>
      </c>
    </row>
    <row r="105" spans="1:10" x14ac:dyDescent="0.55000000000000004">
      <c r="A105" s="99" t="str">
        <f>'Resultater - Vestdanmark'!A105</f>
        <v>Fjerkræbrug</v>
      </c>
      <c r="B105" s="99" t="str">
        <f>'Resultater - Vestdanmark'!B105</f>
        <v>Konventionel</v>
      </c>
      <c r="C105" s="99" t="str">
        <f>'Resultater - Vestdanmark'!C105</f>
        <v/>
      </c>
      <c r="D105" s="99" t="str">
        <f>'Resultater - Vestdanmark'!D105</f>
        <v>Fjerkræ</v>
      </c>
      <c r="E105" s="99" t="str">
        <f>'Resultater - Vestdanmark'!E105</f>
        <v>Antal</v>
      </c>
      <c r="F105" s="99" t="str">
        <f>'Resultater - Vestdanmark'!F105</f>
        <v>Fjerkrægylle</v>
      </c>
      <c r="G105" s="99" t="str">
        <f>'Resultater - Vestdanmark'!G105</f>
        <v>Ton</v>
      </c>
      <c r="H105" s="286">
        <f>'Resultater - Vestdanmark'!H105+'Resultater - Østdanmark'!H105</f>
        <v>6719.2238038686164</v>
      </c>
      <c r="I105" s="287">
        <f>'Resultater - Vestdanmark'!I105+'Resultater - Østdanmark'!I105</f>
        <v>6549.7809552261278</v>
      </c>
      <c r="J105" s="288">
        <f>'Resultater - Vestdanmark'!J105+'Resultater - Østdanmark'!J105</f>
        <v>6236.4863461782397</v>
      </c>
    </row>
    <row r="106" spans="1:10" x14ac:dyDescent="0.55000000000000004">
      <c r="A106" s="99" t="str">
        <f>'Resultater - Vestdanmark'!A106</f>
        <v>Fjerkræbrug</v>
      </c>
      <c r="B106" s="99" t="str">
        <f>'Resultater - Vestdanmark'!B106</f>
        <v>Konventionel</v>
      </c>
      <c r="C106" s="99" t="str">
        <f>'Resultater - Vestdanmark'!C106</f>
        <v/>
      </c>
      <c r="D106" s="99" t="str">
        <f>'Resultater - Vestdanmark'!D106</f>
        <v>Fjerkræ</v>
      </c>
      <c r="E106" s="99" t="str">
        <f>'Resultater - Vestdanmark'!E106</f>
        <v>Antal</v>
      </c>
      <c r="F106" s="99" t="str">
        <f>'Resultater - Vestdanmark'!F106</f>
        <v>Dybstrøelse</v>
      </c>
      <c r="G106" s="99" t="str">
        <f>'Resultater - Vestdanmark'!G106</f>
        <v>Ton</v>
      </c>
      <c r="H106" s="286">
        <f>'Resultater - Vestdanmark'!H106+'Resultater - Østdanmark'!H106</f>
        <v>148922.51453359297</v>
      </c>
      <c r="I106" s="287">
        <f>'Resultater - Vestdanmark'!I106+'Resultater - Østdanmark'!I106</f>
        <v>145167.04279665722</v>
      </c>
      <c r="J106" s="288">
        <f>'Resultater - Vestdanmark'!J106+'Resultater - Østdanmark'!J106</f>
        <v>138223.29120702157</v>
      </c>
    </row>
    <row r="107" spans="1:10" x14ac:dyDescent="0.55000000000000004">
      <c r="A107" s="99" t="str">
        <f>'Resultater - Vestdanmark'!A107</f>
        <v>Fjerkræbrug</v>
      </c>
      <c r="B107" s="99" t="str">
        <f>'Resultater - Vestdanmark'!B107</f>
        <v>Konventionel</v>
      </c>
      <c r="C107" s="99" t="str">
        <f>'Resultater - Vestdanmark'!C107</f>
        <v/>
      </c>
      <c r="D107" s="99" t="str">
        <f>'Resultater - Vestdanmark'!D107</f>
        <v>Fjerkræ</v>
      </c>
      <c r="E107" s="99" t="str">
        <f>'Resultater - Vestdanmark'!E107</f>
        <v>Antal</v>
      </c>
      <c r="F107" s="99" t="str">
        <f>'Resultater - Vestdanmark'!F107</f>
        <v>Æg</v>
      </c>
      <c r="G107" s="99" t="str">
        <f>'Resultater - Vestdanmark'!G107</f>
        <v>Ton</v>
      </c>
      <c r="H107" s="286">
        <f>'Resultater - Vestdanmark'!H107+'Resultater - Østdanmark'!H107</f>
        <v>220000</v>
      </c>
      <c r="I107" s="287">
        <f>'Resultater - Vestdanmark'!I107+'Resultater - Østdanmark'!I107</f>
        <v>214452.12307411386</v>
      </c>
      <c r="J107" s="288">
        <f>'Resultater - Vestdanmark'!J107+'Resultater - Østdanmark'!J107</f>
        <v>204194.26948827977</v>
      </c>
    </row>
    <row r="108" spans="1:10" x14ac:dyDescent="0.55000000000000004">
      <c r="A108" s="99" t="str">
        <f>'Resultater - Vestdanmark'!A108</f>
        <v>Fjerkræbrug</v>
      </c>
      <c r="B108" s="99" t="str">
        <f>'Resultater - Vestdanmark'!B108</f>
        <v>Konventionel</v>
      </c>
      <c r="C108" s="99" t="str">
        <f>'Resultater - Vestdanmark'!C108</f>
        <v/>
      </c>
      <c r="D108" s="99" t="str">
        <f>'Resultater - Vestdanmark'!D108</f>
        <v>Fjerkræ</v>
      </c>
      <c r="E108" s="99" t="str">
        <f>'Resultater - Vestdanmark'!E108</f>
        <v>Antal</v>
      </c>
      <c r="F108" s="99" t="str">
        <f>'Resultater - Vestdanmark'!F108</f>
        <v>Industriaffald</v>
      </c>
      <c r="G108" s="99" t="str">
        <f>'Resultater - Vestdanmark'!G108</f>
        <v>Ton</v>
      </c>
      <c r="H108" s="286">
        <f>'Resultater - Vestdanmark'!H108+'Resultater - Østdanmark'!H108</f>
        <v>9291.4831667730468</v>
      </c>
      <c r="I108" s="287">
        <f>'Resultater - Vestdanmark'!I108+'Resultater - Østdanmark'!I108</f>
        <v>9057.1740528266855</v>
      </c>
      <c r="J108" s="288">
        <f>'Resultater - Vestdanmark'!J108+'Resultater - Østdanmark'!J108</f>
        <v>8623.943716826685</v>
      </c>
    </row>
    <row r="109" spans="1:10" x14ac:dyDescent="0.55000000000000004">
      <c r="A109" s="99" t="str">
        <f>'Resultater - Vestdanmark'!A109</f>
        <v>Fjerkræbrug</v>
      </c>
      <c r="B109" s="99" t="str">
        <f>'Resultater - Vestdanmark'!B109</f>
        <v>Konventionel</v>
      </c>
      <c r="C109" s="99" t="str">
        <f>'Resultater - Vestdanmark'!C109</f>
        <v/>
      </c>
      <c r="D109" s="99" t="str">
        <f>'Resultater - Vestdanmark'!D109</f>
        <v>Fjerkræ</v>
      </c>
      <c r="E109" s="99" t="str">
        <f>'Resultater - Vestdanmark'!E109</f>
        <v>Antal</v>
      </c>
      <c r="F109" s="99" t="str">
        <f>'Resultater - Vestdanmark'!F109</f>
        <v>Foder</v>
      </c>
      <c r="G109" s="99" t="str">
        <f>'Resultater - Vestdanmark'!G109</f>
        <v>FE</v>
      </c>
      <c r="H109" s="286">
        <f>'Resultater - Vestdanmark'!H109+'Resultater - Østdanmark'!H109</f>
        <v>-365582337.12</v>
      </c>
      <c r="I109" s="287">
        <f>'Resultater - Vestdanmark'!I109+'Resultater - Østdanmark'!I109</f>
        <v>-356363219.78991097</v>
      </c>
      <c r="J109" s="288">
        <f>'Resultater - Vestdanmark'!J109+'Resultater - Østdanmark'!J109</f>
        <v>-339317355.75471103</v>
      </c>
    </row>
    <row r="110" spans="1:10" x14ac:dyDescent="0.55000000000000004">
      <c r="A110" s="99" t="str">
        <f>'Resultater - Vestdanmark'!A110</f>
        <v>Fjerkræbrug</v>
      </c>
      <c r="B110" s="99" t="str">
        <f>'Resultater - Vestdanmark'!B110</f>
        <v>Konventionel</v>
      </c>
      <c r="C110" s="99" t="str">
        <f>'Resultater - Vestdanmark'!C110</f>
        <v/>
      </c>
      <c r="D110" s="99" t="str">
        <f>'Resultater - Vestdanmark'!D110</f>
        <v>Fjerkræ</v>
      </c>
      <c r="E110" s="99" t="str">
        <f>'Resultater - Vestdanmark'!E110</f>
        <v>Antal</v>
      </c>
      <c r="F110" s="99" t="str">
        <f>'Resultater - Vestdanmark'!F110</f>
        <v>Halm</v>
      </c>
      <c r="G110" s="99" t="str">
        <f>'Resultater - Vestdanmark'!G110</f>
        <v>Ton</v>
      </c>
      <c r="H110" s="286">
        <f>'Resultater - Vestdanmark'!H110+'Resultater - Østdanmark'!H110</f>
        <v>-8664.776171999998</v>
      </c>
      <c r="I110" s="287">
        <f>'Resultater - Vestdanmark'!I110+'Resultater - Østdanmark'!I110</f>
        <v>-8446.2711183972406</v>
      </c>
      <c r="J110" s="288">
        <f>'Resultater - Vestdanmark'!J110+'Resultater - Østdanmark'!J110</f>
        <v>-8042.2620032772411</v>
      </c>
    </row>
    <row r="111" spans="1:10" x14ac:dyDescent="0.55000000000000004">
      <c r="A111" s="99" t="str">
        <f>'Resultater - Vestdanmark'!A111</f>
        <v>Fjerkræbrug</v>
      </c>
      <c r="B111" s="99" t="str">
        <f>'Resultater - Vestdanmark'!B111</f>
        <v>Konventionel</v>
      </c>
      <c r="C111" s="99" t="str">
        <f>'Resultater - Vestdanmark'!C111</f>
        <v/>
      </c>
      <c r="D111" s="99" t="str">
        <f>'Resultater - Vestdanmark'!D111</f>
        <v>Fjerkræ</v>
      </c>
      <c r="E111" s="99" t="str">
        <f>'Resultater - Vestdanmark'!E111</f>
        <v>Antal</v>
      </c>
      <c r="F111" s="99" t="str">
        <f>'Resultater - Vestdanmark'!F111</f>
        <v>CO2 - atmosfære</v>
      </c>
      <c r="G111" s="99" t="str">
        <f>'Resultater - Vestdanmark'!G111</f>
        <v>t CO2-ækvivalenter</v>
      </c>
      <c r="H111" s="286">
        <f>'Resultater - Vestdanmark'!H111+'Resultater - Østdanmark'!H111</f>
        <v>14116.474844810102</v>
      </c>
      <c r="I111" s="287">
        <f>'Resultater - Vestdanmark'!I111+'Resultater - Østdanmark'!I111</f>
        <v>13760.490912690218</v>
      </c>
      <c r="J111" s="288">
        <f>'Resultater - Vestdanmark'!J111+'Resultater - Østdanmark'!J111</f>
        <v>13102.287584934891</v>
      </c>
    </row>
    <row r="112" spans="1:10" x14ac:dyDescent="0.55000000000000004">
      <c r="A112" s="99" t="str">
        <f>'Resultater - Vestdanmark'!A112</f>
        <v>Fjerkræbrug</v>
      </c>
      <c r="B112" s="99" t="str">
        <f>'Resultater - Vestdanmark'!B112</f>
        <v>Økologisk</v>
      </c>
      <c r="C112" s="99" t="str">
        <f>'Resultater - Vestdanmark'!C112</f>
        <v/>
      </c>
      <c r="D112" s="99" t="str">
        <f>'Resultater - Vestdanmark'!D112</f>
        <v>Fjerkræ</v>
      </c>
      <c r="E112" s="99" t="str">
        <f>'Resultater - Vestdanmark'!E112</f>
        <v>Antal</v>
      </c>
      <c r="F112" s="99" t="str">
        <f>'Resultater - Vestdanmark'!F112</f>
        <v>Slagtefjerkræ</v>
      </c>
      <c r="G112" s="99" t="str">
        <f>'Resultater - Vestdanmark'!G112</f>
        <v>Antal</v>
      </c>
      <c r="H112" s="286">
        <f>'Resultater - Vestdanmark'!H112+'Resultater - Østdanmark'!H112</f>
        <v>1224707</v>
      </c>
      <c r="I112" s="287">
        <f>'Resultater - Vestdanmark'!I112+'Resultater - Østdanmark'!I112</f>
        <v>1411132.4071133996</v>
      </c>
      <c r="J112" s="288">
        <f>'Resultater - Vestdanmark'!J112+'Resultater - Østdanmark'!J112</f>
        <v>1755827.2437861352</v>
      </c>
    </row>
    <row r="113" spans="1:10" x14ac:dyDescent="0.55000000000000004">
      <c r="A113" s="99" t="str">
        <f>'Resultater - Vestdanmark'!A113</f>
        <v>Fjerkræbrug</v>
      </c>
      <c r="B113" s="99" t="str">
        <f>'Resultater - Vestdanmark'!B113</f>
        <v>Økologisk</v>
      </c>
      <c r="C113" s="99" t="str">
        <f>'Resultater - Vestdanmark'!C113</f>
        <v/>
      </c>
      <c r="D113" s="99" t="str">
        <f>'Resultater - Vestdanmark'!D113</f>
        <v>Fjerkræ</v>
      </c>
      <c r="E113" s="99" t="str">
        <f>'Resultater - Vestdanmark'!E113</f>
        <v>Antal</v>
      </c>
      <c r="F113" s="99" t="str">
        <f>'Resultater - Vestdanmark'!F113</f>
        <v>Fjerkrægylle</v>
      </c>
      <c r="G113" s="99" t="str">
        <f>'Resultater - Vestdanmark'!G113</f>
        <v>Ton</v>
      </c>
      <c r="H113" s="286">
        <f>'Resultater - Vestdanmark'!H113+'Resultater - Østdanmark'!H113</f>
        <v>2163.7761961313831</v>
      </c>
      <c r="I113" s="287">
        <f>'Resultater - Vestdanmark'!I113+'Resultater - Østdanmark'!I113</f>
        <v>2493.1471054722101</v>
      </c>
      <c r="J113" s="288">
        <f>'Resultater - Vestdanmark'!J113+'Resultater - Østdanmark'!J113</f>
        <v>3102.1437736727353</v>
      </c>
    </row>
    <row r="114" spans="1:10" x14ac:dyDescent="0.55000000000000004">
      <c r="A114" s="99" t="str">
        <f>'Resultater - Vestdanmark'!A114</f>
        <v>Fjerkræbrug</v>
      </c>
      <c r="B114" s="99" t="str">
        <f>'Resultater - Vestdanmark'!B114</f>
        <v>Økologisk</v>
      </c>
      <c r="C114" s="99" t="str">
        <f>'Resultater - Vestdanmark'!C114</f>
        <v/>
      </c>
      <c r="D114" s="99" t="str">
        <f>'Resultater - Vestdanmark'!D114</f>
        <v>Fjerkræ</v>
      </c>
      <c r="E114" s="99" t="str">
        <f>'Resultater - Vestdanmark'!E114</f>
        <v>Antal</v>
      </c>
      <c r="F114" s="99" t="str">
        <f>'Resultater - Vestdanmark'!F114</f>
        <v>Dybstrøelse</v>
      </c>
      <c r="G114" s="99" t="str">
        <f>'Resultater - Vestdanmark'!G114</f>
        <v>Ton</v>
      </c>
      <c r="H114" s="286">
        <f>'Resultater - Vestdanmark'!H114+'Resultater - Østdanmark'!H114</f>
        <v>8147.4854664070526</v>
      </c>
      <c r="I114" s="287">
        <f>'Resultater - Vestdanmark'!I114+'Resultater - Østdanmark'!I114</f>
        <v>9387.6990807862003</v>
      </c>
      <c r="J114" s="288">
        <f>'Resultater - Vestdanmark'!J114+'Resultater - Østdanmark'!J114</f>
        <v>11680.815860666338</v>
      </c>
    </row>
    <row r="115" spans="1:10" x14ac:dyDescent="0.55000000000000004">
      <c r="A115" s="99" t="str">
        <f>'Resultater - Vestdanmark'!A115</f>
        <v>Fjerkræbrug</v>
      </c>
      <c r="B115" s="99" t="str">
        <f>'Resultater - Vestdanmark'!B115</f>
        <v>Økologisk</v>
      </c>
      <c r="C115" s="99" t="str">
        <f>'Resultater - Vestdanmark'!C115</f>
        <v/>
      </c>
      <c r="D115" s="99" t="str">
        <f>'Resultater - Vestdanmark'!D115</f>
        <v>Fjerkræ</v>
      </c>
      <c r="E115" s="99" t="str">
        <f>'Resultater - Vestdanmark'!E115</f>
        <v>Antal</v>
      </c>
      <c r="F115" s="99" t="str">
        <f>'Resultater - Vestdanmark'!F115</f>
        <v>Æg</v>
      </c>
      <c r="G115" s="99" t="str">
        <f>'Resultater - Vestdanmark'!G115</f>
        <v>Ton</v>
      </c>
      <c r="H115" s="286">
        <f>'Resultater - Vestdanmark'!H115+'Resultater - Østdanmark'!H115</f>
        <v>15000</v>
      </c>
      <c r="I115" s="287">
        <f>'Resultater - Vestdanmark'!I115+'Resultater - Østdanmark'!I115</f>
        <v>17283.306216671408</v>
      </c>
      <c r="J115" s="288">
        <f>'Resultater - Vestdanmark'!J115+'Resultater - Østdanmark'!J115</f>
        <v>21505.069095540424</v>
      </c>
    </row>
    <row r="116" spans="1:10" x14ac:dyDescent="0.55000000000000004">
      <c r="A116" s="99" t="str">
        <f>'Resultater - Vestdanmark'!A116</f>
        <v>Fjerkræbrug</v>
      </c>
      <c r="B116" s="99" t="str">
        <f>'Resultater - Vestdanmark'!B116</f>
        <v>Økologisk</v>
      </c>
      <c r="C116" s="99" t="str">
        <f>'Resultater - Vestdanmark'!C116</f>
        <v/>
      </c>
      <c r="D116" s="99" t="str">
        <f>'Resultater - Vestdanmark'!D116</f>
        <v>Fjerkræ</v>
      </c>
      <c r="E116" s="99" t="str">
        <f>'Resultater - Vestdanmark'!E116</f>
        <v>Antal</v>
      </c>
      <c r="F116" s="99" t="str">
        <f>'Resultater - Vestdanmark'!F116</f>
        <v>Industriaffald</v>
      </c>
      <c r="G116" s="99" t="str">
        <f>'Resultater - Vestdanmark'!G116</f>
        <v>Ton</v>
      </c>
      <c r="H116" s="286">
        <f>'Resultater - Vestdanmark'!H116+'Resultater - Østdanmark'!H116</f>
        <v>1539.2752332269538</v>
      </c>
      <c r="I116" s="287">
        <f>'Resultater - Vestdanmark'!I116+'Resultater - Østdanmark'!I116</f>
        <v>1773.5843471733165</v>
      </c>
      <c r="J116" s="288">
        <f>'Resultater - Vestdanmark'!J116+'Resultater - Østdanmark'!J116</f>
        <v>2206.8146831733166</v>
      </c>
    </row>
    <row r="117" spans="1:10" x14ac:dyDescent="0.55000000000000004">
      <c r="A117" s="99" t="str">
        <f>'Resultater - Vestdanmark'!A117</f>
        <v>Fjerkræbrug</v>
      </c>
      <c r="B117" s="99" t="str">
        <f>'Resultater - Vestdanmark'!B117</f>
        <v>Økologisk</v>
      </c>
      <c r="C117" s="99" t="str">
        <f>'Resultater - Vestdanmark'!C117</f>
        <v/>
      </c>
      <c r="D117" s="99" t="str">
        <f>'Resultater - Vestdanmark'!D117</f>
        <v>Fjerkræ</v>
      </c>
      <c r="E117" s="99" t="str">
        <f>'Resultater - Vestdanmark'!E117</f>
        <v>Antal</v>
      </c>
      <c r="F117" s="99" t="str">
        <f>'Resultater - Vestdanmark'!F117</f>
        <v>Foder</v>
      </c>
      <c r="G117" s="99" t="str">
        <f>'Resultater - Vestdanmark'!G117</f>
        <v>FE</v>
      </c>
      <c r="H117" s="286">
        <f>'Resultater - Vestdanmark'!H117+'Resultater - Østdanmark'!H117</f>
        <v>-60564263.759999998</v>
      </c>
      <c r="I117" s="287">
        <f>'Resultater - Vestdanmark'!I117+'Resultater - Østdanmark'!I117</f>
        <v>-69783381.090089008</v>
      </c>
      <c r="J117" s="288">
        <f>'Resultater - Vestdanmark'!J117+'Resultater - Østdanmark'!J117</f>
        <v>-86829245.125289008</v>
      </c>
    </row>
    <row r="118" spans="1:10" x14ac:dyDescent="0.55000000000000004">
      <c r="A118" s="99" t="str">
        <f>'Resultater - Vestdanmark'!A118</f>
        <v>Fjerkræbrug</v>
      </c>
      <c r="B118" s="99" t="str">
        <f>'Resultater - Vestdanmark'!B118</f>
        <v>Økologisk</v>
      </c>
      <c r="C118" s="99" t="str">
        <f>'Resultater - Vestdanmark'!C118</f>
        <v/>
      </c>
      <c r="D118" s="99" t="str">
        <f>'Resultater - Vestdanmark'!D118</f>
        <v>Fjerkræ</v>
      </c>
      <c r="E118" s="99" t="str">
        <f>'Resultater - Vestdanmark'!E118</f>
        <v>Antal</v>
      </c>
      <c r="F118" s="99" t="str">
        <f>'Resultater - Vestdanmark'!F118</f>
        <v>Halm</v>
      </c>
      <c r="G118" s="99" t="str">
        <f>'Resultater - Vestdanmark'!G118</f>
        <v>Ton</v>
      </c>
      <c r="H118" s="286">
        <f>'Resultater - Vestdanmark'!H118+'Resultater - Østdanmark'!H118</f>
        <v>-2703.7617749999999</v>
      </c>
      <c r="I118" s="287">
        <f>'Resultater - Vestdanmark'!I118+'Resultater - Østdanmark'!I118</f>
        <v>-3115.3295129504022</v>
      </c>
      <c r="J118" s="288">
        <f>'Resultater - Vestdanmark'!J118+'Resultater - Østdanmark'!J118</f>
        <v>-3876.3055859504016</v>
      </c>
    </row>
    <row r="119" spans="1:10" x14ac:dyDescent="0.55000000000000004">
      <c r="A119" s="99" t="str">
        <f>'Resultater - Vestdanmark'!A119</f>
        <v>Fjerkræbrug</v>
      </c>
      <c r="B119" s="99" t="str">
        <f>'Resultater - Vestdanmark'!B119</f>
        <v>Økologisk</v>
      </c>
      <c r="C119" s="99" t="str">
        <f>'Resultater - Vestdanmark'!C119</f>
        <v/>
      </c>
      <c r="D119" s="99" t="str">
        <f>'Resultater - Vestdanmark'!D119</f>
        <v>Fjerkræ</v>
      </c>
      <c r="E119" s="99" t="str">
        <f>'Resultater - Vestdanmark'!E119</f>
        <v>Antal</v>
      </c>
      <c r="F119" s="99" t="str">
        <f>'Resultater - Vestdanmark'!F119</f>
        <v>CO2 - atmosfære</v>
      </c>
      <c r="G119" s="99" t="str">
        <f>'Resultater - Vestdanmark'!G119</f>
        <v>t CO2-ækvivalenter</v>
      </c>
      <c r="H119" s="286">
        <f>'Resultater - Vestdanmark'!H119+'Resultater - Østdanmark'!H119</f>
        <v>2572.4691839803959</v>
      </c>
      <c r="I119" s="287">
        <f>'Resultater - Vestdanmark'!I119+'Resultater - Østdanmark'!I119</f>
        <v>2964.0515093122676</v>
      </c>
      <c r="J119" s="288">
        <f>'Resultater - Vestdanmark'!J119+'Resultater - Østdanmark'!J119</f>
        <v>3688.0751698431277</v>
      </c>
    </row>
    <row r="120" spans="1:10" hidden="1" x14ac:dyDescent="0.55000000000000004">
      <c r="A120" s="99" t="str">
        <f>'Resultater - Vestdanmark'!A120</f>
        <v>Kornmark</v>
      </c>
      <c r="B120" s="99" t="str">
        <f>'Resultater - Vestdanmark'!B120</f>
        <v>Konventionel</v>
      </c>
      <c r="C120" s="99" t="str">
        <f>'Resultater - Vestdanmark'!C120</f>
        <v>JB1-10</v>
      </c>
      <c r="D120" s="99" t="str">
        <f>'Resultater - Vestdanmark'!D120</f>
        <v>Areal-korn</v>
      </c>
      <c r="E120" s="99" t="str">
        <f>'Resultater - Vestdanmark'!E120</f>
        <v>Hektar</v>
      </c>
      <c r="F120" s="99" t="str">
        <f>'Resultater - Vestdanmark'!F120</f>
        <v>Korn</v>
      </c>
      <c r="G120" s="99" t="str">
        <f>'Resultater - Vestdanmark'!G120</f>
        <v>Ton</v>
      </c>
      <c r="H120" s="286">
        <f>'Resultater - Vestdanmark'!H120+'Resultater - Østdanmark'!H120</f>
        <v>8030838.3925888147</v>
      </c>
      <c r="I120" s="287">
        <f>'Resultater - Vestdanmark'!I120+'Resultater - Østdanmark'!I120</f>
        <v>8802685.6109527349</v>
      </c>
      <c r="J120" s="288">
        <f>'Resultater - Vestdanmark'!J120+'Resultater - Østdanmark'!J120</f>
        <v>7817707.5723766582</v>
      </c>
    </row>
    <row r="121" spans="1:10" hidden="1" x14ac:dyDescent="0.55000000000000004">
      <c r="A121" s="99" t="str">
        <f>'Resultater - Vestdanmark'!A121</f>
        <v>Kornmark</v>
      </c>
      <c r="B121" s="99" t="str">
        <f>'Resultater - Vestdanmark'!B121</f>
        <v>Konventionel</v>
      </c>
      <c r="C121" s="99" t="str">
        <f>'Resultater - Vestdanmark'!C121</f>
        <v>JB1-10</v>
      </c>
      <c r="D121" s="99" t="str">
        <f>'Resultater - Vestdanmark'!D121</f>
        <v>Areal-korn</v>
      </c>
      <c r="E121" s="99" t="str">
        <f>'Resultater - Vestdanmark'!E121</f>
        <v>Hektar</v>
      </c>
      <c r="F121" s="99" t="str">
        <f>'Resultater - Vestdanmark'!F121</f>
        <v>Halm</v>
      </c>
      <c r="G121" s="99" t="str">
        <f>'Resultater - Vestdanmark'!G121</f>
        <v>Ton</v>
      </c>
      <c r="H121" s="286">
        <f>'Resultater - Vestdanmark'!H121+'Resultater - Østdanmark'!H121</f>
        <v>2621245.5742450082</v>
      </c>
      <c r="I121" s="287">
        <f>'Resultater - Vestdanmark'!I121+'Resultater - Østdanmark'!I121</f>
        <v>2664618.9186139572</v>
      </c>
      <c r="J121" s="288">
        <f>'Resultater - Vestdanmark'!J121+'Resultater - Østdanmark'!J121</f>
        <v>2366460.9209293146</v>
      </c>
    </row>
    <row r="122" spans="1:10" hidden="1" x14ac:dyDescent="0.55000000000000004">
      <c r="A122" s="99" t="str">
        <f>'Resultater - Vestdanmark'!A122</f>
        <v>Kornmark</v>
      </c>
      <c r="B122" s="99" t="str">
        <f>'Resultater - Vestdanmark'!B122</f>
        <v>Konventionel</v>
      </c>
      <c r="C122" s="99" t="str">
        <f>'Resultater - Vestdanmark'!C122</f>
        <v>JB1-10</v>
      </c>
      <c r="D122" s="99" t="str">
        <f>'Resultater - Vestdanmark'!D122</f>
        <v>Areal-korn</v>
      </c>
      <c r="E122" s="99" t="str">
        <f>'Resultater - Vestdanmark'!E122</f>
        <v>Hektar</v>
      </c>
      <c r="F122" s="99" t="str">
        <f>'Resultater - Vestdanmark'!F122</f>
        <v>Gødning</v>
      </c>
      <c r="G122" s="99" t="str">
        <f>'Resultater - Vestdanmark'!G122</f>
        <v>kg N</v>
      </c>
      <c r="H122" s="286">
        <f>'Resultater - Vestdanmark'!H122+'Resultater - Østdanmark'!H122</f>
        <v>-183300163.02627823</v>
      </c>
      <c r="I122" s="287">
        <f>'Resultater - Vestdanmark'!I122+'Resultater - Østdanmark'!I122</f>
        <v>-187422777.92817798</v>
      </c>
      <c r="J122" s="288">
        <f>'Resultater - Vestdanmark'!J122+'Resultater - Østdanmark'!J122</f>
        <v>-166451073.57030803</v>
      </c>
    </row>
    <row r="123" spans="1:10" hidden="1" x14ac:dyDescent="0.55000000000000004">
      <c r="A123" s="99" t="str">
        <f>'Resultater - Vestdanmark'!A123</f>
        <v>Kornmark</v>
      </c>
      <c r="B123" s="99" t="str">
        <f>'Resultater - Vestdanmark'!B123</f>
        <v>Konventionel</v>
      </c>
      <c r="C123" s="99" t="str">
        <f>'Resultater - Vestdanmark'!C123</f>
        <v>JB1-10</v>
      </c>
      <c r="D123" s="99" t="str">
        <f>'Resultater - Vestdanmark'!D123</f>
        <v>Areal-korn</v>
      </c>
      <c r="E123" s="99" t="str">
        <f>'Resultater - Vestdanmark'!E123</f>
        <v>Hektar</v>
      </c>
      <c r="F123" s="99" t="str">
        <f>'Resultater - Vestdanmark'!F123</f>
        <v>CO2 - atmosfære</v>
      </c>
      <c r="G123" s="99" t="str">
        <f>'Resultater - Vestdanmark'!G123</f>
        <v>t CO2-ækvivalenter</v>
      </c>
      <c r="H123" s="286">
        <f>'Resultater - Vestdanmark'!H123+'Resultater - Østdanmark'!H123</f>
        <v>2604803.426450097</v>
      </c>
      <c r="I123" s="287">
        <f>'Resultater - Vestdanmark'!I123+'Resultater - Østdanmark'!I123</f>
        <v>2663388.2157111033</v>
      </c>
      <c r="J123" s="288">
        <f>'Resultater - Vestdanmark'!J123+'Resultater - Østdanmark'!J123</f>
        <v>2365367.9277419839</v>
      </c>
    </row>
    <row r="124" spans="1:10" hidden="1" x14ac:dyDescent="0.55000000000000004">
      <c r="A124" s="99" t="str">
        <f>'Resultater - Vestdanmark'!A124</f>
        <v>Kornmark</v>
      </c>
      <c r="B124" s="99" t="str">
        <f>'Resultater - Vestdanmark'!B124</f>
        <v>Konventionel</v>
      </c>
      <c r="C124" s="99" t="str">
        <f>'Resultater - Vestdanmark'!C124</f>
        <v>OC6</v>
      </c>
      <c r="D124" s="99" t="str">
        <f>'Resultater - Vestdanmark'!D124</f>
        <v>Areal-korn</v>
      </c>
      <c r="E124" s="99" t="str">
        <f>'Resultater - Vestdanmark'!E124</f>
        <v>Hektar</v>
      </c>
      <c r="F124" s="99" t="str">
        <f>'Resultater - Vestdanmark'!F124</f>
        <v>Korn</v>
      </c>
      <c r="G124" s="99" t="str">
        <f>'Resultater - Vestdanmark'!G124</f>
        <v>Ton</v>
      </c>
      <c r="H124" s="286">
        <f>'Resultater - Vestdanmark'!H124+'Resultater - Østdanmark'!H124</f>
        <v>225935.04552207049</v>
      </c>
      <c r="I124" s="287">
        <f>'Resultater - Vestdanmark'!I124+'Resultater - Østdanmark'!I124</f>
        <v>218711.10246240979</v>
      </c>
      <c r="J124" s="288">
        <f>'Resultater - Vestdanmark'!J124+'Resultater - Østdanmark'!J124</f>
        <v>208597.29425605555</v>
      </c>
    </row>
    <row r="125" spans="1:10" hidden="1" x14ac:dyDescent="0.55000000000000004">
      <c r="A125" s="99" t="str">
        <f>'Resultater - Vestdanmark'!A125</f>
        <v>Kornmark</v>
      </c>
      <c r="B125" s="99" t="str">
        <f>'Resultater - Vestdanmark'!B125</f>
        <v>Konventionel</v>
      </c>
      <c r="C125" s="99" t="str">
        <f>'Resultater - Vestdanmark'!C125</f>
        <v>OC6</v>
      </c>
      <c r="D125" s="99" t="str">
        <f>'Resultater - Vestdanmark'!D125</f>
        <v>Areal-korn</v>
      </c>
      <c r="E125" s="99" t="str">
        <f>'Resultater - Vestdanmark'!E125</f>
        <v>Hektar</v>
      </c>
      <c r="F125" s="99" t="str">
        <f>'Resultater - Vestdanmark'!F125</f>
        <v>Halm</v>
      </c>
      <c r="G125" s="99" t="str">
        <f>'Resultater - Vestdanmark'!G125</f>
        <v>Ton</v>
      </c>
      <c r="H125" s="286">
        <f>'Resultater - Vestdanmark'!H125+'Resultater - Østdanmark'!H125</f>
        <v>73744.634020790007</v>
      </c>
      <c r="I125" s="287">
        <f>'Resultater - Vestdanmark'!I125+'Resultater - Østdanmark'!I125</f>
        <v>66204.993236055947</v>
      </c>
      <c r="J125" s="288">
        <f>'Resultater - Vestdanmark'!J125+'Resultater - Østdanmark'!J125</f>
        <v>63143.490658666065</v>
      </c>
    </row>
    <row r="126" spans="1:10" hidden="1" x14ac:dyDescent="0.55000000000000004">
      <c r="A126" s="99" t="str">
        <f>'Resultater - Vestdanmark'!A126</f>
        <v>Kornmark</v>
      </c>
      <c r="B126" s="99" t="str">
        <f>'Resultater - Vestdanmark'!B126</f>
        <v>Konventionel</v>
      </c>
      <c r="C126" s="99" t="str">
        <f>'Resultater - Vestdanmark'!C126</f>
        <v>OC6</v>
      </c>
      <c r="D126" s="99" t="str">
        <f>'Resultater - Vestdanmark'!D126</f>
        <v>Areal-korn</v>
      </c>
      <c r="E126" s="99" t="str">
        <f>'Resultater - Vestdanmark'!E126</f>
        <v>Hektar</v>
      </c>
      <c r="F126" s="99" t="str">
        <f>'Resultater - Vestdanmark'!F126</f>
        <v>Gødning</v>
      </c>
      <c r="G126" s="99" t="str">
        <f>'Resultater - Vestdanmark'!G126</f>
        <v>kg N</v>
      </c>
      <c r="H126" s="286">
        <f>'Resultater - Vestdanmark'!H126+'Resultater - Østdanmark'!H126</f>
        <v>-3491625.762942126</v>
      </c>
      <c r="I126" s="287">
        <f>'Resultater - Vestdanmark'!I126+'Resultater - Østdanmark'!I126</f>
        <v>-3152972.1355900234</v>
      </c>
      <c r="J126" s="288">
        <f>'Resultater - Vestdanmark'!J126+'Resultater - Østdanmark'!J126</f>
        <v>-3007169.9559095595</v>
      </c>
    </row>
    <row r="127" spans="1:10" hidden="1" x14ac:dyDescent="0.55000000000000004">
      <c r="A127" s="99" t="str">
        <f>'Resultater - Vestdanmark'!A127</f>
        <v>Kornmark</v>
      </c>
      <c r="B127" s="99" t="str">
        <f>'Resultater - Vestdanmark'!B127</f>
        <v>Konventionel</v>
      </c>
      <c r="C127" s="99" t="str">
        <f>'Resultater - Vestdanmark'!C127</f>
        <v>OC6</v>
      </c>
      <c r="D127" s="99" t="str">
        <f>'Resultater - Vestdanmark'!D127</f>
        <v>Areal-korn</v>
      </c>
      <c r="E127" s="99" t="str">
        <f>'Resultater - Vestdanmark'!E127</f>
        <v>Hektar</v>
      </c>
      <c r="F127" s="99" t="str">
        <f>'Resultater - Vestdanmark'!F127</f>
        <v>CO2 - atmosfære</v>
      </c>
      <c r="G127" s="99" t="str">
        <f>'Resultater - Vestdanmark'!G127</f>
        <v>t CO2-ækvivalenter</v>
      </c>
      <c r="H127" s="286">
        <f>'Resultater - Vestdanmark'!H127+'Resultater - Østdanmark'!H127</f>
        <v>429515.47728160548</v>
      </c>
      <c r="I127" s="287">
        <f>'Resultater - Vestdanmark'!I127+'Resultater - Østdanmark'!I127</f>
        <v>387856.66724271985</v>
      </c>
      <c r="J127" s="288">
        <f>'Resultater - Vestdanmark'!J127+'Resultater - Østdanmark'!J127</f>
        <v>369921.0988153108</v>
      </c>
    </row>
    <row r="128" spans="1:10" hidden="1" x14ac:dyDescent="0.55000000000000004">
      <c r="A128" s="99" t="str">
        <f>'Resultater - Vestdanmark'!A128</f>
        <v>Kornmark</v>
      </c>
      <c r="B128" s="99" t="str">
        <f>'Resultater - Vestdanmark'!B128</f>
        <v>Konventionel</v>
      </c>
      <c r="C128" s="99" t="str">
        <f>'Resultater - Vestdanmark'!C128</f>
        <v>OC12</v>
      </c>
      <c r="D128" s="99" t="str">
        <f>'Resultater - Vestdanmark'!D128</f>
        <v>Areal-korn</v>
      </c>
      <c r="E128" s="99" t="str">
        <f>'Resultater - Vestdanmark'!E128</f>
        <v>Hektar</v>
      </c>
      <c r="F128" s="99" t="str">
        <f>'Resultater - Vestdanmark'!F128</f>
        <v>Korn</v>
      </c>
      <c r="G128" s="99" t="str">
        <f>'Resultater - Vestdanmark'!G128</f>
        <v>Ton</v>
      </c>
      <c r="H128" s="286">
        <f>'Resultater - Vestdanmark'!H128+'Resultater - Østdanmark'!H128</f>
        <v>134184.5342649988</v>
      </c>
      <c r="I128" s="287">
        <f>'Resultater - Vestdanmark'!I128+'Resultater - Østdanmark'!I128</f>
        <v>127435.24663930605</v>
      </c>
      <c r="J128" s="288">
        <f>'Resultater - Vestdanmark'!J128+'Resultater - Østdanmark'!J128</f>
        <v>121542.28725714161</v>
      </c>
    </row>
    <row r="129" spans="1:10" hidden="1" x14ac:dyDescent="0.55000000000000004">
      <c r="A129" s="99" t="str">
        <f>'Resultater - Vestdanmark'!A129</f>
        <v>Kornmark</v>
      </c>
      <c r="B129" s="99" t="str">
        <f>'Resultater - Vestdanmark'!B129</f>
        <v>Konventionel</v>
      </c>
      <c r="C129" s="99" t="str">
        <f>'Resultater - Vestdanmark'!C129</f>
        <v>OC12</v>
      </c>
      <c r="D129" s="99" t="str">
        <f>'Resultater - Vestdanmark'!D129</f>
        <v>Areal-korn</v>
      </c>
      <c r="E129" s="99" t="str">
        <f>'Resultater - Vestdanmark'!E129</f>
        <v>Hektar</v>
      </c>
      <c r="F129" s="99" t="str">
        <f>'Resultater - Vestdanmark'!F129</f>
        <v>Halm</v>
      </c>
      <c r="G129" s="99" t="str">
        <f>'Resultater - Vestdanmark'!G129</f>
        <v>Ton</v>
      </c>
      <c r="H129" s="286">
        <f>'Resultater - Vestdanmark'!H129+'Resultater - Østdanmark'!H129</f>
        <v>43797.49652275996</v>
      </c>
      <c r="I129" s="287">
        <f>'Resultater - Vestdanmark'!I129+'Resultater - Østdanmark'!I129</f>
        <v>38575.31486423024</v>
      </c>
      <c r="J129" s="288">
        <f>'Resultater - Vestdanmark'!J129+'Resultater - Østdanmark'!J129</f>
        <v>36791.485275132887</v>
      </c>
    </row>
    <row r="130" spans="1:10" hidden="1" x14ac:dyDescent="0.55000000000000004">
      <c r="A130" s="99" t="str">
        <f>'Resultater - Vestdanmark'!A130</f>
        <v>Kornmark</v>
      </c>
      <c r="B130" s="99" t="str">
        <f>'Resultater - Vestdanmark'!B130</f>
        <v>Konventionel</v>
      </c>
      <c r="C130" s="99" t="str">
        <f>'Resultater - Vestdanmark'!C130</f>
        <v>OC12</v>
      </c>
      <c r="D130" s="99" t="str">
        <f>'Resultater - Vestdanmark'!D130</f>
        <v>Areal-korn</v>
      </c>
      <c r="E130" s="99" t="str">
        <f>'Resultater - Vestdanmark'!E130</f>
        <v>Hektar</v>
      </c>
      <c r="F130" s="99" t="str">
        <f>'Resultater - Vestdanmark'!F130</f>
        <v>Gødning</v>
      </c>
      <c r="G130" s="99" t="str">
        <f>'Resultater - Vestdanmark'!G130</f>
        <v>kg N</v>
      </c>
      <c r="H130" s="286">
        <f>'Resultater - Vestdanmark'!H130+'Resultater - Østdanmark'!H130</f>
        <v>-1367276.6890666278</v>
      </c>
      <c r="I130" s="287">
        <f>'Resultater - Vestdanmark'!I130+'Resultater - Østdanmark'!I130</f>
        <v>-1211291.6538597967</v>
      </c>
      <c r="J130" s="288">
        <f>'Resultater - Vestdanmark'!J130+'Resultater - Østdanmark'!J130</f>
        <v>-1155278.1669761066</v>
      </c>
    </row>
    <row r="131" spans="1:10" hidden="1" x14ac:dyDescent="0.55000000000000004">
      <c r="A131" s="99" t="str">
        <f>'Resultater - Vestdanmark'!A131</f>
        <v>Kornmark</v>
      </c>
      <c r="B131" s="99" t="str">
        <f>'Resultater - Vestdanmark'!B131</f>
        <v>Konventionel</v>
      </c>
      <c r="C131" s="99" t="str">
        <f>'Resultater - Vestdanmark'!C131</f>
        <v>OC12</v>
      </c>
      <c r="D131" s="99" t="str">
        <f>'Resultater - Vestdanmark'!D131</f>
        <v>Areal-korn</v>
      </c>
      <c r="E131" s="99" t="str">
        <f>'Resultater - Vestdanmark'!E131</f>
        <v>Hektar</v>
      </c>
      <c r="F131" s="99" t="str">
        <f>'Resultater - Vestdanmark'!F131</f>
        <v>CO2 - atmosfære</v>
      </c>
      <c r="G131" s="99" t="str">
        <f>'Resultater - Vestdanmark'!G131</f>
        <v>t CO2-ækvivalenter</v>
      </c>
      <c r="H131" s="286">
        <f>'Resultater - Vestdanmark'!H131+'Resultater - Østdanmark'!H131</f>
        <v>559922.97086443973</v>
      </c>
      <c r="I131" s="287">
        <f>'Resultater - Vestdanmark'!I131+'Resultater - Østdanmark'!I131</f>
        <v>496044.45598752372</v>
      </c>
      <c r="J131" s="288">
        <f>'Resultater - Vestdanmark'!J131+'Resultater - Østdanmark'!J131</f>
        <v>473105.98403434339</v>
      </c>
    </row>
    <row r="132" spans="1:10" hidden="1" x14ac:dyDescent="0.55000000000000004">
      <c r="A132" s="99" t="str">
        <f>'Resultater - Vestdanmark'!A132</f>
        <v>Kornmark</v>
      </c>
      <c r="B132" s="99" t="str">
        <f>'Resultater - Vestdanmark'!B132</f>
        <v>Økologisk</v>
      </c>
      <c r="C132" s="99" t="str">
        <f>'Resultater - Vestdanmark'!C132</f>
        <v>JB1-10</v>
      </c>
      <c r="D132" s="99" t="str">
        <f>'Resultater - Vestdanmark'!D132</f>
        <v>Areal-korn</v>
      </c>
      <c r="E132" s="99" t="str">
        <f>'Resultater - Vestdanmark'!E132</f>
        <v>Hektar</v>
      </c>
      <c r="F132" s="99" t="str">
        <f>'Resultater - Vestdanmark'!F132</f>
        <v>Korn</v>
      </c>
      <c r="G132" s="99" t="str">
        <f>'Resultater - Vestdanmark'!G132</f>
        <v>Ton</v>
      </c>
      <c r="H132" s="286">
        <f>'Resultater - Vestdanmark'!H132+'Resultater - Østdanmark'!H132</f>
        <v>687979.55575600604</v>
      </c>
      <c r="I132" s="287">
        <f>'Resultater - Vestdanmark'!I132+'Resultater - Østdanmark'!I132</f>
        <v>920465.79596609832</v>
      </c>
      <c r="J132" s="288">
        <f>'Resultater - Vestdanmark'!J132+'Resultater - Østdanmark'!J132</f>
        <v>1111062.0761953492</v>
      </c>
    </row>
    <row r="133" spans="1:10" hidden="1" x14ac:dyDescent="0.55000000000000004">
      <c r="A133" s="99" t="str">
        <f>'Resultater - Vestdanmark'!A133</f>
        <v>Kornmark</v>
      </c>
      <c r="B133" s="99" t="str">
        <f>'Resultater - Vestdanmark'!B133</f>
        <v>Økologisk</v>
      </c>
      <c r="C133" s="99" t="str">
        <f>'Resultater - Vestdanmark'!C133</f>
        <v>JB1-10</v>
      </c>
      <c r="D133" s="99" t="str">
        <f>'Resultater - Vestdanmark'!D133</f>
        <v>Areal-korn</v>
      </c>
      <c r="E133" s="99" t="str">
        <f>'Resultater - Vestdanmark'!E133</f>
        <v>Hektar</v>
      </c>
      <c r="F133" s="99" t="str">
        <f>'Resultater - Vestdanmark'!F133</f>
        <v>Halm</v>
      </c>
      <c r="G133" s="99" t="str">
        <f>'Resultater - Vestdanmark'!G133</f>
        <v>Ton</v>
      </c>
      <c r="H133" s="286">
        <f>'Resultater - Vestdanmark'!H133+'Resultater - Østdanmark'!H133</f>
        <v>224554.80704987101</v>
      </c>
      <c r="I133" s="287">
        <f>'Resultater - Vestdanmark'!I133+'Resultater - Østdanmark'!I133</f>
        <v>278629.80484234972</v>
      </c>
      <c r="J133" s="288">
        <f>'Resultater - Vestdanmark'!J133+'Resultater - Østdanmark'!J133</f>
        <v>336324.29451995413</v>
      </c>
    </row>
    <row r="134" spans="1:10" hidden="1" x14ac:dyDescent="0.55000000000000004">
      <c r="A134" s="99" t="str">
        <f>'Resultater - Vestdanmark'!A134</f>
        <v>Kornmark</v>
      </c>
      <c r="B134" s="99" t="str">
        <f>'Resultater - Vestdanmark'!B134</f>
        <v>Økologisk</v>
      </c>
      <c r="C134" s="99" t="str">
        <f>'Resultater - Vestdanmark'!C134</f>
        <v>JB1-10</v>
      </c>
      <c r="D134" s="99" t="str">
        <f>'Resultater - Vestdanmark'!D134</f>
        <v>Areal-korn</v>
      </c>
      <c r="E134" s="99" t="str">
        <f>'Resultater - Vestdanmark'!E134</f>
        <v>Hektar</v>
      </c>
      <c r="F134" s="99" t="str">
        <f>'Resultater - Vestdanmark'!F134</f>
        <v>Gødning</v>
      </c>
      <c r="G134" s="99" t="str">
        <f>'Resultater - Vestdanmark'!G134</f>
        <v>kg N</v>
      </c>
      <c r="H134" s="286">
        <f>'Resultater - Vestdanmark'!H134+'Resultater - Østdanmark'!H134</f>
        <v>-15702814.396713404</v>
      </c>
      <c r="I134" s="287">
        <f>'Resultater - Vestdanmark'!I134+'Resultater - Østdanmark'!I134</f>
        <v>-19598139.03306786</v>
      </c>
      <c r="J134" s="288">
        <f>'Resultater - Vestdanmark'!J134+'Resultater - Østdanmark'!J134</f>
        <v>-23656228.33468923</v>
      </c>
    </row>
    <row r="135" spans="1:10" hidden="1" x14ac:dyDescent="0.55000000000000004">
      <c r="A135" s="99" t="str">
        <f>'Resultater - Vestdanmark'!A135</f>
        <v>Kornmark</v>
      </c>
      <c r="B135" s="99" t="str">
        <f>'Resultater - Vestdanmark'!B135</f>
        <v>Økologisk</v>
      </c>
      <c r="C135" s="99" t="str">
        <f>'Resultater - Vestdanmark'!C135</f>
        <v>JB1-10</v>
      </c>
      <c r="D135" s="99" t="str">
        <f>'Resultater - Vestdanmark'!D135</f>
        <v>Areal-korn</v>
      </c>
      <c r="E135" s="99" t="str">
        <f>'Resultater - Vestdanmark'!E135</f>
        <v>Hektar</v>
      </c>
      <c r="F135" s="99" t="str">
        <f>'Resultater - Vestdanmark'!F135</f>
        <v>CO2 - atmosfære</v>
      </c>
      <c r="G135" s="99" t="str">
        <f>'Resultater - Vestdanmark'!G135</f>
        <v>t CO2-ækvivalenter</v>
      </c>
      <c r="H135" s="286">
        <f>'Resultater - Vestdanmark'!H135+'Resultater - Østdanmark'!H135</f>
        <v>333054.11051750812</v>
      </c>
      <c r="I135" s="287">
        <f>'Resultater - Vestdanmark'!I135+'Resultater - Østdanmark'!I135</f>
        <v>415673.30534219544</v>
      </c>
      <c r="J135" s="288">
        <f>'Resultater - Vestdanmark'!J135+'Resultater - Østdanmark'!J135</f>
        <v>501744.71194526926</v>
      </c>
    </row>
    <row r="136" spans="1:10" hidden="1" x14ac:dyDescent="0.55000000000000004">
      <c r="A136" s="99" t="str">
        <f>'Resultater - Vestdanmark'!A136</f>
        <v>Kornmark</v>
      </c>
      <c r="B136" s="99" t="str">
        <f>'Resultater - Vestdanmark'!B136</f>
        <v>Økologisk</v>
      </c>
      <c r="C136" s="99" t="str">
        <f>'Resultater - Vestdanmark'!C136</f>
        <v>OC6</v>
      </c>
      <c r="D136" s="99" t="str">
        <f>'Resultater - Vestdanmark'!D136</f>
        <v>Areal-korn</v>
      </c>
      <c r="E136" s="99" t="str">
        <f>'Resultater - Vestdanmark'!E136</f>
        <v>Hektar</v>
      </c>
      <c r="F136" s="99" t="str">
        <f>'Resultater - Vestdanmark'!F136</f>
        <v>Korn</v>
      </c>
      <c r="G136" s="99" t="str">
        <f>'Resultater - Vestdanmark'!G136</f>
        <v>Ton</v>
      </c>
      <c r="H136" s="286">
        <f>'Resultater - Vestdanmark'!H136+'Resultater - Østdanmark'!H136</f>
        <v>19355.226023653049</v>
      </c>
      <c r="I136" s="287">
        <f>'Resultater - Vestdanmark'!I136+'Resultater - Østdanmark'!I136</f>
        <v>22869.848806618455</v>
      </c>
      <c r="J136" s="288">
        <f>'Resultater - Vestdanmark'!J136+'Resultater - Østdanmark'!J136</f>
        <v>29646.100304875774</v>
      </c>
    </row>
    <row r="137" spans="1:10" hidden="1" x14ac:dyDescent="0.55000000000000004">
      <c r="A137" s="99" t="str">
        <f>'Resultater - Vestdanmark'!A137</f>
        <v>Kornmark</v>
      </c>
      <c r="B137" s="99" t="str">
        <f>'Resultater - Vestdanmark'!B137</f>
        <v>Økologisk</v>
      </c>
      <c r="C137" s="99" t="str">
        <f>'Resultater - Vestdanmark'!C137</f>
        <v>OC6</v>
      </c>
      <c r="D137" s="99" t="str">
        <f>'Resultater - Vestdanmark'!D137</f>
        <v>Areal-korn</v>
      </c>
      <c r="E137" s="99" t="str">
        <f>'Resultater - Vestdanmark'!E137</f>
        <v>Hektar</v>
      </c>
      <c r="F137" s="99" t="str">
        <f>'Resultater - Vestdanmark'!F137</f>
        <v>Halm</v>
      </c>
      <c r="G137" s="99" t="str">
        <f>'Resultater - Vestdanmark'!G137</f>
        <v>Ton</v>
      </c>
      <c r="H137" s="286">
        <f>'Resultater - Vestdanmark'!H137+'Resultater - Østdanmark'!H137</f>
        <v>6317.4973860552982</v>
      </c>
      <c r="I137" s="287">
        <f>'Resultater - Vestdanmark'!I137+'Resultater - Østdanmark'!I137</f>
        <v>6922.8227031228453</v>
      </c>
      <c r="J137" s="288">
        <f>'Resultater - Vestdanmark'!J137+'Resultater - Østdanmark'!J137</f>
        <v>8974.0294299740563</v>
      </c>
    </row>
    <row r="138" spans="1:10" hidden="1" x14ac:dyDescent="0.55000000000000004">
      <c r="A138" s="99" t="str">
        <f>'Resultater - Vestdanmark'!A138</f>
        <v>Kornmark</v>
      </c>
      <c r="B138" s="99" t="str">
        <f>'Resultater - Vestdanmark'!B138</f>
        <v>Økologisk</v>
      </c>
      <c r="C138" s="99" t="str">
        <f>'Resultater - Vestdanmark'!C138</f>
        <v>OC6</v>
      </c>
      <c r="D138" s="99" t="str">
        <f>'Resultater - Vestdanmark'!D138</f>
        <v>Areal-korn</v>
      </c>
      <c r="E138" s="99" t="str">
        <f>'Resultater - Vestdanmark'!E138</f>
        <v>Hektar</v>
      </c>
      <c r="F138" s="99" t="str">
        <f>'Resultater - Vestdanmark'!F138</f>
        <v>Gødning</v>
      </c>
      <c r="G138" s="99" t="str">
        <f>'Resultater - Vestdanmark'!G138</f>
        <v>kg N</v>
      </c>
      <c r="H138" s="286">
        <f>'Resultater - Vestdanmark'!H138+'Resultater - Østdanmark'!H138</f>
        <v>-299117.85343258409</v>
      </c>
      <c r="I138" s="287">
        <f>'Resultater - Vestdanmark'!I138+'Resultater - Østdanmark'!I138</f>
        <v>-329695.17880244815</v>
      </c>
      <c r="J138" s="288">
        <f>'Resultater - Vestdanmark'!J138+'Resultater - Østdanmark'!J138</f>
        <v>-427382.63918835868</v>
      </c>
    </row>
    <row r="139" spans="1:10" hidden="1" x14ac:dyDescent="0.55000000000000004">
      <c r="A139" s="99" t="str">
        <f>'Resultater - Vestdanmark'!A139</f>
        <v>Kornmark</v>
      </c>
      <c r="B139" s="99" t="str">
        <f>'Resultater - Vestdanmark'!B139</f>
        <v>Økologisk</v>
      </c>
      <c r="C139" s="99" t="str">
        <f>'Resultater - Vestdanmark'!C139</f>
        <v>OC6</v>
      </c>
      <c r="D139" s="99" t="str">
        <f>'Resultater - Vestdanmark'!D139</f>
        <v>Areal-korn</v>
      </c>
      <c r="E139" s="99" t="str">
        <f>'Resultater - Vestdanmark'!E139</f>
        <v>Hektar</v>
      </c>
      <c r="F139" s="99" t="str">
        <f>'Resultater - Vestdanmark'!F139</f>
        <v>CO2 - atmosfære</v>
      </c>
      <c r="G139" s="99" t="str">
        <f>'Resultater - Vestdanmark'!G139</f>
        <v>t CO2-ækvivalenter</v>
      </c>
      <c r="H139" s="286">
        <f>'Resultater - Vestdanmark'!H139+'Resultater - Østdanmark'!H139</f>
        <v>54918.499333549895</v>
      </c>
      <c r="I139" s="287">
        <f>'Resultater - Vestdanmark'!I139+'Resultater - Østdanmark'!I139</f>
        <v>60532.543442505412</v>
      </c>
      <c r="J139" s="288">
        <f>'Resultater - Vestdanmark'!J139+'Resultater - Østdanmark'!J139</f>
        <v>78468.111869914399</v>
      </c>
    </row>
    <row r="140" spans="1:10" hidden="1" x14ac:dyDescent="0.55000000000000004">
      <c r="A140" s="99" t="str">
        <f>'Resultater - Vestdanmark'!A140</f>
        <v>Kornmark</v>
      </c>
      <c r="B140" s="99" t="str">
        <f>'Resultater - Vestdanmark'!B140</f>
        <v>Økologisk</v>
      </c>
      <c r="C140" s="99" t="str">
        <f>'Resultater - Vestdanmark'!C140</f>
        <v>OC12</v>
      </c>
      <c r="D140" s="99" t="str">
        <f>'Resultater - Vestdanmark'!D140</f>
        <v>Areal-korn</v>
      </c>
      <c r="E140" s="99" t="str">
        <f>'Resultater - Vestdanmark'!E140</f>
        <v>Hektar</v>
      </c>
      <c r="F140" s="99" t="str">
        <f>'Resultater - Vestdanmark'!F140</f>
        <v>Korn</v>
      </c>
      <c r="G140" s="99" t="str">
        <f>'Resultater - Vestdanmark'!G140</f>
        <v>Ton</v>
      </c>
      <c r="H140" s="286">
        <f>'Resultater - Vestdanmark'!H140+'Resultater - Østdanmark'!H140</f>
        <v>11495.215288873653</v>
      </c>
      <c r="I140" s="287">
        <f>'Resultater - Vestdanmark'!I140+'Resultater - Østdanmark'!I140</f>
        <v>13325.454402919344</v>
      </c>
      <c r="J140" s="288">
        <f>'Resultater - Vestdanmark'!J140+'Resultater - Østdanmark'!J140</f>
        <v>17273.737188969517</v>
      </c>
    </row>
    <row r="141" spans="1:10" hidden="1" x14ac:dyDescent="0.55000000000000004">
      <c r="A141" s="99" t="str">
        <f>'Resultater - Vestdanmark'!A141</f>
        <v>Kornmark</v>
      </c>
      <c r="B141" s="99" t="str">
        <f>'Resultater - Vestdanmark'!B141</f>
        <v>Økologisk</v>
      </c>
      <c r="C141" s="99" t="str">
        <f>'Resultater - Vestdanmark'!C141</f>
        <v>OC12</v>
      </c>
      <c r="D141" s="99" t="str">
        <f>'Resultater - Vestdanmark'!D141</f>
        <v>Areal-korn</v>
      </c>
      <c r="E141" s="99" t="str">
        <f>'Resultater - Vestdanmark'!E141</f>
        <v>Hektar</v>
      </c>
      <c r="F141" s="99" t="str">
        <f>'Resultater - Vestdanmark'!F141</f>
        <v>Halm</v>
      </c>
      <c r="G141" s="99" t="str">
        <f>'Resultater - Vestdanmark'!G141</f>
        <v>Ton</v>
      </c>
      <c r="H141" s="286">
        <f>'Resultater - Vestdanmark'!H141+'Resultater - Østdanmark'!H141</f>
        <v>3752.0095322501388</v>
      </c>
      <c r="I141" s="287">
        <f>'Resultater - Vestdanmark'!I141+'Resultater - Østdanmark'!I141</f>
        <v>4033.6846583463876</v>
      </c>
      <c r="J141" s="288">
        <f>'Resultater - Vestdanmark'!J141+'Resultater - Østdanmark'!J141</f>
        <v>5228.8504830416123</v>
      </c>
    </row>
    <row r="142" spans="1:10" hidden="1" x14ac:dyDescent="0.55000000000000004">
      <c r="A142" s="99" t="str">
        <f>'Resultater - Vestdanmark'!A142</f>
        <v>Kornmark</v>
      </c>
      <c r="B142" s="99" t="str">
        <f>'Resultater - Vestdanmark'!B142</f>
        <v>Økologisk</v>
      </c>
      <c r="C142" s="99" t="str">
        <f>'Resultater - Vestdanmark'!C142</f>
        <v>OC12</v>
      </c>
      <c r="D142" s="99" t="str">
        <f>'Resultater - Vestdanmark'!D142</f>
        <v>Areal-korn</v>
      </c>
      <c r="E142" s="99" t="str">
        <f>'Resultater - Vestdanmark'!E142</f>
        <v>Hektar</v>
      </c>
      <c r="F142" s="99" t="str">
        <f>'Resultater - Vestdanmark'!F142</f>
        <v>Gødning</v>
      </c>
      <c r="G142" s="99" t="str">
        <f>'Resultater - Vestdanmark'!G142</f>
        <v>kg N</v>
      </c>
      <c r="H142" s="286">
        <f>'Resultater - Vestdanmark'!H142+'Resultater - Østdanmark'!H142</f>
        <v>-117130.7854990183</v>
      </c>
      <c r="I142" s="287">
        <f>'Resultater - Vestdanmark'!I142+'Resultater - Østdanmark'!I142</f>
        <v>-126660.49721574405</v>
      </c>
      <c r="J142" s="288">
        <f>'Resultater - Vestdanmark'!J142+'Resultater - Østdanmark'!J142</f>
        <v>-164189.53342781632</v>
      </c>
    </row>
    <row r="143" spans="1:10" hidden="1" x14ac:dyDescent="0.55000000000000004">
      <c r="A143" s="99" t="str">
        <f>'Resultater - Vestdanmark'!A143</f>
        <v>Kornmark</v>
      </c>
      <c r="B143" s="99" t="str">
        <f>'Resultater - Vestdanmark'!B143</f>
        <v>Økologisk</v>
      </c>
      <c r="C143" s="99" t="str">
        <f>'Resultater - Vestdanmark'!C143</f>
        <v>OC12</v>
      </c>
      <c r="D143" s="99" t="str">
        <f>'Resultater - Vestdanmark'!D143</f>
        <v>Areal-korn</v>
      </c>
      <c r="E143" s="99" t="str">
        <f>'Resultater - Vestdanmark'!E143</f>
        <v>Hektar</v>
      </c>
      <c r="F143" s="99" t="str">
        <f>'Resultater - Vestdanmark'!F143</f>
        <v>CO2 - atmosfære</v>
      </c>
      <c r="G143" s="99" t="str">
        <f>'Resultater - Vestdanmark'!G143</f>
        <v>t CO2-ækvivalenter</v>
      </c>
      <c r="H143" s="286">
        <f>'Resultater - Vestdanmark'!H143+'Resultater - Østdanmark'!H143</f>
        <v>71592.598937004383</v>
      </c>
      <c r="I143" s="287">
        <f>'Resultater - Vestdanmark'!I143+'Resultater - Østdanmark'!I143</f>
        <v>77417.342841983467</v>
      </c>
      <c r="J143" s="288">
        <f>'Resultater - Vestdanmark'!J143+'Resultater - Østdanmark'!J143</f>
        <v>100355.81479516374</v>
      </c>
    </row>
    <row r="144" spans="1:10" hidden="1" x14ac:dyDescent="0.55000000000000004">
      <c r="A144" s="99" t="str">
        <f>'Resultater - Vestdanmark'!A144</f>
        <v>Grøntsager på land</v>
      </c>
      <c r="B144" s="99" t="str">
        <f>'Resultater - Vestdanmark'!B144</f>
        <v>Konventionel</v>
      </c>
      <c r="C144" s="99" t="str">
        <f>'Resultater - Vestdanmark'!C144</f>
        <v>JB1-10</v>
      </c>
      <c r="D144" s="99" t="str">
        <f>'Resultater - Vestdanmark'!D144</f>
        <v>Areal-grøntsager</v>
      </c>
      <c r="E144" s="99" t="str">
        <f>'Resultater - Vestdanmark'!E144</f>
        <v>Hektar</v>
      </c>
      <c r="F144" s="99" t="str">
        <f>'Resultater - Vestdanmark'!F144</f>
        <v>Grøntsager</v>
      </c>
      <c r="G144" s="99" t="str">
        <f>'Resultater - Vestdanmark'!G144</f>
        <v>Ton</v>
      </c>
      <c r="H144" s="286">
        <f>'Resultater - Vestdanmark'!H144+'Resultater - Østdanmark'!H144</f>
        <v>230147.57425814544</v>
      </c>
      <c r="I144" s="287">
        <f>'Resultater - Vestdanmark'!I144+'Resultater - Østdanmark'!I144</f>
        <v>238782.37503223581</v>
      </c>
      <c r="J144" s="288">
        <f>'Resultater - Vestdanmark'!J144+'Resultater - Østdanmark'!J144</f>
        <v>224417.95489668843</v>
      </c>
    </row>
    <row r="145" spans="1:10" hidden="1" x14ac:dyDescent="0.55000000000000004">
      <c r="A145" s="99" t="str">
        <f>'Resultater - Vestdanmark'!A145</f>
        <v>Grøntsager på land</v>
      </c>
      <c r="B145" s="99" t="str">
        <f>'Resultater - Vestdanmark'!B145</f>
        <v>Konventionel</v>
      </c>
      <c r="C145" s="99" t="str">
        <f>'Resultater - Vestdanmark'!C145</f>
        <v>JB1-10</v>
      </c>
      <c r="D145" s="99" t="str">
        <f>'Resultater - Vestdanmark'!D145</f>
        <v>Areal-grøntsager</v>
      </c>
      <c r="E145" s="99" t="str">
        <f>'Resultater - Vestdanmark'!E145</f>
        <v>Hektar</v>
      </c>
      <c r="F145" s="99" t="str">
        <f>'Resultater - Vestdanmark'!F145</f>
        <v>Gødning</v>
      </c>
      <c r="G145" s="99" t="str">
        <f>'Resultater - Vestdanmark'!G145</f>
        <v>kg N</v>
      </c>
      <c r="H145" s="286">
        <f>'Resultater - Vestdanmark'!H145+'Resultater - Østdanmark'!H145</f>
        <v>-2232747.9829002842</v>
      </c>
      <c r="I145" s="287">
        <f>'Resultater - Vestdanmark'!I145+'Resultater - Østdanmark'!I145</f>
        <v>-2160930.4342343225</v>
      </c>
      <c r="J145" s="288">
        <f>'Resultater - Vestdanmark'!J145+'Resultater - Østdanmark'!J145</f>
        <v>-2030935.4434531056</v>
      </c>
    </row>
    <row r="146" spans="1:10" hidden="1" x14ac:dyDescent="0.55000000000000004">
      <c r="A146" s="99" t="str">
        <f>'Resultater - Vestdanmark'!A146</f>
        <v>Grøntsager på land</v>
      </c>
      <c r="B146" s="99" t="str">
        <f>'Resultater - Vestdanmark'!B146</f>
        <v>Konventionel</v>
      </c>
      <c r="C146" s="99" t="str">
        <f>'Resultater - Vestdanmark'!C146</f>
        <v>JB1-10</v>
      </c>
      <c r="D146" s="99" t="str">
        <f>'Resultater - Vestdanmark'!D146</f>
        <v>Areal-grøntsager</v>
      </c>
      <c r="E146" s="99" t="str">
        <f>'Resultater - Vestdanmark'!E146</f>
        <v>Hektar</v>
      </c>
      <c r="F146" s="99" t="str">
        <f>'Resultater - Vestdanmark'!F146</f>
        <v>CO2 - atmosfære</v>
      </c>
      <c r="G146" s="99" t="str">
        <f>'Resultater - Vestdanmark'!G146</f>
        <v>t CO2-ækvivalenter</v>
      </c>
      <c r="H146" s="286">
        <f>'Resultater - Vestdanmark'!H146+'Resultater - Østdanmark'!H146</f>
        <v>25382.932563674498</v>
      </c>
      <c r="I146" s="287">
        <f>'Resultater - Vestdanmark'!I146+'Resultater - Østdanmark'!I146</f>
        <v>24566.476784232447</v>
      </c>
      <c r="J146" s="288">
        <f>'Resultater - Vestdanmark'!J146+'Resultater - Østdanmark'!J146</f>
        <v>23088.632392529562</v>
      </c>
    </row>
    <row r="147" spans="1:10" hidden="1" x14ac:dyDescent="0.55000000000000004">
      <c r="A147" s="99" t="str">
        <f>'Resultater - Vestdanmark'!A147</f>
        <v>Grøntsager på land</v>
      </c>
      <c r="B147" s="99" t="str">
        <f>'Resultater - Vestdanmark'!B147</f>
        <v>Konventionel</v>
      </c>
      <c r="C147" s="99" t="str">
        <f>'Resultater - Vestdanmark'!C147</f>
        <v>OC6</v>
      </c>
      <c r="D147" s="99" t="str">
        <f>'Resultater - Vestdanmark'!D147</f>
        <v>Areal-grøntsager</v>
      </c>
      <c r="E147" s="99" t="str">
        <f>'Resultater - Vestdanmark'!E147</f>
        <v>Hektar</v>
      </c>
      <c r="F147" s="99" t="str">
        <f>'Resultater - Vestdanmark'!F147</f>
        <v>Grøntsager</v>
      </c>
      <c r="G147" s="99" t="str">
        <f>'Resultater - Vestdanmark'!G147</f>
        <v>Ton</v>
      </c>
      <c r="H147" s="286">
        <f>'Resultater - Vestdanmark'!H147+'Resultater - Østdanmark'!H147</f>
        <v>2806.7295229677611</v>
      </c>
      <c r="I147" s="287">
        <f>'Resultater - Vestdanmark'!I147+'Resultater - Østdanmark'!I147</f>
        <v>2717.2718403377421</v>
      </c>
      <c r="J147" s="288">
        <f>'Resultater - Vestdanmark'!J147+'Resultater - Østdanmark'!J147</f>
        <v>2591.6176511891758</v>
      </c>
    </row>
    <row r="148" spans="1:10" hidden="1" x14ac:dyDescent="0.55000000000000004">
      <c r="A148" s="99" t="str">
        <f>'Resultater - Vestdanmark'!A148</f>
        <v>Grøntsager på land</v>
      </c>
      <c r="B148" s="99" t="str">
        <f>'Resultater - Vestdanmark'!B148</f>
        <v>Konventionel</v>
      </c>
      <c r="C148" s="99" t="str">
        <f>'Resultater - Vestdanmark'!C148</f>
        <v>OC6</v>
      </c>
      <c r="D148" s="99" t="str">
        <f>'Resultater - Vestdanmark'!D148</f>
        <v>Areal-grøntsager</v>
      </c>
      <c r="E148" s="99" t="str">
        <f>'Resultater - Vestdanmark'!E148</f>
        <v>Hektar</v>
      </c>
      <c r="F148" s="99" t="str">
        <f>'Resultater - Vestdanmark'!F148</f>
        <v>Gødning</v>
      </c>
      <c r="G148" s="99" t="str">
        <f>'Resultater - Vestdanmark'!G148</f>
        <v>kg N</v>
      </c>
      <c r="H148" s="286">
        <f>'Resultater - Vestdanmark'!H148+'Resultater - Østdanmark'!H148</f>
        <v>-22123.673287397512</v>
      </c>
      <c r="I148" s="287">
        <f>'Resultater - Vestdanmark'!I148+'Resultater - Østdanmark'!I148</f>
        <v>-19979.976647683226</v>
      </c>
      <c r="J148" s="288">
        <f>'Resultater - Vestdanmark'!J148+'Resultater - Østdanmark'!J148</f>
        <v>-19056.047091720993</v>
      </c>
    </row>
    <row r="149" spans="1:10" hidden="1" x14ac:dyDescent="0.55000000000000004">
      <c r="A149" s="99" t="str">
        <f>'Resultater - Vestdanmark'!A149</f>
        <v>Grøntsager på land</v>
      </c>
      <c r="B149" s="99" t="str">
        <f>'Resultater - Vestdanmark'!B149</f>
        <v>Konventionel</v>
      </c>
      <c r="C149" s="99" t="str">
        <f>'Resultater - Vestdanmark'!C149</f>
        <v>OC6</v>
      </c>
      <c r="D149" s="99" t="str">
        <f>'Resultater - Vestdanmark'!D149</f>
        <v>Areal-grøntsager</v>
      </c>
      <c r="E149" s="99" t="str">
        <f>'Resultater - Vestdanmark'!E149</f>
        <v>Hektar</v>
      </c>
      <c r="F149" s="99" t="str">
        <f>'Resultater - Vestdanmark'!F149</f>
        <v>CO2 - atmosfære</v>
      </c>
      <c r="G149" s="99" t="str">
        <f>'Resultater - Vestdanmark'!G149</f>
        <v>t CO2-ækvivalenter</v>
      </c>
      <c r="H149" s="286">
        <f>'Resultater - Vestdanmark'!H149+'Resultater - Østdanmark'!H149</f>
        <v>1814.3334435803249</v>
      </c>
      <c r="I149" s="287">
        <f>'Resultater - Vestdanmark'!I149+'Resultater - Østdanmark'!I149</f>
        <v>1638.5316924063941</v>
      </c>
      <c r="J149" s="288">
        <f>'Resultater - Vestdanmark'!J149+'Resultater - Østdanmark'!J149</f>
        <v>1562.7614407344222</v>
      </c>
    </row>
    <row r="150" spans="1:10" hidden="1" x14ac:dyDescent="0.55000000000000004">
      <c r="A150" s="99" t="str">
        <f>'Resultater - Vestdanmark'!A150</f>
        <v>Grøntsager på land</v>
      </c>
      <c r="B150" s="99" t="str">
        <f>'Resultater - Vestdanmark'!B150</f>
        <v>Konventionel</v>
      </c>
      <c r="C150" s="99" t="str">
        <f>'Resultater - Vestdanmark'!C150</f>
        <v>OC12</v>
      </c>
      <c r="D150" s="99" t="str">
        <f>'Resultater - Vestdanmark'!D150</f>
        <v>Areal-grøntsager</v>
      </c>
      <c r="E150" s="99" t="str">
        <f>'Resultater - Vestdanmark'!E150</f>
        <v>Hektar</v>
      </c>
      <c r="F150" s="99" t="str">
        <f>'Resultater - Vestdanmark'!F150</f>
        <v>Grøntsager</v>
      </c>
      <c r="G150" s="99" t="str">
        <f>'Resultater - Vestdanmark'!G150</f>
        <v>Ton</v>
      </c>
      <c r="H150" s="286">
        <f>'Resultater - Vestdanmark'!H150+'Resultater - Østdanmark'!H150</f>
        <v>843.56496811604438</v>
      </c>
      <c r="I150" s="287">
        <f>'Resultater - Vestdanmark'!I150+'Resultater - Østdanmark'!I150</f>
        <v>802.64916320151292</v>
      </c>
      <c r="J150" s="288">
        <f>'Resultater - Vestdanmark'!J150+'Resultater - Østdanmark'!J150</f>
        <v>765.53243889161649</v>
      </c>
    </row>
    <row r="151" spans="1:10" hidden="1" x14ac:dyDescent="0.55000000000000004">
      <c r="A151" s="99" t="str">
        <f>'Resultater - Vestdanmark'!A151</f>
        <v>Grøntsager på land</v>
      </c>
      <c r="B151" s="99" t="str">
        <f>'Resultater - Vestdanmark'!B151</f>
        <v>Konventionel</v>
      </c>
      <c r="C151" s="99" t="str">
        <f>'Resultater - Vestdanmark'!C151</f>
        <v>OC12</v>
      </c>
      <c r="D151" s="99" t="str">
        <f>'Resultater - Vestdanmark'!D151</f>
        <v>Areal-grøntsager</v>
      </c>
      <c r="E151" s="99" t="str">
        <f>'Resultater - Vestdanmark'!E151</f>
        <v>Hektar</v>
      </c>
      <c r="F151" s="99" t="str">
        <f>'Resultater - Vestdanmark'!F151</f>
        <v>Gødning</v>
      </c>
      <c r="G151" s="99" t="str">
        <f>'Resultater - Vestdanmark'!G151</f>
        <v>kg N</v>
      </c>
      <c r="H151" s="286">
        <f>'Resultater - Vestdanmark'!H151+'Resultater - Østdanmark'!H151</f>
        <v>-5553.2523541027549</v>
      </c>
      <c r="I151" s="287">
        <f>'Resultater - Vestdanmark'!I151+'Resultater - Østdanmark'!I151</f>
        <v>-4929.0116585198175</v>
      </c>
      <c r="J151" s="288">
        <f>'Resultater - Vestdanmark'!J151+'Resultater - Østdanmark'!J151</f>
        <v>-4701.0804835593626</v>
      </c>
    </row>
    <row r="152" spans="1:10" hidden="1" x14ac:dyDescent="0.55000000000000004">
      <c r="A152" s="99" t="str">
        <f>'Resultater - Vestdanmark'!A152</f>
        <v>Grøntsager på land</v>
      </c>
      <c r="B152" s="99" t="str">
        <f>'Resultater - Vestdanmark'!B152</f>
        <v>Konventionel</v>
      </c>
      <c r="C152" s="99" t="str">
        <f>'Resultater - Vestdanmark'!C152</f>
        <v>OC12</v>
      </c>
      <c r="D152" s="99" t="str">
        <f>'Resultater - Vestdanmark'!D152</f>
        <v>Areal-grøntsager</v>
      </c>
      <c r="E152" s="99" t="str">
        <f>'Resultater - Vestdanmark'!E152</f>
        <v>Hektar</v>
      </c>
      <c r="F152" s="99" t="str">
        <f>'Resultater - Vestdanmark'!F152</f>
        <v>CO2 - atmosfære</v>
      </c>
      <c r="G152" s="99" t="str">
        <f>'Resultater - Vestdanmark'!G152</f>
        <v>t CO2-ækvivalenter</v>
      </c>
      <c r="H152" s="286">
        <f>'Resultater - Vestdanmark'!H152+'Resultater - Østdanmark'!H152</f>
        <v>1196.9215428986058</v>
      </c>
      <c r="I152" s="287">
        <f>'Resultater - Vestdanmark'!I152+'Resultater - Østdanmark'!I152</f>
        <v>1062.3756788077692</v>
      </c>
      <c r="J152" s="288">
        <f>'Resultater - Vestdanmark'!J152+'Resultater - Østdanmark'!J152</f>
        <v>1013.2484797877565</v>
      </c>
    </row>
    <row r="153" spans="1:10" hidden="1" x14ac:dyDescent="0.55000000000000004">
      <c r="A153" s="99" t="str">
        <f>'Resultater - Vestdanmark'!A153</f>
        <v>Grøntsager på land</v>
      </c>
      <c r="B153" s="99" t="str">
        <f>'Resultater - Vestdanmark'!B153</f>
        <v>Økologisk</v>
      </c>
      <c r="C153" s="99" t="str">
        <f>'Resultater - Vestdanmark'!C153</f>
        <v>JB1-10</v>
      </c>
      <c r="D153" s="99" t="str">
        <f>'Resultater - Vestdanmark'!D153</f>
        <v>Areal-grøntsager</v>
      </c>
      <c r="E153" s="99" t="str">
        <f>'Resultater - Vestdanmark'!E153</f>
        <v>Hektar</v>
      </c>
      <c r="F153" s="99" t="str">
        <f>'Resultater - Vestdanmark'!F153</f>
        <v>Grøntsager</v>
      </c>
      <c r="G153" s="99" t="str">
        <f>'Resultater - Vestdanmark'!G153</f>
        <v>Ton</v>
      </c>
      <c r="H153" s="286">
        <f>'Resultater - Vestdanmark'!H153+'Resultater - Østdanmark'!H153</f>
        <v>16773.399891430559</v>
      </c>
      <c r="I153" s="287">
        <f>'Resultater - Vestdanmark'!I153+'Resultater - Østdanmark'!I153</f>
        <v>21241.969663272303</v>
      </c>
      <c r="J153" s="288">
        <f>'Resultater - Vestdanmark'!J153+'Resultater - Østdanmark'!J153</f>
        <v>27134.170910235967</v>
      </c>
    </row>
    <row r="154" spans="1:10" hidden="1" x14ac:dyDescent="0.55000000000000004">
      <c r="A154" s="99" t="str">
        <f>'Resultater - Vestdanmark'!A154</f>
        <v>Grøntsager på land</v>
      </c>
      <c r="B154" s="99" t="str">
        <f>'Resultater - Vestdanmark'!B154</f>
        <v>Økologisk</v>
      </c>
      <c r="C154" s="99" t="str">
        <f>'Resultater - Vestdanmark'!C154</f>
        <v>JB1-10</v>
      </c>
      <c r="D154" s="99" t="str">
        <f>'Resultater - Vestdanmark'!D154</f>
        <v>Areal-grøntsager</v>
      </c>
      <c r="E154" s="99" t="str">
        <f>'Resultater - Vestdanmark'!E154</f>
        <v>Hektar</v>
      </c>
      <c r="F154" s="99" t="str">
        <f>'Resultater - Vestdanmark'!F154</f>
        <v>Gødning</v>
      </c>
      <c r="G154" s="99" t="str">
        <f>'Resultater - Vestdanmark'!G154</f>
        <v>kg N</v>
      </c>
      <c r="H154" s="286">
        <f>'Resultater - Vestdanmark'!H154+'Resultater - Østdanmark'!H154</f>
        <v>-162725.04672139056</v>
      </c>
      <c r="I154" s="287">
        <f>'Resultater - Vestdanmark'!I154+'Resultater - Østdanmark'!I154</f>
        <v>-192235.37215529609</v>
      </c>
      <c r="J154" s="288">
        <f>'Resultater - Vestdanmark'!J154+'Resultater - Østdanmark'!J154</f>
        <v>-245558.55816296639</v>
      </c>
    </row>
    <row r="155" spans="1:10" hidden="1" x14ac:dyDescent="0.55000000000000004">
      <c r="A155" s="99" t="str">
        <f>'Resultater - Vestdanmark'!A155</f>
        <v>Grøntsager på land</v>
      </c>
      <c r="B155" s="99" t="str">
        <f>'Resultater - Vestdanmark'!B155</f>
        <v>Økologisk</v>
      </c>
      <c r="C155" s="99" t="str">
        <f>'Resultater - Vestdanmark'!C155</f>
        <v>JB1-10</v>
      </c>
      <c r="D155" s="99" t="str">
        <f>'Resultater - Vestdanmark'!D155</f>
        <v>Areal-grøntsager</v>
      </c>
      <c r="E155" s="99" t="str">
        <f>'Resultater - Vestdanmark'!E155</f>
        <v>Hektar</v>
      </c>
      <c r="F155" s="99" t="str">
        <f>'Resultater - Vestdanmark'!F155</f>
        <v>CO2 - atmosfære</v>
      </c>
      <c r="G155" s="99" t="str">
        <f>'Resultater - Vestdanmark'!G155</f>
        <v>t CO2-ækvivalenter</v>
      </c>
      <c r="H155" s="286">
        <f>'Resultater - Vestdanmark'!H155+'Resultater - Østdanmark'!H155</f>
        <v>3245.5001945546865</v>
      </c>
      <c r="I155" s="287">
        <f>'Resultater - Vestdanmark'!I155+'Resultater - Østdanmark'!I155</f>
        <v>3834.0744114120007</v>
      </c>
      <c r="J155" s="288">
        <f>'Resultater - Vestdanmark'!J155+'Resultater - Østdanmark'!J155</f>
        <v>4897.5886893244533</v>
      </c>
    </row>
    <row r="156" spans="1:10" hidden="1" x14ac:dyDescent="0.55000000000000004">
      <c r="A156" s="99" t="str">
        <f>'Resultater - Vestdanmark'!A156</f>
        <v>Grøntsager på land</v>
      </c>
      <c r="B156" s="99" t="str">
        <f>'Resultater - Vestdanmark'!B156</f>
        <v>Økologisk</v>
      </c>
      <c r="C156" s="99" t="str">
        <f>'Resultater - Vestdanmark'!C156</f>
        <v>OC6</v>
      </c>
      <c r="D156" s="99" t="str">
        <f>'Resultater - Vestdanmark'!D156</f>
        <v>Areal-grøntsager</v>
      </c>
      <c r="E156" s="99" t="str">
        <f>'Resultater - Vestdanmark'!E156</f>
        <v>Hektar</v>
      </c>
      <c r="F156" s="99" t="str">
        <f>'Resultater - Vestdanmark'!F156</f>
        <v>Grøntsager</v>
      </c>
      <c r="G156" s="99" t="str">
        <f>'Resultater - Vestdanmark'!G156</f>
        <v>Ton</v>
      </c>
      <c r="H156" s="286">
        <f>'Resultater - Vestdanmark'!H156+'Resultater - Østdanmark'!H156</f>
        <v>204.5574315852524</v>
      </c>
      <c r="I156" s="287">
        <f>'Resultater - Vestdanmark'!I156+'Resultater - Østdanmark'!I156</f>
        <v>241.72724637455406</v>
      </c>
      <c r="J156" s="288">
        <f>'Resultater - Vestdanmark'!J156+'Resultater - Østdanmark'!J156</f>
        <v>313.35013418923671</v>
      </c>
    </row>
    <row r="157" spans="1:10" hidden="1" x14ac:dyDescent="0.55000000000000004">
      <c r="A157" s="99" t="str">
        <f>'Resultater - Vestdanmark'!A157</f>
        <v>Grøntsager på land</v>
      </c>
      <c r="B157" s="99" t="str">
        <f>'Resultater - Vestdanmark'!B157</f>
        <v>Økologisk</v>
      </c>
      <c r="C157" s="99" t="str">
        <f>'Resultater - Vestdanmark'!C157</f>
        <v>OC6</v>
      </c>
      <c r="D157" s="99" t="str">
        <f>'Resultater - Vestdanmark'!D157</f>
        <v>Areal-grøntsager</v>
      </c>
      <c r="E157" s="99" t="str">
        <f>'Resultater - Vestdanmark'!E157</f>
        <v>Hektar</v>
      </c>
      <c r="F157" s="99" t="str">
        <f>'Resultater - Vestdanmark'!F157</f>
        <v>Gødning</v>
      </c>
      <c r="G157" s="99" t="str">
        <f>'Resultater - Vestdanmark'!G157</f>
        <v>kg N</v>
      </c>
      <c r="H157" s="286">
        <f>'Resultater - Vestdanmark'!H157+'Resultater - Østdanmark'!H157</f>
        <v>-1612.3968297864642</v>
      </c>
      <c r="I157" s="287">
        <f>'Resultater - Vestdanmark'!I157+'Resultater - Østdanmark'!I157</f>
        <v>-1777.4094832823403</v>
      </c>
      <c r="J157" s="288">
        <f>'Resultater - Vestdanmark'!J157+'Resultater - Østdanmark'!J157</f>
        <v>-2304.049330180811</v>
      </c>
    </row>
    <row r="158" spans="1:10" hidden="1" x14ac:dyDescent="0.55000000000000004">
      <c r="A158" s="99" t="str">
        <f>'Resultater - Vestdanmark'!A158</f>
        <v>Grøntsager på land</v>
      </c>
      <c r="B158" s="99" t="str">
        <f>'Resultater - Vestdanmark'!B158</f>
        <v>Økologisk</v>
      </c>
      <c r="C158" s="99" t="str">
        <f>'Resultater - Vestdanmark'!C158</f>
        <v>OC6</v>
      </c>
      <c r="D158" s="99" t="str">
        <f>'Resultater - Vestdanmark'!D158</f>
        <v>Areal-grøntsager</v>
      </c>
      <c r="E158" s="99" t="str">
        <f>'Resultater - Vestdanmark'!E158</f>
        <v>Hektar</v>
      </c>
      <c r="F158" s="99" t="str">
        <f>'Resultater - Vestdanmark'!F158</f>
        <v>CO2 - atmosfære</v>
      </c>
      <c r="G158" s="99" t="str">
        <f>'Resultater - Vestdanmark'!G158</f>
        <v>t CO2-ækvivalenter</v>
      </c>
      <c r="H158" s="286">
        <f>'Resultater - Vestdanmark'!H158+'Resultater - Østdanmark'!H158</f>
        <v>231.98342151189939</v>
      </c>
      <c r="I158" s="287">
        <f>'Resultater - Vestdanmark'!I158+'Resultater - Østdanmark'!I158</f>
        <v>255.72459939290545</v>
      </c>
      <c r="J158" s="288">
        <f>'Resultater - Vestdanmark'!J158+'Resultater - Østdanmark'!J158</f>
        <v>331.49485106487742</v>
      </c>
    </row>
    <row r="159" spans="1:10" hidden="1" x14ac:dyDescent="0.55000000000000004">
      <c r="A159" s="99" t="str">
        <f>'Resultater - Vestdanmark'!A159</f>
        <v>Grøntsager på land</v>
      </c>
      <c r="B159" s="99" t="str">
        <f>'Resultater - Vestdanmark'!B159</f>
        <v>Økologisk</v>
      </c>
      <c r="C159" s="99" t="str">
        <f>'Resultater - Vestdanmark'!C159</f>
        <v>OC12</v>
      </c>
      <c r="D159" s="99" t="str">
        <f>'Resultater - Vestdanmark'!D159</f>
        <v>Areal-grøntsager</v>
      </c>
      <c r="E159" s="99" t="str">
        <f>'Resultater - Vestdanmark'!E159</f>
        <v>Hektar</v>
      </c>
      <c r="F159" s="99" t="str">
        <f>'Resultater - Vestdanmark'!F159</f>
        <v>Grøntsager</v>
      </c>
      <c r="G159" s="99" t="str">
        <f>'Resultater - Vestdanmark'!G159</f>
        <v>Ton</v>
      </c>
      <c r="H159" s="286">
        <f>'Resultater - Vestdanmark'!H159+'Resultater - Østdanmark'!H159</f>
        <v>61.479911705441317</v>
      </c>
      <c r="I159" s="287">
        <f>'Resultater - Vestdanmark'!I159+'Resultater - Østdanmark'!I159</f>
        <v>71.403298391163489</v>
      </c>
      <c r="J159" s="288">
        <f>'Resultater - Vestdanmark'!J159+'Resultater - Østdanmark'!J159</f>
        <v>92.559831247804524</v>
      </c>
    </row>
    <row r="160" spans="1:10" hidden="1" x14ac:dyDescent="0.55000000000000004">
      <c r="A160" s="99" t="str">
        <f>'Resultater - Vestdanmark'!A160</f>
        <v>Grøntsager på land</v>
      </c>
      <c r="B160" s="99" t="str">
        <f>'Resultater - Vestdanmark'!B160</f>
        <v>Økologisk</v>
      </c>
      <c r="C160" s="99" t="str">
        <f>'Resultater - Vestdanmark'!C160</f>
        <v>OC12</v>
      </c>
      <c r="D160" s="99" t="str">
        <f>'Resultater - Vestdanmark'!D160</f>
        <v>Areal-grøntsager</v>
      </c>
      <c r="E160" s="99" t="str">
        <f>'Resultater - Vestdanmark'!E160</f>
        <v>Hektar</v>
      </c>
      <c r="F160" s="99" t="str">
        <f>'Resultater - Vestdanmark'!F160</f>
        <v>Gødning</v>
      </c>
      <c r="G160" s="99" t="str">
        <f>'Resultater - Vestdanmark'!G160</f>
        <v>kg N</v>
      </c>
      <c r="H160" s="286">
        <f>'Resultater - Vestdanmark'!H160+'Resultater - Østdanmark'!H160</f>
        <v>-404.72693546148446</v>
      </c>
      <c r="I160" s="287">
        <f>'Resultater - Vestdanmark'!I160+'Resultater - Østdanmark'!I160</f>
        <v>-438.48259783017335</v>
      </c>
      <c r="J160" s="288">
        <f>'Resultater - Vestdanmark'!J160+'Resultater - Østdanmark'!J160</f>
        <v>-568.40336755763201</v>
      </c>
    </row>
    <row r="161" spans="1:10" hidden="1" x14ac:dyDescent="0.55000000000000004">
      <c r="A161" s="99" t="str">
        <f>'Resultater - Vestdanmark'!A161</f>
        <v>Grøntsager på land</v>
      </c>
      <c r="B161" s="99" t="str">
        <f>'Resultater - Vestdanmark'!B161</f>
        <v>Økologisk</v>
      </c>
      <c r="C161" s="99" t="str">
        <f>'Resultater - Vestdanmark'!C161</f>
        <v>OC12</v>
      </c>
      <c r="D161" s="99" t="str">
        <f>'Resultater - Vestdanmark'!D161</f>
        <v>Areal-grøntsager</v>
      </c>
      <c r="E161" s="99" t="str">
        <f>'Resultater - Vestdanmark'!E161</f>
        <v>Hektar</v>
      </c>
      <c r="F161" s="99" t="str">
        <f>'Resultater - Vestdanmark'!F161</f>
        <v>CO2 - atmosfære</v>
      </c>
      <c r="G161" s="99" t="str">
        <f>'Resultater - Vestdanmark'!G161</f>
        <v>t CO2-ækvivalenter</v>
      </c>
      <c r="H161" s="286">
        <f>'Resultater - Vestdanmark'!H161+'Resultater - Østdanmark'!H161</f>
        <v>153.04020095390325</v>
      </c>
      <c r="I161" s="287">
        <f>'Resultater - Vestdanmark'!I161+'Resultater - Østdanmark'!I161</f>
        <v>165.80429669254198</v>
      </c>
      <c r="J161" s="288">
        <f>'Resultater - Vestdanmark'!J161+'Resultater - Østdanmark'!J161</f>
        <v>214.93149571255441</v>
      </c>
    </row>
    <row r="162" spans="1:10" x14ac:dyDescent="0.55000000000000004">
      <c r="A162" s="99" t="str">
        <f>'Resultater - Vestdanmark'!A162</f>
        <v>Grøntsager i drivhus</v>
      </c>
      <c r="B162" s="99" t="str">
        <f>'Resultater - Vestdanmark'!B162</f>
        <v>Konventionel</v>
      </c>
      <c r="C162" s="99" t="str">
        <f>'Resultater - Vestdanmark'!C162</f>
        <v/>
      </c>
      <c r="D162" s="99" t="str">
        <f>'Resultater - Vestdanmark'!D162</f>
        <v>Areal-grøntsager</v>
      </c>
      <c r="E162" s="99" t="str">
        <f>'Resultater - Vestdanmark'!E162</f>
        <v>Hektar</v>
      </c>
      <c r="F162" s="99" t="str">
        <f>'Resultater - Vestdanmark'!F162</f>
        <v>Grøntsager</v>
      </c>
      <c r="G162" s="99" t="str">
        <f>'Resultater - Vestdanmark'!G162</f>
        <v>Ton</v>
      </c>
      <c r="H162" s="286">
        <f>'Resultater - Vestdanmark'!H162+'Resultater - Østdanmark'!H162</f>
        <v>27749.688657763778</v>
      </c>
      <c r="I162" s="287">
        <f>'Resultater - Vestdanmark'!I162+'Resultater - Østdanmark'!I162</f>
        <v>26833.324057007267</v>
      </c>
      <c r="J162" s="288">
        <f>'Resultater - Vestdanmark'!J162+'Resultater - Østdanmark'!J162</f>
        <v>25223.498020412364</v>
      </c>
    </row>
    <row r="163" spans="1:10" x14ac:dyDescent="0.55000000000000004">
      <c r="A163" s="99" t="str">
        <f>'Resultater - Vestdanmark'!A163</f>
        <v>Grøntsager i drivhus</v>
      </c>
      <c r="B163" s="99" t="str">
        <f>'Resultater - Vestdanmark'!B163</f>
        <v>Konventionel</v>
      </c>
      <c r="C163" s="99" t="str">
        <f>'Resultater - Vestdanmark'!C163</f>
        <v/>
      </c>
      <c r="D163" s="99" t="str">
        <f>'Resultater - Vestdanmark'!D163</f>
        <v>Areal-grøntsager</v>
      </c>
      <c r="E163" s="99" t="str">
        <f>'Resultater - Vestdanmark'!E163</f>
        <v>Hektar</v>
      </c>
      <c r="F163" s="99" t="str">
        <f>'Resultater - Vestdanmark'!F163</f>
        <v>Gødning</v>
      </c>
      <c r="G163" s="99" t="str">
        <f>'Resultater - Vestdanmark'!G163</f>
        <v>kg N</v>
      </c>
      <c r="H163" s="286">
        <f>'Resultater - Vestdanmark'!H163+'Resultater - Østdanmark'!H163</f>
        <v>-23743486.815882854</v>
      </c>
      <c r="I163" s="287">
        <f>'Resultater - Vestdanmark'!I163+'Resultater - Østdanmark'!I163</f>
        <v>-22959417.088653084</v>
      </c>
      <c r="J163" s="288">
        <f>'Resultater - Vestdanmark'!J163+'Resultater - Østdanmark'!J163</f>
        <v>-21582000.435545441</v>
      </c>
    </row>
    <row r="164" spans="1:10" x14ac:dyDescent="0.55000000000000004">
      <c r="A164" s="99" t="str">
        <f>'Resultater - Vestdanmark'!A164</f>
        <v>Grøntsager i drivhus</v>
      </c>
      <c r="B164" s="99" t="str">
        <f>'Resultater - Vestdanmark'!B164</f>
        <v>Konventionel</v>
      </c>
      <c r="C164" s="99" t="str">
        <f>'Resultater - Vestdanmark'!C164</f>
        <v/>
      </c>
      <c r="D164" s="99" t="str">
        <f>'Resultater - Vestdanmark'!D164</f>
        <v>Areal-grøntsager</v>
      </c>
      <c r="E164" s="99" t="str">
        <f>'Resultater - Vestdanmark'!E164</f>
        <v>Hektar</v>
      </c>
      <c r="F164" s="99" t="str">
        <f>'Resultater - Vestdanmark'!F164</f>
        <v>CO2 - atmosfære</v>
      </c>
      <c r="G164" s="99" t="str">
        <f>'Resultater - Vestdanmark'!G164</f>
        <v>t CO2-ækvivalenter</v>
      </c>
      <c r="H164" s="286">
        <f>'Resultater - Vestdanmark'!H164+'Resultater - Østdanmark'!H164</f>
        <v>5141.4697369274418</v>
      </c>
      <c r="I164" s="287">
        <f>'Resultater - Vestdanmark'!I164+'Resultater - Østdanmark'!I164</f>
        <v>4971.6854585923757</v>
      </c>
      <c r="J164" s="288">
        <f>'Resultater - Vestdanmark'!J164+'Resultater - Østdanmark'!J164</f>
        <v>4673.41645993985</v>
      </c>
    </row>
    <row r="165" spans="1:10" x14ac:dyDescent="0.55000000000000004">
      <c r="A165" s="99" t="str">
        <f>'Resultater - Vestdanmark'!A165</f>
        <v>Grøntsager i drivhus</v>
      </c>
      <c r="B165" s="99" t="str">
        <f>'Resultater - Vestdanmark'!B165</f>
        <v>Økologisk</v>
      </c>
      <c r="C165" s="99" t="str">
        <f>'Resultater - Vestdanmark'!C165</f>
        <v/>
      </c>
      <c r="D165" s="99" t="str">
        <f>'Resultater - Vestdanmark'!D165</f>
        <v>Areal-grøntsager</v>
      </c>
      <c r="E165" s="99" t="str">
        <f>'Resultater - Vestdanmark'!E165</f>
        <v>Hektar</v>
      </c>
      <c r="F165" s="99" t="str">
        <f>'Resultater - Vestdanmark'!F165</f>
        <v>Grøntsager</v>
      </c>
      <c r="G165" s="99" t="str">
        <f>'Resultater - Vestdanmark'!G165</f>
        <v>Ton</v>
      </c>
      <c r="H165" s="286">
        <f>'Resultater - Vestdanmark'!H165+'Resultater - Østdanmark'!H165</f>
        <v>2022.4268112306345</v>
      </c>
      <c r="I165" s="287">
        <f>'Resultater - Vestdanmark'!I165+'Resultater - Østdanmark'!I165</f>
        <v>2387.0800996378143</v>
      </c>
      <c r="J165" s="288">
        <f>'Resultater - Vestdanmark'!J165+'Resultater - Østdanmark'!J165</f>
        <v>3049.7502151953131</v>
      </c>
    </row>
    <row r="166" spans="1:10" x14ac:dyDescent="0.55000000000000004">
      <c r="A166" s="99" t="str">
        <f>'Resultater - Vestdanmark'!A166</f>
        <v>Grøntsager i drivhus</v>
      </c>
      <c r="B166" s="99" t="str">
        <f>'Resultater - Vestdanmark'!B166</f>
        <v>Økologisk</v>
      </c>
      <c r="C166" s="99" t="str">
        <f>'Resultater - Vestdanmark'!C166</f>
        <v/>
      </c>
      <c r="D166" s="99" t="str">
        <f>'Resultater - Vestdanmark'!D166</f>
        <v>Areal-grøntsager</v>
      </c>
      <c r="E166" s="99" t="str">
        <f>'Resultater - Vestdanmark'!E166</f>
        <v>Hektar</v>
      </c>
      <c r="F166" s="99" t="str">
        <f>'Resultater - Vestdanmark'!F166</f>
        <v>Gødning</v>
      </c>
      <c r="G166" s="99" t="str">
        <f>'Resultater - Vestdanmark'!G166</f>
        <v>kg N</v>
      </c>
      <c r="H166" s="286">
        <f>'Resultater - Vestdanmark'!H166+'Resultater - Østdanmark'!H166</f>
        <v>-1730450.5618338804</v>
      </c>
      <c r="I166" s="287">
        <f>'Resultater - Vestdanmark'!I166+'Resultater - Østdanmark'!I166</f>
        <v>-2042459.1271350924</v>
      </c>
      <c r="J166" s="288">
        <f>'Resultater - Vestdanmark'!J166+'Resultater - Østdanmark'!J166</f>
        <v>-2609460.052661404</v>
      </c>
    </row>
    <row r="167" spans="1:10" x14ac:dyDescent="0.55000000000000004">
      <c r="A167" s="99" t="str">
        <f>'Resultater - Vestdanmark'!A167</f>
        <v>Grøntsager i drivhus</v>
      </c>
      <c r="B167" s="99" t="str">
        <f>'Resultater - Vestdanmark'!B167</f>
        <v>Økologisk</v>
      </c>
      <c r="C167" s="99" t="str">
        <f>'Resultater - Vestdanmark'!C167</f>
        <v/>
      </c>
      <c r="D167" s="99" t="str">
        <f>'Resultater - Vestdanmark'!D167</f>
        <v>Areal-grøntsager</v>
      </c>
      <c r="E167" s="99" t="str">
        <f>'Resultater - Vestdanmark'!E167</f>
        <v>Hektar</v>
      </c>
      <c r="F167" s="99" t="str">
        <f>'Resultater - Vestdanmark'!F167</f>
        <v>CO2 - atmosfære</v>
      </c>
      <c r="G167" s="99" t="str">
        <f>'Resultater - Vestdanmark'!G167</f>
        <v>t CO2-ækvivalenter</v>
      </c>
      <c r="H167" s="286">
        <f>'Resultater - Vestdanmark'!H167+'Resultater - Østdanmark'!H167</f>
        <v>657.39610620781025</v>
      </c>
      <c r="I167" s="287">
        <f>'Resultater - Vestdanmark'!I167+'Resultater - Østdanmark'!I167</f>
        <v>775.92778833522641</v>
      </c>
      <c r="J167" s="288">
        <f>'Resultater - Vestdanmark'!J167+'Resultater - Østdanmark'!J167</f>
        <v>991.33076422966542</v>
      </c>
    </row>
    <row r="168" spans="1:10" hidden="1" x14ac:dyDescent="0.55000000000000004">
      <c r="A168" s="99" t="str">
        <f>'Resultater - Vestdanmark'!A168</f>
        <v>Kartoffelmark</v>
      </c>
      <c r="B168" s="99" t="str">
        <f>'Resultater - Vestdanmark'!B168</f>
        <v>Konventionel</v>
      </c>
      <c r="C168" s="99" t="str">
        <f>'Resultater - Vestdanmark'!C168</f>
        <v>JB1-10</v>
      </c>
      <c r="D168" s="99" t="str">
        <f>'Resultater - Vestdanmark'!D168</f>
        <v>Areal-kartofler</v>
      </c>
      <c r="E168" s="99" t="str">
        <f>'Resultater - Vestdanmark'!E168</f>
        <v>Hektar</v>
      </c>
      <c r="F168" s="99" t="str">
        <f>'Resultater - Vestdanmark'!F168</f>
        <v>Kartofler</v>
      </c>
      <c r="G168" s="99" t="str">
        <f>'Resultater - Vestdanmark'!G168</f>
        <v>Ton</v>
      </c>
      <c r="H168" s="286">
        <f>'Resultater - Vestdanmark'!H168+'Resultater - Østdanmark'!H168</f>
        <v>1955168.9801122241</v>
      </c>
      <c r="I168" s="287">
        <f>'Resultater - Vestdanmark'!I168+'Resultater - Østdanmark'!I168</f>
        <v>2024635.254957163</v>
      </c>
      <c r="J168" s="288">
        <f>'Resultater - Vestdanmark'!J168+'Resultater - Østdanmark'!J168</f>
        <v>1896041.6577530119</v>
      </c>
    </row>
    <row r="169" spans="1:10" hidden="1" x14ac:dyDescent="0.55000000000000004">
      <c r="A169" s="99" t="str">
        <f>'Resultater - Vestdanmark'!A169</f>
        <v>Kartoffelmark</v>
      </c>
      <c r="B169" s="99" t="str">
        <f>'Resultater - Vestdanmark'!B169</f>
        <v>Konventionel</v>
      </c>
      <c r="C169" s="99" t="str">
        <f>'Resultater - Vestdanmark'!C169</f>
        <v>JB1-10</v>
      </c>
      <c r="D169" s="99" t="str">
        <f>'Resultater - Vestdanmark'!D169</f>
        <v>Areal-kartofler</v>
      </c>
      <c r="E169" s="99" t="str">
        <f>'Resultater - Vestdanmark'!E169</f>
        <v>Hektar</v>
      </c>
      <c r="F169" s="99" t="str">
        <f>'Resultater - Vestdanmark'!F169</f>
        <v>Gødning</v>
      </c>
      <c r="G169" s="99" t="str">
        <f>'Resultater - Vestdanmark'!G169</f>
        <v>kg N</v>
      </c>
      <c r="H169" s="286">
        <f>'Resultater - Vestdanmark'!H169+'Resultater - Østdanmark'!H169</f>
        <v>-6905324.6027384531</v>
      </c>
      <c r="I169" s="287">
        <f>'Resultater - Vestdanmark'!I169+'Resultater - Østdanmark'!I169</f>
        <v>-6670398.9564645123</v>
      </c>
      <c r="J169" s="288">
        <f>'Resultater - Vestdanmark'!J169+'Resultater - Østdanmark'!J169</f>
        <v>-6246732.227112446</v>
      </c>
    </row>
    <row r="170" spans="1:10" hidden="1" x14ac:dyDescent="0.55000000000000004">
      <c r="A170" s="99" t="str">
        <f>'Resultater - Vestdanmark'!A170</f>
        <v>Kartoffelmark</v>
      </c>
      <c r="B170" s="99" t="str">
        <f>'Resultater - Vestdanmark'!B170</f>
        <v>Konventionel</v>
      </c>
      <c r="C170" s="99" t="str">
        <f>'Resultater - Vestdanmark'!C170</f>
        <v>JB1-10</v>
      </c>
      <c r="D170" s="99" t="str">
        <f>'Resultater - Vestdanmark'!D170</f>
        <v>Areal-kartofler</v>
      </c>
      <c r="E170" s="99" t="str">
        <f>'Resultater - Vestdanmark'!E170</f>
        <v>Hektar</v>
      </c>
      <c r="F170" s="99" t="str">
        <f>'Resultater - Vestdanmark'!F170</f>
        <v>CO2 - atmosfære</v>
      </c>
      <c r="G170" s="99" t="str">
        <f>'Resultater - Vestdanmark'!G170</f>
        <v>t CO2-ækvivalenter</v>
      </c>
      <c r="H170" s="286">
        <f>'Resultater - Vestdanmark'!H170+'Resultater - Østdanmark'!H170</f>
        <v>104670.65103270129</v>
      </c>
      <c r="I170" s="287">
        <f>'Resultater - Vestdanmark'!I170+'Resultater - Østdanmark'!I170</f>
        <v>101109.65690796172</v>
      </c>
      <c r="J170" s="288">
        <f>'Resultater - Vestdanmark'!J170+'Resultater - Østdanmark'!J170</f>
        <v>94687.732533169838</v>
      </c>
    </row>
    <row r="171" spans="1:10" hidden="1" x14ac:dyDescent="0.55000000000000004">
      <c r="A171" s="99" t="str">
        <f>'Resultater - Vestdanmark'!A171</f>
        <v>Kartoffelmark</v>
      </c>
      <c r="B171" s="99" t="str">
        <f>'Resultater - Vestdanmark'!B171</f>
        <v>Konventionel</v>
      </c>
      <c r="C171" s="99" t="str">
        <f>'Resultater - Vestdanmark'!C171</f>
        <v>OC6</v>
      </c>
      <c r="D171" s="99" t="str">
        <f>'Resultater - Vestdanmark'!D171</f>
        <v>Areal-kartofler</v>
      </c>
      <c r="E171" s="99" t="str">
        <f>'Resultater - Vestdanmark'!E171</f>
        <v>Hektar</v>
      </c>
      <c r="F171" s="99" t="str">
        <f>'Resultater - Vestdanmark'!F171</f>
        <v>Kartofler</v>
      </c>
      <c r="G171" s="99" t="str">
        <f>'Resultater - Vestdanmark'!G171</f>
        <v>Ton</v>
      </c>
      <c r="H171" s="286">
        <f>'Resultater - Vestdanmark'!H171+'Resultater - Østdanmark'!H171</f>
        <v>76780.532840637781</v>
      </c>
      <c r="I171" s="287">
        <f>'Resultater - Vestdanmark'!I171+'Resultater - Østdanmark'!I171</f>
        <v>74311.214987708983</v>
      </c>
      <c r="J171" s="288">
        <f>'Resultater - Vestdanmark'!J171+'Resultater - Østdanmark'!J171</f>
        <v>70874.858225271571</v>
      </c>
    </row>
    <row r="172" spans="1:10" hidden="1" x14ac:dyDescent="0.55000000000000004">
      <c r="A172" s="99" t="str">
        <f>'Resultater - Vestdanmark'!A172</f>
        <v>Kartoffelmark</v>
      </c>
      <c r="B172" s="99" t="str">
        <f>'Resultater - Vestdanmark'!B172</f>
        <v>Konventionel</v>
      </c>
      <c r="C172" s="99" t="str">
        <f>'Resultater - Vestdanmark'!C172</f>
        <v>OC6</v>
      </c>
      <c r="D172" s="99" t="str">
        <f>'Resultater - Vestdanmark'!D172</f>
        <v>Areal-kartofler</v>
      </c>
      <c r="E172" s="99" t="str">
        <f>'Resultater - Vestdanmark'!E172</f>
        <v>Hektar</v>
      </c>
      <c r="F172" s="99" t="str">
        <f>'Resultater - Vestdanmark'!F172</f>
        <v>Gødning</v>
      </c>
      <c r="G172" s="99" t="str">
        <f>'Resultater - Vestdanmark'!G172</f>
        <v>kg N</v>
      </c>
      <c r="H172" s="286">
        <f>'Resultater - Vestdanmark'!H172+'Resultater - Østdanmark'!H172</f>
        <v>-180783.86329737815</v>
      </c>
      <c r="I172" s="287">
        <f>'Resultater - Vestdanmark'!I172+'Resultater - Østdanmark'!I172</f>
        <v>-163218.02480849379</v>
      </c>
      <c r="J172" s="288">
        <f>'Resultater - Vestdanmark'!J172+'Resultater - Østdanmark'!J172</f>
        <v>-155670.37048208943</v>
      </c>
    </row>
    <row r="173" spans="1:10" hidden="1" x14ac:dyDescent="0.55000000000000004">
      <c r="A173" s="99" t="str">
        <f>'Resultater - Vestdanmark'!A173</f>
        <v>Kartoffelmark</v>
      </c>
      <c r="B173" s="99" t="str">
        <f>'Resultater - Vestdanmark'!B173</f>
        <v>Konventionel</v>
      </c>
      <c r="C173" s="99" t="str">
        <f>'Resultater - Vestdanmark'!C173</f>
        <v>OC6</v>
      </c>
      <c r="D173" s="99" t="str">
        <f>'Resultater - Vestdanmark'!D173</f>
        <v>Areal-kartofler</v>
      </c>
      <c r="E173" s="99" t="str">
        <f>'Resultater - Vestdanmark'!E173</f>
        <v>Hektar</v>
      </c>
      <c r="F173" s="99" t="str">
        <f>'Resultater - Vestdanmark'!F173</f>
        <v>CO2 - atmosfære</v>
      </c>
      <c r="G173" s="99" t="str">
        <f>'Resultater - Vestdanmark'!G173</f>
        <v>t CO2-ækvivalenter</v>
      </c>
      <c r="H173" s="286">
        <f>'Resultater - Vestdanmark'!H173+'Resultater - Østdanmark'!H173</f>
        <v>24092.002403541195</v>
      </c>
      <c r="I173" s="287">
        <f>'Resultater - Vestdanmark'!I173+'Resultater - Østdanmark'!I173</f>
        <v>21751.106400017437</v>
      </c>
      <c r="J173" s="288">
        <f>'Resultater - Vestdanmark'!J173+'Resultater - Østdanmark'!J173</f>
        <v>20745.274890190038</v>
      </c>
    </row>
    <row r="174" spans="1:10" hidden="1" x14ac:dyDescent="0.55000000000000004">
      <c r="A174" s="99" t="str">
        <f>'Resultater - Vestdanmark'!A174</f>
        <v>Kartoffelmark</v>
      </c>
      <c r="B174" s="99" t="str">
        <f>'Resultater - Vestdanmark'!B174</f>
        <v>Konventionel</v>
      </c>
      <c r="C174" s="99" t="str">
        <f>'Resultater - Vestdanmark'!C174</f>
        <v>OC12</v>
      </c>
      <c r="D174" s="99" t="str">
        <f>'Resultater - Vestdanmark'!D174</f>
        <v>Areal-kartofler</v>
      </c>
      <c r="E174" s="99" t="str">
        <f>'Resultater - Vestdanmark'!E174</f>
        <v>Hektar</v>
      </c>
      <c r="F174" s="99" t="str">
        <f>'Resultater - Vestdanmark'!F174</f>
        <v>Kartofler</v>
      </c>
      <c r="G174" s="99" t="str">
        <f>'Resultater - Vestdanmark'!G174</f>
        <v>Ton</v>
      </c>
      <c r="H174" s="286">
        <f>'Resultater - Vestdanmark'!H174+'Resultater - Østdanmark'!H174</f>
        <v>76689.476357594409</v>
      </c>
      <c r="I174" s="287">
        <f>'Resultater - Vestdanmark'!I174+'Resultater - Østdanmark'!I174</f>
        <v>72574.62699914843</v>
      </c>
      <c r="J174" s="288">
        <f>'Resultater - Vestdanmark'!J174+'Resultater - Østdanmark'!J174</f>
        <v>69218.574883580863</v>
      </c>
    </row>
    <row r="175" spans="1:10" hidden="1" x14ac:dyDescent="0.55000000000000004">
      <c r="A175" s="99" t="str">
        <f>'Resultater - Vestdanmark'!A175</f>
        <v>Kartoffelmark</v>
      </c>
      <c r="B175" s="99" t="str">
        <f>'Resultater - Vestdanmark'!B175</f>
        <v>Konventionel</v>
      </c>
      <c r="C175" s="99" t="str">
        <f>'Resultater - Vestdanmark'!C175</f>
        <v>OC12</v>
      </c>
      <c r="D175" s="99" t="str">
        <f>'Resultater - Vestdanmark'!D175</f>
        <v>Areal-kartofler</v>
      </c>
      <c r="E175" s="99" t="str">
        <f>'Resultater - Vestdanmark'!E175</f>
        <v>Hektar</v>
      </c>
      <c r="F175" s="99" t="str">
        <f>'Resultater - Vestdanmark'!F175</f>
        <v>Gødning</v>
      </c>
      <c r="G175" s="99" t="str">
        <f>'Resultater - Vestdanmark'!G175</f>
        <v>kg N</v>
      </c>
      <c r="H175" s="286">
        <f>'Resultater - Vestdanmark'!H175+'Resultater - Østdanmark'!H175</f>
        <v>-116080.37096608599</v>
      </c>
      <c r="I175" s="287">
        <f>'Resultater - Vestdanmark'!I175+'Resultater - Østdanmark'!I175</f>
        <v>-102473.84736491642</v>
      </c>
      <c r="J175" s="288">
        <f>'Resultater - Vestdanmark'!J175+'Resultater - Østdanmark'!J175</f>
        <v>-97735.172342261329</v>
      </c>
    </row>
    <row r="176" spans="1:10" hidden="1" x14ac:dyDescent="0.55000000000000004">
      <c r="A176" s="99" t="str">
        <f>'Resultater - Vestdanmark'!A176</f>
        <v>Kartoffelmark</v>
      </c>
      <c r="B176" s="99" t="str">
        <f>'Resultater - Vestdanmark'!B176</f>
        <v>Konventionel</v>
      </c>
      <c r="C176" s="99" t="str">
        <f>'Resultater - Vestdanmark'!C176</f>
        <v>OC12</v>
      </c>
      <c r="D176" s="99" t="str">
        <f>'Resultater - Vestdanmark'!D176</f>
        <v>Areal-kartofler</v>
      </c>
      <c r="E176" s="99" t="str">
        <f>'Resultater - Vestdanmark'!E176</f>
        <v>Hektar</v>
      </c>
      <c r="F176" s="99" t="str">
        <f>'Resultater - Vestdanmark'!F176</f>
        <v>CO2 - atmosfære</v>
      </c>
      <c r="G176" s="99" t="str">
        <f>'Resultater - Vestdanmark'!G176</f>
        <v>t CO2-ækvivalenter</v>
      </c>
      <c r="H176" s="286">
        <f>'Resultater - Vestdanmark'!H176+'Resultater - Østdanmark'!H176</f>
        <v>52818.754154083166</v>
      </c>
      <c r="I176" s="287">
        <f>'Resultater - Vestdanmark'!I176+'Resultater - Østdanmark'!I176</f>
        <v>46627.529754982352</v>
      </c>
      <c r="J176" s="288">
        <f>'Resultater - Vestdanmark'!J176+'Resultater - Østdanmark'!J176</f>
        <v>44471.343407931141</v>
      </c>
    </row>
    <row r="177" spans="1:10" hidden="1" x14ac:dyDescent="0.55000000000000004">
      <c r="A177" s="99" t="str">
        <f>'Resultater - Vestdanmark'!A177</f>
        <v>Kartoffelmark</v>
      </c>
      <c r="B177" s="99" t="str">
        <f>'Resultater - Vestdanmark'!B177</f>
        <v>Økologisk</v>
      </c>
      <c r="C177" s="99" t="str">
        <f>'Resultater - Vestdanmark'!C177</f>
        <v>JB1-10</v>
      </c>
      <c r="D177" s="99" t="str">
        <f>'Resultater - Vestdanmark'!D177</f>
        <v>Areal-kartofler</v>
      </c>
      <c r="E177" s="99" t="str">
        <f>'Resultater - Vestdanmark'!E177</f>
        <v>Hektar</v>
      </c>
      <c r="F177" s="99" t="str">
        <f>'Resultater - Vestdanmark'!F177</f>
        <v>Kartofler</v>
      </c>
      <c r="G177" s="99" t="str">
        <f>'Resultater - Vestdanmark'!G177</f>
        <v>Ton</v>
      </c>
      <c r="H177" s="286">
        <f>'Resultater - Vestdanmark'!H177+'Resultater - Østdanmark'!H177</f>
        <v>142494.79389236751</v>
      </c>
      <c r="I177" s="287">
        <f>'Resultater - Vestdanmark'!I177+'Resultater - Østdanmark'!I177</f>
        <v>180110.61603347247</v>
      </c>
      <c r="J177" s="288">
        <f>'Resultater - Vestdanmark'!J177+'Resultater - Østdanmark'!J177</f>
        <v>229248.67316468229</v>
      </c>
    </row>
    <row r="178" spans="1:10" hidden="1" x14ac:dyDescent="0.55000000000000004">
      <c r="A178" s="99" t="str">
        <f>'Resultater - Vestdanmark'!A178</f>
        <v>Kartoffelmark</v>
      </c>
      <c r="B178" s="99" t="str">
        <f>'Resultater - Vestdanmark'!B178</f>
        <v>Økologisk</v>
      </c>
      <c r="C178" s="99" t="str">
        <f>'Resultater - Vestdanmark'!C178</f>
        <v>JB1-10</v>
      </c>
      <c r="D178" s="99" t="str">
        <f>'Resultater - Vestdanmark'!D178</f>
        <v>Areal-kartofler</v>
      </c>
      <c r="E178" s="99" t="str">
        <f>'Resultater - Vestdanmark'!E178</f>
        <v>Hektar</v>
      </c>
      <c r="F178" s="99" t="str">
        <f>'Resultater - Vestdanmark'!F178</f>
        <v>Gødning</v>
      </c>
      <c r="G178" s="99" t="str">
        <f>'Resultater - Vestdanmark'!G178</f>
        <v>kg N</v>
      </c>
      <c r="H178" s="286">
        <f>'Resultater - Vestdanmark'!H178+'Resultater - Østdanmark'!H178</f>
        <v>-503267.39838652278</v>
      </c>
      <c r="I178" s="287">
        <f>'Resultater - Vestdanmark'!I178+'Resultater - Østdanmark'!I178</f>
        <v>-593395.60658953083</v>
      </c>
      <c r="J178" s="288">
        <f>'Resultater - Vestdanmark'!J178+'Resultater - Østdanmark'!J178</f>
        <v>-755286.71473268664</v>
      </c>
    </row>
    <row r="179" spans="1:10" hidden="1" x14ac:dyDescent="0.55000000000000004">
      <c r="A179" s="99" t="str">
        <f>'Resultater - Vestdanmark'!A179</f>
        <v>Kartoffelmark</v>
      </c>
      <c r="B179" s="99" t="str">
        <f>'Resultater - Vestdanmark'!B179</f>
        <v>Økologisk</v>
      </c>
      <c r="C179" s="99" t="str">
        <f>'Resultater - Vestdanmark'!C179</f>
        <v>JB1-10</v>
      </c>
      <c r="D179" s="99" t="str">
        <f>'Resultater - Vestdanmark'!D179</f>
        <v>Areal-kartofler</v>
      </c>
      <c r="E179" s="99" t="str">
        <f>'Resultater - Vestdanmark'!E179</f>
        <v>Hektar</v>
      </c>
      <c r="F179" s="99" t="str">
        <f>'Resultater - Vestdanmark'!F179</f>
        <v>CO2 - atmosfære</v>
      </c>
      <c r="G179" s="99" t="str">
        <f>'Resultater - Vestdanmark'!G179</f>
        <v>t CO2-ækvivalenter</v>
      </c>
      <c r="H179" s="286">
        <f>'Resultater - Vestdanmark'!H179+'Resultater - Østdanmark'!H179</f>
        <v>13383.347942111091</v>
      </c>
      <c r="I179" s="287">
        <f>'Resultater - Vestdanmark'!I179+'Resultater - Østdanmark'!I179</f>
        <v>15780.119864248361</v>
      </c>
      <c r="J179" s="288">
        <f>'Resultater - Vestdanmark'!J179+'Resultater - Østdanmark'!J179</f>
        <v>20085.276597945118</v>
      </c>
    </row>
    <row r="180" spans="1:10" hidden="1" x14ac:dyDescent="0.55000000000000004">
      <c r="A180" s="99" t="str">
        <f>'Resultater - Vestdanmark'!A180</f>
        <v>Kartoffelmark</v>
      </c>
      <c r="B180" s="99" t="str">
        <f>'Resultater - Vestdanmark'!B180</f>
        <v>Økologisk</v>
      </c>
      <c r="C180" s="99" t="str">
        <f>'Resultater - Vestdanmark'!C180</f>
        <v>OC6</v>
      </c>
      <c r="D180" s="99" t="str">
        <f>'Resultater - Vestdanmark'!D180</f>
        <v>Areal-kartofler</v>
      </c>
      <c r="E180" s="99" t="str">
        <f>'Resultater - Vestdanmark'!E180</f>
        <v>Hektar</v>
      </c>
      <c r="F180" s="99" t="str">
        <f>'Resultater - Vestdanmark'!F180</f>
        <v>Kartofler</v>
      </c>
      <c r="G180" s="99" t="str">
        <f>'Resultater - Vestdanmark'!G180</f>
        <v>Ton</v>
      </c>
      <c r="H180" s="286">
        <f>'Resultater - Vestdanmark'!H180+'Resultater - Østdanmark'!H180</f>
        <v>5595.8468620164213</v>
      </c>
      <c r="I180" s="287">
        <f>'Resultater - Vestdanmark'!I180+'Resultater - Østdanmark'!I180</f>
        <v>6610.6913217389683</v>
      </c>
      <c r="J180" s="288">
        <f>'Resultater - Vestdanmark'!J180+'Resultater - Østdanmark'!J180</f>
        <v>8569.4146763282897</v>
      </c>
    </row>
    <row r="181" spans="1:10" hidden="1" x14ac:dyDescent="0.55000000000000004">
      <c r="A181" s="99" t="str">
        <f>'Resultater - Vestdanmark'!A181</f>
        <v>Kartoffelmark</v>
      </c>
      <c r="B181" s="99" t="str">
        <f>'Resultater - Vestdanmark'!B181</f>
        <v>Økologisk</v>
      </c>
      <c r="C181" s="99" t="str">
        <f>'Resultater - Vestdanmark'!C181</f>
        <v>OC6</v>
      </c>
      <c r="D181" s="99" t="str">
        <f>'Resultater - Vestdanmark'!D181</f>
        <v>Areal-kartofler</v>
      </c>
      <c r="E181" s="99" t="str">
        <f>'Resultater - Vestdanmark'!E181</f>
        <v>Hektar</v>
      </c>
      <c r="F181" s="99" t="str">
        <f>'Resultater - Vestdanmark'!F181</f>
        <v>Gødning</v>
      </c>
      <c r="G181" s="99" t="str">
        <f>'Resultater - Vestdanmark'!G181</f>
        <v>kg N</v>
      </c>
      <c r="H181" s="286">
        <f>'Resultater - Vestdanmark'!H181+'Resultater - Østdanmark'!H181</f>
        <v>-13175.720155987337</v>
      </c>
      <c r="I181" s="287">
        <f>'Resultater - Vestdanmark'!I181+'Resultater - Østdanmark'!I181</f>
        <v>-14519.800010420344</v>
      </c>
      <c r="J181" s="288">
        <f>'Resultater - Vestdanmark'!J181+'Resultater - Østdanmark'!J181</f>
        <v>-18821.962976470812</v>
      </c>
    </row>
    <row r="182" spans="1:10" hidden="1" x14ac:dyDescent="0.55000000000000004">
      <c r="A182" s="99" t="str">
        <f>'Resultater - Vestdanmark'!A182</f>
        <v>Kartoffelmark</v>
      </c>
      <c r="B182" s="99" t="str">
        <f>'Resultater - Vestdanmark'!B182</f>
        <v>Økologisk</v>
      </c>
      <c r="C182" s="99" t="str">
        <f>'Resultater - Vestdanmark'!C182</f>
        <v>OC6</v>
      </c>
      <c r="D182" s="99" t="str">
        <f>'Resultater - Vestdanmark'!D182</f>
        <v>Areal-kartofler</v>
      </c>
      <c r="E182" s="99" t="str">
        <f>'Resultater - Vestdanmark'!E182</f>
        <v>Hektar</v>
      </c>
      <c r="F182" s="99" t="str">
        <f>'Resultater - Vestdanmark'!F182</f>
        <v>CO2 - atmosfære</v>
      </c>
      <c r="G182" s="99" t="str">
        <f>'Resultater - Vestdanmark'!G182</f>
        <v>t CO2-ækvivalenter</v>
      </c>
      <c r="H182" s="286">
        <f>'Resultater - Vestdanmark'!H182+'Resultater - Østdanmark'!H182</f>
        <v>3080.4399094454293</v>
      </c>
      <c r="I182" s="287">
        <f>'Resultater - Vestdanmark'!I182+'Resultater - Østdanmark'!I182</f>
        <v>3394.6813456674618</v>
      </c>
      <c r="J182" s="288">
        <f>'Resultater - Vestdanmark'!J182+'Resultater - Østdanmark'!J182</f>
        <v>4400.512855494856</v>
      </c>
    </row>
    <row r="183" spans="1:10" hidden="1" x14ac:dyDescent="0.55000000000000004">
      <c r="A183" s="99" t="str">
        <f>'Resultater - Vestdanmark'!A183</f>
        <v>Kartoffelmark</v>
      </c>
      <c r="B183" s="99" t="str">
        <f>'Resultater - Vestdanmark'!B183</f>
        <v>Økologisk</v>
      </c>
      <c r="C183" s="99" t="str">
        <f>'Resultater - Vestdanmark'!C183</f>
        <v>OC12</v>
      </c>
      <c r="D183" s="99" t="str">
        <f>'Resultater - Vestdanmark'!D183</f>
        <v>Areal-kartofler</v>
      </c>
      <c r="E183" s="99" t="str">
        <f>'Resultater - Vestdanmark'!E183</f>
        <v>Hektar</v>
      </c>
      <c r="F183" s="99" t="str">
        <f>'Resultater - Vestdanmark'!F183</f>
        <v>Kartofler</v>
      </c>
      <c r="G183" s="99" t="str">
        <f>'Resultater - Vestdanmark'!G183</f>
        <v>Ton</v>
      </c>
      <c r="H183" s="286">
        <f>'Resultater - Vestdanmark'!H183+'Resultater - Østdanmark'!H183</f>
        <v>5589.2105687262674</v>
      </c>
      <c r="I183" s="287">
        <f>'Resultater - Vestdanmark'!I183+'Resultater - Østdanmark'!I183</f>
        <v>6456.2052573230876</v>
      </c>
      <c r="J183" s="288">
        <f>'Resultater - Vestdanmark'!J183+'Resultater - Østdanmark'!J183</f>
        <v>8369.1549631965936</v>
      </c>
    </row>
    <row r="184" spans="1:10" hidden="1" x14ac:dyDescent="0.55000000000000004">
      <c r="A184" s="99" t="str">
        <f>'Resultater - Vestdanmark'!A184</f>
        <v>Kartoffelmark</v>
      </c>
      <c r="B184" s="99" t="str">
        <f>'Resultater - Vestdanmark'!B184</f>
        <v>Økologisk</v>
      </c>
      <c r="C184" s="99" t="str">
        <f>'Resultater - Vestdanmark'!C184</f>
        <v>OC12</v>
      </c>
      <c r="D184" s="99" t="str">
        <f>'Resultater - Vestdanmark'!D184</f>
        <v>Areal-kartofler</v>
      </c>
      <c r="E184" s="99" t="str">
        <f>'Resultater - Vestdanmark'!E184</f>
        <v>Hektar</v>
      </c>
      <c r="F184" s="99" t="str">
        <f>'Resultater - Vestdanmark'!F184</f>
        <v>Gødning</v>
      </c>
      <c r="G184" s="99" t="str">
        <f>'Resultater - Vestdanmark'!G184</f>
        <v>kg N</v>
      </c>
      <c r="H184" s="286">
        <f>'Resultater - Vestdanmark'!H184+'Resultater - Østdanmark'!H184</f>
        <v>-8460.0608458981151</v>
      </c>
      <c r="I184" s="287">
        <f>'Resultater - Vestdanmark'!I184+'Resultater - Østdanmark'!I184</f>
        <v>-9116.0260748327401</v>
      </c>
      <c r="J184" s="288">
        <f>'Resultater - Vestdanmark'!J184+'Resultater - Østdanmark'!J184</f>
        <v>-11817.070837746141</v>
      </c>
    </row>
    <row r="185" spans="1:10" hidden="1" x14ac:dyDescent="0.55000000000000004">
      <c r="A185" s="99" t="str">
        <f>'Resultater - Vestdanmark'!A185</f>
        <v>Kartoffelmark</v>
      </c>
      <c r="B185" s="99" t="str">
        <f>'Resultater - Vestdanmark'!B185</f>
        <v>Økologisk</v>
      </c>
      <c r="C185" s="99" t="str">
        <f>'Resultater - Vestdanmark'!C185</f>
        <v>OC12</v>
      </c>
      <c r="D185" s="99" t="str">
        <f>'Resultater - Vestdanmark'!D185</f>
        <v>Areal-kartofler</v>
      </c>
      <c r="E185" s="99" t="str">
        <f>'Resultater - Vestdanmark'!E185</f>
        <v>Hektar</v>
      </c>
      <c r="F185" s="99" t="str">
        <f>'Resultater - Vestdanmark'!F185</f>
        <v>CO2 - atmosfære</v>
      </c>
      <c r="G185" s="99" t="str">
        <f>'Resultater - Vestdanmark'!G185</f>
        <v>t CO2-ækvivalenter</v>
      </c>
      <c r="H185" s="286">
        <f>'Resultater - Vestdanmark'!H185+'Resultater - Østdanmark'!H185</f>
        <v>6753.4858887241726</v>
      </c>
      <c r="I185" s="287">
        <f>'Resultater - Vestdanmark'!I185+'Resultater - Østdanmark'!I185</f>
        <v>7277.1289212978236</v>
      </c>
      <c r="J185" s="288">
        <f>'Resultater - Vestdanmark'!J185+'Resultater - Østdanmark'!J185</f>
        <v>9433.3152683490316</v>
      </c>
    </row>
    <row r="186" spans="1:10" hidden="1" x14ac:dyDescent="0.55000000000000004">
      <c r="A186" s="99" t="str">
        <f>'Resultater - Vestdanmark'!A186</f>
        <v>Græsmark</v>
      </c>
      <c r="B186" s="99" t="str">
        <f>'Resultater - Vestdanmark'!B186</f>
        <v>Konventionel</v>
      </c>
      <c r="C186" s="99" t="str">
        <f>'Resultater - Vestdanmark'!C186</f>
        <v>JB1-10</v>
      </c>
      <c r="D186" s="99" t="str">
        <f>'Resultater - Vestdanmark'!D186</f>
        <v>Areal-græs</v>
      </c>
      <c r="E186" s="99" t="str">
        <f>'Resultater - Vestdanmark'!E186</f>
        <v>Hektar</v>
      </c>
      <c r="F186" s="99" t="str">
        <f>'Resultater - Vestdanmark'!F186</f>
        <v>Græs</v>
      </c>
      <c r="G186" s="99" t="str">
        <f>'Resultater - Vestdanmark'!G186</f>
        <v>Ton</v>
      </c>
      <c r="H186" s="286">
        <f>'Resultater - Vestdanmark'!H186+'Resultater - Østdanmark'!H186</f>
        <v>10596561.852889422</v>
      </c>
      <c r="I186" s="287">
        <f>'Resultater - Vestdanmark'!I186+'Resultater - Østdanmark'!I186</f>
        <v>10977496.633408947</v>
      </c>
      <c r="J186" s="288">
        <f>'Resultater - Vestdanmark'!J186+'Resultater - Østdanmark'!J186</f>
        <v>10288049.550353374</v>
      </c>
    </row>
    <row r="187" spans="1:10" hidden="1" x14ac:dyDescent="0.55000000000000004">
      <c r="A187" s="99" t="str">
        <f>'Resultater - Vestdanmark'!A187</f>
        <v>Græsmark</v>
      </c>
      <c r="B187" s="99" t="str">
        <f>'Resultater - Vestdanmark'!B187</f>
        <v>Konventionel</v>
      </c>
      <c r="C187" s="99" t="str">
        <f>'Resultater - Vestdanmark'!C187</f>
        <v>JB1-10</v>
      </c>
      <c r="D187" s="99" t="str">
        <f>'Resultater - Vestdanmark'!D187</f>
        <v>Areal-græs</v>
      </c>
      <c r="E187" s="99" t="str">
        <f>'Resultater - Vestdanmark'!E187</f>
        <v>Hektar</v>
      </c>
      <c r="F187" s="99" t="str">
        <f>'Resultater - Vestdanmark'!F187</f>
        <v>Gødning</v>
      </c>
      <c r="G187" s="99" t="str">
        <f>'Resultater - Vestdanmark'!G187</f>
        <v>kg N</v>
      </c>
      <c r="H187" s="286">
        <f>'Resultater - Vestdanmark'!H187+'Resultater - Østdanmark'!H187</f>
        <v>-33100908.649694897</v>
      </c>
      <c r="I187" s="287">
        <f>'Resultater - Vestdanmark'!I187+'Resultater - Østdanmark'!I187</f>
        <v>-31987733.23110842</v>
      </c>
      <c r="J187" s="288">
        <f>'Resultater - Vestdanmark'!J187+'Resultater - Østdanmark'!J187</f>
        <v>-29978727.889888018</v>
      </c>
    </row>
    <row r="188" spans="1:10" hidden="1" x14ac:dyDescent="0.55000000000000004">
      <c r="A188" s="99" t="str">
        <f>'Resultater - Vestdanmark'!A188</f>
        <v>Græsmark</v>
      </c>
      <c r="B188" s="99" t="str">
        <f>'Resultater - Vestdanmark'!B188</f>
        <v>Konventionel</v>
      </c>
      <c r="C188" s="99" t="str">
        <f>'Resultater - Vestdanmark'!C188</f>
        <v>JB1-10</v>
      </c>
      <c r="D188" s="99" t="str">
        <f>'Resultater - Vestdanmark'!D188</f>
        <v>Areal-græs</v>
      </c>
      <c r="E188" s="99" t="str">
        <f>'Resultater - Vestdanmark'!E188</f>
        <v>Hektar</v>
      </c>
      <c r="F188" s="99" t="str">
        <f>'Resultater - Vestdanmark'!F188</f>
        <v>CO2 - atmosfære</v>
      </c>
      <c r="G188" s="99" t="str">
        <f>'Resultater - Vestdanmark'!G188</f>
        <v>t CO2-ækvivalenter</v>
      </c>
      <c r="H188" s="286">
        <f>'Resultater - Vestdanmark'!H188+'Resultater - Østdanmark'!H188</f>
        <v>485557.09390620678</v>
      </c>
      <c r="I188" s="287">
        <f>'Resultater - Vestdanmark'!I188+'Resultater - Østdanmark'!I188</f>
        <v>469227.92823354003</v>
      </c>
      <c r="J188" s="288">
        <f>'Resultater - Vestdanmark'!J188+'Resultater - Østdanmark'!J188</f>
        <v>439757.8370814044</v>
      </c>
    </row>
    <row r="189" spans="1:10" hidden="1" x14ac:dyDescent="0.55000000000000004">
      <c r="A189" s="99" t="str">
        <f>'Resultater - Vestdanmark'!A189</f>
        <v>Græsmark</v>
      </c>
      <c r="B189" s="99" t="str">
        <f>'Resultater - Vestdanmark'!B189</f>
        <v>Konventionel</v>
      </c>
      <c r="C189" s="99" t="str">
        <f>'Resultater - Vestdanmark'!C189</f>
        <v>OC6</v>
      </c>
      <c r="D189" s="99" t="str">
        <f>'Resultater - Vestdanmark'!D189</f>
        <v>Areal-græs</v>
      </c>
      <c r="E189" s="99" t="str">
        <f>'Resultater - Vestdanmark'!E189</f>
        <v>Hektar</v>
      </c>
      <c r="F189" s="99" t="str">
        <f>'Resultater - Vestdanmark'!F189</f>
        <v>Græs</v>
      </c>
      <c r="G189" s="99" t="str">
        <f>'Resultater - Vestdanmark'!G189</f>
        <v>Ton</v>
      </c>
      <c r="H189" s="286">
        <f>'Resultater - Vestdanmark'!H189+'Resultater - Østdanmark'!H189</f>
        <v>1250706.5448330601</v>
      </c>
      <c r="I189" s="287">
        <f>'Resultater - Vestdanmark'!I189+'Resultater - Østdanmark'!I189</f>
        <v>1210547.8725060404</v>
      </c>
      <c r="J189" s="288">
        <f>'Resultater - Vestdanmark'!J189+'Resultater - Østdanmark'!J189</f>
        <v>1154568.7801358185</v>
      </c>
    </row>
    <row r="190" spans="1:10" hidden="1" x14ac:dyDescent="0.55000000000000004">
      <c r="A190" s="99" t="str">
        <f>'Resultater - Vestdanmark'!A190</f>
        <v>Græsmark</v>
      </c>
      <c r="B190" s="99" t="str">
        <f>'Resultater - Vestdanmark'!B190</f>
        <v>Konventionel</v>
      </c>
      <c r="C190" s="99" t="str">
        <f>'Resultater - Vestdanmark'!C190</f>
        <v>OC6</v>
      </c>
      <c r="D190" s="99" t="str">
        <f>'Resultater - Vestdanmark'!D190</f>
        <v>Areal-græs</v>
      </c>
      <c r="E190" s="99" t="str">
        <f>'Resultater - Vestdanmark'!E190</f>
        <v>Hektar</v>
      </c>
      <c r="F190" s="99" t="str">
        <f>'Resultater - Vestdanmark'!F190</f>
        <v>Gødning</v>
      </c>
      <c r="G190" s="99" t="str">
        <f>'Resultater - Vestdanmark'!G190</f>
        <v>kg N</v>
      </c>
      <c r="H190" s="286">
        <f>'Resultater - Vestdanmark'!H190+'Resultater - Østdanmark'!H190</f>
        <v>-2730616.868673549</v>
      </c>
      <c r="I190" s="287">
        <f>'Resultater - Vestdanmark'!I190+'Resultater - Østdanmark'!I190</f>
        <v>-2465429.1681735362</v>
      </c>
      <c r="J190" s="288">
        <f>'Resultater - Vestdanmark'!J190+'Resultater - Østdanmark'!J190</f>
        <v>-2351420.8829400772</v>
      </c>
    </row>
    <row r="191" spans="1:10" hidden="1" x14ac:dyDescent="0.55000000000000004">
      <c r="A191" s="99" t="str">
        <f>'Resultater - Vestdanmark'!A191</f>
        <v>Græsmark</v>
      </c>
      <c r="B191" s="99" t="str">
        <f>'Resultater - Vestdanmark'!B191</f>
        <v>Konventionel</v>
      </c>
      <c r="C191" s="99" t="str">
        <f>'Resultater - Vestdanmark'!C191</f>
        <v>OC6</v>
      </c>
      <c r="D191" s="99" t="str">
        <f>'Resultater - Vestdanmark'!D191</f>
        <v>Areal-græs</v>
      </c>
      <c r="E191" s="99" t="str">
        <f>'Resultater - Vestdanmark'!E191</f>
        <v>Hektar</v>
      </c>
      <c r="F191" s="99" t="str">
        <f>'Resultater - Vestdanmark'!F191</f>
        <v>CO2 - atmosfære</v>
      </c>
      <c r="G191" s="99" t="str">
        <f>'Resultater - Vestdanmark'!G191</f>
        <v>t CO2-ækvivalenter</v>
      </c>
      <c r="H191" s="286">
        <f>'Resultater - Vestdanmark'!H191+'Resultater - Østdanmark'!H191</f>
        <v>335901.46460405836</v>
      </c>
      <c r="I191" s="287">
        <f>'Resultater - Vestdanmark'!I191+'Resultater - Østdanmark'!I191</f>
        <v>303279.92109319306</v>
      </c>
      <c r="J191" s="288">
        <f>'Resultater - Vestdanmark'!J191+'Resultater - Østdanmark'!J191</f>
        <v>289255.41607154248</v>
      </c>
    </row>
    <row r="192" spans="1:10" hidden="1" x14ac:dyDescent="0.55000000000000004">
      <c r="A192" s="99" t="str">
        <f>'Resultater - Vestdanmark'!A192</f>
        <v>Græsmark</v>
      </c>
      <c r="B192" s="99" t="str">
        <f>'Resultater - Vestdanmark'!B192</f>
        <v>Konventionel</v>
      </c>
      <c r="C192" s="99" t="str">
        <f>'Resultater - Vestdanmark'!C192</f>
        <v>OC12</v>
      </c>
      <c r="D192" s="99" t="str">
        <f>'Resultater - Vestdanmark'!D192</f>
        <v>Areal-græs</v>
      </c>
      <c r="E192" s="99" t="str">
        <f>'Resultater - Vestdanmark'!E192</f>
        <v>Hektar</v>
      </c>
      <c r="F192" s="99" t="str">
        <f>'Resultater - Vestdanmark'!F192</f>
        <v>Græs</v>
      </c>
      <c r="G192" s="99" t="str">
        <f>'Resultater - Vestdanmark'!G192</f>
        <v>Ton</v>
      </c>
      <c r="H192" s="286">
        <f>'Resultater - Vestdanmark'!H192+'Resultater - Østdanmark'!H192</f>
        <v>1501712.5809897545</v>
      </c>
      <c r="I192" s="287">
        <f>'Resultater - Vestdanmark'!I192+'Resultater - Østdanmark'!I192</f>
        <v>1422541.4955528916</v>
      </c>
      <c r="J192" s="288">
        <f>'Resultater - Vestdanmark'!J192+'Resultater - Østdanmark'!J192</f>
        <v>1356759.2298625843</v>
      </c>
    </row>
    <row r="193" spans="1:10" hidden="1" x14ac:dyDescent="0.55000000000000004">
      <c r="A193" s="99" t="str">
        <f>'Resultater - Vestdanmark'!A193</f>
        <v>Græsmark</v>
      </c>
      <c r="B193" s="99" t="str">
        <f>'Resultater - Vestdanmark'!B193</f>
        <v>Konventionel</v>
      </c>
      <c r="C193" s="99" t="str">
        <f>'Resultater - Vestdanmark'!C193</f>
        <v>OC12</v>
      </c>
      <c r="D193" s="99" t="str">
        <f>'Resultater - Vestdanmark'!D193</f>
        <v>Areal-græs</v>
      </c>
      <c r="E193" s="99" t="str">
        <f>'Resultater - Vestdanmark'!E193</f>
        <v>Hektar</v>
      </c>
      <c r="F193" s="99" t="str">
        <f>'Resultater - Vestdanmark'!F193</f>
        <v>Gødning</v>
      </c>
      <c r="G193" s="99" t="str">
        <f>'Resultater - Vestdanmark'!G193</f>
        <v>kg N</v>
      </c>
      <c r="H193" s="286">
        <f>'Resultater - Vestdanmark'!H193+'Resultater - Østdanmark'!H193</f>
        <v>-2269819.4996822169</v>
      </c>
      <c r="I193" s="287">
        <f>'Resultater - Vestdanmark'!I193+'Resultater - Østdanmark'!I193</f>
        <v>-2005740.1205592891</v>
      </c>
      <c r="J193" s="288">
        <f>'Resultater - Vestdanmark'!J193+'Resultater - Østdanmark'!J193</f>
        <v>-1912989.1323253333</v>
      </c>
    </row>
    <row r="194" spans="1:10" hidden="1" x14ac:dyDescent="0.55000000000000004">
      <c r="A194" s="99" t="str">
        <f>'Resultater - Vestdanmark'!A194</f>
        <v>Græsmark</v>
      </c>
      <c r="B194" s="99" t="str">
        <f>'Resultater - Vestdanmark'!B194</f>
        <v>Konventionel</v>
      </c>
      <c r="C194" s="99" t="str">
        <f>'Resultater - Vestdanmark'!C194</f>
        <v>OC12</v>
      </c>
      <c r="D194" s="99" t="str">
        <f>'Resultater - Vestdanmark'!D194</f>
        <v>Areal-græs</v>
      </c>
      <c r="E194" s="99" t="str">
        <f>'Resultater - Vestdanmark'!E194</f>
        <v>Hektar</v>
      </c>
      <c r="F194" s="99" t="str">
        <f>'Resultater - Vestdanmark'!F194</f>
        <v>CO2 - atmosfære</v>
      </c>
      <c r="G194" s="99" t="str">
        <f>'Resultater - Vestdanmark'!G194</f>
        <v>t CO2-ækvivalenter</v>
      </c>
      <c r="H194" s="286">
        <f>'Resultater - Vestdanmark'!H194+'Resultater - Østdanmark'!H194</f>
        <v>885266.2325747133</v>
      </c>
      <c r="I194" s="287">
        <f>'Resultater - Vestdanmark'!I194+'Resultater - Østdanmark'!I194</f>
        <v>782271.01331188029</v>
      </c>
      <c r="J194" s="288">
        <f>'Resultater - Vestdanmark'!J194+'Resultater - Østdanmark'!J194</f>
        <v>746096.63119341177</v>
      </c>
    </row>
    <row r="195" spans="1:10" hidden="1" x14ac:dyDescent="0.55000000000000004">
      <c r="A195" s="99" t="str">
        <f>'Resultater - Vestdanmark'!A195</f>
        <v>Græsmark</v>
      </c>
      <c r="B195" s="99" t="str">
        <f>'Resultater - Vestdanmark'!B195</f>
        <v>Økologisk</v>
      </c>
      <c r="C195" s="99" t="str">
        <f>'Resultater - Vestdanmark'!C195</f>
        <v>JB1-10</v>
      </c>
      <c r="D195" s="99" t="str">
        <f>'Resultater - Vestdanmark'!D195</f>
        <v>Areal-græs</v>
      </c>
      <c r="E195" s="99" t="str">
        <f>'Resultater - Vestdanmark'!E195</f>
        <v>Hektar</v>
      </c>
      <c r="F195" s="99" t="str">
        <f>'Resultater - Vestdanmark'!F195</f>
        <v>Græs</v>
      </c>
      <c r="G195" s="99" t="str">
        <f>'Resultater - Vestdanmark'!G195</f>
        <v>Ton</v>
      </c>
      <c r="H195" s="286">
        <f>'Resultater - Vestdanmark'!H195+'Resultater - Østdanmark'!H195</f>
        <v>1056816.1068755633</v>
      </c>
      <c r="I195" s="287">
        <f>'Resultater - Vestdanmark'!I195+'Resultater - Østdanmark'!I195</f>
        <v>1336335.7173386849</v>
      </c>
      <c r="J195" s="288">
        <f>'Resultater - Vestdanmark'!J195+'Resultater - Østdanmark'!J195</f>
        <v>1702204.5619675585</v>
      </c>
    </row>
    <row r="196" spans="1:10" hidden="1" x14ac:dyDescent="0.55000000000000004">
      <c r="A196" s="99" t="str">
        <f>'Resultater - Vestdanmark'!A196</f>
        <v>Græsmark</v>
      </c>
      <c r="B196" s="99" t="str">
        <f>'Resultater - Vestdanmark'!B196</f>
        <v>Økologisk</v>
      </c>
      <c r="C196" s="99" t="str">
        <f>'Resultater - Vestdanmark'!C196</f>
        <v>JB1-10</v>
      </c>
      <c r="D196" s="99" t="str">
        <f>'Resultater - Vestdanmark'!D196</f>
        <v>Areal-græs</v>
      </c>
      <c r="E196" s="99" t="str">
        <f>'Resultater - Vestdanmark'!E196</f>
        <v>Hektar</v>
      </c>
      <c r="F196" s="99" t="str">
        <f>'Resultater - Vestdanmark'!F196</f>
        <v>Gødning</v>
      </c>
      <c r="G196" s="99" t="str">
        <f>'Resultater - Vestdanmark'!G196</f>
        <v>kg N</v>
      </c>
      <c r="H196" s="286">
        <f>'Resultater - Vestdanmark'!H196+'Resultater - Østdanmark'!H196</f>
        <v>-3301219.1972130653</v>
      </c>
      <c r="I196" s="287">
        <f>'Resultater - Vestdanmark'!I196+'Resultater - Østdanmark'!I196</f>
        <v>-3893998.0453592101</v>
      </c>
      <c r="J196" s="288">
        <f>'Resultater - Vestdanmark'!J196+'Resultater - Østdanmark'!J196</f>
        <v>-4960116.7963269278</v>
      </c>
    </row>
    <row r="197" spans="1:10" hidden="1" x14ac:dyDescent="0.55000000000000004">
      <c r="A197" s="99" t="str">
        <f>'Resultater - Vestdanmark'!A197</f>
        <v>Græsmark</v>
      </c>
      <c r="B197" s="99" t="str">
        <f>'Resultater - Vestdanmark'!B197</f>
        <v>Økologisk</v>
      </c>
      <c r="C197" s="99" t="str">
        <f>'Resultater - Vestdanmark'!C197</f>
        <v>JB1-10</v>
      </c>
      <c r="D197" s="99" t="str">
        <f>'Resultater - Vestdanmark'!D197</f>
        <v>Areal-græs</v>
      </c>
      <c r="E197" s="99" t="str">
        <f>'Resultater - Vestdanmark'!E197</f>
        <v>Hektar</v>
      </c>
      <c r="F197" s="99" t="str">
        <f>'Resultater - Vestdanmark'!F197</f>
        <v>CO2 - atmosfære</v>
      </c>
      <c r="G197" s="99" t="str">
        <f>'Resultater - Vestdanmark'!G197</f>
        <v>t CO2-ækvivalenter</v>
      </c>
      <c r="H197" s="286">
        <f>'Resultater - Vestdanmark'!H197+'Resultater - Østdanmark'!H197</f>
        <v>62084.065298082889</v>
      </c>
      <c r="I197" s="287">
        <f>'Resultater - Vestdanmark'!I197+'Resultater - Østdanmark'!I197</f>
        <v>73232.104406390645</v>
      </c>
      <c r="J197" s="288">
        <f>'Resultater - Vestdanmark'!J197+'Resultater - Østdanmark'!J197</f>
        <v>93281.965441510023</v>
      </c>
    </row>
    <row r="198" spans="1:10" hidden="1" x14ac:dyDescent="0.55000000000000004">
      <c r="A198" s="99" t="str">
        <f>'Resultater - Vestdanmark'!A198</f>
        <v>Græsmark</v>
      </c>
      <c r="B198" s="99" t="str">
        <f>'Resultater - Vestdanmark'!B198</f>
        <v>Økologisk</v>
      </c>
      <c r="C198" s="99" t="str">
        <f>'Resultater - Vestdanmark'!C198</f>
        <v>OC6</v>
      </c>
      <c r="D198" s="99" t="str">
        <f>'Resultater - Vestdanmark'!D198</f>
        <v>Areal-græs</v>
      </c>
      <c r="E198" s="99" t="str">
        <f>'Resultater - Vestdanmark'!E198</f>
        <v>Hektar</v>
      </c>
      <c r="F198" s="99" t="str">
        <f>'Resultater - Vestdanmark'!F198</f>
        <v>Græs</v>
      </c>
      <c r="G198" s="99" t="str">
        <f>'Resultater - Vestdanmark'!G198</f>
        <v>Ton</v>
      </c>
      <c r="H198" s="286">
        <f>'Resultater - Vestdanmark'!H198+'Resultater - Østdanmark'!H198</f>
        <v>124735.44154265925</v>
      </c>
      <c r="I198" s="287">
        <f>'Resultater - Vestdanmark'!I198+'Resultater - Østdanmark'!I198</f>
        <v>147364.96066460814</v>
      </c>
      <c r="J198" s="288">
        <f>'Resultater - Vestdanmark'!J198+'Resultater - Østdanmark'!J198</f>
        <v>191028.6527133809</v>
      </c>
    </row>
    <row r="199" spans="1:10" hidden="1" x14ac:dyDescent="0.55000000000000004">
      <c r="A199" s="99" t="str">
        <f>'Resultater - Vestdanmark'!A199</f>
        <v>Græsmark</v>
      </c>
      <c r="B199" s="99" t="str">
        <f>'Resultater - Vestdanmark'!B199</f>
        <v>Økologisk</v>
      </c>
      <c r="C199" s="99" t="str">
        <f>'Resultater - Vestdanmark'!C199</f>
        <v>OC6</v>
      </c>
      <c r="D199" s="99" t="str">
        <f>'Resultater - Vestdanmark'!D199</f>
        <v>Areal-græs</v>
      </c>
      <c r="E199" s="99" t="str">
        <f>'Resultater - Vestdanmark'!E199</f>
        <v>Hektar</v>
      </c>
      <c r="F199" s="99" t="str">
        <f>'Resultater - Vestdanmark'!F199</f>
        <v>Gødning</v>
      </c>
      <c r="G199" s="99" t="str">
        <f>'Resultater - Vestdanmark'!G199</f>
        <v>kg N</v>
      </c>
      <c r="H199" s="286">
        <f>'Resultater - Vestdanmark'!H199+'Resultater - Østdanmark'!H199</f>
        <v>-272329.83005081455</v>
      </c>
      <c r="I199" s="287">
        <f>'Resultater - Vestdanmark'!I199+'Resultater - Østdanmark'!I199</f>
        <v>-300126.81087707903</v>
      </c>
      <c r="J199" s="288">
        <f>'Resultater - Vestdanmark'!J199+'Resultater - Østdanmark'!J199</f>
        <v>-389053.27335917647</v>
      </c>
    </row>
    <row r="200" spans="1:10" hidden="1" x14ac:dyDescent="0.55000000000000004">
      <c r="A200" s="99" t="str">
        <f>'Resultater - Vestdanmark'!A200</f>
        <v>Græsmark</v>
      </c>
      <c r="B200" s="99" t="str">
        <f>'Resultater - Vestdanmark'!B200</f>
        <v>Økologisk</v>
      </c>
      <c r="C200" s="99" t="str">
        <f>'Resultater - Vestdanmark'!C200</f>
        <v>OC6</v>
      </c>
      <c r="D200" s="99" t="str">
        <f>'Resultater - Vestdanmark'!D200</f>
        <v>Areal-græs</v>
      </c>
      <c r="E200" s="99" t="str">
        <f>'Resultater - Vestdanmark'!E200</f>
        <v>Hektar</v>
      </c>
      <c r="F200" s="99" t="str">
        <f>'Resultater - Vestdanmark'!F200</f>
        <v>CO2 - atmosfære</v>
      </c>
      <c r="G200" s="99" t="str">
        <f>'Resultater - Vestdanmark'!G200</f>
        <v>t CO2-ækvivalenter</v>
      </c>
      <c r="H200" s="286">
        <f>'Resultater - Vestdanmark'!H200+'Resultater - Østdanmark'!H200</f>
        <v>42948.869914417002</v>
      </c>
      <c r="I200" s="287">
        <f>'Resultater - Vestdanmark'!I200+'Resultater - Østdanmark'!I200</f>
        <v>47332.704448070595</v>
      </c>
      <c r="J200" s="288">
        <f>'Resultater - Vestdanmark'!J200+'Resultater - Østdanmark'!J200</f>
        <v>61357.209469721136</v>
      </c>
    </row>
    <row r="201" spans="1:10" hidden="1" x14ac:dyDescent="0.55000000000000004">
      <c r="A201" s="99" t="str">
        <f>'Resultater - Vestdanmark'!A201</f>
        <v>Græsmark</v>
      </c>
      <c r="B201" s="99" t="str">
        <f>'Resultater - Vestdanmark'!B201</f>
        <v>Økologisk</v>
      </c>
      <c r="C201" s="99" t="str">
        <f>'Resultater - Vestdanmark'!C201</f>
        <v>OC12</v>
      </c>
      <c r="D201" s="99" t="str">
        <f>'Resultater - Vestdanmark'!D201</f>
        <v>Areal-græs</v>
      </c>
      <c r="E201" s="99" t="str">
        <f>'Resultater - Vestdanmark'!E201</f>
        <v>Hektar</v>
      </c>
      <c r="F201" s="99" t="str">
        <f>'Resultater - Vestdanmark'!F201</f>
        <v>Græs</v>
      </c>
      <c r="G201" s="99" t="str">
        <f>'Resultater - Vestdanmark'!G201</f>
        <v>Ton</v>
      </c>
      <c r="H201" s="286">
        <f>'Resultater - Vestdanmark'!H201+'Resultater - Østdanmark'!H201</f>
        <v>149768.77080700482</v>
      </c>
      <c r="I201" s="287">
        <f>'Resultater - Vestdanmark'!I201+'Resultater - Østdanmark'!I201</f>
        <v>173171.81442973349</v>
      </c>
      <c r="J201" s="288">
        <f>'Resultater - Vestdanmark'!J201+'Resultater - Østdanmark'!J201</f>
        <v>224481.98166817299</v>
      </c>
    </row>
    <row r="202" spans="1:10" hidden="1" x14ac:dyDescent="0.55000000000000004">
      <c r="A202" s="99" t="str">
        <f>'Resultater - Vestdanmark'!A202</f>
        <v>Græsmark</v>
      </c>
      <c r="B202" s="99" t="str">
        <f>'Resultater - Vestdanmark'!B202</f>
        <v>Økologisk</v>
      </c>
      <c r="C202" s="99" t="str">
        <f>'Resultater - Vestdanmark'!C202</f>
        <v>OC12</v>
      </c>
      <c r="D202" s="99" t="str">
        <f>'Resultater - Vestdanmark'!D202</f>
        <v>Areal-græs</v>
      </c>
      <c r="E202" s="99" t="str">
        <f>'Resultater - Vestdanmark'!E202</f>
        <v>Hektar</v>
      </c>
      <c r="F202" s="99" t="str">
        <f>'Resultater - Vestdanmark'!F202</f>
        <v>Gødning</v>
      </c>
      <c r="G202" s="99" t="str">
        <f>'Resultater - Vestdanmark'!G202</f>
        <v>kg N</v>
      </c>
      <c r="H202" s="286">
        <f>'Resultater - Vestdanmark'!H202+'Resultater - Østdanmark'!H202</f>
        <v>-226373.59553658532</v>
      </c>
      <c r="I202" s="287">
        <f>'Resultater - Vestdanmark'!I202+'Resultater - Østdanmark'!I202</f>
        <v>-244166.97652588805</v>
      </c>
      <c r="J202" s="288">
        <f>'Resultater - Vestdanmark'!J202+'Resultater - Østdanmark'!J202</f>
        <v>-316512.74734837335</v>
      </c>
    </row>
    <row r="203" spans="1:10" hidden="1" x14ac:dyDescent="0.55000000000000004">
      <c r="A203" s="99" t="str">
        <f>'Resultater - Vestdanmark'!A203</f>
        <v>Græsmark</v>
      </c>
      <c r="B203" s="99" t="str">
        <f>'Resultater - Vestdanmark'!B203</f>
        <v>Økologisk</v>
      </c>
      <c r="C203" s="99" t="str">
        <f>'Resultater - Vestdanmark'!C203</f>
        <v>OC12</v>
      </c>
      <c r="D203" s="99" t="str">
        <f>'Resultater - Vestdanmark'!D203</f>
        <v>Areal-græs</v>
      </c>
      <c r="E203" s="99" t="str">
        <f>'Resultater - Vestdanmark'!E203</f>
        <v>Hektar</v>
      </c>
      <c r="F203" s="99" t="str">
        <f>'Resultater - Vestdanmark'!F203</f>
        <v>CO2 - atmosfære</v>
      </c>
      <c r="G203" s="99" t="str">
        <f>'Resultater - Vestdanmark'!G203</f>
        <v>t CO2-ækvivalenter</v>
      </c>
      <c r="H203" s="286">
        <f>'Resultater - Vestdanmark'!H203+'Resultater - Østdanmark'!H203</f>
        <v>113191.4810413066</v>
      </c>
      <c r="I203" s="287">
        <f>'Resultater - Vestdanmark'!I203+'Resultater - Østdanmark'!I203</f>
        <v>122088.53964983103</v>
      </c>
      <c r="J203" s="288">
        <f>'Resultater - Vestdanmark'!J203+'Resultater - Østdanmark'!J203</f>
        <v>158262.92176829945</v>
      </c>
    </row>
    <row r="204" spans="1:10" hidden="1" x14ac:dyDescent="0.55000000000000004">
      <c r="A204" s="99" t="str">
        <f>'Resultater - Vestdanmark'!A204</f>
        <v>Bælgsædsmark</v>
      </c>
      <c r="B204" s="99" t="str">
        <f>'Resultater - Vestdanmark'!B204</f>
        <v>Konventionel</v>
      </c>
      <c r="C204" s="99" t="str">
        <f>'Resultater - Vestdanmark'!C204</f>
        <v>JB1-10</v>
      </c>
      <c r="D204" s="99" t="str">
        <f>'Resultater - Vestdanmark'!D204</f>
        <v>Areal-bælgsæd</v>
      </c>
      <c r="E204" s="99" t="str">
        <f>'Resultater - Vestdanmark'!E204</f>
        <v>Hektar</v>
      </c>
      <c r="F204" s="99" t="str">
        <f>'Resultater - Vestdanmark'!F204</f>
        <v>Bælgsæd</v>
      </c>
      <c r="G204" s="99" t="str">
        <f>'Resultater - Vestdanmark'!G204</f>
        <v>Ton</v>
      </c>
      <c r="H204" s="286">
        <f>'Resultater - Vestdanmark'!H204+'Resultater - Østdanmark'!H204</f>
        <v>252119.08822285215</v>
      </c>
      <c r="I204" s="287">
        <f>'Resultater - Vestdanmark'!I204+'Resultater - Østdanmark'!I204</f>
        <v>261152.46068040878</v>
      </c>
      <c r="J204" s="288">
        <f>'Resultater - Vestdanmark'!J204+'Resultater - Østdanmark'!J204</f>
        <v>244698.07513625757</v>
      </c>
    </row>
    <row r="205" spans="1:10" hidden="1" x14ac:dyDescent="0.55000000000000004">
      <c r="A205" s="99" t="str">
        <f>'Resultater - Vestdanmark'!A205</f>
        <v>Bælgsædsmark</v>
      </c>
      <c r="B205" s="99" t="str">
        <f>'Resultater - Vestdanmark'!B205</f>
        <v>Konventionel</v>
      </c>
      <c r="C205" s="99" t="str">
        <f>'Resultater - Vestdanmark'!C205</f>
        <v>JB1-10</v>
      </c>
      <c r="D205" s="99" t="str">
        <f>'Resultater - Vestdanmark'!D205</f>
        <v>Areal-bælgsæd</v>
      </c>
      <c r="E205" s="99" t="str">
        <f>'Resultater - Vestdanmark'!E205</f>
        <v>Hektar</v>
      </c>
      <c r="F205" s="99" t="str">
        <f>'Resultater - Vestdanmark'!F205</f>
        <v>Halm</v>
      </c>
      <c r="G205" s="99" t="str">
        <f>'Resultater - Vestdanmark'!G205</f>
        <v>Ton</v>
      </c>
      <c r="H205" s="286">
        <f>'Resultater - Vestdanmark'!H205+'Resultater - Østdanmark'!H205</f>
        <v>74848.798129844407</v>
      </c>
      <c r="I205" s="287">
        <f>'Resultater - Vestdanmark'!I205+'Resultater - Østdanmark'!I205</f>
        <v>71902.885248768187</v>
      </c>
      <c r="J205" s="288">
        <f>'Resultater - Vestdanmark'!J205+'Resultater - Østdanmark'!J205</f>
        <v>67372.513248682139</v>
      </c>
    </row>
    <row r="206" spans="1:10" hidden="1" x14ac:dyDescent="0.55000000000000004">
      <c r="A206" s="99" t="str">
        <f>'Resultater - Vestdanmark'!A206</f>
        <v>Bælgsædsmark</v>
      </c>
      <c r="B206" s="99" t="str">
        <f>'Resultater - Vestdanmark'!B206</f>
        <v>Konventionel</v>
      </c>
      <c r="C206" s="99" t="str">
        <f>'Resultater - Vestdanmark'!C206</f>
        <v>JB1-10</v>
      </c>
      <c r="D206" s="99" t="str">
        <f>'Resultater - Vestdanmark'!D206</f>
        <v>Areal-bælgsæd</v>
      </c>
      <c r="E206" s="99" t="str">
        <f>'Resultater - Vestdanmark'!E206</f>
        <v>Hektar</v>
      </c>
      <c r="F206" s="99" t="str">
        <f>'Resultater - Vestdanmark'!F206</f>
        <v>Gødning</v>
      </c>
      <c r="G206" s="99" t="str">
        <f>'Resultater - Vestdanmark'!G206</f>
        <v>kg N</v>
      </c>
      <c r="H206" s="286">
        <f>'Resultater - Vestdanmark'!H206+'Resultater - Østdanmark'!H206</f>
        <v>0</v>
      </c>
      <c r="I206" s="287">
        <f>'Resultater - Vestdanmark'!I206+'Resultater - Østdanmark'!I206</f>
        <v>0</v>
      </c>
      <c r="J206" s="288">
        <f>'Resultater - Vestdanmark'!J206+'Resultater - Østdanmark'!J206</f>
        <v>0</v>
      </c>
    </row>
    <row r="207" spans="1:10" hidden="1" x14ac:dyDescent="0.55000000000000004">
      <c r="A207" s="99" t="str">
        <f>'Resultater - Vestdanmark'!A207</f>
        <v>Bælgsædsmark</v>
      </c>
      <c r="B207" s="99" t="str">
        <f>'Resultater - Vestdanmark'!B207</f>
        <v>Konventionel</v>
      </c>
      <c r="C207" s="99" t="str">
        <f>'Resultater - Vestdanmark'!C207</f>
        <v>JB1-10</v>
      </c>
      <c r="D207" s="99" t="str">
        <f>'Resultater - Vestdanmark'!D207</f>
        <v>Areal-bælgsæd</v>
      </c>
      <c r="E207" s="99" t="str">
        <f>'Resultater - Vestdanmark'!E207</f>
        <v>Hektar</v>
      </c>
      <c r="F207" s="99" t="str">
        <f>'Resultater - Vestdanmark'!F207</f>
        <v>CO2 - atmosfære</v>
      </c>
      <c r="G207" s="99" t="str">
        <f>'Resultater - Vestdanmark'!G207</f>
        <v>t CO2-ækvivalenter</v>
      </c>
      <c r="H207" s="286">
        <f>'Resultater - Vestdanmark'!H207+'Resultater - Østdanmark'!H207</f>
        <v>148508.2256030748</v>
      </c>
      <c r="I207" s="287">
        <f>'Resultater - Vestdanmark'!I207+'Resultater - Østdanmark'!I207</f>
        <v>143497.42839494569</v>
      </c>
      <c r="J207" s="288">
        <f>'Resultater - Vestdanmark'!J207+'Resultater - Østdanmark'!J207</f>
        <v>134456.11204949414</v>
      </c>
    </row>
    <row r="208" spans="1:10" hidden="1" x14ac:dyDescent="0.55000000000000004">
      <c r="A208" s="99" t="str">
        <f>'Resultater - Vestdanmark'!A208</f>
        <v>Bælgsædsmark</v>
      </c>
      <c r="B208" s="99" t="str">
        <f>'Resultater - Vestdanmark'!B208</f>
        <v>Konventionel</v>
      </c>
      <c r="C208" s="99" t="str">
        <f>'Resultater - Vestdanmark'!C208</f>
        <v>OC6</v>
      </c>
      <c r="D208" s="99" t="str">
        <f>'Resultater - Vestdanmark'!D208</f>
        <v>Areal-bælgsæd</v>
      </c>
      <c r="E208" s="99" t="str">
        <f>'Resultater - Vestdanmark'!E208</f>
        <v>Hektar</v>
      </c>
      <c r="F208" s="99" t="str">
        <f>'Resultater - Vestdanmark'!F208</f>
        <v>Bælgsæd</v>
      </c>
      <c r="G208" s="99" t="str">
        <f>'Resultater - Vestdanmark'!G208</f>
        <v>Ton</v>
      </c>
      <c r="H208" s="286">
        <f>'Resultater - Vestdanmark'!H208+'Resultater - Østdanmark'!H208</f>
        <v>9762.0012470722486</v>
      </c>
      <c r="I208" s="287">
        <f>'Resultater - Vestdanmark'!I208+'Resultater - Østdanmark'!I208</f>
        <v>9448.4072313431316</v>
      </c>
      <c r="J208" s="288">
        <f>'Resultater - Vestdanmark'!J208+'Resultater - Østdanmark'!J208</f>
        <v>9011.4866657318871</v>
      </c>
    </row>
    <row r="209" spans="1:10" hidden="1" x14ac:dyDescent="0.55000000000000004">
      <c r="A209" s="99" t="str">
        <f>'Resultater - Vestdanmark'!A209</f>
        <v>Bælgsædsmark</v>
      </c>
      <c r="B209" s="99" t="str">
        <f>'Resultater - Vestdanmark'!B209</f>
        <v>Konventionel</v>
      </c>
      <c r="C209" s="99" t="str">
        <f>'Resultater - Vestdanmark'!C209</f>
        <v>OC6</v>
      </c>
      <c r="D209" s="99" t="str">
        <f>'Resultater - Vestdanmark'!D209</f>
        <v>Areal-bælgsæd</v>
      </c>
      <c r="E209" s="99" t="str">
        <f>'Resultater - Vestdanmark'!E209</f>
        <v>Hektar</v>
      </c>
      <c r="F209" s="99" t="str">
        <f>'Resultater - Vestdanmark'!F209</f>
        <v>Halm</v>
      </c>
      <c r="G209" s="99" t="str">
        <f>'Resultater - Vestdanmark'!G209</f>
        <v>Ton</v>
      </c>
      <c r="H209" s="286">
        <f>'Resultater - Vestdanmark'!H209+'Resultater - Østdanmark'!H209</f>
        <v>2898.1306645038535</v>
      </c>
      <c r="I209" s="287">
        <f>'Resultater - Vestdanmark'!I209+'Resultater - Østdanmark'!I209</f>
        <v>2601.4219401527612</v>
      </c>
      <c r="J209" s="288">
        <f>'Resultater - Vestdanmark'!J209+'Resultater - Østdanmark'!J209</f>
        <v>2481.1249718219974</v>
      </c>
    </row>
    <row r="210" spans="1:10" hidden="1" x14ac:dyDescent="0.55000000000000004">
      <c r="A210" s="99" t="str">
        <f>'Resultater - Vestdanmark'!A210</f>
        <v>Bælgsædsmark</v>
      </c>
      <c r="B210" s="99" t="str">
        <f>'Resultater - Vestdanmark'!B210</f>
        <v>Konventionel</v>
      </c>
      <c r="C210" s="99" t="str">
        <f>'Resultater - Vestdanmark'!C210</f>
        <v>OC6</v>
      </c>
      <c r="D210" s="99" t="str">
        <f>'Resultater - Vestdanmark'!D210</f>
        <v>Areal-bælgsæd</v>
      </c>
      <c r="E210" s="99" t="str">
        <f>'Resultater - Vestdanmark'!E210</f>
        <v>Hektar</v>
      </c>
      <c r="F210" s="99" t="str">
        <f>'Resultater - Vestdanmark'!F210</f>
        <v>Gødning</v>
      </c>
      <c r="G210" s="99" t="str">
        <f>'Resultater - Vestdanmark'!G210</f>
        <v>kg N</v>
      </c>
      <c r="H210" s="286">
        <f>'Resultater - Vestdanmark'!H210+'Resultater - Østdanmark'!H210</f>
        <v>0</v>
      </c>
      <c r="I210" s="287">
        <f>'Resultater - Vestdanmark'!I210+'Resultater - Østdanmark'!I210</f>
        <v>0</v>
      </c>
      <c r="J210" s="288">
        <f>'Resultater - Vestdanmark'!J210+'Resultater - Østdanmark'!J210</f>
        <v>0</v>
      </c>
    </row>
    <row r="211" spans="1:10" hidden="1" x14ac:dyDescent="0.55000000000000004">
      <c r="A211" s="99" t="str">
        <f>'Resultater - Vestdanmark'!A211</f>
        <v>Bælgsædsmark</v>
      </c>
      <c r="B211" s="99" t="str">
        <f>'Resultater - Vestdanmark'!B211</f>
        <v>Konventionel</v>
      </c>
      <c r="C211" s="99" t="str">
        <f>'Resultater - Vestdanmark'!C211</f>
        <v>OC6</v>
      </c>
      <c r="D211" s="99" t="str">
        <f>'Resultater - Vestdanmark'!D211</f>
        <v>Areal-bælgsæd</v>
      </c>
      <c r="E211" s="99" t="str">
        <f>'Resultater - Vestdanmark'!E211</f>
        <v>Hektar</v>
      </c>
      <c r="F211" s="99" t="str">
        <f>'Resultater - Vestdanmark'!F211</f>
        <v>CO2 - atmosfære</v>
      </c>
      <c r="G211" s="99" t="str">
        <f>'Resultater - Vestdanmark'!G211</f>
        <v>t CO2-ækvivalenter</v>
      </c>
      <c r="H211" s="286">
        <f>'Resultater - Vestdanmark'!H211+'Resultater - Østdanmark'!H211</f>
        <v>33702.707331215737</v>
      </c>
      <c r="I211" s="287">
        <f>'Resultater - Vestdanmark'!I211+'Resultater - Østdanmark'!I211</f>
        <v>30429.144897109905</v>
      </c>
      <c r="J211" s="288">
        <f>'Resultater - Vestdanmark'!J211+'Resultater - Østdanmark'!J211</f>
        <v>29022.016809382279</v>
      </c>
    </row>
    <row r="212" spans="1:10" hidden="1" x14ac:dyDescent="0.55000000000000004">
      <c r="A212" s="99" t="str">
        <f>'Resultater - Vestdanmark'!A212</f>
        <v>Bælgsædsmark</v>
      </c>
      <c r="B212" s="99" t="str">
        <f>'Resultater - Vestdanmark'!B212</f>
        <v>Konventionel</v>
      </c>
      <c r="C212" s="99" t="str">
        <f>'Resultater - Vestdanmark'!C212</f>
        <v>OC12</v>
      </c>
      <c r="D212" s="99" t="str">
        <f>'Resultater - Vestdanmark'!D212</f>
        <v>Areal-bælgsæd</v>
      </c>
      <c r="E212" s="99" t="str">
        <f>'Resultater - Vestdanmark'!E212</f>
        <v>Hektar</v>
      </c>
      <c r="F212" s="99" t="str">
        <f>'Resultater - Vestdanmark'!F212</f>
        <v>Bælgsæd</v>
      </c>
      <c r="G212" s="99" t="str">
        <f>'Resultater - Vestdanmark'!G212</f>
        <v>Ton</v>
      </c>
      <c r="H212" s="286">
        <f>'Resultater - Vestdanmark'!H212+'Resultater - Østdanmark'!H212</f>
        <v>3876.3292971970382</v>
      </c>
      <c r="I212" s="287">
        <f>'Resultater - Vestdanmark'!I212+'Resultater - Østdanmark'!I212</f>
        <v>3670.910054503971</v>
      </c>
      <c r="J212" s="288">
        <f>'Resultater - Vestdanmark'!J212+'Resultater - Østdanmark'!J212</f>
        <v>3501.1569883997413</v>
      </c>
    </row>
    <row r="213" spans="1:10" hidden="1" x14ac:dyDescent="0.55000000000000004">
      <c r="A213" s="99" t="str">
        <f>'Resultater - Vestdanmark'!A213</f>
        <v>Bælgsædsmark</v>
      </c>
      <c r="B213" s="99" t="str">
        <f>'Resultater - Vestdanmark'!B213</f>
        <v>Konventionel</v>
      </c>
      <c r="C213" s="99" t="str">
        <f>'Resultater - Vestdanmark'!C213</f>
        <v>OC12</v>
      </c>
      <c r="D213" s="99" t="str">
        <f>'Resultater - Vestdanmark'!D213</f>
        <v>Areal-bælgsæd</v>
      </c>
      <c r="E213" s="99" t="str">
        <f>'Resultater - Vestdanmark'!E213</f>
        <v>Hektar</v>
      </c>
      <c r="F213" s="99" t="str">
        <f>'Resultater - Vestdanmark'!F213</f>
        <v>Halm</v>
      </c>
      <c r="G213" s="99" t="str">
        <f>'Resultater - Vestdanmark'!G213</f>
        <v>Ton</v>
      </c>
      <c r="H213" s="286">
        <f>'Resultater - Vestdanmark'!H213+'Resultater - Østdanmark'!H213</f>
        <v>1150.7997712344754</v>
      </c>
      <c r="I213" s="287">
        <f>'Resultater - Vestdanmark'!I213+'Resultater - Østdanmark'!I213</f>
        <v>1010.7085482551205</v>
      </c>
      <c r="J213" s="288">
        <f>'Resultater - Vestdanmark'!J213+'Resultater - Østdanmark'!J213</f>
        <v>963.97058070575076</v>
      </c>
    </row>
    <row r="214" spans="1:10" hidden="1" x14ac:dyDescent="0.55000000000000004">
      <c r="A214" s="99" t="str">
        <f>'Resultater - Vestdanmark'!A214</f>
        <v>Bælgsædsmark</v>
      </c>
      <c r="B214" s="99" t="str">
        <f>'Resultater - Vestdanmark'!B214</f>
        <v>Konventionel</v>
      </c>
      <c r="C214" s="99" t="str">
        <f>'Resultater - Vestdanmark'!C214</f>
        <v>OC12</v>
      </c>
      <c r="D214" s="99" t="str">
        <f>'Resultater - Vestdanmark'!D214</f>
        <v>Areal-bælgsæd</v>
      </c>
      <c r="E214" s="99" t="str">
        <f>'Resultater - Vestdanmark'!E214</f>
        <v>Hektar</v>
      </c>
      <c r="F214" s="99" t="str">
        <f>'Resultater - Vestdanmark'!F214</f>
        <v>Gødning</v>
      </c>
      <c r="G214" s="99" t="str">
        <f>'Resultater - Vestdanmark'!G214</f>
        <v>kg N</v>
      </c>
      <c r="H214" s="286">
        <f>'Resultater - Vestdanmark'!H214+'Resultater - Østdanmark'!H214</f>
        <v>0</v>
      </c>
      <c r="I214" s="287">
        <f>'Resultater - Vestdanmark'!I214+'Resultater - Østdanmark'!I214</f>
        <v>0</v>
      </c>
      <c r="J214" s="288">
        <f>'Resultater - Vestdanmark'!J214+'Resultater - Østdanmark'!J214</f>
        <v>0</v>
      </c>
    </row>
    <row r="215" spans="1:10" hidden="1" x14ac:dyDescent="0.55000000000000004">
      <c r="A215" s="99" t="str">
        <f>'Resultater - Vestdanmark'!A215</f>
        <v>Bælgsædsmark</v>
      </c>
      <c r="B215" s="99" t="str">
        <f>'Resultater - Vestdanmark'!B215</f>
        <v>Konventionel</v>
      </c>
      <c r="C215" s="99" t="str">
        <f>'Resultater - Vestdanmark'!C215</f>
        <v>OC12</v>
      </c>
      <c r="D215" s="99" t="str">
        <f>'Resultater - Vestdanmark'!D215</f>
        <v>Areal-bælgsæd</v>
      </c>
      <c r="E215" s="99" t="str">
        <f>'Resultater - Vestdanmark'!E215</f>
        <v>Hektar</v>
      </c>
      <c r="F215" s="99" t="str">
        <f>'Resultater - Vestdanmark'!F215</f>
        <v>CO2 - atmosfære</v>
      </c>
      <c r="G215" s="99" t="str">
        <f>'Resultater - Vestdanmark'!G215</f>
        <v>t CO2-ækvivalenter</v>
      </c>
      <c r="H215" s="286">
        <f>'Resultater - Vestdanmark'!H215+'Resultater - Østdanmark'!H215</f>
        <v>29374.954227709619</v>
      </c>
      <c r="I215" s="287">
        <f>'Resultater - Vestdanmark'!I215+'Resultater - Østdanmark'!I215</f>
        <v>25949.888315623026</v>
      </c>
      <c r="J215" s="288">
        <f>'Resultater - Vestdanmark'!J215+'Resultater - Østdanmark'!J215</f>
        <v>24749.893480218496</v>
      </c>
    </row>
    <row r="216" spans="1:10" hidden="1" x14ac:dyDescent="0.55000000000000004">
      <c r="A216" s="99" t="str">
        <f>'Resultater - Vestdanmark'!A216</f>
        <v>Bælgsædsmark</v>
      </c>
      <c r="B216" s="99" t="str">
        <f>'Resultater - Vestdanmark'!B216</f>
        <v>Økologisk</v>
      </c>
      <c r="C216" s="99" t="str">
        <f>'Resultater - Vestdanmark'!C216</f>
        <v>JB1-10</v>
      </c>
      <c r="D216" s="99" t="str">
        <f>'Resultater - Vestdanmark'!D216</f>
        <v>Areal-bælgsæd</v>
      </c>
      <c r="E216" s="99" t="str">
        <f>'Resultater - Vestdanmark'!E216</f>
        <v>Hektar</v>
      </c>
      <c r="F216" s="99" t="str">
        <f>'Resultater - Vestdanmark'!F216</f>
        <v>Bælgsæd</v>
      </c>
      <c r="G216" s="99" t="str">
        <f>'Resultater - Vestdanmark'!G216</f>
        <v>Ton</v>
      </c>
      <c r="H216" s="286">
        <f>'Resultater - Vestdanmark'!H216+'Resultater - Østdanmark'!H216</f>
        <v>18374.707188012384</v>
      </c>
      <c r="I216" s="287">
        <f>'Resultater - Vestdanmark'!I216+'Resultater - Østdanmark'!I216</f>
        <v>23232.002137985502</v>
      </c>
      <c r="J216" s="288">
        <f>'Resultater - Vestdanmark'!J216+'Resultater - Østdanmark'!J216</f>
        <v>29586.221811929325</v>
      </c>
    </row>
    <row r="217" spans="1:10" hidden="1" x14ac:dyDescent="0.55000000000000004">
      <c r="A217" s="99" t="str">
        <f>'Resultater - Vestdanmark'!A217</f>
        <v>Bælgsædsmark</v>
      </c>
      <c r="B217" s="99" t="str">
        <f>'Resultater - Vestdanmark'!B217</f>
        <v>Økologisk</v>
      </c>
      <c r="C217" s="99" t="str">
        <f>'Resultater - Vestdanmark'!C217</f>
        <v>JB1-10</v>
      </c>
      <c r="D217" s="99" t="str">
        <f>'Resultater - Vestdanmark'!D217</f>
        <v>Areal-bælgsæd</v>
      </c>
      <c r="E217" s="99" t="str">
        <f>'Resultater - Vestdanmark'!E217</f>
        <v>Hektar</v>
      </c>
      <c r="F217" s="99" t="str">
        <f>'Resultater - Vestdanmark'!F217</f>
        <v>Halm</v>
      </c>
      <c r="G217" s="99" t="str">
        <f>'Resultater - Vestdanmark'!G217</f>
        <v>Ton</v>
      </c>
      <c r="H217" s="286">
        <f>'Resultater - Vestdanmark'!H217+'Resultater - Østdanmark'!H217</f>
        <v>5455.059982585959</v>
      </c>
      <c r="I217" s="287">
        <f>'Resultater - Vestdanmark'!I217+'Resultater - Østdanmark'!I217</f>
        <v>6396.4474218412861</v>
      </c>
      <c r="J217" s="288">
        <f>'Resultater - Vestdanmark'!J217+'Resultater - Østdanmark'!J217</f>
        <v>8145.9493291588406</v>
      </c>
    </row>
    <row r="218" spans="1:10" hidden="1" x14ac:dyDescent="0.55000000000000004">
      <c r="A218" s="99" t="str">
        <f>'Resultater - Vestdanmark'!A218</f>
        <v>Bælgsædsmark</v>
      </c>
      <c r="B218" s="99" t="str">
        <f>'Resultater - Vestdanmark'!B218</f>
        <v>Økologisk</v>
      </c>
      <c r="C218" s="99" t="str">
        <f>'Resultater - Vestdanmark'!C218</f>
        <v>JB1-10</v>
      </c>
      <c r="D218" s="99" t="str">
        <f>'Resultater - Vestdanmark'!D218</f>
        <v>Areal-bælgsæd</v>
      </c>
      <c r="E218" s="99" t="str">
        <f>'Resultater - Vestdanmark'!E218</f>
        <v>Hektar</v>
      </c>
      <c r="F218" s="99" t="str">
        <f>'Resultater - Vestdanmark'!F218</f>
        <v>Gødning</v>
      </c>
      <c r="G218" s="99" t="str">
        <f>'Resultater - Vestdanmark'!G218</f>
        <v>kg N</v>
      </c>
      <c r="H218" s="286">
        <f>'Resultater - Vestdanmark'!H218+'Resultater - Østdanmark'!H218</f>
        <v>0</v>
      </c>
      <c r="I218" s="287">
        <f>'Resultater - Vestdanmark'!I218+'Resultater - Østdanmark'!I218</f>
        <v>0</v>
      </c>
      <c r="J218" s="288">
        <f>'Resultater - Vestdanmark'!J218+'Resultater - Østdanmark'!J218</f>
        <v>0</v>
      </c>
    </row>
    <row r="219" spans="1:10" hidden="1" x14ac:dyDescent="0.55000000000000004">
      <c r="A219" s="99" t="str">
        <f>'Resultater - Vestdanmark'!A219</f>
        <v>Bælgsædsmark</v>
      </c>
      <c r="B219" s="99" t="str">
        <f>'Resultater - Vestdanmark'!B219</f>
        <v>Økologisk</v>
      </c>
      <c r="C219" s="99" t="str">
        <f>'Resultater - Vestdanmark'!C219</f>
        <v>JB1-10</v>
      </c>
      <c r="D219" s="99" t="str">
        <f>'Resultater - Vestdanmark'!D219</f>
        <v>Areal-bælgsæd</v>
      </c>
      <c r="E219" s="99" t="str">
        <f>'Resultater - Vestdanmark'!E219</f>
        <v>Hektar</v>
      </c>
      <c r="F219" s="99" t="str">
        <f>'Resultater - Vestdanmark'!F219</f>
        <v>CO2 - atmosfære</v>
      </c>
      <c r="G219" s="99" t="str">
        <f>'Resultater - Vestdanmark'!G219</f>
        <v>t CO2-ækvivalenter</v>
      </c>
      <c r="H219" s="286">
        <f>'Resultater - Vestdanmark'!H219+'Resultater - Østdanmark'!H219</f>
        <v>18988.48660920751</v>
      </c>
      <c r="I219" s="287">
        <f>'Resultater - Vestdanmark'!I219+'Resultater - Østdanmark'!I219</f>
        <v>22395.552408459735</v>
      </c>
      <c r="J219" s="288">
        <f>'Resultater - Vestdanmark'!J219+'Resultater - Østdanmark'!J219</f>
        <v>28520.993465044212</v>
      </c>
    </row>
    <row r="220" spans="1:10" hidden="1" x14ac:dyDescent="0.55000000000000004">
      <c r="A220" s="99" t="str">
        <f>'Resultater - Vestdanmark'!A220</f>
        <v>Bælgsædsmark</v>
      </c>
      <c r="B220" s="99" t="str">
        <f>'Resultater - Vestdanmark'!B220</f>
        <v>Økologisk</v>
      </c>
      <c r="C220" s="99" t="str">
        <f>'Resultater - Vestdanmark'!C220</f>
        <v>OC6</v>
      </c>
      <c r="D220" s="99" t="str">
        <f>'Resultater - Vestdanmark'!D220</f>
        <v>Areal-bælgsæd</v>
      </c>
      <c r="E220" s="99" t="str">
        <f>'Resultater - Vestdanmark'!E220</f>
        <v>Hektar</v>
      </c>
      <c r="F220" s="99" t="str">
        <f>'Resultater - Vestdanmark'!F220</f>
        <v>Bælgsæd</v>
      </c>
      <c r="G220" s="99" t="str">
        <f>'Resultater - Vestdanmark'!G220</f>
        <v>Ton</v>
      </c>
      <c r="H220" s="286">
        <f>'Resultater - Vestdanmark'!H220+'Resultater - Østdanmark'!H220</f>
        <v>711.46502927780227</v>
      </c>
      <c r="I220" s="287">
        <f>'Resultater - Vestdanmark'!I220+'Resultater - Østdanmark'!I220</f>
        <v>840.52593809462883</v>
      </c>
      <c r="J220" s="288">
        <f>'Resultater - Vestdanmark'!J220+'Resultater - Østdanmark'!J220</f>
        <v>1089.5706604930374</v>
      </c>
    </row>
    <row r="221" spans="1:10" hidden="1" x14ac:dyDescent="0.55000000000000004">
      <c r="A221" s="99" t="str">
        <f>'Resultater - Vestdanmark'!A221</f>
        <v>Bælgsædsmark</v>
      </c>
      <c r="B221" s="99" t="str">
        <f>'Resultater - Vestdanmark'!B221</f>
        <v>Økologisk</v>
      </c>
      <c r="C221" s="99" t="str">
        <f>'Resultater - Vestdanmark'!C221</f>
        <v>OC6</v>
      </c>
      <c r="D221" s="99" t="str">
        <f>'Resultater - Vestdanmark'!D221</f>
        <v>Areal-bælgsæd</v>
      </c>
      <c r="E221" s="99" t="str">
        <f>'Resultater - Vestdanmark'!E221</f>
        <v>Hektar</v>
      </c>
      <c r="F221" s="99" t="str">
        <f>'Resultater - Vestdanmark'!F221</f>
        <v>Halm</v>
      </c>
      <c r="G221" s="99" t="str">
        <f>'Resultater - Vestdanmark'!G221</f>
        <v>Ton</v>
      </c>
      <c r="H221" s="286">
        <f>'Resultater - Vestdanmark'!H221+'Resultater - Østdanmark'!H221</f>
        <v>211.21884395277317</v>
      </c>
      <c r="I221" s="287">
        <f>'Resultater - Vestdanmark'!I221+'Resultater - Østdanmark'!I221</f>
        <v>231.42129282630628</v>
      </c>
      <c r="J221" s="288">
        <f>'Resultater - Vestdanmark'!J221+'Resultater - Østdanmark'!J221</f>
        <v>299.99056477484146</v>
      </c>
    </row>
    <row r="222" spans="1:10" hidden="1" x14ac:dyDescent="0.55000000000000004">
      <c r="A222" s="99" t="str">
        <f>'Resultater - Vestdanmark'!A222</f>
        <v>Bælgsædsmark</v>
      </c>
      <c r="B222" s="99" t="str">
        <f>'Resultater - Vestdanmark'!B222</f>
        <v>Økologisk</v>
      </c>
      <c r="C222" s="99" t="str">
        <f>'Resultater - Vestdanmark'!C222</f>
        <v>OC6</v>
      </c>
      <c r="D222" s="99" t="str">
        <f>'Resultater - Vestdanmark'!D222</f>
        <v>Areal-bælgsæd</v>
      </c>
      <c r="E222" s="99" t="str">
        <f>'Resultater - Vestdanmark'!E222</f>
        <v>Hektar</v>
      </c>
      <c r="F222" s="99" t="str">
        <f>'Resultater - Vestdanmark'!F222</f>
        <v>Gødning</v>
      </c>
      <c r="G222" s="99" t="str">
        <f>'Resultater - Vestdanmark'!G222</f>
        <v>kg N</v>
      </c>
      <c r="H222" s="286">
        <f>'Resultater - Vestdanmark'!H222+'Resultater - Østdanmark'!H222</f>
        <v>0</v>
      </c>
      <c r="I222" s="287">
        <f>'Resultater - Vestdanmark'!I222+'Resultater - Østdanmark'!I222</f>
        <v>0</v>
      </c>
      <c r="J222" s="288">
        <f>'Resultater - Vestdanmark'!J222+'Resultater - Østdanmark'!J222</f>
        <v>0</v>
      </c>
    </row>
    <row r="223" spans="1:10" hidden="1" x14ac:dyDescent="0.55000000000000004">
      <c r="A223" s="99" t="str">
        <f>'Resultater - Vestdanmark'!A223</f>
        <v>Bælgsædsmark</v>
      </c>
      <c r="B223" s="99" t="str">
        <f>'Resultater - Vestdanmark'!B223</f>
        <v>Økologisk</v>
      </c>
      <c r="C223" s="99" t="str">
        <f>'Resultater - Vestdanmark'!C223</f>
        <v>OC6</v>
      </c>
      <c r="D223" s="99" t="str">
        <f>'Resultater - Vestdanmark'!D223</f>
        <v>Areal-bælgsæd</v>
      </c>
      <c r="E223" s="99" t="str">
        <f>'Resultater - Vestdanmark'!E223</f>
        <v>Hektar</v>
      </c>
      <c r="F223" s="99" t="str">
        <f>'Resultater - Vestdanmark'!F223</f>
        <v>CO2 - atmosfære</v>
      </c>
      <c r="G223" s="99" t="str">
        <f>'Resultater - Vestdanmark'!G223</f>
        <v>t CO2-ækvivalenter</v>
      </c>
      <c r="H223" s="286">
        <f>'Resultater - Vestdanmark'!H223+'Resultater - Østdanmark'!H223</f>
        <v>4309.2791948325566</v>
      </c>
      <c r="I223" s="287">
        <f>'Resultater - Vestdanmark'!I223+'Resultater - Østdanmark'!I223</f>
        <v>4749.0572960807376</v>
      </c>
      <c r="J223" s="288">
        <f>'Resultater - Vestdanmark'!J223+'Resultater - Østdanmark'!J223</f>
        <v>6156.1853838083616</v>
      </c>
    </row>
    <row r="224" spans="1:10" hidden="1" x14ac:dyDescent="0.55000000000000004">
      <c r="A224" s="99" t="str">
        <f>'Resultater - Vestdanmark'!A224</f>
        <v>Bælgsædsmark</v>
      </c>
      <c r="B224" s="99" t="str">
        <f>'Resultater - Vestdanmark'!B224</f>
        <v>Økologisk</v>
      </c>
      <c r="C224" s="99" t="str">
        <f>'Resultater - Vestdanmark'!C224</f>
        <v>OC12</v>
      </c>
      <c r="D224" s="99" t="str">
        <f>'Resultater - Vestdanmark'!D224</f>
        <v>Areal-bælgsæd</v>
      </c>
      <c r="E224" s="99" t="str">
        <f>'Resultater - Vestdanmark'!E224</f>
        <v>Hektar</v>
      </c>
      <c r="F224" s="99" t="str">
        <f>'Resultater - Vestdanmark'!F224</f>
        <v>Bælgsæd</v>
      </c>
      <c r="G224" s="99" t="str">
        <f>'Resultater - Vestdanmark'!G224</f>
        <v>Ton</v>
      </c>
      <c r="H224" s="286">
        <f>'Resultater - Vestdanmark'!H224+'Resultater - Østdanmark'!H224</f>
        <v>282.51100026726743</v>
      </c>
      <c r="I224" s="287">
        <f>'Resultater - Vestdanmark'!I224+'Resultater - Østdanmark'!I224</f>
        <v>326.56246091801216</v>
      </c>
      <c r="J224" s="288">
        <f>'Resultater - Vestdanmark'!J224+'Resultater - Østdanmark'!J224</f>
        <v>423.32170859742314</v>
      </c>
    </row>
    <row r="225" spans="1:10" hidden="1" x14ac:dyDescent="0.55000000000000004">
      <c r="A225" s="99" t="str">
        <f>'Resultater - Vestdanmark'!A225</f>
        <v>Bælgsædsmark</v>
      </c>
      <c r="B225" s="99" t="str">
        <f>'Resultater - Vestdanmark'!B225</f>
        <v>Økologisk</v>
      </c>
      <c r="C225" s="99" t="str">
        <f>'Resultater - Vestdanmark'!C225</f>
        <v>OC12</v>
      </c>
      <c r="D225" s="99" t="str">
        <f>'Resultater - Vestdanmark'!D225</f>
        <v>Areal-bælgsæd</v>
      </c>
      <c r="E225" s="99" t="str">
        <f>'Resultater - Vestdanmark'!E225</f>
        <v>Hektar</v>
      </c>
      <c r="F225" s="99" t="str">
        <f>'Resultater - Vestdanmark'!F225</f>
        <v>Halm</v>
      </c>
      <c r="G225" s="99" t="str">
        <f>'Resultater - Vestdanmark'!G225</f>
        <v>Ton</v>
      </c>
      <c r="H225" s="286">
        <f>'Resultater - Vestdanmark'!H225+'Resultater - Østdanmark'!H225</f>
        <v>83.871510790861564</v>
      </c>
      <c r="I225" s="287">
        <f>'Resultater - Vestdanmark'!I225+'Resultater - Østdanmark'!I225</f>
        <v>89.912165073100027</v>
      </c>
      <c r="J225" s="288">
        <f>'Resultater - Vestdanmark'!J225+'Resultater - Østdanmark'!J225</f>
        <v>116.55280657624074</v>
      </c>
    </row>
    <row r="226" spans="1:10" hidden="1" x14ac:dyDescent="0.55000000000000004">
      <c r="A226" s="99" t="str">
        <f>'Resultater - Vestdanmark'!A226</f>
        <v>Bælgsædsmark</v>
      </c>
      <c r="B226" s="99" t="str">
        <f>'Resultater - Vestdanmark'!B226</f>
        <v>Økologisk</v>
      </c>
      <c r="C226" s="99" t="str">
        <f>'Resultater - Vestdanmark'!C226</f>
        <v>OC12</v>
      </c>
      <c r="D226" s="99" t="str">
        <f>'Resultater - Vestdanmark'!D226</f>
        <v>Areal-bælgsæd</v>
      </c>
      <c r="E226" s="99" t="str">
        <f>'Resultater - Vestdanmark'!E226</f>
        <v>Hektar</v>
      </c>
      <c r="F226" s="99" t="str">
        <f>'Resultater - Vestdanmark'!F226</f>
        <v>Gødning</v>
      </c>
      <c r="G226" s="99" t="str">
        <f>'Resultater - Vestdanmark'!G226</f>
        <v>kg N</v>
      </c>
      <c r="H226" s="286">
        <f>'Resultater - Vestdanmark'!H226+'Resultater - Østdanmark'!H226</f>
        <v>0</v>
      </c>
      <c r="I226" s="287">
        <f>'Resultater - Vestdanmark'!I226+'Resultater - Østdanmark'!I226</f>
        <v>0</v>
      </c>
      <c r="J226" s="288">
        <f>'Resultater - Vestdanmark'!J226+'Resultater - Østdanmark'!J226</f>
        <v>0</v>
      </c>
    </row>
    <row r="227" spans="1:10" hidden="1" x14ac:dyDescent="0.55000000000000004">
      <c r="A227" s="99" t="str">
        <f>'Resultater - Vestdanmark'!A227</f>
        <v>Bælgsædsmark</v>
      </c>
      <c r="B227" s="99" t="str">
        <f>'Resultater - Vestdanmark'!B227</f>
        <v>Økologisk</v>
      </c>
      <c r="C227" s="99" t="str">
        <f>'Resultater - Vestdanmark'!C227</f>
        <v>OC12</v>
      </c>
      <c r="D227" s="99" t="str">
        <f>'Resultater - Vestdanmark'!D227</f>
        <v>Areal-bælgsæd</v>
      </c>
      <c r="E227" s="99" t="str">
        <f>'Resultater - Vestdanmark'!E227</f>
        <v>Hektar</v>
      </c>
      <c r="F227" s="99" t="str">
        <f>'Resultater - Vestdanmark'!F227</f>
        <v>CO2 - atmosfære</v>
      </c>
      <c r="G227" s="99" t="str">
        <f>'Resultater - Vestdanmark'!G227</f>
        <v>t CO2-ækvivalenter</v>
      </c>
      <c r="H227" s="286">
        <f>'Resultater - Vestdanmark'!H227+'Resultater - Østdanmark'!H227</f>
        <v>3755.926129571902</v>
      </c>
      <c r="I227" s="287">
        <f>'Resultater - Vestdanmark'!I227+'Resultater - Østdanmark'!I227</f>
        <v>4049.9825694902988</v>
      </c>
      <c r="J227" s="288">
        <f>'Resultater - Vestdanmark'!J227+'Resultater - Østdanmark'!J227</f>
        <v>5249.977404894832</v>
      </c>
    </row>
    <row r="228" spans="1:10" hidden="1" x14ac:dyDescent="0.55000000000000004">
      <c r="A228" s="99" t="str">
        <f>'Resultater - Vestdanmark'!A228</f>
        <v>Roemark</v>
      </c>
      <c r="B228" s="99" t="str">
        <f>'Resultater - Vestdanmark'!B228</f>
        <v>Konventionel</v>
      </c>
      <c r="C228" s="99" t="str">
        <f>'Resultater - Vestdanmark'!C228</f>
        <v>JB1-10</v>
      </c>
      <c r="D228" s="99" t="str">
        <f>'Resultater - Vestdanmark'!D228</f>
        <v>Areal-roer</v>
      </c>
      <c r="E228" s="99" t="str">
        <f>'Resultater - Vestdanmark'!E228</f>
        <v>Hektar</v>
      </c>
      <c r="F228" s="99" t="str">
        <f>'Resultater - Vestdanmark'!F228</f>
        <v>Roer</v>
      </c>
      <c r="G228" s="99" t="str">
        <f>'Resultater - Vestdanmark'!G228</f>
        <v>Ton</v>
      </c>
      <c r="H228" s="286">
        <f>'Resultater - Vestdanmark'!H228+'Resultater - Østdanmark'!H228</f>
        <v>2432067.6197482329</v>
      </c>
      <c r="I228" s="287">
        <f>'Resultater - Vestdanmark'!I228+'Resultater - Østdanmark'!I228</f>
        <v>2531835.1857061931</v>
      </c>
      <c r="J228" s="288">
        <f>'Resultater - Vestdanmark'!J228+'Resultater - Østdanmark'!J228</f>
        <v>2394420.7086597574</v>
      </c>
    </row>
    <row r="229" spans="1:10" hidden="1" x14ac:dyDescent="0.55000000000000004">
      <c r="A229" s="99" t="str">
        <f>'Resultater - Vestdanmark'!A229</f>
        <v>Roemark</v>
      </c>
      <c r="B229" s="99" t="str">
        <f>'Resultater - Vestdanmark'!B229</f>
        <v>Konventionel</v>
      </c>
      <c r="C229" s="99" t="str">
        <f>'Resultater - Vestdanmark'!C229</f>
        <v>JB1-10</v>
      </c>
      <c r="D229" s="99" t="str">
        <f>'Resultater - Vestdanmark'!D229</f>
        <v>Areal-roer</v>
      </c>
      <c r="E229" s="99" t="str">
        <f>'Resultater - Vestdanmark'!E229</f>
        <v>Hektar</v>
      </c>
      <c r="F229" s="99" t="str">
        <f>'Resultater - Vestdanmark'!F229</f>
        <v>Gødning</v>
      </c>
      <c r="G229" s="99" t="str">
        <f>'Resultater - Vestdanmark'!G229</f>
        <v>kg N</v>
      </c>
      <c r="H229" s="286">
        <f>'Resultater - Vestdanmark'!H229+'Resultater - Østdanmark'!H229</f>
        <v>-4040788.3212018311</v>
      </c>
      <c r="I229" s="287">
        <f>'Resultater - Vestdanmark'!I229+'Resultater - Østdanmark'!I229</f>
        <v>-3924018.9896024987</v>
      </c>
      <c r="J229" s="288">
        <f>'Resultater - Vestdanmark'!J229+'Resultater - Østdanmark'!J229</f>
        <v>-3711044.2191985128</v>
      </c>
    </row>
    <row r="230" spans="1:10" hidden="1" x14ac:dyDescent="0.55000000000000004">
      <c r="A230" s="99" t="str">
        <f>'Resultater - Vestdanmark'!A230</f>
        <v>Roemark</v>
      </c>
      <c r="B230" s="99" t="str">
        <f>'Resultater - Vestdanmark'!B230</f>
        <v>Konventionel</v>
      </c>
      <c r="C230" s="99" t="str">
        <f>'Resultater - Vestdanmark'!C230</f>
        <v>JB1-10</v>
      </c>
      <c r="D230" s="99" t="str">
        <f>'Resultater - Vestdanmark'!D230</f>
        <v>Areal-roer</v>
      </c>
      <c r="E230" s="99" t="str">
        <f>'Resultater - Vestdanmark'!E230</f>
        <v>Hektar</v>
      </c>
      <c r="F230" s="99" t="str">
        <f>'Resultater - Vestdanmark'!F230</f>
        <v>CO2 - atmosfære</v>
      </c>
      <c r="G230" s="99" t="str">
        <f>'Resultater - Vestdanmark'!G230</f>
        <v>t CO2-ækvivalenter</v>
      </c>
      <c r="H230" s="286">
        <f>'Resultater - Vestdanmark'!H230+'Resultater - Østdanmark'!H230</f>
        <v>68055.686267538025</v>
      </c>
      <c r="I230" s="287">
        <f>'Resultater - Vestdanmark'!I230+'Resultater - Østdanmark'!I230</f>
        <v>66089.036107890293</v>
      </c>
      <c r="J230" s="288">
        <f>'Resultater - Vestdanmark'!J230+'Resultater - Østdanmark'!J230</f>
        <v>62502.07658282324</v>
      </c>
    </row>
    <row r="231" spans="1:10" hidden="1" x14ac:dyDescent="0.55000000000000004">
      <c r="A231" s="99" t="str">
        <f>'Resultater - Vestdanmark'!A231</f>
        <v>Roemark</v>
      </c>
      <c r="B231" s="99" t="str">
        <f>'Resultater - Vestdanmark'!B231</f>
        <v>Konventionel</v>
      </c>
      <c r="C231" s="99" t="str">
        <f>'Resultater - Vestdanmark'!C231</f>
        <v>OC6</v>
      </c>
      <c r="D231" s="99" t="str">
        <f>'Resultater - Vestdanmark'!D231</f>
        <v>Areal-roer</v>
      </c>
      <c r="E231" s="99" t="str">
        <f>'Resultater - Vestdanmark'!E231</f>
        <v>Hektar</v>
      </c>
      <c r="F231" s="99" t="str">
        <f>'Resultater - Vestdanmark'!F231</f>
        <v>Roer</v>
      </c>
      <c r="G231" s="99" t="str">
        <f>'Resultater - Vestdanmark'!G231</f>
        <v>Ton</v>
      </c>
      <c r="H231" s="286">
        <f>'Resultater - Vestdanmark'!H231+'Resultater - Østdanmark'!H231</f>
        <v>13122.873542371528</v>
      </c>
      <c r="I231" s="287">
        <f>'Resultater - Vestdanmark'!I231+'Resultater - Østdanmark'!I231</f>
        <v>12717.640896460449</v>
      </c>
      <c r="J231" s="288">
        <f>'Resultater - Vestdanmark'!J231+'Resultater - Østdanmark'!J231</f>
        <v>12129.541895468059</v>
      </c>
    </row>
    <row r="232" spans="1:10" hidden="1" x14ac:dyDescent="0.55000000000000004">
      <c r="A232" s="99" t="str">
        <f>'Resultater - Vestdanmark'!A232</f>
        <v>Roemark</v>
      </c>
      <c r="B232" s="99" t="str">
        <f>'Resultater - Vestdanmark'!B232</f>
        <v>Konventionel</v>
      </c>
      <c r="C232" s="99" t="str">
        <f>'Resultater - Vestdanmark'!C232</f>
        <v>OC6</v>
      </c>
      <c r="D232" s="99" t="str">
        <f>'Resultater - Vestdanmark'!D232</f>
        <v>Areal-roer</v>
      </c>
      <c r="E232" s="99" t="str">
        <f>'Resultater - Vestdanmark'!E232</f>
        <v>Hektar</v>
      </c>
      <c r="F232" s="99" t="str">
        <f>'Resultater - Vestdanmark'!F232</f>
        <v>Gødning</v>
      </c>
      <c r="G232" s="99" t="str">
        <f>'Resultater - Vestdanmark'!G232</f>
        <v>kg N</v>
      </c>
      <c r="H232" s="286">
        <f>'Resultater - Vestdanmark'!H232+'Resultater - Østdanmark'!H232</f>
        <v>-14131.676367037673</v>
      </c>
      <c r="I232" s="287">
        <f>'Resultater - Vestdanmark'!I232+'Resultater - Østdanmark'!I232</f>
        <v>-12775.458973644028</v>
      </c>
      <c r="J232" s="288">
        <f>'Resultater - Vestdanmark'!J232+'Resultater - Østdanmark'!J232</f>
        <v>-12184.686304342569</v>
      </c>
    </row>
    <row r="233" spans="1:10" hidden="1" x14ac:dyDescent="0.55000000000000004">
      <c r="A233" s="99" t="str">
        <f>'Resultater - Vestdanmark'!A233</f>
        <v>Roemark</v>
      </c>
      <c r="B233" s="99" t="str">
        <f>'Resultater - Vestdanmark'!B233</f>
        <v>Konventionel</v>
      </c>
      <c r="C233" s="99" t="str">
        <f>'Resultater - Vestdanmark'!C233</f>
        <v>OC6</v>
      </c>
      <c r="D233" s="99" t="str">
        <f>'Resultater - Vestdanmark'!D233</f>
        <v>Areal-roer</v>
      </c>
      <c r="E233" s="99" t="str">
        <f>'Resultater - Vestdanmark'!E233</f>
        <v>Hektar</v>
      </c>
      <c r="F233" s="99" t="str">
        <f>'Resultater - Vestdanmark'!F233</f>
        <v>CO2 - atmosfære</v>
      </c>
      <c r="G233" s="99" t="str">
        <f>'Resultater - Vestdanmark'!G233</f>
        <v>t CO2-ækvivalenter</v>
      </c>
      <c r="H233" s="286">
        <f>'Resultater - Vestdanmark'!H233+'Resultater - Østdanmark'!H233</f>
        <v>2152.2804701131786</v>
      </c>
      <c r="I233" s="287">
        <f>'Resultater - Vestdanmark'!I233+'Resultater - Østdanmark'!I233</f>
        <v>1945.7260505796646</v>
      </c>
      <c r="J233" s="288">
        <f>'Resultater - Vestdanmark'!J233+'Resultater - Østdanmark'!J233</f>
        <v>1855.7502794545933</v>
      </c>
    </row>
    <row r="234" spans="1:10" hidden="1" x14ac:dyDescent="0.55000000000000004">
      <c r="A234" s="99" t="str">
        <f>'Resultater - Vestdanmark'!A234</f>
        <v>Roemark</v>
      </c>
      <c r="B234" s="99" t="str">
        <f>'Resultater - Vestdanmark'!B234</f>
        <v>Konventionel</v>
      </c>
      <c r="C234" s="99" t="str">
        <f>'Resultater - Vestdanmark'!C234</f>
        <v>OC12</v>
      </c>
      <c r="D234" s="99" t="str">
        <f>'Resultater - Vestdanmark'!D234</f>
        <v>Areal-roer</v>
      </c>
      <c r="E234" s="99" t="str">
        <f>'Resultater - Vestdanmark'!E234</f>
        <v>Hektar</v>
      </c>
      <c r="F234" s="99" t="str">
        <f>'Resultater - Vestdanmark'!F234</f>
        <v>Roer</v>
      </c>
      <c r="G234" s="99" t="str">
        <f>'Resultater - Vestdanmark'!G234</f>
        <v>Ton</v>
      </c>
      <c r="H234" s="286">
        <f>'Resultater - Vestdanmark'!H234+'Resultater - Østdanmark'!H234</f>
        <v>5615.3101846932177</v>
      </c>
      <c r="I234" s="287">
        <f>'Resultater - Vestdanmark'!I234+'Resultater - Østdanmark'!I234</f>
        <v>5438.8494240816599</v>
      </c>
      <c r="J234" s="288">
        <f>'Resultater - Vestdanmark'!J234+'Resultater - Østdanmark'!J234</f>
        <v>5187.3419362628547</v>
      </c>
    </row>
    <row r="235" spans="1:10" hidden="1" x14ac:dyDescent="0.55000000000000004">
      <c r="A235" s="99" t="str">
        <f>'Resultater - Vestdanmark'!A235</f>
        <v>Roemark</v>
      </c>
      <c r="B235" s="99" t="str">
        <f>'Resultater - Vestdanmark'!B235</f>
        <v>Konventionel</v>
      </c>
      <c r="C235" s="99" t="str">
        <f>'Resultater - Vestdanmark'!C235</f>
        <v>OC12</v>
      </c>
      <c r="D235" s="99" t="str">
        <f>'Resultater - Vestdanmark'!D235</f>
        <v>Areal-roer</v>
      </c>
      <c r="E235" s="99" t="str">
        <f>'Resultater - Vestdanmark'!E235</f>
        <v>Hektar</v>
      </c>
      <c r="F235" s="99" t="str">
        <f>'Resultater - Vestdanmark'!F235</f>
        <v>Gødning</v>
      </c>
      <c r="G235" s="99" t="str">
        <f>'Resultater - Vestdanmark'!G235</f>
        <v>kg N</v>
      </c>
      <c r="H235" s="286">
        <f>'Resultater - Vestdanmark'!H235+'Resultater - Østdanmark'!H235</f>
        <v>-3702.2322974288109</v>
      </c>
      <c r="I235" s="287">
        <f>'Resultater - Vestdanmark'!I235+'Resultater - Østdanmark'!I235</f>
        <v>-3345.0465355545793</v>
      </c>
      <c r="J235" s="288">
        <f>'Resultater - Vestdanmark'!J235+'Resultater - Østdanmark'!J235</f>
        <v>-3190.3623026965643</v>
      </c>
    </row>
    <row r="236" spans="1:10" hidden="1" x14ac:dyDescent="0.55000000000000004">
      <c r="A236" s="99" t="str">
        <f>'Resultater - Vestdanmark'!A236</f>
        <v>Roemark</v>
      </c>
      <c r="B236" s="99" t="str">
        <f>'Resultater - Vestdanmark'!B236</f>
        <v>Konventionel</v>
      </c>
      <c r="C236" s="99" t="str">
        <f>'Resultater - Vestdanmark'!C236</f>
        <v>OC12</v>
      </c>
      <c r="D236" s="99" t="str">
        <f>'Resultater - Vestdanmark'!D236</f>
        <v>Areal-roer</v>
      </c>
      <c r="E236" s="99" t="str">
        <f>'Resultater - Vestdanmark'!E236</f>
        <v>Hektar</v>
      </c>
      <c r="F236" s="99" t="str">
        <f>'Resultater - Vestdanmark'!F236</f>
        <v>CO2 - atmosfære</v>
      </c>
      <c r="G236" s="99" t="str">
        <f>'Resultater - Vestdanmark'!G236</f>
        <v>t CO2-ækvivalenter</v>
      </c>
      <c r="H236" s="286">
        <f>'Resultater - Vestdanmark'!H236+'Resultater - Østdanmark'!H236</f>
        <v>2021.5024736231753</v>
      </c>
      <c r="I236" s="287">
        <f>'Resultater - Vestdanmark'!I236+'Resultater - Østdanmark'!I236</f>
        <v>1826.4709782539626</v>
      </c>
      <c r="J236" s="288">
        <f>'Resultater - Vestdanmark'!J236+'Resultater - Østdanmark'!J236</f>
        <v>1742.0098925543575</v>
      </c>
    </row>
    <row r="237" spans="1:10" hidden="1" x14ac:dyDescent="0.55000000000000004">
      <c r="A237" s="99" t="str">
        <f>'Resultater - Vestdanmark'!A237</f>
        <v>Roemark</v>
      </c>
      <c r="B237" s="99" t="str">
        <f>'Resultater - Vestdanmark'!B237</f>
        <v>Økologisk</v>
      </c>
      <c r="C237" s="99" t="str">
        <f>'Resultater - Vestdanmark'!C237</f>
        <v>JB1-10</v>
      </c>
      <c r="D237" s="99" t="str">
        <f>'Resultater - Vestdanmark'!D237</f>
        <v>Areal-roer</v>
      </c>
      <c r="E237" s="99" t="str">
        <f>'Resultater - Vestdanmark'!E237</f>
        <v>Hektar</v>
      </c>
      <c r="F237" s="99" t="str">
        <f>'Resultater - Vestdanmark'!F237</f>
        <v>Roer</v>
      </c>
      <c r="G237" s="99" t="str">
        <f>'Resultater - Vestdanmark'!G237</f>
        <v>Ton</v>
      </c>
      <c r="H237" s="286">
        <f>'Resultater - Vestdanmark'!H237+'Resultater - Østdanmark'!H237</f>
        <v>177251.6737598984</v>
      </c>
      <c r="I237" s="287">
        <f>'Resultater - Vestdanmark'!I237+'Resultater - Østdanmark'!I237</f>
        <v>225230.88732958562</v>
      </c>
      <c r="J237" s="288">
        <f>'Resultater - Vestdanmark'!J237+'Resultater - Østdanmark'!J237</f>
        <v>289507.23113795248</v>
      </c>
    </row>
    <row r="238" spans="1:10" hidden="1" x14ac:dyDescent="0.55000000000000004">
      <c r="A238" s="99" t="str">
        <f>'Resultater - Vestdanmark'!A238</f>
        <v>Roemark</v>
      </c>
      <c r="B238" s="99" t="str">
        <f>'Resultater - Vestdanmark'!B238</f>
        <v>Økologisk</v>
      </c>
      <c r="C238" s="99" t="str">
        <f>'Resultater - Vestdanmark'!C238</f>
        <v>JB1-10</v>
      </c>
      <c r="D238" s="99" t="str">
        <f>'Resultater - Vestdanmark'!D238</f>
        <v>Areal-roer</v>
      </c>
      <c r="E238" s="99" t="str">
        <f>'Resultater - Vestdanmark'!E238</f>
        <v>Hektar</v>
      </c>
      <c r="F238" s="99" t="str">
        <f>'Resultater - Vestdanmark'!F238</f>
        <v>Gødning</v>
      </c>
      <c r="G238" s="99" t="str">
        <f>'Resultater - Vestdanmark'!G238</f>
        <v>kg N</v>
      </c>
      <c r="H238" s="286">
        <f>'Resultater - Vestdanmark'!H238+'Resultater - Østdanmark'!H238</f>
        <v>-294496.94877999288</v>
      </c>
      <c r="I238" s="287">
        <f>'Resultater - Vestdanmark'!I238+'Resultater - Østdanmark'!I238</f>
        <v>-349078.91473978292</v>
      </c>
      <c r="J238" s="288">
        <f>'Resultater - Vestdanmark'!J238+'Resultater - Østdanmark'!J238</f>
        <v>-448698.98286672926</v>
      </c>
    </row>
    <row r="239" spans="1:10" hidden="1" x14ac:dyDescent="0.55000000000000004">
      <c r="A239" s="99" t="str">
        <f>'Resultater - Vestdanmark'!A239</f>
        <v>Roemark</v>
      </c>
      <c r="B239" s="99" t="str">
        <f>'Resultater - Vestdanmark'!B239</f>
        <v>Økologisk</v>
      </c>
      <c r="C239" s="99" t="str">
        <f>'Resultater - Vestdanmark'!C239</f>
        <v>JB1-10</v>
      </c>
      <c r="D239" s="99" t="str">
        <f>'Resultater - Vestdanmark'!D239</f>
        <v>Areal-roer</v>
      </c>
      <c r="E239" s="99" t="str">
        <f>'Resultater - Vestdanmark'!E239</f>
        <v>Hektar</v>
      </c>
      <c r="F239" s="99" t="str">
        <f>'Resultater - Vestdanmark'!F239</f>
        <v>CO2 - atmosfære</v>
      </c>
      <c r="G239" s="99" t="str">
        <f>'Resultater - Vestdanmark'!G239</f>
        <v>t CO2-ækvivalenter</v>
      </c>
      <c r="H239" s="286">
        <f>'Resultater - Vestdanmark'!H239+'Resultater - Østdanmark'!H239</f>
        <v>8701.7031017897862</v>
      </c>
      <c r="I239" s="287">
        <f>'Resultater - Vestdanmark'!I239+'Resultater - Østdanmark'!I239</f>
        <v>10314.473843427966</v>
      </c>
      <c r="J239" s="288">
        <f>'Resultater - Vestdanmark'!J239+'Resultater - Østdanmark'!J239</f>
        <v>13258.016244841294</v>
      </c>
    </row>
    <row r="240" spans="1:10" hidden="1" x14ac:dyDescent="0.55000000000000004">
      <c r="A240" s="99" t="str">
        <f>'Resultater - Vestdanmark'!A240</f>
        <v>Roemark</v>
      </c>
      <c r="B240" s="99" t="str">
        <f>'Resultater - Vestdanmark'!B240</f>
        <v>Økologisk</v>
      </c>
      <c r="C240" s="99" t="str">
        <f>'Resultater - Vestdanmark'!C240</f>
        <v>OC6</v>
      </c>
      <c r="D240" s="99" t="str">
        <f>'Resultater - Vestdanmark'!D240</f>
        <v>Areal-roer</v>
      </c>
      <c r="E240" s="99" t="str">
        <f>'Resultater - Vestdanmark'!E240</f>
        <v>Hektar</v>
      </c>
      <c r="F240" s="99" t="str">
        <f>'Resultater - Vestdanmark'!F240</f>
        <v>Roer</v>
      </c>
      <c r="G240" s="99" t="str">
        <f>'Resultater - Vestdanmark'!G240</f>
        <v>Ton</v>
      </c>
      <c r="H240" s="286">
        <f>'Resultater - Vestdanmark'!H240+'Resultater - Østdanmark'!H240</f>
        <v>956.40897524289744</v>
      </c>
      <c r="I240" s="287">
        <f>'Resultater - Vestdanmark'!I240+'Resultater - Østdanmark'!I240</f>
        <v>1131.3554531591117</v>
      </c>
      <c r="J240" s="288">
        <f>'Resultater - Vestdanmark'!J240+'Resultater - Østdanmark'!J240</f>
        <v>1466.5718837247741</v>
      </c>
    </row>
    <row r="241" spans="1:10" hidden="1" x14ac:dyDescent="0.55000000000000004">
      <c r="A241" s="99" t="str">
        <f>'Resultater - Vestdanmark'!A241</f>
        <v>Roemark</v>
      </c>
      <c r="B241" s="99" t="str">
        <f>'Resultater - Vestdanmark'!B241</f>
        <v>Økologisk</v>
      </c>
      <c r="C241" s="99" t="str">
        <f>'Resultater - Vestdanmark'!C241</f>
        <v>OC6</v>
      </c>
      <c r="D241" s="99" t="str">
        <f>'Resultater - Vestdanmark'!D241</f>
        <v>Areal-roer</v>
      </c>
      <c r="E241" s="99" t="str">
        <f>'Resultater - Vestdanmark'!E241</f>
        <v>Hektar</v>
      </c>
      <c r="F241" s="99" t="str">
        <f>'Resultater - Vestdanmark'!F241</f>
        <v>Gødning</v>
      </c>
      <c r="G241" s="99" t="str">
        <f>'Resultater - Vestdanmark'!G241</f>
        <v>kg N</v>
      </c>
      <c r="H241" s="286">
        <f>'Resultater - Vestdanmark'!H241+'Resultater - Østdanmark'!H241</f>
        <v>-1029.9315976049757</v>
      </c>
      <c r="I241" s="287">
        <f>'Resultater - Vestdanmark'!I241+'Resultater - Østdanmark'!I241</f>
        <v>-1136.4989225686797</v>
      </c>
      <c r="J241" s="288">
        <f>'Resultater - Vestdanmark'!J241+'Resultater - Østdanmark'!J241</f>
        <v>-1473.2393440705107</v>
      </c>
    </row>
    <row r="242" spans="1:10" hidden="1" x14ac:dyDescent="0.55000000000000004">
      <c r="A242" s="99" t="str">
        <f>'Resultater - Vestdanmark'!A242</f>
        <v>Roemark</v>
      </c>
      <c r="B242" s="99" t="str">
        <f>'Resultater - Vestdanmark'!B242</f>
        <v>Økologisk</v>
      </c>
      <c r="C242" s="99" t="str">
        <f>'Resultater - Vestdanmark'!C242</f>
        <v>OC6</v>
      </c>
      <c r="D242" s="99" t="str">
        <f>'Resultater - Vestdanmark'!D242</f>
        <v>Areal-roer</v>
      </c>
      <c r="E242" s="99" t="str">
        <f>'Resultater - Vestdanmark'!E242</f>
        <v>Hektar</v>
      </c>
      <c r="F242" s="99" t="str">
        <f>'Resultater - Vestdanmark'!F242</f>
        <v>CO2 - atmosfære</v>
      </c>
      <c r="G242" s="99" t="str">
        <f>'Resultater - Vestdanmark'!G242</f>
        <v>t CO2-ækvivalenter</v>
      </c>
      <c r="H242" s="286">
        <f>'Resultater - Vestdanmark'!H242+'Resultater - Østdanmark'!H242</f>
        <v>275.19384007209339</v>
      </c>
      <c r="I242" s="287">
        <f>'Resultater - Vestdanmark'!I242+'Resultater - Østdanmark'!I242</f>
        <v>303.66822754711529</v>
      </c>
      <c r="J242" s="288">
        <f>'Resultater - Vestdanmark'!J242+'Resultater - Østdanmark'!J242</f>
        <v>393.64399867218651</v>
      </c>
    </row>
    <row r="243" spans="1:10" hidden="1" x14ac:dyDescent="0.55000000000000004">
      <c r="A243" s="99" t="str">
        <f>'Resultater - Vestdanmark'!A243</f>
        <v>Roemark</v>
      </c>
      <c r="B243" s="99" t="str">
        <f>'Resultater - Vestdanmark'!B243</f>
        <v>Økologisk</v>
      </c>
      <c r="C243" s="99" t="str">
        <f>'Resultater - Vestdanmark'!C243</f>
        <v>OC12</v>
      </c>
      <c r="D243" s="99" t="str">
        <f>'Resultater - Vestdanmark'!D243</f>
        <v>Areal-roer</v>
      </c>
      <c r="E243" s="99" t="str">
        <f>'Resultater - Vestdanmark'!E243</f>
        <v>Hektar</v>
      </c>
      <c r="F243" s="99" t="str">
        <f>'Resultater - Vestdanmark'!F243</f>
        <v>Roer</v>
      </c>
      <c r="G243" s="99" t="str">
        <f>'Resultater - Vestdanmark'!G243</f>
        <v>Ton</v>
      </c>
      <c r="H243" s="286">
        <f>'Resultater - Vestdanmark'!H243+'Resultater - Østdanmark'!H243</f>
        <v>409.24977613118875</v>
      </c>
      <c r="I243" s="287">
        <f>'Resultater - Vestdanmark'!I243+'Resultater - Østdanmark'!I243</f>
        <v>483.83752969142631</v>
      </c>
      <c r="J243" s="288">
        <f>'Resultater - Vestdanmark'!J243+'Resultater - Østdanmark'!J243</f>
        <v>627.19679774814506</v>
      </c>
    </row>
    <row r="244" spans="1:10" hidden="1" x14ac:dyDescent="0.55000000000000004">
      <c r="A244" s="99" t="str">
        <f>'Resultater - Vestdanmark'!A244</f>
        <v>Roemark</v>
      </c>
      <c r="B244" s="99" t="str">
        <f>'Resultater - Vestdanmark'!B244</f>
        <v>Økologisk</v>
      </c>
      <c r="C244" s="99" t="str">
        <f>'Resultater - Vestdanmark'!C244</f>
        <v>OC12</v>
      </c>
      <c r="D244" s="99" t="str">
        <f>'Resultater - Vestdanmark'!D244</f>
        <v>Areal-roer</v>
      </c>
      <c r="E244" s="99" t="str">
        <f>'Resultater - Vestdanmark'!E244</f>
        <v>Hektar</v>
      </c>
      <c r="F244" s="99" t="str">
        <f>'Resultater - Vestdanmark'!F244</f>
        <v>Gødning</v>
      </c>
      <c r="G244" s="99" t="str">
        <f>'Resultater - Vestdanmark'!G244</f>
        <v>kg N</v>
      </c>
      <c r="H244" s="286">
        <f>'Resultater - Vestdanmark'!H244+'Resultater - Østdanmark'!H244</f>
        <v>-269.82262583436852</v>
      </c>
      <c r="I244" s="287">
        <f>'Resultater - Vestdanmark'!I244+'Resultater - Østdanmark'!I244</f>
        <v>-297.5737929606068</v>
      </c>
      <c r="J244" s="288">
        <f>'Resultater - Vestdanmark'!J244+'Resultater - Østdanmark'!J244</f>
        <v>-385.74380568967541</v>
      </c>
    </row>
    <row r="245" spans="1:10" hidden="1" x14ac:dyDescent="0.55000000000000004">
      <c r="A245" s="99" t="str">
        <f>'Resultater - Vestdanmark'!A245</f>
        <v>Roemark</v>
      </c>
      <c r="B245" s="99" t="str">
        <f>'Resultater - Vestdanmark'!B245</f>
        <v>Økologisk</v>
      </c>
      <c r="C245" s="99" t="str">
        <f>'Resultater - Vestdanmark'!C245</f>
        <v>OC12</v>
      </c>
      <c r="D245" s="99" t="str">
        <f>'Resultater - Vestdanmark'!D245</f>
        <v>Areal-roer</v>
      </c>
      <c r="E245" s="99" t="str">
        <f>'Resultater - Vestdanmark'!E245</f>
        <v>Hektar</v>
      </c>
      <c r="F245" s="99" t="str">
        <f>'Resultater - Vestdanmark'!F245</f>
        <v>CO2 - atmosfære</v>
      </c>
      <c r="G245" s="99" t="str">
        <f>'Resultater - Vestdanmark'!G245</f>
        <v>t CO2-ækvivalenter</v>
      </c>
      <c r="H245" s="286">
        <f>'Resultater - Vestdanmark'!H245+'Resultater - Østdanmark'!H245</f>
        <v>258.47236740588181</v>
      </c>
      <c r="I245" s="287">
        <f>'Resultater - Vestdanmark'!I245+'Resultater - Østdanmark'!I245</f>
        <v>285.0561642361676</v>
      </c>
      <c r="J245" s="288">
        <f>'Resultater - Vestdanmark'!J245+'Resultater - Østdanmark'!J245</f>
        <v>369.51724993577272</v>
      </c>
    </row>
    <row r="246" spans="1:10" hidden="1" x14ac:dyDescent="0.55000000000000004">
      <c r="A246" s="99" t="str">
        <f>'Resultater - Vestdanmark'!A246</f>
        <v>Frugtmark</v>
      </c>
      <c r="B246" s="99" t="str">
        <f>'Resultater - Vestdanmark'!B246</f>
        <v>Konventionel</v>
      </c>
      <c r="C246" s="99" t="str">
        <f>'Resultater - Vestdanmark'!C246</f>
        <v>JB1-10</v>
      </c>
      <c r="D246" s="99" t="str">
        <f>'Resultater - Vestdanmark'!D246</f>
        <v>Areal-frugt</v>
      </c>
      <c r="E246" s="99" t="str">
        <f>'Resultater - Vestdanmark'!E246</f>
        <v>Hektar</v>
      </c>
      <c r="F246" s="99" t="str">
        <f>'Resultater - Vestdanmark'!F246</f>
        <v>Frugt</v>
      </c>
      <c r="G246" s="99" t="str">
        <f>'Resultater - Vestdanmark'!G246</f>
        <v>Ton</v>
      </c>
      <c r="H246" s="286">
        <f>'Resultater - Vestdanmark'!H246+'Resultater - Østdanmark'!H246</f>
        <v>37068.149941239346</v>
      </c>
      <c r="I246" s="287">
        <f>'Resultater - Vestdanmark'!I246+'Resultater - Østdanmark'!I246</f>
        <v>38469.5604206551</v>
      </c>
      <c r="J246" s="288">
        <f>'Resultater - Vestdanmark'!J246+'Resultater - Østdanmark'!J246</f>
        <v>36173.996116215385</v>
      </c>
    </row>
    <row r="247" spans="1:10" hidden="1" x14ac:dyDescent="0.55000000000000004">
      <c r="A247" s="99" t="str">
        <f>'Resultater - Vestdanmark'!A247</f>
        <v>Frugtmark</v>
      </c>
      <c r="B247" s="99" t="str">
        <f>'Resultater - Vestdanmark'!B247</f>
        <v>Konventionel</v>
      </c>
      <c r="C247" s="99" t="str">
        <f>'Resultater - Vestdanmark'!C247</f>
        <v>JB1-10</v>
      </c>
      <c r="D247" s="99" t="str">
        <f>'Resultater - Vestdanmark'!D247</f>
        <v>Areal-frugt</v>
      </c>
      <c r="E247" s="99" t="str">
        <f>'Resultater - Vestdanmark'!E247</f>
        <v>Hektar</v>
      </c>
      <c r="F247" s="99" t="str">
        <f>'Resultater - Vestdanmark'!F247</f>
        <v>Gødning</v>
      </c>
      <c r="G247" s="99" t="str">
        <f>'Resultater - Vestdanmark'!G247</f>
        <v>kg N</v>
      </c>
      <c r="H247" s="286">
        <f>'Resultater - Vestdanmark'!H247+'Resultater - Østdanmark'!H247</f>
        <v>-611253.35592149675</v>
      </c>
      <c r="I247" s="287">
        <f>'Resultater - Vestdanmark'!I247+'Resultater - Østdanmark'!I247</f>
        <v>-591756.15505640011</v>
      </c>
      <c r="J247" s="288">
        <f>'Resultater - Vestdanmark'!J247+'Resultater - Østdanmark'!J247</f>
        <v>-556444.74802117434</v>
      </c>
    </row>
    <row r="248" spans="1:10" hidden="1" x14ac:dyDescent="0.55000000000000004">
      <c r="A248" s="99" t="str">
        <f>'Resultater - Vestdanmark'!A248</f>
        <v>Frugtmark</v>
      </c>
      <c r="B248" s="99" t="str">
        <f>'Resultater - Vestdanmark'!B248</f>
        <v>Konventionel</v>
      </c>
      <c r="C248" s="99" t="str">
        <f>'Resultater - Vestdanmark'!C248</f>
        <v>JB1-10</v>
      </c>
      <c r="D248" s="99" t="str">
        <f>'Resultater - Vestdanmark'!D248</f>
        <v>Areal-frugt</v>
      </c>
      <c r="E248" s="99" t="str">
        <f>'Resultater - Vestdanmark'!E248</f>
        <v>Hektar</v>
      </c>
      <c r="F248" s="99" t="str">
        <f>'Resultater - Vestdanmark'!F248</f>
        <v>CO2 - atmosfære</v>
      </c>
      <c r="G248" s="99" t="str">
        <f>'Resultater - Vestdanmark'!G248</f>
        <v>t CO2-ækvivalenter</v>
      </c>
      <c r="H248" s="286">
        <f>'Resultater - Vestdanmark'!H248+'Resultater - Østdanmark'!H248</f>
        <v>8582.4091345819397</v>
      </c>
      <c r="I248" s="287">
        <f>'Resultater - Vestdanmark'!I248+'Resultater - Østdanmark'!I248</f>
        <v>8308.6552922801311</v>
      </c>
      <c r="J248" s="288">
        <f>'Resultater - Vestdanmark'!J248+'Resultater - Østdanmark'!J248</f>
        <v>7812.8593357292048</v>
      </c>
    </row>
    <row r="249" spans="1:10" hidden="1" x14ac:dyDescent="0.55000000000000004">
      <c r="A249" s="99" t="str">
        <f>'Resultater - Vestdanmark'!A249</f>
        <v>Frugtmark</v>
      </c>
      <c r="B249" s="99" t="str">
        <f>'Resultater - Vestdanmark'!B249</f>
        <v>Konventionel</v>
      </c>
      <c r="C249" s="99" t="str">
        <f>'Resultater - Vestdanmark'!C249</f>
        <v>OC6</v>
      </c>
      <c r="D249" s="99" t="str">
        <f>'Resultater - Vestdanmark'!D249</f>
        <v>Areal-frugt</v>
      </c>
      <c r="E249" s="99" t="str">
        <f>'Resultater - Vestdanmark'!E249</f>
        <v>Hektar</v>
      </c>
      <c r="F249" s="99" t="str">
        <f>'Resultater - Vestdanmark'!F249</f>
        <v>Frugt</v>
      </c>
      <c r="G249" s="99" t="str">
        <f>'Resultater - Vestdanmark'!G249</f>
        <v>Ton</v>
      </c>
      <c r="H249" s="286">
        <f>'Resultater - Vestdanmark'!H249+'Resultater - Østdanmark'!H249</f>
        <v>1090.1789727130877</v>
      </c>
      <c r="I249" s="287">
        <f>'Resultater - Vestdanmark'!I249+'Resultater - Østdanmark'!I249</f>
        <v>1055.4891695522883</v>
      </c>
      <c r="J249" s="288">
        <f>'Resultater - Vestdanmark'!J249+'Resultater - Østdanmark'!J249</f>
        <v>1006.6804218273271</v>
      </c>
    </row>
    <row r="250" spans="1:10" hidden="1" x14ac:dyDescent="0.55000000000000004">
      <c r="A250" s="99" t="str">
        <f>'Resultater - Vestdanmark'!A250</f>
        <v>Frugtmark</v>
      </c>
      <c r="B250" s="99" t="str">
        <f>'Resultater - Vestdanmark'!B250</f>
        <v>Konventionel</v>
      </c>
      <c r="C250" s="99" t="str">
        <f>'Resultater - Vestdanmark'!C250</f>
        <v>OC6</v>
      </c>
      <c r="D250" s="99" t="str">
        <f>'Resultater - Vestdanmark'!D250</f>
        <v>Areal-frugt</v>
      </c>
      <c r="E250" s="99" t="str">
        <f>'Resultater - Vestdanmark'!E250</f>
        <v>Hektar</v>
      </c>
      <c r="F250" s="99" t="str">
        <f>'Resultater - Vestdanmark'!F250</f>
        <v>Gødning</v>
      </c>
      <c r="G250" s="99" t="str">
        <f>'Resultater - Vestdanmark'!G250</f>
        <v>kg N</v>
      </c>
      <c r="H250" s="286">
        <f>'Resultater - Vestdanmark'!H250+'Resultater - Østdanmark'!H250</f>
        <v>-14980.865349414238</v>
      </c>
      <c r="I250" s="287">
        <f>'Resultater - Vestdanmark'!I250+'Resultater - Østdanmark'!I250</f>
        <v>-13530.009307969169</v>
      </c>
      <c r="J250" s="288">
        <f>'Resultater - Vestdanmark'!J250+'Resultater - Østdanmark'!J250</f>
        <v>-12904.344137658456</v>
      </c>
    </row>
    <row r="251" spans="1:10" hidden="1" x14ac:dyDescent="0.55000000000000004">
      <c r="A251" s="99" t="str">
        <f>'Resultater - Vestdanmark'!A251</f>
        <v>Frugtmark</v>
      </c>
      <c r="B251" s="99" t="str">
        <f>'Resultater - Vestdanmark'!B251</f>
        <v>Konventionel</v>
      </c>
      <c r="C251" s="99" t="str">
        <f>'Resultater - Vestdanmark'!C251</f>
        <v>OC6</v>
      </c>
      <c r="D251" s="99" t="str">
        <f>'Resultater - Vestdanmark'!D251</f>
        <v>Areal-frugt</v>
      </c>
      <c r="E251" s="99" t="str">
        <f>'Resultater - Vestdanmark'!E251</f>
        <v>Hektar</v>
      </c>
      <c r="F251" s="99" t="str">
        <f>'Resultater - Vestdanmark'!F251</f>
        <v>CO2 - atmosfære</v>
      </c>
      <c r="G251" s="99" t="str">
        <f>'Resultater - Vestdanmark'!G251</f>
        <v>t CO2-ækvivalenter</v>
      </c>
      <c r="H251" s="286">
        <f>'Resultater - Vestdanmark'!H251+'Resultater - Østdanmark'!H251</f>
        <v>1140.8671979707708</v>
      </c>
      <c r="I251" s="287">
        <f>'Resultater - Vestdanmark'!I251+'Resultater - Østdanmark'!I251</f>
        <v>1030.3773145057196</v>
      </c>
      <c r="J251" s="288">
        <f>'Resultater - Vestdanmark'!J251+'Resultater - Østdanmark'!J251</f>
        <v>982.72980863262285</v>
      </c>
    </row>
    <row r="252" spans="1:10" hidden="1" x14ac:dyDescent="0.55000000000000004">
      <c r="A252" s="99" t="str">
        <f>'Resultater - Vestdanmark'!A252</f>
        <v>Frugtmark</v>
      </c>
      <c r="B252" s="99" t="str">
        <f>'Resultater - Vestdanmark'!B252</f>
        <v>Konventionel</v>
      </c>
      <c r="C252" s="99" t="str">
        <f>'Resultater - Vestdanmark'!C252</f>
        <v>OC12</v>
      </c>
      <c r="D252" s="99" t="str">
        <f>'Resultater - Vestdanmark'!D252</f>
        <v>Areal-frugt</v>
      </c>
      <c r="E252" s="99" t="str">
        <f>'Resultater - Vestdanmark'!E252</f>
        <v>Hektar</v>
      </c>
      <c r="F252" s="99" t="str">
        <f>'Resultater - Vestdanmark'!F252</f>
        <v>Frugt</v>
      </c>
      <c r="G252" s="99" t="str">
        <f>'Resultater - Vestdanmark'!G252</f>
        <v>Ton</v>
      </c>
      <c r="H252" s="286">
        <f>'Resultater - Vestdanmark'!H252+'Resultater - Østdanmark'!H252</f>
        <v>734.97559696711278</v>
      </c>
      <c r="I252" s="287">
        <f>'Resultater - Vestdanmark'!I252+'Resultater - Østdanmark'!I252</f>
        <v>700.00679848931259</v>
      </c>
      <c r="J252" s="288">
        <f>'Resultater - Vestdanmark'!J252+'Resultater - Østdanmark'!J252</f>
        <v>667.63654191177216</v>
      </c>
    </row>
    <row r="253" spans="1:10" hidden="1" x14ac:dyDescent="0.55000000000000004">
      <c r="A253" s="99" t="str">
        <f>'Resultater - Vestdanmark'!A253</f>
        <v>Frugtmark</v>
      </c>
      <c r="B253" s="99" t="str">
        <f>'Resultater - Vestdanmark'!B253</f>
        <v>Konventionel</v>
      </c>
      <c r="C253" s="99" t="str">
        <f>'Resultater - Vestdanmark'!C253</f>
        <v>OC12</v>
      </c>
      <c r="D253" s="99" t="str">
        <f>'Resultater - Vestdanmark'!D253</f>
        <v>Areal-frugt</v>
      </c>
      <c r="E253" s="99" t="str">
        <f>'Resultater - Vestdanmark'!E253</f>
        <v>Hektar</v>
      </c>
      <c r="F253" s="99" t="str">
        <f>'Resultater - Vestdanmark'!F253</f>
        <v>Gødning</v>
      </c>
      <c r="G253" s="99" t="str">
        <f>'Resultater - Vestdanmark'!G253</f>
        <v>kg N</v>
      </c>
      <c r="H253" s="286">
        <f>'Resultater - Vestdanmark'!H253+'Resultater - Østdanmark'!H253</f>
        <v>-8656.9563835937897</v>
      </c>
      <c r="I253" s="287">
        <f>'Resultater - Vestdanmark'!I253+'Resultater - Østdanmark'!I253</f>
        <v>-7691.3005477176011</v>
      </c>
      <c r="J253" s="288">
        <f>'Resultater - Vestdanmark'!J253+'Resultater - Østdanmark'!J253</f>
        <v>-7335.6334703664988</v>
      </c>
    </row>
    <row r="254" spans="1:10" hidden="1" x14ac:dyDescent="0.55000000000000004">
      <c r="A254" s="99" t="str">
        <f>'Resultater - Vestdanmark'!A254</f>
        <v>Frugtmark</v>
      </c>
      <c r="B254" s="99" t="str">
        <f>'Resultater - Vestdanmark'!B254</f>
        <v>Konventionel</v>
      </c>
      <c r="C254" s="99" t="str">
        <f>'Resultater - Vestdanmark'!C254</f>
        <v>OC12</v>
      </c>
      <c r="D254" s="99" t="str">
        <f>'Resultater - Vestdanmark'!D254</f>
        <v>Areal-frugt</v>
      </c>
      <c r="E254" s="99" t="str">
        <f>'Resultater - Vestdanmark'!E254</f>
        <v>Hektar</v>
      </c>
      <c r="F254" s="99" t="str">
        <f>'Resultater - Vestdanmark'!F254</f>
        <v>CO2 - atmosfære</v>
      </c>
      <c r="G254" s="99" t="str">
        <f>'Resultater - Vestdanmark'!G254</f>
        <v>t CO2-ækvivalenter</v>
      </c>
      <c r="H254" s="286">
        <f>'Resultater - Vestdanmark'!H254+'Resultater - Østdanmark'!H254</f>
        <v>1762.4137499845892</v>
      </c>
      <c r="I254" s="287">
        <f>'Resultater - Vestdanmark'!I254+'Resultater - Østdanmark'!I254</f>
        <v>1565.8221249965761</v>
      </c>
      <c r="J254" s="288">
        <f>'Resultater - Vestdanmark'!J254+'Resultater - Østdanmark'!J254</f>
        <v>1493.4141654591622</v>
      </c>
    </row>
    <row r="255" spans="1:10" hidden="1" x14ac:dyDescent="0.55000000000000004">
      <c r="A255" s="99" t="str">
        <f>'Resultater - Vestdanmark'!A255</f>
        <v>Frugtmark</v>
      </c>
      <c r="B255" s="99" t="str">
        <f>'Resultater - Vestdanmark'!B255</f>
        <v>Økologisk</v>
      </c>
      <c r="C255" s="99" t="str">
        <f>'Resultater - Vestdanmark'!C255</f>
        <v>JB1-10</v>
      </c>
      <c r="D255" s="99" t="str">
        <f>'Resultater - Vestdanmark'!D255</f>
        <v>Areal-frugt</v>
      </c>
      <c r="E255" s="99" t="str">
        <f>'Resultater - Vestdanmark'!E255</f>
        <v>Hektar</v>
      </c>
      <c r="F255" s="99" t="str">
        <f>'Resultater - Vestdanmark'!F255</f>
        <v>Frugt</v>
      </c>
      <c r="G255" s="99" t="str">
        <f>'Resultater - Vestdanmark'!G255</f>
        <v>Ton</v>
      </c>
      <c r="H255" s="286">
        <f>'Resultater - Vestdanmark'!H255+'Resultater - Østdanmark'!H255</f>
        <v>2701.5661764156534</v>
      </c>
      <c r="I255" s="287">
        <f>'Resultater - Vestdanmark'!I255+'Resultater - Østdanmark'!I255</f>
        <v>3422.2343056293757</v>
      </c>
      <c r="J255" s="288">
        <f>'Resultater - Vestdanmark'!J255+'Resultater - Østdanmark'!J255</f>
        <v>4373.7649849605878</v>
      </c>
    </row>
    <row r="256" spans="1:10" hidden="1" x14ac:dyDescent="0.55000000000000004">
      <c r="A256" s="99" t="str">
        <f>'Resultater - Vestdanmark'!A256</f>
        <v>Frugtmark</v>
      </c>
      <c r="B256" s="99" t="str">
        <f>'Resultater - Vestdanmark'!B256</f>
        <v>Økologisk</v>
      </c>
      <c r="C256" s="99" t="str">
        <f>'Resultater - Vestdanmark'!C256</f>
        <v>JB1-10</v>
      </c>
      <c r="D256" s="99" t="str">
        <f>'Resultater - Vestdanmark'!D256</f>
        <v>Areal-frugt</v>
      </c>
      <c r="E256" s="99" t="str">
        <f>'Resultater - Vestdanmark'!E256</f>
        <v>Hektar</v>
      </c>
      <c r="F256" s="99" t="str">
        <f>'Resultater - Vestdanmark'!F256</f>
        <v>Gødning</v>
      </c>
      <c r="G256" s="99" t="str">
        <f>'Resultater - Vestdanmark'!G256</f>
        <v>kg N</v>
      </c>
      <c r="H256" s="286">
        <f>'Resultater - Vestdanmark'!H256+'Resultater - Østdanmark'!H256</f>
        <v>-44548.794428526671</v>
      </c>
      <c r="I256" s="287">
        <f>'Resultater - Vestdanmark'!I256+'Resultater - Østdanmark'!I256</f>
        <v>-52642.353909352598</v>
      </c>
      <c r="J256" s="288">
        <f>'Resultater - Vestdanmark'!J256+'Resultater - Østdanmark'!J256</f>
        <v>-67279.228624378346</v>
      </c>
    </row>
    <row r="257" spans="1:10" hidden="1" x14ac:dyDescent="0.55000000000000004">
      <c r="A257" s="99" t="str">
        <f>'Resultater - Vestdanmark'!A257</f>
        <v>Frugtmark</v>
      </c>
      <c r="B257" s="99" t="str">
        <f>'Resultater - Vestdanmark'!B257</f>
        <v>Økologisk</v>
      </c>
      <c r="C257" s="99" t="str">
        <f>'Resultater - Vestdanmark'!C257</f>
        <v>JB1-10</v>
      </c>
      <c r="D257" s="99" t="str">
        <f>'Resultater - Vestdanmark'!D257</f>
        <v>Areal-frugt</v>
      </c>
      <c r="E257" s="99" t="str">
        <f>'Resultater - Vestdanmark'!E257</f>
        <v>Hektar</v>
      </c>
      <c r="F257" s="99" t="str">
        <f>'Resultater - Vestdanmark'!F257</f>
        <v>CO2 - atmosfære</v>
      </c>
      <c r="G257" s="99" t="str">
        <f>'Resultater - Vestdanmark'!G257</f>
        <v>t CO2-ækvivalenter</v>
      </c>
      <c r="H257" s="286">
        <f>'Resultater - Vestdanmark'!H257+'Resultater - Østdanmark'!H257</f>
        <v>1097.3598281506586</v>
      </c>
      <c r="I257" s="287">
        <f>'Resultater - Vestdanmark'!I257+'Resultater - Østdanmark'!I257</f>
        <v>1296.726548506148</v>
      </c>
      <c r="J257" s="288">
        <f>'Resultater - Vestdanmark'!J257+'Resultater - Østdanmark'!J257</f>
        <v>1657.2731924274071</v>
      </c>
    </row>
    <row r="258" spans="1:10" hidden="1" x14ac:dyDescent="0.55000000000000004">
      <c r="A258" s="99" t="str">
        <f>'Resultater - Vestdanmark'!A258</f>
        <v>Frugtmark</v>
      </c>
      <c r="B258" s="99" t="str">
        <f>'Resultater - Vestdanmark'!B258</f>
        <v>Økologisk</v>
      </c>
      <c r="C258" s="99" t="str">
        <f>'Resultater - Vestdanmark'!C258</f>
        <v>OC6</v>
      </c>
      <c r="D258" s="99" t="str">
        <f>'Resultater - Vestdanmark'!D258</f>
        <v>Areal-frugt</v>
      </c>
      <c r="E258" s="99" t="str">
        <f>'Resultater - Vestdanmark'!E258</f>
        <v>Hektar</v>
      </c>
      <c r="F258" s="99" t="str">
        <f>'Resultater - Vestdanmark'!F258</f>
        <v>Frugt</v>
      </c>
      <c r="G258" s="99" t="str">
        <f>'Resultater - Vestdanmark'!G258</f>
        <v>Ton</v>
      </c>
      <c r="H258" s="286">
        <f>'Resultater - Vestdanmark'!H258+'Resultater - Østdanmark'!H258</f>
        <v>79.453402546120458</v>
      </c>
      <c r="I258" s="287">
        <f>'Resultater - Vestdanmark'!I258+'Resultater - Østdanmark'!I258</f>
        <v>93.895828435894316</v>
      </c>
      <c r="J258" s="288">
        <f>'Resultater - Vestdanmark'!J258+'Resultater - Østdanmark'!J258</f>
        <v>121.71681463912225</v>
      </c>
    </row>
    <row r="259" spans="1:10" hidden="1" x14ac:dyDescent="0.55000000000000004">
      <c r="A259" s="99" t="str">
        <f>'Resultater - Vestdanmark'!A259</f>
        <v>Frugtmark</v>
      </c>
      <c r="B259" s="99" t="str">
        <f>'Resultater - Vestdanmark'!B259</f>
        <v>Økologisk</v>
      </c>
      <c r="C259" s="99" t="str">
        <f>'Resultater - Vestdanmark'!C259</f>
        <v>OC6</v>
      </c>
      <c r="D259" s="99" t="str">
        <f>'Resultater - Vestdanmark'!D259</f>
        <v>Areal-frugt</v>
      </c>
      <c r="E259" s="99" t="str">
        <f>'Resultater - Vestdanmark'!E259</f>
        <v>Hektar</v>
      </c>
      <c r="F259" s="99" t="str">
        <f>'Resultater - Vestdanmark'!F259</f>
        <v>Gødning</v>
      </c>
      <c r="G259" s="99" t="str">
        <f>'Resultater - Vestdanmark'!G259</f>
        <v>kg N</v>
      </c>
      <c r="H259" s="286">
        <f>'Resultater - Vestdanmark'!H259+'Resultater - Østdanmark'!H259</f>
        <v>-1091.8213934488481</v>
      </c>
      <c r="I259" s="287">
        <f>'Resultater - Vestdanmark'!I259+'Resultater - Østdanmark'!I259</f>
        <v>-1203.6233713852341</v>
      </c>
      <c r="J259" s="288">
        <f>'Resultater - Vestdanmark'!J259+'Resultater - Østdanmark'!J259</f>
        <v>-1560.2525184623403</v>
      </c>
    </row>
    <row r="260" spans="1:10" hidden="1" x14ac:dyDescent="0.55000000000000004">
      <c r="A260" s="99" t="str">
        <f>'Resultater - Vestdanmark'!A260</f>
        <v>Frugtmark</v>
      </c>
      <c r="B260" s="99" t="str">
        <f>'Resultater - Vestdanmark'!B260</f>
        <v>Økologisk</v>
      </c>
      <c r="C260" s="99" t="str">
        <f>'Resultater - Vestdanmark'!C260</f>
        <v>OC6</v>
      </c>
      <c r="D260" s="99" t="str">
        <f>'Resultater - Vestdanmark'!D260</f>
        <v>Areal-frugt</v>
      </c>
      <c r="E260" s="99" t="str">
        <f>'Resultater - Vestdanmark'!E260</f>
        <v>Hektar</v>
      </c>
      <c r="F260" s="99" t="str">
        <f>'Resultater - Vestdanmark'!F260</f>
        <v>CO2 - atmosfære</v>
      </c>
      <c r="G260" s="99" t="str">
        <f>'Resultater - Vestdanmark'!G260</f>
        <v>t CO2-ækvivalenter</v>
      </c>
      <c r="H260" s="286">
        <f>'Resultater - Vestdanmark'!H260+'Resultater - Østdanmark'!H260</f>
        <v>145.87300752924452</v>
      </c>
      <c r="I260" s="287">
        <f>'Resultater - Vestdanmark'!I260+'Resultater - Østdanmark'!I260</f>
        <v>160.81033232170194</v>
      </c>
      <c r="J260" s="288">
        <f>'Resultater - Vestdanmark'!J260+'Resultater - Østdanmark'!J260</f>
        <v>208.45783819479874</v>
      </c>
    </row>
    <row r="261" spans="1:10" hidden="1" x14ac:dyDescent="0.55000000000000004">
      <c r="A261" s="99" t="str">
        <f>'Resultater - Vestdanmark'!A261</f>
        <v>Frugtmark</v>
      </c>
      <c r="B261" s="99" t="str">
        <f>'Resultater - Vestdanmark'!B261</f>
        <v>Økologisk</v>
      </c>
      <c r="C261" s="99" t="str">
        <f>'Resultater - Vestdanmark'!C261</f>
        <v>OC12</v>
      </c>
      <c r="D261" s="99" t="str">
        <f>'Resultater - Vestdanmark'!D261</f>
        <v>Areal-frugt</v>
      </c>
      <c r="E261" s="99" t="str">
        <f>'Resultater - Vestdanmark'!E261</f>
        <v>Hektar</v>
      </c>
      <c r="F261" s="99" t="str">
        <f>'Resultater - Vestdanmark'!F261</f>
        <v>Frugt</v>
      </c>
      <c r="G261" s="99" t="str">
        <f>'Resultater - Vestdanmark'!G261</f>
        <v>Ton</v>
      </c>
      <c r="H261" s="286">
        <f>'Resultater - Vestdanmark'!H261+'Resultater - Østdanmark'!H261</f>
        <v>53.565802890212126</v>
      </c>
      <c r="I261" s="287">
        <f>'Resultater - Vestdanmark'!I261+'Resultater - Østdanmark'!I261</f>
        <v>62.272281091043467</v>
      </c>
      <c r="J261" s="288">
        <f>'Resultater - Vestdanmark'!J261+'Resultater - Østdanmark'!J261</f>
        <v>80.723327340241525</v>
      </c>
    </row>
    <row r="262" spans="1:10" hidden="1" x14ac:dyDescent="0.55000000000000004">
      <c r="A262" s="99" t="str">
        <f>'Resultater - Vestdanmark'!A262</f>
        <v>Frugtmark</v>
      </c>
      <c r="B262" s="99" t="str">
        <f>'Resultater - Vestdanmark'!B262</f>
        <v>Økologisk</v>
      </c>
      <c r="C262" s="99" t="str">
        <f>'Resultater - Vestdanmark'!C262</f>
        <v>OC12</v>
      </c>
      <c r="D262" s="99" t="str">
        <f>'Resultater - Vestdanmark'!D262</f>
        <v>Areal-frugt</v>
      </c>
      <c r="E262" s="99" t="str">
        <f>'Resultater - Vestdanmark'!E262</f>
        <v>Hektar</v>
      </c>
      <c r="F262" s="99" t="str">
        <f>'Resultater - Vestdanmark'!F262</f>
        <v>Gødning</v>
      </c>
      <c r="G262" s="99" t="str">
        <f>'Resultater - Vestdanmark'!G262</f>
        <v>kg N</v>
      </c>
      <c r="H262" s="286">
        <f>'Resultater - Vestdanmark'!H262+'Resultater - Østdanmark'!H262</f>
        <v>-630.92818480815231</v>
      </c>
      <c r="I262" s="287">
        <f>'Resultater - Vestdanmark'!I262+'Resultater - Østdanmark'!I262</f>
        <v>-684.21454005418434</v>
      </c>
      <c r="J262" s="288">
        <f>'Resultater - Vestdanmark'!J262+'Resultater - Østdanmark'!J262</f>
        <v>-886.94477414431287</v>
      </c>
    </row>
    <row r="263" spans="1:10" hidden="1" x14ac:dyDescent="0.55000000000000004">
      <c r="A263" s="99" t="str">
        <f>'Resultater - Vestdanmark'!A263</f>
        <v>Frugtmark</v>
      </c>
      <c r="B263" s="99" t="str">
        <f>'Resultater - Vestdanmark'!B263</f>
        <v>Økologisk</v>
      </c>
      <c r="C263" s="99" t="str">
        <f>'Resultater - Vestdanmark'!C263</f>
        <v>OC12</v>
      </c>
      <c r="D263" s="99" t="str">
        <f>'Resultater - Vestdanmark'!D263</f>
        <v>Areal-frugt</v>
      </c>
      <c r="E263" s="99" t="str">
        <f>'Resultater - Vestdanmark'!E263</f>
        <v>Hektar</v>
      </c>
      <c r="F263" s="99" t="str">
        <f>'Resultater - Vestdanmark'!F263</f>
        <v>CO2 - atmosfære</v>
      </c>
      <c r="G263" s="99" t="str">
        <f>'Resultater - Vestdanmark'!G263</f>
        <v>t CO2-ækvivalenter</v>
      </c>
      <c r="H263" s="286">
        <f>'Resultater - Vestdanmark'!H263+'Resultater - Østdanmark'!H263</f>
        <v>225.34489086759828</v>
      </c>
      <c r="I263" s="287">
        <f>'Resultater - Vestdanmark'!I263+'Resultater - Østdanmark'!I263</f>
        <v>244.37686343877201</v>
      </c>
      <c r="J263" s="288">
        <f>'Resultater - Vestdanmark'!J263+'Resultater - Østdanmark'!J263</f>
        <v>316.78482297618586</v>
      </c>
    </row>
    <row r="264" spans="1:10" hidden="1" x14ac:dyDescent="0.55000000000000004">
      <c r="A264" s="99" t="str">
        <f>'Resultater - Vestdanmark'!A264</f>
        <v>Øvrig mark</v>
      </c>
      <c r="B264" s="99" t="str">
        <f>'Resultater - Vestdanmark'!B264</f>
        <v>Konventionel</v>
      </c>
      <c r="C264" s="99" t="str">
        <f>'Resultater - Vestdanmark'!C264</f>
        <v>JB1-10</v>
      </c>
      <c r="D264" s="99" t="str">
        <f>'Resultater - Vestdanmark'!D264</f>
        <v>Areal-øvrige</v>
      </c>
      <c r="E264" s="99" t="str">
        <f>'Resultater - Vestdanmark'!E264</f>
        <v>Hektar</v>
      </c>
      <c r="F264" s="99" t="str">
        <f>'Resultater - Vestdanmark'!F264</f>
        <v>Øvrige</v>
      </c>
      <c r="G264" s="99" t="str">
        <f>'Resultater - Vestdanmark'!G264</f>
        <v>Ton</v>
      </c>
      <c r="H264" s="286">
        <f>'Resultater - Vestdanmark'!H264+'Resultater - Østdanmark'!H264</f>
        <v>1769792.6482433821</v>
      </c>
      <c r="I264" s="287">
        <f>'Resultater - Vestdanmark'!I264+'Resultater - Østdanmark'!I264</f>
        <v>1834479.4098559336</v>
      </c>
      <c r="J264" s="288">
        <f>'Resultater - Vestdanmark'!J264+'Resultater - Østdanmark'!J264</f>
        <v>1721127.8853638773</v>
      </c>
    </row>
    <row r="265" spans="1:10" hidden="1" x14ac:dyDescent="0.55000000000000004">
      <c r="A265" s="99" t="str">
        <f>'Resultater - Vestdanmark'!A265</f>
        <v>Øvrig mark</v>
      </c>
      <c r="B265" s="99" t="str">
        <f>'Resultater - Vestdanmark'!B265</f>
        <v>Konventionel</v>
      </c>
      <c r="C265" s="99" t="str">
        <f>'Resultater - Vestdanmark'!C265</f>
        <v>JB1-10</v>
      </c>
      <c r="D265" s="99" t="str">
        <f>'Resultater - Vestdanmark'!D265</f>
        <v>Areal-øvrige</v>
      </c>
      <c r="E265" s="99" t="str">
        <f>'Resultater - Vestdanmark'!E265</f>
        <v>Hektar</v>
      </c>
      <c r="F265" s="99" t="str">
        <f>'Resultater - Vestdanmark'!F265</f>
        <v>Gødning</v>
      </c>
      <c r="G265" s="99" t="str">
        <f>'Resultater - Vestdanmark'!G265</f>
        <v>kg N</v>
      </c>
      <c r="H265" s="286">
        <f>'Resultater - Vestdanmark'!H265+'Resultater - Østdanmark'!H265</f>
        <v>-8439338.016000744</v>
      </c>
      <c r="I265" s="287">
        <f>'Resultater - Vestdanmark'!I265+'Resultater - Østdanmark'!I265</f>
        <v>-8160261.0331966113</v>
      </c>
      <c r="J265" s="288">
        <f>'Resultater - Vestdanmark'!J265+'Resultater - Østdanmark'!J265</f>
        <v>-7656042.7664794084</v>
      </c>
    </row>
    <row r="266" spans="1:10" hidden="1" x14ac:dyDescent="0.55000000000000004">
      <c r="A266" s="99" t="str">
        <f>'Resultater - Vestdanmark'!A266</f>
        <v>Øvrig mark</v>
      </c>
      <c r="B266" s="99" t="str">
        <f>'Resultater - Vestdanmark'!B266</f>
        <v>Konventionel</v>
      </c>
      <c r="C266" s="99" t="str">
        <f>'Resultater - Vestdanmark'!C266</f>
        <v>JB1-10</v>
      </c>
      <c r="D266" s="99" t="str">
        <f>'Resultater - Vestdanmark'!D266</f>
        <v>Areal-øvrige</v>
      </c>
      <c r="E266" s="99" t="str">
        <f>'Resultater - Vestdanmark'!E266</f>
        <v>Hektar</v>
      </c>
      <c r="F266" s="99" t="str">
        <f>'Resultater - Vestdanmark'!F266</f>
        <v>CO2 - atmosfære</v>
      </c>
      <c r="G266" s="99" t="str">
        <f>'Resultater - Vestdanmark'!G266</f>
        <v>t CO2-ækvivalenter</v>
      </c>
      <c r="H266" s="286">
        <f>'Resultater - Vestdanmark'!H266+'Resultater - Østdanmark'!H266</f>
        <v>135050.85263779573</v>
      </c>
      <c r="I266" s="287">
        <f>'Resultater - Vestdanmark'!I266+'Resultater - Østdanmark'!I266</f>
        <v>130584.91177752649</v>
      </c>
      <c r="J266" s="288">
        <f>'Resultater - Vestdanmark'!J266+'Resultater - Østdanmark'!J266</f>
        <v>122516.13829000843</v>
      </c>
    </row>
    <row r="267" spans="1:10" hidden="1" x14ac:dyDescent="0.55000000000000004">
      <c r="A267" s="99" t="str">
        <f>'Resultater - Vestdanmark'!A267</f>
        <v>Øvrig mark</v>
      </c>
      <c r="B267" s="99" t="str">
        <f>'Resultater - Vestdanmark'!B267</f>
        <v>Konventionel</v>
      </c>
      <c r="C267" s="99" t="str">
        <f>'Resultater - Vestdanmark'!C267</f>
        <v>OC6</v>
      </c>
      <c r="D267" s="99" t="str">
        <f>'Resultater - Vestdanmark'!D267</f>
        <v>Areal-øvrige</v>
      </c>
      <c r="E267" s="99" t="str">
        <f>'Resultater - Vestdanmark'!E267</f>
        <v>Hektar</v>
      </c>
      <c r="F267" s="99" t="str">
        <f>'Resultater - Vestdanmark'!F267</f>
        <v>Øvrige</v>
      </c>
      <c r="G267" s="99" t="str">
        <f>'Resultater - Vestdanmark'!G267</f>
        <v>Ton</v>
      </c>
      <c r="H267" s="286">
        <f>'Resultater - Vestdanmark'!H267+'Resultater - Østdanmark'!H267</f>
        <v>59344.705933036988</v>
      </c>
      <c r="I267" s="287">
        <f>'Resultater - Vestdanmark'!I267+'Resultater - Østdanmark'!I267</f>
        <v>57444.082827082631</v>
      </c>
      <c r="J267" s="288">
        <f>'Resultater - Vestdanmark'!J267+'Resultater - Østdanmark'!J267</f>
        <v>54787.709054731989</v>
      </c>
    </row>
    <row r="268" spans="1:10" hidden="1" x14ac:dyDescent="0.55000000000000004">
      <c r="A268" s="99" t="str">
        <f>'Resultater - Vestdanmark'!A268</f>
        <v>Øvrig mark</v>
      </c>
      <c r="B268" s="99" t="str">
        <f>'Resultater - Vestdanmark'!B268</f>
        <v>Konventionel</v>
      </c>
      <c r="C268" s="99" t="str">
        <f>'Resultater - Vestdanmark'!C268</f>
        <v>OC6</v>
      </c>
      <c r="D268" s="99" t="str">
        <f>'Resultater - Vestdanmark'!D268</f>
        <v>Areal-øvrige</v>
      </c>
      <c r="E268" s="99" t="str">
        <f>'Resultater - Vestdanmark'!E268</f>
        <v>Hektar</v>
      </c>
      <c r="F268" s="99" t="str">
        <f>'Resultater - Vestdanmark'!F268</f>
        <v>Gødning</v>
      </c>
      <c r="G268" s="99" t="str">
        <f>'Resultater - Vestdanmark'!G268</f>
        <v>kg N</v>
      </c>
      <c r="H268" s="286">
        <f>'Resultater - Vestdanmark'!H268+'Resultater - Østdanmark'!H268</f>
        <v>-207469.18786644947</v>
      </c>
      <c r="I268" s="287">
        <f>'Resultater - Vestdanmark'!I268+'Resultater - Østdanmark'!I268</f>
        <v>-187336.38658197131</v>
      </c>
      <c r="J268" s="288">
        <f>'Resultater - Vestdanmark'!J268+'Resultater - Østdanmark'!J268</f>
        <v>-178673.43228916338</v>
      </c>
    </row>
    <row r="269" spans="1:10" hidden="1" x14ac:dyDescent="0.55000000000000004">
      <c r="A269" s="99" t="str">
        <f>'Resultater - Vestdanmark'!A269</f>
        <v>Øvrig mark</v>
      </c>
      <c r="B269" s="99" t="str">
        <f>'Resultater - Vestdanmark'!B269</f>
        <v>Konventionel</v>
      </c>
      <c r="C269" s="99" t="str">
        <f>'Resultater - Vestdanmark'!C269</f>
        <v>OC6</v>
      </c>
      <c r="D269" s="99" t="str">
        <f>'Resultater - Vestdanmark'!D269</f>
        <v>Areal-øvrige</v>
      </c>
      <c r="E269" s="99" t="str">
        <f>'Resultater - Vestdanmark'!E269</f>
        <v>Hektar</v>
      </c>
      <c r="F269" s="99" t="str">
        <f>'Resultater - Vestdanmark'!F269</f>
        <v>CO2 - atmosfære</v>
      </c>
      <c r="G269" s="99" t="str">
        <f>'Resultater - Vestdanmark'!G269</f>
        <v>t CO2-ækvivalenter</v>
      </c>
      <c r="H269" s="286">
        <f>'Resultater - Vestdanmark'!H269+'Resultater - Østdanmark'!H269</f>
        <v>26542.270744245459</v>
      </c>
      <c r="I269" s="287">
        <f>'Resultater - Vestdanmark'!I269+'Resultater - Østdanmark'!I269</f>
        <v>23966.60990502391</v>
      </c>
      <c r="J269" s="288">
        <f>'Resultater - Vestdanmark'!J269+'Resultater - Østdanmark'!J269</f>
        <v>22858.327366063266</v>
      </c>
    </row>
    <row r="270" spans="1:10" hidden="1" x14ac:dyDescent="0.55000000000000004">
      <c r="A270" s="99" t="str">
        <f>'Resultater - Vestdanmark'!A270</f>
        <v>Øvrig mark</v>
      </c>
      <c r="B270" s="99" t="str">
        <f>'Resultater - Vestdanmark'!B270</f>
        <v>Konventionel</v>
      </c>
      <c r="C270" s="99" t="str">
        <f>'Resultater - Vestdanmark'!C270</f>
        <v>OC12</v>
      </c>
      <c r="D270" s="99" t="str">
        <f>'Resultater - Vestdanmark'!D270</f>
        <v>Areal-øvrige</v>
      </c>
      <c r="E270" s="99" t="str">
        <f>'Resultater - Vestdanmark'!E270</f>
        <v>Hektar</v>
      </c>
      <c r="F270" s="99" t="str">
        <f>'Resultater - Vestdanmark'!F270</f>
        <v>Øvrige</v>
      </c>
      <c r="G270" s="99" t="str">
        <f>'Resultater - Vestdanmark'!G270</f>
        <v>Ton</v>
      </c>
      <c r="H270" s="286">
        <f>'Resultater - Vestdanmark'!H270+'Resultater - Østdanmark'!H270</f>
        <v>39757.754782963726</v>
      </c>
      <c r="I270" s="287">
        <f>'Resultater - Vestdanmark'!I270+'Resultater - Østdanmark'!I270</f>
        <v>37720.147934227949</v>
      </c>
      <c r="J270" s="288">
        <f>'Resultater - Vestdanmark'!J270+'Resultater - Østdanmark'!J270</f>
        <v>35975.8636366914</v>
      </c>
    </row>
    <row r="271" spans="1:10" hidden="1" x14ac:dyDescent="0.55000000000000004">
      <c r="A271" s="99" t="str">
        <f>'Resultater - Vestdanmark'!A271</f>
        <v>Øvrig mark</v>
      </c>
      <c r="B271" s="99" t="str">
        <f>'Resultater - Vestdanmark'!B271</f>
        <v>Konventionel</v>
      </c>
      <c r="C271" s="99" t="str">
        <f>'Resultater - Vestdanmark'!C271</f>
        <v>OC12</v>
      </c>
      <c r="D271" s="99" t="str">
        <f>'Resultater - Vestdanmark'!D271</f>
        <v>Areal-øvrige</v>
      </c>
      <c r="E271" s="99" t="str">
        <f>'Resultater - Vestdanmark'!E271</f>
        <v>Hektar</v>
      </c>
      <c r="F271" s="99" t="str">
        <f>'Resultater - Vestdanmark'!F271</f>
        <v>Gødning</v>
      </c>
      <c r="G271" s="99" t="str">
        <f>'Resultater - Vestdanmark'!G271</f>
        <v>kg N</v>
      </c>
      <c r="H271" s="286">
        <f>'Resultater - Vestdanmark'!H271+'Resultater - Østdanmark'!H271</f>
        <v>-102854.94948928599</v>
      </c>
      <c r="I271" s="287">
        <f>'Resultater - Vestdanmark'!I271+'Resultater - Østdanmark'!I271</f>
        <v>-91029.455811645093</v>
      </c>
      <c r="J271" s="288">
        <f>'Resultater - Vestdanmark'!J271+'Resultater - Østdanmark'!J271</f>
        <v>-86820.001207638372</v>
      </c>
    </row>
    <row r="272" spans="1:10" hidden="1" x14ac:dyDescent="0.55000000000000004">
      <c r="A272" s="99" t="str">
        <f>'Resultater - Vestdanmark'!A272</f>
        <v>Øvrig mark</v>
      </c>
      <c r="B272" s="99" t="str">
        <f>'Resultater - Vestdanmark'!B272</f>
        <v>Konventionel</v>
      </c>
      <c r="C272" s="99" t="str">
        <f>'Resultater - Vestdanmark'!C272</f>
        <v>OC12</v>
      </c>
      <c r="D272" s="99" t="str">
        <f>'Resultater - Vestdanmark'!D272</f>
        <v>Areal-øvrige</v>
      </c>
      <c r="E272" s="99" t="str">
        <f>'Resultater - Vestdanmark'!E272</f>
        <v>Hektar</v>
      </c>
      <c r="F272" s="99" t="str">
        <f>'Resultater - Vestdanmark'!F272</f>
        <v>CO2 - atmosfære</v>
      </c>
      <c r="G272" s="99" t="str">
        <f>'Resultater - Vestdanmark'!G272</f>
        <v>t CO2-ækvivalenter</v>
      </c>
      <c r="H272" s="286">
        <f>'Resultater - Vestdanmark'!H272+'Resultater - Østdanmark'!H272</f>
        <v>39030.898430904032</v>
      </c>
      <c r="I272" s="287">
        <f>'Resultater - Vestdanmark'!I272+'Resultater - Østdanmark'!I272</f>
        <v>34543.417323586204</v>
      </c>
      <c r="J272" s="288">
        <f>'Resultater - Vestdanmark'!J272+'Resultater - Østdanmark'!J272</f>
        <v>32946.03386353598</v>
      </c>
    </row>
    <row r="273" spans="1:10" hidden="1" x14ac:dyDescent="0.55000000000000004">
      <c r="A273" s="99" t="str">
        <f>'Resultater - Vestdanmark'!A273</f>
        <v>Øvrig mark</v>
      </c>
      <c r="B273" s="99" t="str">
        <f>'Resultater - Vestdanmark'!B273</f>
        <v>Økologisk</v>
      </c>
      <c r="C273" s="99" t="str">
        <f>'Resultater - Vestdanmark'!C273</f>
        <v>JB1-10</v>
      </c>
      <c r="D273" s="99" t="str">
        <f>'Resultater - Vestdanmark'!D273</f>
        <v>Areal-øvrige</v>
      </c>
      <c r="E273" s="99" t="str">
        <f>'Resultater - Vestdanmark'!E273</f>
        <v>Hektar</v>
      </c>
      <c r="F273" s="99" t="str">
        <f>'Resultater - Vestdanmark'!F273</f>
        <v>Øvrige</v>
      </c>
      <c r="G273" s="99" t="str">
        <f>'Resultater - Vestdanmark'!G273</f>
        <v>Ton</v>
      </c>
      <c r="H273" s="286">
        <f>'Resultater - Vestdanmark'!H273+'Resultater - Østdanmark'!H273</f>
        <v>128984.36974444673</v>
      </c>
      <c r="I273" s="287">
        <f>'Resultater - Vestdanmark'!I273+'Resultater - Østdanmark'!I273</f>
        <v>163194.4399866059</v>
      </c>
      <c r="J273" s="288">
        <f>'Resultater - Vestdanmark'!J273+'Resultater - Østdanmark'!J273</f>
        <v>208100.00795763242</v>
      </c>
    </row>
    <row r="274" spans="1:10" hidden="1" x14ac:dyDescent="0.55000000000000004">
      <c r="A274" s="99" t="str">
        <f>'Resultater - Vestdanmark'!A274</f>
        <v>Øvrig mark</v>
      </c>
      <c r="B274" s="99" t="str">
        <f>'Resultater - Vestdanmark'!B274</f>
        <v>Økologisk</v>
      </c>
      <c r="C274" s="99" t="str">
        <f>'Resultater - Vestdanmark'!C274</f>
        <v>JB1-10</v>
      </c>
      <c r="D274" s="99" t="str">
        <f>'Resultater - Vestdanmark'!D274</f>
        <v>Areal-øvrige</v>
      </c>
      <c r="E274" s="99" t="str">
        <f>'Resultater - Vestdanmark'!E274</f>
        <v>Hektar</v>
      </c>
      <c r="F274" s="99" t="str">
        <f>'Resultater - Vestdanmark'!F274</f>
        <v>Gødning</v>
      </c>
      <c r="G274" s="99" t="str">
        <f>'Resultater - Vestdanmark'!G274</f>
        <v>kg N</v>
      </c>
      <c r="H274" s="286">
        <f>'Resultater - Vestdanmark'!H274+'Resultater - Østdanmark'!H274</f>
        <v>-615067.9268187969</v>
      </c>
      <c r="I274" s="287">
        <f>'Resultater - Vestdanmark'!I274+'Resultater - Østdanmark'!I274</f>
        <v>-725933.04798205709</v>
      </c>
      <c r="J274" s="288">
        <f>'Resultater - Vestdanmark'!J274+'Resultater - Østdanmark'!J274</f>
        <v>-925685.17085614649</v>
      </c>
    </row>
    <row r="275" spans="1:10" hidden="1" x14ac:dyDescent="0.55000000000000004">
      <c r="A275" s="99" t="str">
        <f>'Resultater - Vestdanmark'!A275</f>
        <v>Øvrig mark</v>
      </c>
      <c r="B275" s="99" t="str">
        <f>'Resultater - Vestdanmark'!B275</f>
        <v>Økologisk</v>
      </c>
      <c r="C275" s="99" t="str">
        <f>'Resultater - Vestdanmark'!C275</f>
        <v>JB1-10</v>
      </c>
      <c r="D275" s="99" t="str">
        <f>'Resultater - Vestdanmark'!D275</f>
        <v>Areal-øvrige</v>
      </c>
      <c r="E275" s="99" t="str">
        <f>'Resultater - Vestdanmark'!E275</f>
        <v>Hektar</v>
      </c>
      <c r="F275" s="99" t="str">
        <f>'Resultater - Vestdanmark'!F275</f>
        <v>CO2 - atmosfære</v>
      </c>
      <c r="G275" s="99" t="str">
        <f>'Resultater - Vestdanmark'!G275</f>
        <v>t CO2-ækvivalenter</v>
      </c>
      <c r="H275" s="286">
        <f>'Resultater - Vestdanmark'!H275+'Resultater - Østdanmark'!H275</f>
        <v>17267.806523585219</v>
      </c>
      <c r="I275" s="287">
        <f>'Resultater - Vestdanmark'!I275+'Resultater - Østdanmark'!I275</f>
        <v>20380.304150249798</v>
      </c>
      <c r="J275" s="288">
        <f>'Resultater - Vestdanmark'!J275+'Resultater - Østdanmark'!J275</f>
        <v>25988.271758486637</v>
      </c>
    </row>
    <row r="276" spans="1:10" hidden="1" x14ac:dyDescent="0.55000000000000004">
      <c r="A276" s="99" t="str">
        <f>'Resultater - Vestdanmark'!A276</f>
        <v>Øvrig mark</v>
      </c>
      <c r="B276" s="99" t="str">
        <f>'Resultater - Vestdanmark'!B276</f>
        <v>Økologisk</v>
      </c>
      <c r="C276" s="99" t="str">
        <f>'Resultater - Vestdanmark'!C276</f>
        <v>OC6</v>
      </c>
      <c r="D276" s="99" t="str">
        <f>'Resultater - Vestdanmark'!D276</f>
        <v>Areal-øvrige</v>
      </c>
      <c r="E276" s="99" t="str">
        <f>'Resultater - Vestdanmark'!E276</f>
        <v>Hektar</v>
      </c>
      <c r="F276" s="99" t="str">
        <f>'Resultater - Vestdanmark'!F276</f>
        <v>Øvrige</v>
      </c>
      <c r="G276" s="99" t="str">
        <f>'Resultater - Vestdanmark'!G276</f>
        <v>Ton</v>
      </c>
      <c r="H276" s="286">
        <f>'Resultater - Vestdanmark'!H276+'Resultater - Østdanmark'!H276</f>
        <v>4325.1052602347863</v>
      </c>
      <c r="I276" s="287">
        <f>'Resultater - Vestdanmark'!I276+'Resultater - Østdanmark'!I276</f>
        <v>5110.1990445595475</v>
      </c>
      <c r="J276" s="288">
        <f>'Resultater - Vestdanmark'!J276+'Resultater - Østdanmark'!J276</f>
        <v>6624.3320947994125</v>
      </c>
    </row>
    <row r="277" spans="1:10" hidden="1" x14ac:dyDescent="0.55000000000000004">
      <c r="A277" s="99" t="str">
        <f>'Resultater - Vestdanmark'!A277</f>
        <v>Øvrig mark</v>
      </c>
      <c r="B277" s="99" t="str">
        <f>'Resultater - Vestdanmark'!B277</f>
        <v>Økologisk</v>
      </c>
      <c r="C277" s="99" t="str">
        <f>'Resultater - Vestdanmark'!C277</f>
        <v>OC6</v>
      </c>
      <c r="D277" s="99" t="str">
        <f>'Resultater - Vestdanmark'!D277</f>
        <v>Areal-øvrige</v>
      </c>
      <c r="E277" s="99" t="str">
        <f>'Resultater - Vestdanmark'!E277</f>
        <v>Hektar</v>
      </c>
      <c r="F277" s="99" t="str">
        <f>'Resultater - Vestdanmark'!F277</f>
        <v>Gødning</v>
      </c>
      <c r="G277" s="99" t="str">
        <f>'Resultater - Vestdanmark'!G277</f>
        <v>kg N</v>
      </c>
      <c r="H277" s="286">
        <f>'Resultater - Vestdanmark'!H277+'Resultater - Østdanmark'!H277</f>
        <v>-15120.574980864158</v>
      </c>
      <c r="I277" s="287">
        <f>'Resultater - Vestdanmark'!I277+'Resultater - Østdanmark'!I277</f>
        <v>-16665.358320789241</v>
      </c>
      <c r="J277" s="288">
        <f>'Resultater - Vestdanmark'!J277+'Resultater - Østdanmark'!J277</f>
        <v>-21603.242267689755</v>
      </c>
    </row>
    <row r="278" spans="1:10" hidden="1" x14ac:dyDescent="0.55000000000000004">
      <c r="A278" s="99" t="str">
        <f>'Resultater - Vestdanmark'!A278</f>
        <v>Øvrig mark</v>
      </c>
      <c r="B278" s="99" t="str">
        <f>'Resultater - Vestdanmark'!B278</f>
        <v>Økologisk</v>
      </c>
      <c r="C278" s="99" t="str">
        <f>'Resultater - Vestdanmark'!C278</f>
        <v>OC6</v>
      </c>
      <c r="D278" s="99" t="str">
        <f>'Resultater - Vestdanmark'!D278</f>
        <v>Areal-øvrige</v>
      </c>
      <c r="E278" s="99" t="str">
        <f>'Resultater - Vestdanmark'!E278</f>
        <v>Hektar</v>
      </c>
      <c r="F278" s="99" t="str">
        <f>'Resultater - Vestdanmark'!F278</f>
        <v>CO2 - atmosfære</v>
      </c>
      <c r="G278" s="99" t="str">
        <f>'Resultater - Vestdanmark'!G278</f>
        <v>t CO2-ækvivalenter</v>
      </c>
      <c r="H278" s="286">
        <f>'Resultater - Vestdanmark'!H278+'Resultater - Østdanmark'!H278</f>
        <v>3393.7349298895001</v>
      </c>
      <c r="I278" s="287">
        <f>'Resultater - Vestdanmark'!I278+'Resultater - Østdanmark'!I278</f>
        <v>3740.4535689921718</v>
      </c>
      <c r="J278" s="288">
        <f>'Resultater - Vestdanmark'!J278+'Resultater - Østdanmark'!J278</f>
        <v>4848.7361079528146</v>
      </c>
    </row>
    <row r="279" spans="1:10" hidden="1" x14ac:dyDescent="0.55000000000000004">
      <c r="A279" s="99" t="str">
        <f>'Resultater - Vestdanmark'!A279</f>
        <v>Øvrig mark</v>
      </c>
      <c r="B279" s="99" t="str">
        <f>'Resultater - Vestdanmark'!B279</f>
        <v>Økologisk</v>
      </c>
      <c r="C279" s="99" t="str">
        <f>'Resultater - Vestdanmark'!C279</f>
        <v>OC12</v>
      </c>
      <c r="D279" s="99" t="str">
        <f>'Resultater - Vestdanmark'!D279</f>
        <v>Areal-øvrige</v>
      </c>
      <c r="E279" s="99" t="str">
        <f>'Resultater - Vestdanmark'!E279</f>
        <v>Hektar</v>
      </c>
      <c r="F279" s="99" t="str">
        <f>'Resultater - Vestdanmark'!F279</f>
        <v>Øvrige</v>
      </c>
      <c r="G279" s="99" t="str">
        <f>'Resultater - Vestdanmark'!G279</f>
        <v>Ton</v>
      </c>
      <c r="H279" s="286">
        <f>'Resultater - Vestdanmark'!H279+'Resultater - Østdanmark'!H279</f>
        <v>2897.587436711749</v>
      </c>
      <c r="I279" s="287">
        <f>'Resultater - Vestdanmark'!I279+'Resultater - Østdanmark'!I279</f>
        <v>3355.5669173859433</v>
      </c>
      <c r="J279" s="288">
        <f>'Resultater - Vestdanmark'!J279+'Resultater - Østdanmark'!J279</f>
        <v>4349.8089669817764</v>
      </c>
    </row>
    <row r="280" spans="1:10" hidden="1" x14ac:dyDescent="0.55000000000000004">
      <c r="A280" s="99" t="str">
        <f>'Resultater - Vestdanmark'!A280</f>
        <v>Øvrig mark</v>
      </c>
      <c r="B280" s="99" t="str">
        <f>'Resultater - Vestdanmark'!B280</f>
        <v>Økologisk</v>
      </c>
      <c r="C280" s="99" t="str">
        <f>'Resultater - Vestdanmark'!C280</f>
        <v>OC12</v>
      </c>
      <c r="D280" s="99" t="str">
        <f>'Resultater - Vestdanmark'!D280</f>
        <v>Areal-øvrige</v>
      </c>
      <c r="E280" s="99" t="str">
        <f>'Resultater - Vestdanmark'!E280</f>
        <v>Hektar</v>
      </c>
      <c r="F280" s="99" t="str">
        <f>'Resultater - Vestdanmark'!F280</f>
        <v>Gødning</v>
      </c>
      <c r="G280" s="99" t="str">
        <f>'Resultater - Vestdanmark'!G280</f>
        <v>kg N</v>
      </c>
      <c r="H280" s="286">
        <f>'Resultater - Vestdanmark'!H280+'Resultater - Østdanmark'!H280</f>
        <v>-7496.1780681710807</v>
      </c>
      <c r="I280" s="287">
        <f>'Resultater - Vestdanmark'!I280+'Resultater - Østdanmark'!I280</f>
        <v>-8097.9382944579065</v>
      </c>
      <c r="J280" s="288">
        <f>'Resultater - Vestdanmark'!J280+'Resultater - Østdanmark'!J280</f>
        <v>-10497.327418741728</v>
      </c>
    </row>
    <row r="281" spans="1:10" hidden="1" x14ac:dyDescent="0.55000000000000004">
      <c r="A281" s="99" t="str">
        <f>'Resultater - Vestdanmark'!A281</f>
        <v>Øvrig mark</v>
      </c>
      <c r="B281" s="99" t="str">
        <f>'Resultater - Vestdanmark'!B281</f>
        <v>Økologisk</v>
      </c>
      <c r="C281" s="99" t="str">
        <f>'Resultater - Vestdanmark'!C281</f>
        <v>OC12</v>
      </c>
      <c r="D281" s="99" t="str">
        <f>'Resultater - Vestdanmark'!D281</f>
        <v>Areal-øvrige</v>
      </c>
      <c r="E281" s="99" t="str">
        <f>'Resultater - Vestdanmark'!E281</f>
        <v>Hektar</v>
      </c>
      <c r="F281" s="99" t="str">
        <f>'Resultater - Vestdanmark'!F281</f>
        <v>CO2 - atmosfære</v>
      </c>
      <c r="G281" s="99" t="str">
        <f>'Resultater - Vestdanmark'!G281</f>
        <v>t CO2-ækvivalenter</v>
      </c>
      <c r="H281" s="286">
        <f>'Resultater - Vestdanmark'!H281+'Resultater - Østdanmark'!H281</f>
        <v>4990.5497772321014</v>
      </c>
      <c r="I281" s="287">
        <f>'Resultater - Vestdanmark'!I281+'Resultater - Østdanmark'!I281</f>
        <v>5391.1691776695243</v>
      </c>
      <c r="J281" s="288">
        <f>'Resultater - Vestdanmark'!J281+'Resultater - Østdanmark'!J281</f>
        <v>6988.5526377197521</v>
      </c>
    </row>
    <row r="282" spans="1:10" hidden="1" x14ac:dyDescent="0.55000000000000004">
      <c r="A282" s="99" t="str">
        <f>'Resultater - Vestdanmark'!A282</f>
        <v>Majsmark</v>
      </c>
      <c r="B282" s="99" t="str">
        <f>'Resultater - Vestdanmark'!B282</f>
        <v>Konventionel</v>
      </c>
      <c r="C282" s="99" t="str">
        <f>'Resultater - Vestdanmark'!C282</f>
        <v>JB1-10</v>
      </c>
      <c r="D282" s="99" t="str">
        <f>'Resultater - Vestdanmark'!D282</f>
        <v>Areal-majs</v>
      </c>
      <c r="E282" s="99" t="str">
        <f>'Resultater - Vestdanmark'!E282</f>
        <v>Hektar</v>
      </c>
      <c r="F282" s="99" t="str">
        <f>'Resultater - Vestdanmark'!F282</f>
        <v>Majs</v>
      </c>
      <c r="G282" s="99" t="str">
        <f>'Resultater - Vestdanmark'!G282</f>
        <v>Ton</v>
      </c>
      <c r="H282" s="286">
        <f>'Resultater - Vestdanmark'!H282+'Resultater - Østdanmark'!H282</f>
        <v>6805636.3914233753</v>
      </c>
      <c r="I282" s="287">
        <f>'Resultater - Vestdanmark'!I282+'Resultater - Østdanmark'!I282</f>
        <v>7047151.4475626573</v>
      </c>
      <c r="J282" s="288">
        <f>'Resultater - Vestdanmark'!J282+'Resultater - Østdanmark'!J282</f>
        <v>6599054.342859488</v>
      </c>
    </row>
    <row r="283" spans="1:10" hidden="1" x14ac:dyDescent="0.55000000000000004">
      <c r="A283" s="99" t="str">
        <f>'Resultater - Vestdanmark'!A283</f>
        <v>Majsmark</v>
      </c>
      <c r="B283" s="99" t="str">
        <f>'Resultater - Vestdanmark'!B283</f>
        <v>Konventionel</v>
      </c>
      <c r="C283" s="99" t="str">
        <f>'Resultater - Vestdanmark'!C283</f>
        <v>JB1-10</v>
      </c>
      <c r="D283" s="99" t="str">
        <f>'Resultater - Vestdanmark'!D283</f>
        <v>Areal-majs</v>
      </c>
      <c r="E283" s="99" t="str">
        <f>'Resultater - Vestdanmark'!E283</f>
        <v>Hektar</v>
      </c>
      <c r="F283" s="99" t="str">
        <f>'Resultater - Vestdanmark'!F283</f>
        <v>Gødning</v>
      </c>
      <c r="G283" s="99" t="str">
        <f>'Resultater - Vestdanmark'!G283</f>
        <v>kg N</v>
      </c>
      <c r="H283" s="286">
        <f>'Resultater - Vestdanmark'!H283+'Resultater - Østdanmark'!H283</f>
        <v>-24464206.304824531</v>
      </c>
      <c r="I283" s="287">
        <f>'Resultater - Vestdanmark'!I283+'Resultater - Østdanmark'!I283</f>
        <v>-23630951.446640048</v>
      </c>
      <c r="J283" s="288">
        <f>'Resultater - Vestdanmark'!J283+'Resultater - Østdanmark'!J283</f>
        <v>-22128364.05322127</v>
      </c>
    </row>
    <row r="284" spans="1:10" hidden="1" x14ac:dyDescent="0.55000000000000004">
      <c r="A284" s="99" t="str">
        <f>'Resultater - Vestdanmark'!A284</f>
        <v>Majsmark</v>
      </c>
      <c r="B284" s="99" t="str">
        <f>'Resultater - Vestdanmark'!B284</f>
        <v>Konventionel</v>
      </c>
      <c r="C284" s="99" t="str">
        <f>'Resultater - Vestdanmark'!C284</f>
        <v>JB1-10</v>
      </c>
      <c r="D284" s="99" t="str">
        <f>'Resultater - Vestdanmark'!D284</f>
        <v>Areal-majs</v>
      </c>
      <c r="E284" s="99" t="str">
        <f>'Resultater - Vestdanmark'!E284</f>
        <v>Hektar</v>
      </c>
      <c r="F284" s="99" t="str">
        <f>'Resultater - Vestdanmark'!F284</f>
        <v>CO2 - atmosfære</v>
      </c>
      <c r="G284" s="99" t="str">
        <f>'Resultater - Vestdanmark'!G284</f>
        <v>t CO2-ækvivalenter</v>
      </c>
      <c r="H284" s="286">
        <f>'Resultater - Vestdanmark'!H284+'Resultater - Østdanmark'!H284</f>
        <v>347650.80050176143</v>
      </c>
      <c r="I284" s="287">
        <f>'Resultater - Vestdanmark'!I284+'Resultater - Østdanmark'!I284</f>
        <v>335809.75751592423</v>
      </c>
      <c r="J284" s="288">
        <f>'Resultater - Vestdanmark'!J284+'Resultater - Østdanmark'!J284</f>
        <v>314457.10443423089</v>
      </c>
    </row>
    <row r="285" spans="1:10" hidden="1" x14ac:dyDescent="0.55000000000000004">
      <c r="A285" s="99" t="str">
        <f>'Resultater - Vestdanmark'!A285</f>
        <v>Majsmark</v>
      </c>
      <c r="B285" s="99" t="str">
        <f>'Resultater - Vestdanmark'!B285</f>
        <v>Konventionel</v>
      </c>
      <c r="C285" s="99" t="str">
        <f>'Resultater - Vestdanmark'!C285</f>
        <v>OC6</v>
      </c>
      <c r="D285" s="99" t="str">
        <f>'Resultater - Vestdanmark'!D285</f>
        <v>Areal-majs</v>
      </c>
      <c r="E285" s="99" t="str">
        <f>'Resultater - Vestdanmark'!E285</f>
        <v>Hektar</v>
      </c>
      <c r="F285" s="99" t="str">
        <f>'Resultater - Vestdanmark'!F285</f>
        <v>Majs</v>
      </c>
      <c r="G285" s="99" t="str">
        <f>'Resultater - Vestdanmark'!G285</f>
        <v>Ton</v>
      </c>
      <c r="H285" s="286">
        <f>'Resultater - Vestdanmark'!H285+'Resultater - Østdanmark'!H285</f>
        <v>271759.53465639014</v>
      </c>
      <c r="I285" s="287">
        <f>'Resultater - Vestdanmark'!I285+'Resultater - Østdanmark'!I285</f>
        <v>263018.19279247633</v>
      </c>
      <c r="J285" s="288">
        <f>'Resultater - Vestdanmark'!J285+'Resultater - Østdanmark'!J285</f>
        <v>250855.50179629249</v>
      </c>
    </row>
    <row r="286" spans="1:10" hidden="1" x14ac:dyDescent="0.55000000000000004">
      <c r="A286" s="99" t="str">
        <f>'Resultater - Vestdanmark'!A286</f>
        <v>Majsmark</v>
      </c>
      <c r="B286" s="99" t="str">
        <f>'Resultater - Vestdanmark'!B286</f>
        <v>Konventionel</v>
      </c>
      <c r="C286" s="99" t="str">
        <f>'Resultater - Vestdanmark'!C286</f>
        <v>OC6</v>
      </c>
      <c r="D286" s="99" t="str">
        <f>'Resultater - Vestdanmark'!D286</f>
        <v>Areal-majs</v>
      </c>
      <c r="E286" s="99" t="str">
        <f>'Resultater - Vestdanmark'!E286</f>
        <v>Hektar</v>
      </c>
      <c r="F286" s="99" t="str">
        <f>'Resultater - Vestdanmark'!F286</f>
        <v>Gødning</v>
      </c>
      <c r="G286" s="99" t="str">
        <f>'Resultater - Vestdanmark'!G286</f>
        <v>kg N</v>
      </c>
      <c r="H286" s="286">
        <f>'Resultater - Vestdanmark'!H286+'Resultater - Østdanmark'!H286</f>
        <v>-661438.24431458686</v>
      </c>
      <c r="I286" s="287">
        <f>'Resultater - Vestdanmark'!I286+'Resultater - Østdanmark'!I286</f>
        <v>-597166.60922495753</v>
      </c>
      <c r="J286" s="288">
        <f>'Resultater - Vestdanmark'!J286+'Resultater - Østdanmark'!J286</f>
        <v>-569551.96833594213</v>
      </c>
    </row>
    <row r="287" spans="1:10" hidden="1" x14ac:dyDescent="0.55000000000000004">
      <c r="A287" s="99" t="str">
        <f>'Resultater - Vestdanmark'!A287</f>
        <v>Majsmark</v>
      </c>
      <c r="B287" s="99" t="str">
        <f>'Resultater - Vestdanmark'!B287</f>
        <v>Konventionel</v>
      </c>
      <c r="C287" s="99" t="str">
        <f>'Resultater - Vestdanmark'!C287</f>
        <v>OC6</v>
      </c>
      <c r="D287" s="99" t="str">
        <f>'Resultater - Vestdanmark'!D287</f>
        <v>Areal-majs</v>
      </c>
      <c r="E287" s="99" t="str">
        <f>'Resultater - Vestdanmark'!E287</f>
        <v>Hektar</v>
      </c>
      <c r="F287" s="99" t="str">
        <f>'Resultater - Vestdanmark'!F287</f>
        <v>CO2 - atmosfære</v>
      </c>
      <c r="G287" s="99" t="str">
        <f>'Resultater - Vestdanmark'!G287</f>
        <v>t CO2-ækvivalenter</v>
      </c>
      <c r="H287" s="286">
        <f>'Resultater - Vestdanmark'!H287+'Resultater - Østdanmark'!H287</f>
        <v>81365.524969577309</v>
      </c>
      <c r="I287" s="287">
        <f>'Resultater - Vestdanmark'!I287+'Resultater - Østdanmark'!I287</f>
        <v>73459.276163024173</v>
      </c>
      <c r="J287" s="288">
        <f>'Resultater - Vestdanmark'!J287+'Resultater - Østdanmark'!J287</f>
        <v>70062.315415601101</v>
      </c>
    </row>
    <row r="288" spans="1:10" hidden="1" x14ac:dyDescent="0.55000000000000004">
      <c r="A288" s="99" t="str">
        <f>'Resultater - Vestdanmark'!A288</f>
        <v>Majsmark</v>
      </c>
      <c r="B288" s="99" t="str">
        <f>'Resultater - Vestdanmark'!B288</f>
        <v>Konventionel</v>
      </c>
      <c r="C288" s="99" t="str">
        <f>'Resultater - Vestdanmark'!C288</f>
        <v>OC12</v>
      </c>
      <c r="D288" s="99" t="str">
        <f>'Resultater - Vestdanmark'!D288</f>
        <v>Areal-majs</v>
      </c>
      <c r="E288" s="99" t="str">
        <f>'Resultater - Vestdanmark'!E288</f>
        <v>Hektar</v>
      </c>
      <c r="F288" s="99" t="str">
        <f>'Resultater - Vestdanmark'!F288</f>
        <v>Majs</v>
      </c>
      <c r="G288" s="99" t="str">
        <f>'Resultater - Vestdanmark'!G288</f>
        <v>Ton</v>
      </c>
      <c r="H288" s="286">
        <f>'Resultater - Vestdanmark'!H288+'Resultater - Østdanmark'!H288</f>
        <v>107772.91589565421</v>
      </c>
      <c r="I288" s="287">
        <f>'Resultater - Vestdanmark'!I288+'Resultater - Østdanmark'!I288</f>
        <v>101980.54241912819</v>
      </c>
      <c r="J288" s="288">
        <f>'Resultater - Vestdanmark'!J288+'Resultater - Østdanmark'!J288</f>
        <v>97264.679185873712</v>
      </c>
    </row>
    <row r="289" spans="1:10" hidden="1" x14ac:dyDescent="0.55000000000000004">
      <c r="A289" s="99" t="str">
        <f>'Resultater - Vestdanmark'!A289</f>
        <v>Majsmark</v>
      </c>
      <c r="B289" s="99" t="str">
        <f>'Resultater - Vestdanmark'!B289</f>
        <v>Konventionel</v>
      </c>
      <c r="C289" s="99" t="str">
        <f>'Resultater - Vestdanmark'!C289</f>
        <v>OC12</v>
      </c>
      <c r="D289" s="99" t="str">
        <f>'Resultater - Vestdanmark'!D289</f>
        <v>Areal-majs</v>
      </c>
      <c r="E289" s="99" t="str">
        <f>'Resultater - Vestdanmark'!E289</f>
        <v>Hektar</v>
      </c>
      <c r="F289" s="99" t="str">
        <f>'Resultater - Vestdanmark'!F289</f>
        <v>Gødning</v>
      </c>
      <c r="G289" s="99" t="str">
        <f>'Resultater - Vestdanmark'!G289</f>
        <v>kg N</v>
      </c>
      <c r="H289" s="286">
        <f>'Resultater - Vestdanmark'!H289+'Resultater - Østdanmark'!H289</f>
        <v>-172951.36870631672</v>
      </c>
      <c r="I289" s="287">
        <f>'Resultater - Vestdanmark'!I289+'Resultater - Østdanmark'!I289</f>
        <v>-152664.09314587104</v>
      </c>
      <c r="J289" s="288">
        <f>'Resultater - Vestdanmark'!J289+'Resultater - Østdanmark'!J289</f>
        <v>-145604.48190213135</v>
      </c>
    </row>
    <row r="290" spans="1:10" hidden="1" x14ac:dyDescent="0.55000000000000004">
      <c r="A290" s="99" t="str">
        <f>'Resultater - Vestdanmark'!A290</f>
        <v>Majsmark</v>
      </c>
      <c r="B290" s="99" t="str">
        <f>'Resultater - Vestdanmark'!B290</f>
        <v>Konventionel</v>
      </c>
      <c r="C290" s="99" t="str">
        <f>'Resultater - Vestdanmark'!C290</f>
        <v>OC12</v>
      </c>
      <c r="D290" s="99" t="str">
        <f>'Resultater - Vestdanmark'!D290</f>
        <v>Areal-majs</v>
      </c>
      <c r="E290" s="99" t="str">
        <f>'Resultater - Vestdanmark'!E290</f>
        <v>Hektar</v>
      </c>
      <c r="F290" s="99" t="str">
        <f>'Resultater - Vestdanmark'!F290</f>
        <v>CO2 - atmosfære</v>
      </c>
      <c r="G290" s="99" t="str">
        <f>'Resultater - Vestdanmark'!G290</f>
        <v>t CO2-ækvivalenter</v>
      </c>
      <c r="H290" s="286">
        <f>'Resultater - Vestdanmark'!H290+'Resultater - Østdanmark'!H290</f>
        <v>70826.515916993711</v>
      </c>
      <c r="I290" s="287">
        <f>'Resultater - Vestdanmark'!I290+'Resultater - Østdanmark'!I290</f>
        <v>62518.532833990423</v>
      </c>
      <c r="J290" s="288">
        <f>'Resultater - Vestdanmark'!J290+'Resultater - Østdanmark'!J290</f>
        <v>59627.502413921495</v>
      </c>
    </row>
    <row r="291" spans="1:10" hidden="1" x14ac:dyDescent="0.55000000000000004">
      <c r="A291" s="99" t="str">
        <f>'Resultater - Vestdanmark'!A291</f>
        <v>Majsmark</v>
      </c>
      <c r="B291" s="99" t="str">
        <f>'Resultater - Vestdanmark'!B291</f>
        <v>Økologisk</v>
      </c>
      <c r="C291" s="99" t="str">
        <f>'Resultater - Vestdanmark'!C291</f>
        <v>JB1-10</v>
      </c>
      <c r="D291" s="99" t="str">
        <f>'Resultater - Vestdanmark'!D291</f>
        <v>Areal-majs</v>
      </c>
      <c r="E291" s="99" t="str">
        <f>'Resultater - Vestdanmark'!E291</f>
        <v>Hektar</v>
      </c>
      <c r="F291" s="99" t="str">
        <f>'Resultater - Vestdanmark'!F291</f>
        <v>Majs</v>
      </c>
      <c r="G291" s="99" t="str">
        <f>'Resultater - Vestdanmark'!G291</f>
        <v>Ton</v>
      </c>
      <c r="H291" s="286">
        <f>'Resultater - Vestdanmark'!H291+'Resultater - Østdanmark'!H291</f>
        <v>722248.54897796328</v>
      </c>
      <c r="I291" s="287">
        <f>'Resultater - Vestdanmark'!I291+'Resultater - Østdanmark'!I291</f>
        <v>912870.889825891</v>
      </c>
      <c r="J291" s="288">
        <f>'Resultater - Vestdanmark'!J291+'Resultater - Østdanmark'!J291</f>
        <v>1161833.5070307159</v>
      </c>
    </row>
    <row r="292" spans="1:10" hidden="1" x14ac:dyDescent="0.55000000000000004">
      <c r="A292" s="99" t="str">
        <f>'Resultater - Vestdanmark'!A292</f>
        <v>Majsmark</v>
      </c>
      <c r="B292" s="99" t="str">
        <f>'Resultater - Vestdanmark'!B292</f>
        <v>Økologisk</v>
      </c>
      <c r="C292" s="99" t="str">
        <f>'Resultater - Vestdanmark'!C292</f>
        <v>JB1-10</v>
      </c>
      <c r="D292" s="99" t="str">
        <f>'Resultater - Vestdanmark'!D292</f>
        <v>Areal-majs</v>
      </c>
      <c r="E292" s="99" t="str">
        <f>'Resultater - Vestdanmark'!E292</f>
        <v>Hektar</v>
      </c>
      <c r="F292" s="99" t="str">
        <f>'Resultater - Vestdanmark'!F292</f>
        <v>Gødning</v>
      </c>
      <c r="G292" s="99" t="str">
        <f>'Resultater - Vestdanmark'!G292</f>
        <v>kg N</v>
      </c>
      <c r="H292" s="286">
        <f>'Resultater - Vestdanmark'!H292+'Resultater - Østdanmark'!H292</f>
        <v>-2596265.2850252553</v>
      </c>
      <c r="I292" s="287">
        <f>'Resultater - Vestdanmark'!I292+'Resultater - Østdanmark'!I292</f>
        <v>-3061096.0804578238</v>
      </c>
      <c r="J292" s="288">
        <f>'Resultater - Vestdanmark'!J292+'Resultater - Østdanmark'!J292</f>
        <v>-3895933.1863398654</v>
      </c>
    </row>
    <row r="293" spans="1:10" hidden="1" x14ac:dyDescent="0.55000000000000004">
      <c r="A293" s="99" t="str">
        <f>'Resultater - Vestdanmark'!A293</f>
        <v>Majsmark</v>
      </c>
      <c r="B293" s="99" t="str">
        <f>'Resultater - Vestdanmark'!B293</f>
        <v>Økologisk</v>
      </c>
      <c r="C293" s="99" t="str">
        <f>'Resultater - Vestdanmark'!C293</f>
        <v>JB1-10</v>
      </c>
      <c r="D293" s="99" t="str">
        <f>'Resultater - Vestdanmark'!D293</f>
        <v>Areal-majs</v>
      </c>
      <c r="E293" s="99" t="str">
        <f>'Resultater - Vestdanmark'!E293</f>
        <v>Hektar</v>
      </c>
      <c r="F293" s="99" t="str">
        <f>'Resultater - Vestdanmark'!F293</f>
        <v>CO2 - atmosfære</v>
      </c>
      <c r="G293" s="99" t="str">
        <f>'Resultater - Vestdanmark'!G293</f>
        <v>t CO2-ækvivalenter</v>
      </c>
      <c r="H293" s="286">
        <f>'Resultater - Vestdanmark'!H293+'Resultater - Østdanmark'!H293</f>
        <v>44451.157794126186</v>
      </c>
      <c r="I293" s="287">
        <f>'Resultater - Vestdanmark'!I293+'Resultater - Østdanmark'!I293</f>
        <v>52409.615334855233</v>
      </c>
      <c r="J293" s="288">
        <f>'Resultater - Vestdanmark'!J293+'Resultater - Østdanmark'!J293</f>
        <v>66703.022152715639</v>
      </c>
    </row>
    <row r="294" spans="1:10" hidden="1" x14ac:dyDescent="0.55000000000000004">
      <c r="A294" s="99" t="str">
        <f>'Resultater - Vestdanmark'!A294</f>
        <v>Majsmark</v>
      </c>
      <c r="B294" s="99" t="str">
        <f>'Resultater - Vestdanmark'!B294</f>
        <v>Økologisk</v>
      </c>
      <c r="C294" s="99" t="str">
        <f>'Resultater - Vestdanmark'!C294</f>
        <v>OC6</v>
      </c>
      <c r="D294" s="99" t="str">
        <f>'Resultater - Vestdanmark'!D294</f>
        <v>Areal-majs</v>
      </c>
      <c r="E294" s="99" t="str">
        <f>'Resultater - Vestdanmark'!E294</f>
        <v>Hektar</v>
      </c>
      <c r="F294" s="99" t="str">
        <f>'Resultater - Vestdanmark'!F294</f>
        <v>Majs</v>
      </c>
      <c r="G294" s="99" t="str">
        <f>'Resultater - Vestdanmark'!G294</f>
        <v>Ton</v>
      </c>
      <c r="H294" s="286">
        <f>'Resultater - Vestdanmark'!H294+'Resultater - Østdanmark'!H294</f>
        <v>28840.49606644551</v>
      </c>
      <c r="I294" s="287">
        <f>'Resultater - Vestdanmark'!I294+'Resultater - Østdanmark'!I294</f>
        <v>34070.738153060083</v>
      </c>
      <c r="J294" s="288">
        <f>'Resultater - Vestdanmark'!J294+'Resultater - Østdanmark'!J294</f>
        <v>44165.771679892699</v>
      </c>
    </row>
    <row r="295" spans="1:10" hidden="1" x14ac:dyDescent="0.55000000000000004">
      <c r="A295" s="99" t="str">
        <f>'Resultater - Vestdanmark'!A295</f>
        <v>Majsmark</v>
      </c>
      <c r="B295" s="99" t="str">
        <f>'Resultater - Vestdanmark'!B295</f>
        <v>Økologisk</v>
      </c>
      <c r="C295" s="99" t="str">
        <f>'Resultater - Vestdanmark'!C295</f>
        <v>OC6</v>
      </c>
      <c r="D295" s="99" t="str">
        <f>'Resultater - Vestdanmark'!D295</f>
        <v>Areal-majs</v>
      </c>
      <c r="E295" s="99" t="str">
        <f>'Resultater - Vestdanmark'!E295</f>
        <v>Hektar</v>
      </c>
      <c r="F295" s="99" t="str">
        <f>'Resultater - Vestdanmark'!F295</f>
        <v>Gødning</v>
      </c>
      <c r="G295" s="99" t="str">
        <f>'Resultater - Vestdanmark'!G295</f>
        <v>kg N</v>
      </c>
      <c r="H295" s="286">
        <f>'Resultater - Vestdanmark'!H295+'Resultater - Østdanmark'!H295</f>
        <v>-70195.171284316559</v>
      </c>
      <c r="I295" s="287">
        <f>'Resultater - Vestdanmark'!I295+'Resultater - Østdanmark'!I295</f>
        <v>-77355.512790354318</v>
      </c>
      <c r="J295" s="288">
        <f>'Resultater - Vestdanmark'!J295+'Resultater - Østdanmark'!J295</f>
        <v>-100275.66472823705</v>
      </c>
    </row>
    <row r="296" spans="1:10" hidden="1" x14ac:dyDescent="0.55000000000000004">
      <c r="A296" s="99" t="str">
        <f>'Resultater - Vestdanmark'!A296</f>
        <v>Majsmark</v>
      </c>
      <c r="B296" s="99" t="str">
        <f>'Resultater - Vestdanmark'!B296</f>
        <v>Økologisk</v>
      </c>
      <c r="C296" s="99" t="str">
        <f>'Resultater - Vestdanmark'!C296</f>
        <v>OC6</v>
      </c>
      <c r="D296" s="99" t="str">
        <f>'Resultater - Vestdanmark'!D296</f>
        <v>Areal-majs</v>
      </c>
      <c r="E296" s="99" t="str">
        <f>'Resultater - Vestdanmark'!E296</f>
        <v>Hektar</v>
      </c>
      <c r="F296" s="99" t="str">
        <f>'Resultater - Vestdanmark'!F296</f>
        <v>CO2 - atmosfære</v>
      </c>
      <c r="G296" s="99" t="str">
        <f>'Resultater - Vestdanmark'!G296</f>
        <v>t CO2-ækvivalenter</v>
      </c>
      <c r="H296" s="286">
        <f>'Resultater - Vestdanmark'!H296+'Resultater - Østdanmark'!H296</f>
        <v>10403.519233105488</v>
      </c>
      <c r="I296" s="287">
        <f>'Resultater - Vestdanmark'!I296+'Resultater - Østdanmark'!I296</f>
        <v>11464.742522552908</v>
      </c>
      <c r="J296" s="288">
        <f>'Resultater - Vestdanmark'!J296+'Resultater - Østdanmark'!J296</f>
        <v>14861.703269975989</v>
      </c>
    </row>
    <row r="297" spans="1:10" hidden="1" x14ac:dyDescent="0.55000000000000004">
      <c r="A297" s="99" t="str">
        <f>'Resultater - Vestdanmark'!A297</f>
        <v>Majsmark</v>
      </c>
      <c r="B297" s="99" t="str">
        <f>'Resultater - Vestdanmark'!B297</f>
        <v>Økologisk</v>
      </c>
      <c r="C297" s="99" t="str">
        <f>'Resultater - Vestdanmark'!C297</f>
        <v>OC12</v>
      </c>
      <c r="D297" s="99" t="str">
        <f>'Resultater - Vestdanmark'!D297</f>
        <v>Areal-majs</v>
      </c>
      <c r="E297" s="99" t="str">
        <f>'Resultater - Vestdanmark'!E297</f>
        <v>Hektar</v>
      </c>
      <c r="F297" s="99" t="str">
        <f>'Resultater - Vestdanmark'!F297</f>
        <v>Majs</v>
      </c>
      <c r="G297" s="99" t="str">
        <f>'Resultater - Vestdanmark'!G297</f>
        <v>Ton</v>
      </c>
      <c r="H297" s="286">
        <f>'Resultater - Vestdanmark'!H297+'Resultater - Østdanmark'!H297</f>
        <v>11437.406826914037</v>
      </c>
      <c r="I297" s="287">
        <f>'Resultater - Vestdanmark'!I297+'Resultater - Østdanmark'!I297</f>
        <v>13210.311882154119</v>
      </c>
      <c r="J297" s="288">
        <f>'Resultater - Vestdanmark'!J297+'Resultater - Østdanmark'!J297</f>
        <v>17124.478365755338</v>
      </c>
    </row>
    <row r="298" spans="1:10" hidden="1" x14ac:dyDescent="0.55000000000000004">
      <c r="A298" s="99" t="str">
        <f>'Resultater - Vestdanmark'!A298</f>
        <v>Majsmark</v>
      </c>
      <c r="B298" s="99" t="str">
        <f>'Resultater - Vestdanmark'!B298</f>
        <v>Økologisk</v>
      </c>
      <c r="C298" s="99" t="str">
        <f>'Resultater - Vestdanmark'!C298</f>
        <v>OC12</v>
      </c>
      <c r="D298" s="99" t="str">
        <f>'Resultater - Vestdanmark'!D298</f>
        <v>Areal-majs</v>
      </c>
      <c r="E298" s="99" t="str">
        <f>'Resultater - Vestdanmark'!E298</f>
        <v>Hektar</v>
      </c>
      <c r="F298" s="99" t="str">
        <f>'Resultater - Vestdanmark'!F298</f>
        <v>Gødning</v>
      </c>
      <c r="G298" s="99" t="str">
        <f>'Resultater - Vestdanmark'!G298</f>
        <v>kg N</v>
      </c>
      <c r="H298" s="286">
        <f>'Resultater - Vestdanmark'!H298+'Resultater - Østdanmark'!H298</f>
        <v>-18354.473837201975</v>
      </c>
      <c r="I298" s="287">
        <f>'Resultater - Vestdanmark'!I298+'Resultater - Østdanmark'!I298</f>
        <v>-19775.73599652584</v>
      </c>
      <c r="J298" s="288">
        <f>'Resultater - Vestdanmark'!J298+'Resultater - Østdanmark'!J298</f>
        <v>-25635.213328829788</v>
      </c>
    </row>
    <row r="299" spans="1:10" hidden="1" x14ac:dyDescent="0.55000000000000004">
      <c r="A299" s="99" t="str">
        <f>'Resultater - Vestdanmark'!A299</f>
        <v>Majsmark</v>
      </c>
      <c r="B299" s="99" t="str">
        <f>'Resultater - Vestdanmark'!B299</f>
        <v>Økologisk</v>
      </c>
      <c r="C299" s="99" t="str">
        <f>'Resultater - Vestdanmark'!C299</f>
        <v>OC12</v>
      </c>
      <c r="D299" s="99" t="str">
        <f>'Resultater - Vestdanmark'!D299</f>
        <v>Areal-majs</v>
      </c>
      <c r="E299" s="99" t="str">
        <f>'Resultater - Vestdanmark'!E299</f>
        <v>Hektar</v>
      </c>
      <c r="F299" s="99" t="str">
        <f>'Resultater - Vestdanmark'!F299</f>
        <v>CO2 - atmosfære</v>
      </c>
      <c r="G299" s="99" t="str">
        <f>'Resultater - Vestdanmark'!G299</f>
        <v>t CO2-ækvivalenter</v>
      </c>
      <c r="H299" s="286">
        <f>'Resultater - Vestdanmark'!H299+'Resultater - Østdanmark'!H299</f>
        <v>9055.9855765916054</v>
      </c>
      <c r="I299" s="287">
        <f>'Resultater - Vestdanmark'!I299+'Resultater - Østdanmark'!I299</f>
        <v>9757.2276677326081</v>
      </c>
      <c r="J299" s="288">
        <f>'Resultater - Vestdanmark'!J299+'Resultater - Østdanmark'!J299</f>
        <v>12648.258087801529</v>
      </c>
    </row>
    <row r="300" spans="1:10" hidden="1" x14ac:dyDescent="0.55000000000000004">
      <c r="A300" s="99" t="str">
        <f>'Resultater - Vestdanmark'!A300</f>
        <v>Rapsmark</v>
      </c>
      <c r="B300" s="99" t="str">
        <f>'Resultater - Vestdanmark'!B300</f>
        <v>Konventionel</v>
      </c>
      <c r="C300" s="99" t="str">
        <f>'Resultater - Vestdanmark'!C300</f>
        <v>JB1-10</v>
      </c>
      <c r="D300" s="99" t="str">
        <f>'Resultater - Vestdanmark'!D300</f>
        <v>Areal-raps</v>
      </c>
      <c r="E300" s="99" t="str">
        <f>'Resultater - Vestdanmark'!E300</f>
        <v>Hektar</v>
      </c>
      <c r="F300" s="99" t="str">
        <f>'Resultater - Vestdanmark'!F300</f>
        <v>Raps</v>
      </c>
      <c r="G300" s="99" t="str">
        <f>'Resultater - Vestdanmark'!G300</f>
        <v>Ton</v>
      </c>
      <c r="H300" s="286">
        <f>'Resultater - Vestdanmark'!H300+'Resultater - Østdanmark'!H300</f>
        <v>614076.2528869072</v>
      </c>
      <c r="I300" s="287">
        <f>'Resultater - Vestdanmark'!I300+'Resultater - Østdanmark'!I300</f>
        <v>636884.42782686418</v>
      </c>
      <c r="J300" s="288">
        <f>'Resultater - Vestdanmark'!J300+'Resultater - Østdanmark'!J300</f>
        <v>598167.48836302839</v>
      </c>
    </row>
    <row r="301" spans="1:10" hidden="1" x14ac:dyDescent="0.55000000000000004">
      <c r="A301" s="99" t="str">
        <f>'Resultater - Vestdanmark'!A301</f>
        <v>Rapsmark</v>
      </c>
      <c r="B301" s="99" t="str">
        <f>'Resultater - Vestdanmark'!B301</f>
        <v>Konventionel</v>
      </c>
      <c r="C301" s="99" t="str">
        <f>'Resultater - Vestdanmark'!C301</f>
        <v>JB1-10</v>
      </c>
      <c r="D301" s="99" t="str">
        <f>'Resultater - Vestdanmark'!D301</f>
        <v>Areal-raps</v>
      </c>
      <c r="E301" s="99" t="str">
        <f>'Resultater - Vestdanmark'!E301</f>
        <v>Hektar</v>
      </c>
      <c r="F301" s="99" t="str">
        <f>'Resultater - Vestdanmark'!F301</f>
        <v>Halm</v>
      </c>
      <c r="G301" s="99" t="str">
        <f>'Resultater - Vestdanmark'!G301</f>
        <v>Ton</v>
      </c>
      <c r="H301" s="286">
        <f>'Resultater - Vestdanmark'!H301+'Resultater - Østdanmark'!H301</f>
        <v>327981.19704816159</v>
      </c>
      <c r="I301" s="287">
        <f>'Resultater - Vestdanmark'!I301+'Resultater - Østdanmark'!I301</f>
        <v>315471.67087319482</v>
      </c>
      <c r="J301" s="288">
        <f>'Resultater - Vestdanmark'!J301+'Resultater - Østdanmark'!J301</f>
        <v>296293.78388131346</v>
      </c>
    </row>
    <row r="302" spans="1:10" hidden="1" x14ac:dyDescent="0.55000000000000004">
      <c r="A302" s="99" t="str">
        <f>'Resultater - Vestdanmark'!A302</f>
        <v>Rapsmark</v>
      </c>
      <c r="B302" s="99" t="str">
        <f>'Resultater - Vestdanmark'!B302</f>
        <v>Konventionel</v>
      </c>
      <c r="C302" s="99" t="str">
        <f>'Resultater - Vestdanmark'!C302</f>
        <v>JB1-10</v>
      </c>
      <c r="D302" s="99" t="str">
        <f>'Resultater - Vestdanmark'!D302</f>
        <v>Areal-raps</v>
      </c>
      <c r="E302" s="99" t="str">
        <f>'Resultater - Vestdanmark'!E302</f>
        <v>Hektar</v>
      </c>
      <c r="F302" s="99" t="str">
        <f>'Resultater - Vestdanmark'!F302</f>
        <v>Gødning</v>
      </c>
      <c r="G302" s="99" t="str">
        <f>'Resultater - Vestdanmark'!G302</f>
        <v>kg N</v>
      </c>
      <c r="H302" s="286">
        <f>'Resultater - Vestdanmark'!H302+'Resultater - Østdanmark'!H302</f>
        <v>-24423487.330729261</v>
      </c>
      <c r="I302" s="287">
        <f>'Resultater - Vestdanmark'!I302+'Resultater - Østdanmark'!I302</f>
        <v>-23629319.638250768</v>
      </c>
      <c r="J302" s="288">
        <f>'Resultater - Vestdanmark'!J302+'Resultater - Østdanmark'!J302</f>
        <v>-22192866.024323683</v>
      </c>
    </row>
    <row r="303" spans="1:10" hidden="1" x14ac:dyDescent="0.55000000000000004">
      <c r="A303" s="99" t="str">
        <f>'Resultater - Vestdanmark'!A303</f>
        <v>Rapsmark</v>
      </c>
      <c r="B303" s="99" t="str">
        <f>'Resultater - Vestdanmark'!B303</f>
        <v>Konventionel</v>
      </c>
      <c r="C303" s="99" t="str">
        <f>'Resultater - Vestdanmark'!C303</f>
        <v>JB1-10</v>
      </c>
      <c r="D303" s="99" t="str">
        <f>'Resultater - Vestdanmark'!D303</f>
        <v>Areal-raps</v>
      </c>
      <c r="E303" s="99" t="str">
        <f>'Resultater - Vestdanmark'!E303</f>
        <v>Hektar</v>
      </c>
      <c r="F303" s="99" t="str">
        <f>'Resultater - Vestdanmark'!F303</f>
        <v>CO2 - atmosfære</v>
      </c>
      <c r="G303" s="99" t="str">
        <f>'Resultater - Vestdanmark'!G303</f>
        <v>t CO2-ækvivalenter</v>
      </c>
      <c r="H303" s="286">
        <f>'Resultater - Vestdanmark'!H303+'Resultater - Østdanmark'!H303</f>
        <v>317323.11758989503</v>
      </c>
      <c r="I303" s="287">
        <f>'Resultater - Vestdanmark'!I303+'Resultater - Østdanmark'!I303</f>
        <v>307004.86268002487</v>
      </c>
      <c r="J303" s="288">
        <f>'Resultater - Vestdanmark'!J303+'Resultater - Østdanmark'!J303</f>
        <v>288341.68273065262</v>
      </c>
    </row>
    <row r="304" spans="1:10" hidden="1" x14ac:dyDescent="0.55000000000000004">
      <c r="A304" s="99" t="str">
        <f>'Resultater - Vestdanmark'!A304</f>
        <v>Rapsmark</v>
      </c>
      <c r="B304" s="99" t="str">
        <f>'Resultater - Vestdanmark'!B304</f>
        <v>Konventionel</v>
      </c>
      <c r="C304" s="99" t="str">
        <f>'Resultater - Vestdanmark'!C304</f>
        <v>OC6</v>
      </c>
      <c r="D304" s="99" t="str">
        <f>'Resultater - Vestdanmark'!D304</f>
        <v>Areal-raps</v>
      </c>
      <c r="E304" s="99" t="str">
        <f>'Resultater - Vestdanmark'!E304</f>
        <v>Hektar</v>
      </c>
      <c r="F304" s="99" t="str">
        <f>'Resultater - Vestdanmark'!F304</f>
        <v>Raps</v>
      </c>
      <c r="G304" s="99" t="str">
        <f>'Resultater - Vestdanmark'!G304</f>
        <v>Ton</v>
      </c>
      <c r="H304" s="286">
        <f>'Resultater - Vestdanmark'!H304+'Resultater - Østdanmark'!H304</f>
        <v>13323.118692618173</v>
      </c>
      <c r="I304" s="287">
        <f>'Resultater - Vestdanmark'!I304+'Resultater - Østdanmark'!I304</f>
        <v>12897.628648138445</v>
      </c>
      <c r="J304" s="288">
        <f>'Resultater - Vestdanmark'!J304+'Resultater - Østdanmark'!J304</f>
        <v>12301.20651412048</v>
      </c>
    </row>
    <row r="305" spans="1:10" hidden="1" x14ac:dyDescent="0.55000000000000004">
      <c r="A305" s="99" t="str">
        <f>'Resultater - Vestdanmark'!A305</f>
        <v>Rapsmark</v>
      </c>
      <c r="B305" s="99" t="str">
        <f>'Resultater - Vestdanmark'!B305</f>
        <v>Konventionel</v>
      </c>
      <c r="C305" s="99" t="str">
        <f>'Resultater - Vestdanmark'!C305</f>
        <v>OC6</v>
      </c>
      <c r="D305" s="99" t="str">
        <f>'Resultater - Vestdanmark'!D305</f>
        <v>Areal-raps</v>
      </c>
      <c r="E305" s="99" t="str">
        <f>'Resultater - Vestdanmark'!E305</f>
        <v>Hektar</v>
      </c>
      <c r="F305" s="99" t="str">
        <f>'Resultater - Vestdanmark'!F305</f>
        <v>Halm</v>
      </c>
      <c r="G305" s="99" t="str">
        <f>'Resultater - Vestdanmark'!G305</f>
        <v>Ton</v>
      </c>
      <c r="H305" s="286">
        <f>'Resultater - Vestdanmark'!H305+'Resultater - Østdanmark'!H305</f>
        <v>7115.9443093208292</v>
      </c>
      <c r="I305" s="287">
        <f>'Resultater - Vestdanmark'!I305+'Resultater - Østdanmark'!I305</f>
        <v>6388.6574740312617</v>
      </c>
      <c r="J305" s="288">
        <f>'Resultater - Vestdanmark'!J305+'Resultater - Østdanmark'!J305</f>
        <v>6093.2282266772145</v>
      </c>
    </row>
    <row r="306" spans="1:10" hidden="1" x14ac:dyDescent="0.55000000000000004">
      <c r="A306" s="99" t="str">
        <f>'Resultater - Vestdanmark'!A306</f>
        <v>Rapsmark</v>
      </c>
      <c r="B306" s="99" t="str">
        <f>'Resultater - Vestdanmark'!B306</f>
        <v>Konventionel</v>
      </c>
      <c r="C306" s="99" t="str">
        <f>'Resultater - Vestdanmark'!C306</f>
        <v>OC6</v>
      </c>
      <c r="D306" s="99" t="str">
        <f>'Resultater - Vestdanmark'!D306</f>
        <v>Areal-raps</v>
      </c>
      <c r="E306" s="99" t="str">
        <f>'Resultater - Vestdanmark'!E306</f>
        <v>Hektar</v>
      </c>
      <c r="F306" s="99" t="str">
        <f>'Resultater - Vestdanmark'!F306</f>
        <v>Gødning</v>
      </c>
      <c r="G306" s="99" t="str">
        <f>'Resultater - Vestdanmark'!G306</f>
        <v>kg N</v>
      </c>
      <c r="H306" s="286">
        <f>'Resultater - Vestdanmark'!H306+'Resultater - Østdanmark'!H306</f>
        <v>-365881.10046015814</v>
      </c>
      <c r="I306" s="287">
        <f>'Resultater - Vestdanmark'!I306+'Resultater - Østdanmark'!I306</f>
        <v>-330406.94149636658</v>
      </c>
      <c r="J306" s="288">
        <f>'Resultater - Vestdanmark'!J306+'Resultater - Østdanmark'!J306</f>
        <v>-315128.00778555189</v>
      </c>
    </row>
    <row r="307" spans="1:10" hidden="1" x14ac:dyDescent="0.55000000000000004">
      <c r="A307" s="99" t="str">
        <f>'Resultater - Vestdanmark'!A307</f>
        <v>Rapsmark</v>
      </c>
      <c r="B307" s="99" t="str">
        <f>'Resultater - Vestdanmark'!B307</f>
        <v>Konventionel</v>
      </c>
      <c r="C307" s="99" t="str">
        <f>'Resultater - Vestdanmark'!C307</f>
        <v>OC6</v>
      </c>
      <c r="D307" s="99" t="str">
        <f>'Resultater - Vestdanmark'!D307</f>
        <v>Areal-raps</v>
      </c>
      <c r="E307" s="99" t="str">
        <f>'Resultater - Vestdanmark'!E307</f>
        <v>Hektar</v>
      </c>
      <c r="F307" s="99" t="str">
        <f>'Resultater - Vestdanmark'!F307</f>
        <v>CO2 - atmosfære</v>
      </c>
      <c r="G307" s="99" t="str">
        <f>'Resultater - Vestdanmark'!G307</f>
        <v>t CO2-ækvivalenter</v>
      </c>
      <c r="H307" s="286">
        <f>'Resultater - Vestdanmark'!H307+'Resultater - Østdanmark'!H307</f>
        <v>40352.129195848909</v>
      </c>
      <c r="I307" s="287">
        <f>'Resultater - Vestdanmark'!I307+'Resultater - Østdanmark'!I307</f>
        <v>36439.771209003746</v>
      </c>
      <c r="J307" s="288">
        <f>'Resultater - Vestdanmark'!J307+'Resultater - Østdanmark'!J307</f>
        <v>34754.695083731895</v>
      </c>
    </row>
    <row r="308" spans="1:10" hidden="1" x14ac:dyDescent="0.55000000000000004">
      <c r="A308" s="99" t="str">
        <f>'Resultater - Vestdanmark'!A308</f>
        <v>Rapsmark</v>
      </c>
      <c r="B308" s="99" t="str">
        <f>'Resultater - Vestdanmark'!B308</f>
        <v>Konventionel</v>
      </c>
      <c r="C308" s="99" t="str">
        <f>'Resultater - Vestdanmark'!C308</f>
        <v>OC12</v>
      </c>
      <c r="D308" s="99" t="str">
        <f>'Resultater - Vestdanmark'!D308</f>
        <v>Areal-raps</v>
      </c>
      <c r="E308" s="99" t="str">
        <f>'Resultater - Vestdanmark'!E308</f>
        <v>Hektar</v>
      </c>
      <c r="F308" s="99" t="str">
        <f>'Resultater - Vestdanmark'!F308</f>
        <v>Raps</v>
      </c>
      <c r="G308" s="99" t="str">
        <f>'Resultater - Vestdanmark'!G308</f>
        <v>Ton</v>
      </c>
      <c r="H308" s="286">
        <f>'Resultater - Vestdanmark'!H308+'Resultater - Østdanmark'!H308</f>
        <v>6434.7975318427207</v>
      </c>
      <c r="I308" s="287">
        <f>'Resultater - Vestdanmark'!I308+'Resultater - Østdanmark'!I308</f>
        <v>6115.4142949364787</v>
      </c>
      <c r="J308" s="288">
        <f>'Resultater - Vestdanmark'!J308+'Resultater - Østdanmark'!J308</f>
        <v>5832.6205703151372</v>
      </c>
    </row>
    <row r="309" spans="1:10" hidden="1" x14ac:dyDescent="0.55000000000000004">
      <c r="A309" s="99" t="str">
        <f>'Resultater - Vestdanmark'!A309</f>
        <v>Rapsmark</v>
      </c>
      <c r="B309" s="99" t="str">
        <f>'Resultater - Vestdanmark'!B309</f>
        <v>Konventionel</v>
      </c>
      <c r="C309" s="99" t="str">
        <f>'Resultater - Vestdanmark'!C309</f>
        <v>OC12</v>
      </c>
      <c r="D309" s="99" t="str">
        <f>'Resultater - Vestdanmark'!D309</f>
        <v>Areal-raps</v>
      </c>
      <c r="E309" s="99" t="str">
        <f>'Resultater - Vestdanmark'!E309</f>
        <v>Hektar</v>
      </c>
      <c r="F309" s="99" t="str">
        <f>'Resultater - Vestdanmark'!F309</f>
        <v>Halm</v>
      </c>
      <c r="G309" s="99" t="str">
        <f>'Resultater - Vestdanmark'!G309</f>
        <v>Ton</v>
      </c>
      <c r="H309" s="286">
        <f>'Resultater - Vestdanmark'!H309+'Resultater - Østdanmark'!H309</f>
        <v>3436.8575357448558</v>
      </c>
      <c r="I309" s="287">
        <f>'Resultater - Vestdanmark'!I309+'Resultater - Østdanmark'!I309</f>
        <v>3029.1837598985721</v>
      </c>
      <c r="J309" s="288">
        <f>'Resultater - Vestdanmark'!J309+'Resultater - Østdanmark'!J309</f>
        <v>2889.1058981691581</v>
      </c>
    </row>
    <row r="310" spans="1:10" hidden="1" x14ac:dyDescent="0.55000000000000004">
      <c r="A310" s="99" t="str">
        <f>'Resultater - Vestdanmark'!A310</f>
        <v>Rapsmark</v>
      </c>
      <c r="B310" s="99" t="str">
        <f>'Resultater - Vestdanmark'!B310</f>
        <v>Konventionel</v>
      </c>
      <c r="C310" s="99" t="str">
        <f>'Resultater - Vestdanmark'!C310</f>
        <v>OC12</v>
      </c>
      <c r="D310" s="99" t="str">
        <f>'Resultater - Vestdanmark'!D310</f>
        <v>Areal-raps</v>
      </c>
      <c r="E310" s="99" t="str">
        <f>'Resultater - Vestdanmark'!E310</f>
        <v>Hektar</v>
      </c>
      <c r="F310" s="99" t="str">
        <f>'Resultater - Vestdanmark'!F310</f>
        <v>Gødning</v>
      </c>
      <c r="G310" s="99" t="str">
        <f>'Resultater - Vestdanmark'!G310</f>
        <v>kg N</v>
      </c>
      <c r="H310" s="286">
        <f>'Resultater - Vestdanmark'!H310+'Resultater - Østdanmark'!H310</f>
        <v>-120130.14872758326</v>
      </c>
      <c r="I310" s="287">
        <f>'Resultater - Vestdanmark'!I310+'Resultater - Østdanmark'!I310</f>
        <v>-106499.66138024796</v>
      </c>
      <c r="J310" s="288">
        <f>'Resultater - Vestdanmark'!J310+'Resultater - Østdanmark'!J310</f>
        <v>-101574.82154763532</v>
      </c>
    </row>
    <row r="311" spans="1:10" hidden="1" x14ac:dyDescent="0.55000000000000004">
      <c r="A311" s="99" t="str">
        <f>'Resultater - Vestdanmark'!A311</f>
        <v>Rapsmark</v>
      </c>
      <c r="B311" s="99" t="str">
        <f>'Resultater - Vestdanmark'!B311</f>
        <v>Konventionel</v>
      </c>
      <c r="C311" s="99" t="str">
        <f>'Resultater - Vestdanmark'!C311</f>
        <v>OC12</v>
      </c>
      <c r="D311" s="99" t="str">
        <f>'Resultater - Vestdanmark'!D311</f>
        <v>Areal-raps</v>
      </c>
      <c r="E311" s="99" t="str">
        <f>'Resultater - Vestdanmark'!E311</f>
        <v>Hektar</v>
      </c>
      <c r="F311" s="99" t="str">
        <f>'Resultater - Vestdanmark'!F311</f>
        <v>CO2 - atmosfære</v>
      </c>
      <c r="G311" s="99" t="str">
        <f>'Resultater - Vestdanmark'!G311</f>
        <v>t CO2-ækvivalenter</v>
      </c>
      <c r="H311" s="286">
        <f>'Resultater - Vestdanmark'!H311+'Resultater - Østdanmark'!H311</f>
        <v>42778.549000109218</v>
      </c>
      <c r="I311" s="287">
        <f>'Resultater - Vestdanmark'!I311+'Resultater - Østdanmark'!I311</f>
        <v>37924.709418127022</v>
      </c>
      <c r="J311" s="288">
        <f>'Resultater - Vestdanmark'!J311+'Resultater - Østdanmark'!J311</f>
        <v>36170.965630005536</v>
      </c>
    </row>
    <row r="312" spans="1:10" hidden="1" x14ac:dyDescent="0.55000000000000004">
      <c r="A312" s="99" t="str">
        <f>'Resultater - Vestdanmark'!A312</f>
        <v>Rapsmark</v>
      </c>
      <c r="B312" s="99" t="str">
        <f>'Resultater - Vestdanmark'!B312</f>
        <v>Økologisk</v>
      </c>
      <c r="C312" s="99" t="str">
        <f>'Resultater - Vestdanmark'!C312</f>
        <v>JB1-10</v>
      </c>
      <c r="D312" s="99" t="str">
        <f>'Resultater - Vestdanmark'!D312</f>
        <v>Areal-raps</v>
      </c>
      <c r="E312" s="99" t="str">
        <f>'Resultater - Vestdanmark'!E312</f>
        <v>Hektar</v>
      </c>
      <c r="F312" s="99" t="str">
        <f>'Resultater - Vestdanmark'!F312</f>
        <v>Raps</v>
      </c>
      <c r="G312" s="99" t="str">
        <f>'Resultater - Vestdanmark'!G312</f>
        <v>Ton</v>
      </c>
      <c r="H312" s="286">
        <f>'Resultater - Vestdanmark'!H312+'Resultater - Østdanmark'!H312</f>
        <v>43184.19576890875</v>
      </c>
      <c r="I312" s="287">
        <f>'Resultater - Vestdanmark'!I312+'Resultater - Østdanmark'!I312</f>
        <v>54668.981232537204</v>
      </c>
      <c r="J312" s="288">
        <f>'Resultater - Vestdanmark'!J312+'Resultater - Østdanmark'!J312</f>
        <v>69786.206975686655</v>
      </c>
    </row>
    <row r="313" spans="1:10" hidden="1" x14ac:dyDescent="0.55000000000000004">
      <c r="A313" s="99" t="str">
        <f>'Resultater - Vestdanmark'!A313</f>
        <v>Rapsmark</v>
      </c>
      <c r="B313" s="99" t="str">
        <f>'Resultater - Vestdanmark'!B313</f>
        <v>Økologisk</v>
      </c>
      <c r="C313" s="99" t="str">
        <f>'Resultater - Vestdanmark'!C313</f>
        <v>JB1-10</v>
      </c>
      <c r="D313" s="99" t="str">
        <f>'Resultater - Vestdanmark'!D313</f>
        <v>Areal-raps</v>
      </c>
      <c r="E313" s="99" t="str">
        <f>'Resultater - Vestdanmark'!E313</f>
        <v>Hektar</v>
      </c>
      <c r="F313" s="99" t="str">
        <f>'Resultater - Vestdanmark'!F313</f>
        <v>Halm</v>
      </c>
      <c r="G313" s="99" t="str">
        <f>'Resultater - Vestdanmark'!G313</f>
        <v>Ton</v>
      </c>
      <c r="H313" s="286">
        <f>'Resultater - Vestdanmark'!H313+'Resultater - Østdanmark'!H313</f>
        <v>23064.894881153006</v>
      </c>
      <c r="I313" s="287">
        <f>'Resultater - Vestdanmark'!I313+'Resultater - Østdanmark'!I313</f>
        <v>27079.504696340715</v>
      </c>
      <c r="J313" s="288">
        <f>'Resultater - Vestdanmark'!J313+'Resultater - Østdanmark'!J313</f>
        <v>34567.608119486569</v>
      </c>
    </row>
    <row r="314" spans="1:10" hidden="1" x14ac:dyDescent="0.55000000000000004">
      <c r="A314" s="99" t="str">
        <f>'Resultater - Vestdanmark'!A314</f>
        <v>Rapsmark</v>
      </c>
      <c r="B314" s="99" t="str">
        <f>'Resultater - Vestdanmark'!B314</f>
        <v>Økologisk</v>
      </c>
      <c r="C314" s="99" t="str">
        <f>'Resultater - Vestdanmark'!C314</f>
        <v>JB1-10</v>
      </c>
      <c r="D314" s="99" t="str">
        <f>'Resultater - Vestdanmark'!D314</f>
        <v>Areal-raps</v>
      </c>
      <c r="E314" s="99" t="str">
        <f>'Resultater - Vestdanmark'!E314</f>
        <v>Hektar</v>
      </c>
      <c r="F314" s="99" t="str">
        <f>'Resultater - Vestdanmark'!F314</f>
        <v>Gødning</v>
      </c>
      <c r="G314" s="99" t="str">
        <f>'Resultater - Vestdanmark'!G314</f>
        <v>kg N</v>
      </c>
      <c r="H314" s="286">
        <f>'Resultater - Vestdanmark'!H314+'Resultater - Østdanmark'!H314</f>
        <v>-1717553.2408088709</v>
      </c>
      <c r="I314" s="287">
        <f>'Resultater - Vestdanmark'!I314+'Resultater - Østdanmark'!I314</f>
        <v>-2028297.0903353989</v>
      </c>
      <c r="J314" s="288">
        <f>'Resultater - Vestdanmark'!J314+'Resultater - Østdanmark'!J314</f>
        <v>-2589167.7028377634</v>
      </c>
    </row>
    <row r="315" spans="1:10" hidden="1" x14ac:dyDescent="0.55000000000000004">
      <c r="A315" s="99" t="str">
        <f>'Resultater - Vestdanmark'!A315</f>
        <v>Rapsmark</v>
      </c>
      <c r="B315" s="99" t="str">
        <f>'Resultater - Vestdanmark'!B315</f>
        <v>Økologisk</v>
      </c>
      <c r="C315" s="99" t="str">
        <f>'Resultater - Vestdanmark'!C315</f>
        <v>JB1-10</v>
      </c>
      <c r="D315" s="99" t="str">
        <f>'Resultater - Vestdanmark'!D315</f>
        <v>Areal-raps</v>
      </c>
      <c r="E315" s="99" t="str">
        <f>'Resultater - Vestdanmark'!E315</f>
        <v>Hektar</v>
      </c>
      <c r="F315" s="99" t="str">
        <f>'Resultater - Vestdanmark'!F315</f>
        <v>CO2 - atmosfære</v>
      </c>
      <c r="G315" s="99" t="str">
        <f>'Resultater - Vestdanmark'!G315</f>
        <v>t CO2-ækvivalenter</v>
      </c>
      <c r="H315" s="286">
        <f>'Resultater - Vestdanmark'!H315+'Resultater - Østdanmark'!H315</f>
        <v>40573.414332296394</v>
      </c>
      <c r="I315" s="287">
        <f>'Resultater - Vestdanmark'!I315+'Resultater - Østdanmark'!I315</f>
        <v>47914.053713067478</v>
      </c>
      <c r="J315" s="288">
        <f>'Resultater - Vestdanmark'!J315+'Resultater - Østdanmark'!J315</f>
        <v>61163.38724589601</v>
      </c>
    </row>
    <row r="316" spans="1:10" hidden="1" x14ac:dyDescent="0.55000000000000004">
      <c r="A316" s="99" t="str">
        <f>'Resultater - Vestdanmark'!A316</f>
        <v>Rapsmark</v>
      </c>
      <c r="B316" s="99" t="str">
        <f>'Resultater - Vestdanmark'!B316</f>
        <v>Økologisk</v>
      </c>
      <c r="C316" s="99" t="str">
        <f>'Resultater - Vestdanmark'!C316</f>
        <v>OC6</v>
      </c>
      <c r="D316" s="99" t="str">
        <f>'Resultater - Vestdanmark'!D316</f>
        <v>Areal-raps</v>
      </c>
      <c r="E316" s="99" t="str">
        <f>'Resultater - Vestdanmark'!E316</f>
        <v>Hektar</v>
      </c>
      <c r="F316" s="99" t="str">
        <f>'Resultater - Vestdanmark'!F316</f>
        <v>Raps</v>
      </c>
      <c r="G316" s="99" t="str">
        <f>'Resultater - Vestdanmark'!G316</f>
        <v>Ton</v>
      </c>
      <c r="H316" s="286">
        <f>'Resultater - Vestdanmark'!H316+'Resultater - Østdanmark'!H316</f>
        <v>936.9327720614383</v>
      </c>
      <c r="I316" s="287">
        <f>'Resultater - Vestdanmark'!I316+'Resultater - Østdanmark'!I316</f>
        <v>1107.1085862708433</v>
      </c>
      <c r="J316" s="288">
        <f>'Resultater - Vestdanmark'!J316+'Resultater - Østdanmark'!J316</f>
        <v>1435.140759980723</v>
      </c>
    </row>
    <row r="317" spans="1:10" hidden="1" x14ac:dyDescent="0.55000000000000004">
      <c r="A317" s="99" t="str">
        <f>'Resultater - Vestdanmark'!A317</f>
        <v>Rapsmark</v>
      </c>
      <c r="B317" s="99" t="str">
        <f>'Resultater - Vestdanmark'!B317</f>
        <v>Økologisk</v>
      </c>
      <c r="C317" s="99" t="str">
        <f>'Resultater - Vestdanmark'!C317</f>
        <v>OC6</v>
      </c>
      <c r="D317" s="99" t="str">
        <f>'Resultater - Vestdanmark'!D317</f>
        <v>Areal-raps</v>
      </c>
      <c r="E317" s="99" t="str">
        <f>'Resultater - Vestdanmark'!E317</f>
        <v>Hektar</v>
      </c>
      <c r="F317" s="99" t="str">
        <f>'Resultater - Vestdanmark'!F317</f>
        <v>Halm</v>
      </c>
      <c r="G317" s="99" t="str">
        <f>'Resultater - Vestdanmark'!G317</f>
        <v>Ton</v>
      </c>
      <c r="H317" s="286">
        <f>'Resultater - Vestdanmark'!H317+'Resultater - Østdanmark'!H317</f>
        <v>500.42047822187442</v>
      </c>
      <c r="I317" s="287">
        <f>'Resultater - Vestdanmark'!I317+'Resultater - Østdanmark'!I317</f>
        <v>548.39054040094936</v>
      </c>
      <c r="J317" s="288">
        <f>'Resultater - Vestdanmark'!J317+'Resultater - Østdanmark'!J317</f>
        <v>710.87662644567502</v>
      </c>
    </row>
    <row r="318" spans="1:10" hidden="1" x14ac:dyDescent="0.55000000000000004">
      <c r="A318" s="99" t="str">
        <f>'Resultater - Vestdanmark'!A318</f>
        <v>Rapsmark</v>
      </c>
      <c r="B318" s="99" t="str">
        <f>'Resultater - Vestdanmark'!B318</f>
        <v>Økologisk</v>
      </c>
      <c r="C318" s="99" t="str">
        <f>'Resultater - Vestdanmark'!C318</f>
        <v>OC6</v>
      </c>
      <c r="D318" s="99" t="str">
        <f>'Resultater - Vestdanmark'!D318</f>
        <v>Areal-raps</v>
      </c>
      <c r="E318" s="99" t="str">
        <f>'Resultater - Vestdanmark'!E318</f>
        <v>Hektar</v>
      </c>
      <c r="F318" s="99" t="str">
        <f>'Resultater - Vestdanmark'!F318</f>
        <v>Gødning</v>
      </c>
      <c r="G318" s="99" t="str">
        <f>'Resultater - Vestdanmark'!G318</f>
        <v>kg N</v>
      </c>
      <c r="H318" s="286">
        <f>'Resultater - Vestdanmark'!H318+'Resultater - Østdanmark'!H318</f>
        <v>-25730.161353959949</v>
      </c>
      <c r="I318" s="287">
        <f>'Resultater - Vestdanmark'!I318+'Resultater - Østdanmark'!I318</f>
        <v>-28361.520700699672</v>
      </c>
      <c r="J318" s="288">
        <f>'Resultater - Vestdanmark'!J318+'Resultater - Østdanmark'!J318</f>
        <v>-36764.934241647723</v>
      </c>
    </row>
    <row r="319" spans="1:10" hidden="1" x14ac:dyDescent="0.55000000000000004">
      <c r="A319" s="99" t="str">
        <f>'Resultater - Vestdanmark'!A319</f>
        <v>Rapsmark</v>
      </c>
      <c r="B319" s="99" t="str">
        <f>'Resultater - Vestdanmark'!B319</f>
        <v>Økologisk</v>
      </c>
      <c r="C319" s="99" t="str">
        <f>'Resultater - Vestdanmark'!C319</f>
        <v>OC6</v>
      </c>
      <c r="D319" s="99" t="str">
        <f>'Resultater - Vestdanmark'!D319</f>
        <v>Areal-raps</v>
      </c>
      <c r="E319" s="99" t="str">
        <f>'Resultater - Vestdanmark'!E319</f>
        <v>Hektar</v>
      </c>
      <c r="F319" s="99" t="str">
        <f>'Resultater - Vestdanmark'!F319</f>
        <v>CO2 - atmosfære</v>
      </c>
      <c r="G319" s="99" t="str">
        <f>'Resultater - Vestdanmark'!G319</f>
        <v>t CO2-ækvivalenter</v>
      </c>
      <c r="H319" s="286">
        <f>'Resultater - Vestdanmark'!H319+'Resultater - Østdanmark'!H319</f>
        <v>5159.4843435562807</v>
      </c>
      <c r="I319" s="287">
        <f>'Resultater - Vestdanmark'!I319+'Resultater - Østdanmark'!I319</f>
        <v>5687.1319227924914</v>
      </c>
      <c r="J319" s="288">
        <f>'Resultater - Vestdanmark'!J319+'Resultater - Østdanmark'!J319</f>
        <v>7372.2080480643417</v>
      </c>
    </row>
    <row r="320" spans="1:10" hidden="1" x14ac:dyDescent="0.55000000000000004">
      <c r="A320" s="99" t="str">
        <f>'Resultater - Vestdanmark'!A320</f>
        <v>Rapsmark</v>
      </c>
      <c r="B320" s="99" t="str">
        <f>'Resultater - Vestdanmark'!B320</f>
        <v>Økologisk</v>
      </c>
      <c r="C320" s="99" t="str">
        <f>'Resultater - Vestdanmark'!C320</f>
        <v>OC12</v>
      </c>
      <c r="D320" s="99" t="str">
        <f>'Resultater - Vestdanmark'!D320</f>
        <v>Areal-raps</v>
      </c>
      <c r="E320" s="99" t="str">
        <f>'Resultater - Vestdanmark'!E320</f>
        <v>Hektar</v>
      </c>
      <c r="F320" s="99" t="str">
        <f>'Resultater - Vestdanmark'!F320</f>
        <v>Raps</v>
      </c>
      <c r="G320" s="99" t="str">
        <f>'Resultater - Vestdanmark'!G320</f>
        <v>Ton</v>
      </c>
      <c r="H320" s="286">
        <f>'Resultater - Vestdanmark'!H320+'Resultater - Østdanmark'!H320</f>
        <v>452.51962609204435</v>
      </c>
      <c r="I320" s="287">
        <f>'Resultater - Vestdanmark'!I320+'Resultater - Østdanmark'!I320</f>
        <v>524.93585132836245</v>
      </c>
      <c r="J320" s="288">
        <f>'Resultater - Vestdanmark'!J320+'Resultater - Østdanmark'!J320</f>
        <v>680.47239987009948</v>
      </c>
    </row>
    <row r="321" spans="1:10" hidden="1" x14ac:dyDescent="0.55000000000000004">
      <c r="A321" s="99" t="str">
        <f>'Resultater - Vestdanmark'!A321</f>
        <v>Rapsmark</v>
      </c>
      <c r="B321" s="99" t="str">
        <f>'Resultater - Vestdanmark'!B321</f>
        <v>Økologisk</v>
      </c>
      <c r="C321" s="99" t="str">
        <f>'Resultater - Vestdanmark'!C321</f>
        <v>OC12</v>
      </c>
      <c r="D321" s="99" t="str">
        <f>'Resultater - Vestdanmark'!D321</f>
        <v>Areal-raps</v>
      </c>
      <c r="E321" s="99" t="str">
        <f>'Resultater - Vestdanmark'!E321</f>
        <v>Hektar</v>
      </c>
      <c r="F321" s="99" t="str">
        <f>'Resultater - Vestdanmark'!F321</f>
        <v>Halm</v>
      </c>
      <c r="G321" s="99" t="str">
        <f>'Resultater - Vestdanmark'!G321</f>
        <v>Ton</v>
      </c>
      <c r="H321" s="286">
        <f>'Resultater - Vestdanmark'!H321+'Resultater - Østdanmark'!H321</f>
        <v>241.69299489389135</v>
      </c>
      <c r="I321" s="287">
        <f>'Resultater - Vestdanmark'!I321+'Resultater - Østdanmark'!I321</f>
        <v>260.01953083522426</v>
      </c>
      <c r="J321" s="288">
        <f>'Resultater - Vestdanmark'!J321+'Resultater - Østdanmark'!J321</f>
        <v>337.06235478640178</v>
      </c>
    </row>
    <row r="322" spans="1:10" hidden="1" x14ac:dyDescent="0.55000000000000004">
      <c r="A322" s="99" t="str">
        <f>'Resultater - Vestdanmark'!A322</f>
        <v>Rapsmark</v>
      </c>
      <c r="B322" s="99" t="str">
        <f>'Resultater - Vestdanmark'!B322</f>
        <v>Økologisk</v>
      </c>
      <c r="C322" s="99" t="str">
        <f>'Resultater - Vestdanmark'!C322</f>
        <v>OC12</v>
      </c>
      <c r="D322" s="99" t="str">
        <f>'Resultater - Vestdanmark'!D322</f>
        <v>Areal-raps</v>
      </c>
      <c r="E322" s="99" t="str">
        <f>'Resultater - Vestdanmark'!E322</f>
        <v>Hektar</v>
      </c>
      <c r="F322" s="99" t="str">
        <f>'Resultater - Vestdanmark'!F322</f>
        <v>Gødning</v>
      </c>
      <c r="G322" s="99" t="str">
        <f>'Resultater - Vestdanmark'!G322</f>
        <v>kg N</v>
      </c>
      <c r="H322" s="286">
        <f>'Resultater - Vestdanmark'!H322+'Resultater - Østdanmark'!H322</f>
        <v>-8448.0125000949847</v>
      </c>
      <c r="I322" s="287">
        <f>'Resultater - Vestdanmark'!I322+'Resultater - Østdanmark'!I322</f>
        <v>-9141.73393928718</v>
      </c>
      <c r="J322" s="288">
        <f>'Resultater - Vestdanmark'!J322+'Resultater - Østdanmark'!J322</f>
        <v>-11850.395847224121</v>
      </c>
    </row>
    <row r="323" spans="1:10" hidden="1" x14ac:dyDescent="0.55000000000000004">
      <c r="A323" s="99" t="str">
        <f>'Resultater - Vestdanmark'!A323</f>
        <v>Rapsmark</v>
      </c>
      <c r="B323" s="99" t="str">
        <f>'Resultater - Vestdanmark'!B323</f>
        <v>Økologisk</v>
      </c>
      <c r="C323" s="99" t="str">
        <f>'Resultater - Vestdanmark'!C323</f>
        <v>OC12</v>
      </c>
      <c r="D323" s="99" t="str">
        <f>'Resultater - Vestdanmark'!D323</f>
        <v>Areal-raps</v>
      </c>
      <c r="E323" s="99" t="str">
        <f>'Resultater - Vestdanmark'!E323</f>
        <v>Hektar</v>
      </c>
      <c r="F323" s="99" t="str">
        <f>'Resultater - Vestdanmark'!F323</f>
        <v>CO2 - atmosfære</v>
      </c>
      <c r="G323" s="99" t="str">
        <f>'Resultater - Vestdanmark'!G323</f>
        <v>t CO2-ækvivalenter</v>
      </c>
      <c r="H323" s="286">
        <f>'Resultater - Vestdanmark'!H323+'Resultater - Østdanmark'!H323</f>
        <v>5469.7300540171764</v>
      </c>
      <c r="I323" s="287">
        <f>'Resultater - Vestdanmark'!I323+'Resultater - Østdanmark'!I323</f>
        <v>5918.8852849099985</v>
      </c>
      <c r="J323" s="288">
        <f>'Resultater - Vestdanmark'!J323+'Resultater - Østdanmark'!J323</f>
        <v>7672.6290730314777</v>
      </c>
    </row>
    <row r="324" spans="1:10" hidden="1" x14ac:dyDescent="0.55000000000000004">
      <c r="A324" s="99" t="str">
        <f>'Resultater - Vestdanmark'!A324</f>
        <v>Frøgræsmark</v>
      </c>
      <c r="B324" s="99" t="str">
        <f>'Resultater - Vestdanmark'!B324</f>
        <v>Konventionel</v>
      </c>
      <c r="C324" s="99" t="str">
        <f>'Resultater - Vestdanmark'!C324</f>
        <v>JB1-10</v>
      </c>
      <c r="D324" s="99" t="str">
        <f>'Resultater - Vestdanmark'!D324</f>
        <v>Areal-frøgræs</v>
      </c>
      <c r="E324" s="99" t="str">
        <f>'Resultater - Vestdanmark'!E324</f>
        <v>Hektar</v>
      </c>
      <c r="F324" s="99" t="str">
        <f>'Resultater - Vestdanmark'!F324</f>
        <v>Frø</v>
      </c>
      <c r="G324" s="99" t="str">
        <f>'Resultater - Vestdanmark'!G324</f>
        <v>Ton</v>
      </c>
      <c r="H324" s="286">
        <f>'Resultater - Vestdanmark'!H324+'Resultater - Østdanmark'!H324</f>
        <v>1244876.7164053498</v>
      </c>
      <c r="I324" s="287">
        <f>'Resultater - Vestdanmark'!I324+'Resultater - Østdanmark'!I324</f>
        <v>1292293.5165717863</v>
      </c>
      <c r="J324" s="288">
        <f>'Resultater - Vestdanmark'!J324+'Resultater - Østdanmark'!J324</f>
        <v>1215795.6449854798</v>
      </c>
    </row>
    <row r="325" spans="1:10" hidden="1" x14ac:dyDescent="0.55000000000000004">
      <c r="A325" s="99" t="str">
        <f>'Resultater - Vestdanmark'!A325</f>
        <v>Frøgræsmark</v>
      </c>
      <c r="B325" s="99" t="str">
        <f>'Resultater - Vestdanmark'!B325</f>
        <v>Konventionel</v>
      </c>
      <c r="C325" s="99" t="str">
        <f>'Resultater - Vestdanmark'!C325</f>
        <v>JB1-10</v>
      </c>
      <c r="D325" s="99" t="str">
        <f>'Resultater - Vestdanmark'!D325</f>
        <v>Areal-frøgræs</v>
      </c>
      <c r="E325" s="99" t="str">
        <f>'Resultater - Vestdanmark'!E325</f>
        <v>Hektar</v>
      </c>
      <c r="F325" s="99" t="str">
        <f>'Resultater - Vestdanmark'!F325</f>
        <v>Halm</v>
      </c>
      <c r="G325" s="99" t="str">
        <f>'Resultater - Vestdanmark'!G325</f>
        <v>Ton</v>
      </c>
      <c r="H325" s="286">
        <f>'Resultater - Vestdanmark'!H325+'Resultater - Østdanmark'!H325</f>
        <v>206810.63376166133</v>
      </c>
      <c r="I325" s="287">
        <f>'Resultater - Vestdanmark'!I325+'Resultater - Østdanmark'!I325</f>
        <v>199104.36392636053</v>
      </c>
      <c r="J325" s="288">
        <f>'Resultater - Vestdanmark'!J325+'Resultater - Østdanmark'!J325</f>
        <v>187318.29530603884</v>
      </c>
    </row>
    <row r="326" spans="1:10" hidden="1" x14ac:dyDescent="0.55000000000000004">
      <c r="A326" s="99" t="str">
        <f>'Resultater - Vestdanmark'!A326</f>
        <v>Frøgræsmark</v>
      </c>
      <c r="B326" s="99" t="str">
        <f>'Resultater - Vestdanmark'!B326</f>
        <v>Konventionel</v>
      </c>
      <c r="C326" s="99" t="str">
        <f>'Resultater - Vestdanmark'!C326</f>
        <v>JB1-10</v>
      </c>
      <c r="D326" s="99" t="str">
        <f>'Resultater - Vestdanmark'!D326</f>
        <v>Areal-frøgræs</v>
      </c>
      <c r="E326" s="99" t="str">
        <f>'Resultater - Vestdanmark'!E326</f>
        <v>Hektar</v>
      </c>
      <c r="F326" s="99" t="str">
        <f>'Resultater - Vestdanmark'!F326</f>
        <v>Gødning</v>
      </c>
      <c r="G326" s="99" t="str">
        <f>'Resultater - Vestdanmark'!G326</f>
        <v>kg N</v>
      </c>
      <c r="H326" s="286">
        <f>'Resultater - Vestdanmark'!H326+'Resultater - Østdanmark'!H326</f>
        <v>-13068327.181838907</v>
      </c>
      <c r="I326" s="287">
        <f>'Resultater - Vestdanmark'!I326+'Resultater - Østdanmark'!I326</f>
        <v>-12654938.385150034</v>
      </c>
      <c r="J326" s="288">
        <f>'Resultater - Vestdanmark'!J326+'Resultater - Østdanmark'!J326</f>
        <v>-11905823.854197383</v>
      </c>
    </row>
    <row r="327" spans="1:10" hidden="1" x14ac:dyDescent="0.55000000000000004">
      <c r="A327" s="99" t="str">
        <f>'Resultater - Vestdanmark'!A327</f>
        <v>Frøgræsmark</v>
      </c>
      <c r="B327" s="99" t="str">
        <f>'Resultater - Vestdanmark'!B327</f>
        <v>Konventionel</v>
      </c>
      <c r="C327" s="99" t="str">
        <f>'Resultater - Vestdanmark'!C327</f>
        <v>JB1-10</v>
      </c>
      <c r="D327" s="99" t="str">
        <f>'Resultater - Vestdanmark'!D327</f>
        <v>Areal-frøgræs</v>
      </c>
      <c r="E327" s="99" t="str">
        <f>'Resultater - Vestdanmark'!E327</f>
        <v>Hektar</v>
      </c>
      <c r="F327" s="99" t="str">
        <f>'Resultater - Vestdanmark'!F327</f>
        <v>CO2 - atmosfære</v>
      </c>
      <c r="G327" s="99" t="str">
        <f>'Resultater - Vestdanmark'!G327</f>
        <v>t CO2-ækvivalenter</v>
      </c>
      <c r="H327" s="286">
        <f>'Resultater - Vestdanmark'!H327+'Resultater - Østdanmark'!H327</f>
        <v>198089.21270536177</v>
      </c>
      <c r="I327" s="287">
        <f>'Resultater - Vestdanmark'!I327+'Resultater - Østdanmark'!I327</f>
        <v>191823.08084794122</v>
      </c>
      <c r="J327" s="288">
        <f>'Resultater - Vestdanmark'!J327+'Resultater - Østdanmark'!J327</f>
        <v>180468.03091708419</v>
      </c>
    </row>
    <row r="328" spans="1:10" hidden="1" x14ac:dyDescent="0.55000000000000004">
      <c r="A328" s="99" t="str">
        <f>'Resultater - Vestdanmark'!A328</f>
        <v>Frøgræsmark</v>
      </c>
      <c r="B328" s="99" t="str">
        <f>'Resultater - Vestdanmark'!B328</f>
        <v>Konventionel</v>
      </c>
      <c r="C328" s="99" t="str">
        <f>'Resultater - Vestdanmark'!C328</f>
        <v>OC6</v>
      </c>
      <c r="D328" s="99" t="str">
        <f>'Resultater - Vestdanmark'!D328</f>
        <v>Areal-frøgræs</v>
      </c>
      <c r="E328" s="99" t="str">
        <f>'Resultater - Vestdanmark'!E328</f>
        <v>Hektar</v>
      </c>
      <c r="F328" s="99" t="str">
        <f>'Resultater - Vestdanmark'!F328</f>
        <v>Frø</v>
      </c>
      <c r="G328" s="99" t="str">
        <f>'Resultater - Vestdanmark'!G328</f>
        <v>Ton</v>
      </c>
      <c r="H328" s="286">
        <f>'Resultater - Vestdanmark'!H328+'Resultater - Østdanmark'!H328</f>
        <v>83193.972065214504</v>
      </c>
      <c r="I328" s="287">
        <f>'Resultater - Vestdanmark'!I328+'Resultater - Østdanmark'!I328</f>
        <v>80551.279211464556</v>
      </c>
      <c r="J328" s="288">
        <f>'Resultater - Vestdanmark'!J328+'Resultater - Østdanmark'!J328</f>
        <v>76826.364565847703</v>
      </c>
    </row>
    <row r="329" spans="1:10" hidden="1" x14ac:dyDescent="0.55000000000000004">
      <c r="A329" s="99" t="str">
        <f>'Resultater - Vestdanmark'!A329</f>
        <v>Frøgræsmark</v>
      </c>
      <c r="B329" s="99" t="str">
        <f>'Resultater - Vestdanmark'!B329</f>
        <v>Konventionel</v>
      </c>
      <c r="C329" s="99" t="str">
        <f>'Resultater - Vestdanmark'!C329</f>
        <v>OC6</v>
      </c>
      <c r="D329" s="99" t="str">
        <f>'Resultater - Vestdanmark'!D329</f>
        <v>Areal-frøgræs</v>
      </c>
      <c r="E329" s="99" t="str">
        <f>'Resultater - Vestdanmark'!E329</f>
        <v>Hektar</v>
      </c>
      <c r="F329" s="99" t="str">
        <f>'Resultater - Vestdanmark'!F329</f>
        <v>Halm</v>
      </c>
      <c r="G329" s="99" t="str">
        <f>'Resultater - Vestdanmark'!G329</f>
        <v>Ton</v>
      </c>
      <c r="H329" s="286">
        <f>'Resultater - Vestdanmark'!H329+'Resultater - Østdanmark'!H329</f>
        <v>13820.965450810663</v>
      </c>
      <c r="I329" s="287">
        <f>'Resultater - Vestdanmark'!I329+'Resultater - Østdanmark'!I329</f>
        <v>12410.579334483886</v>
      </c>
      <c r="J329" s="288">
        <f>'Resultater - Vestdanmark'!J329+'Resultater - Østdanmark'!J329</f>
        <v>11836.679712080007</v>
      </c>
    </row>
    <row r="330" spans="1:10" hidden="1" x14ac:dyDescent="0.55000000000000004">
      <c r="A330" s="99" t="str">
        <f>'Resultater - Vestdanmark'!A330</f>
        <v>Frøgræsmark</v>
      </c>
      <c r="B330" s="99" t="str">
        <f>'Resultater - Vestdanmark'!B330</f>
        <v>Konventionel</v>
      </c>
      <c r="C330" s="99" t="str">
        <f>'Resultater - Vestdanmark'!C330</f>
        <v>OC6</v>
      </c>
      <c r="D330" s="99" t="str">
        <f>'Resultater - Vestdanmark'!D330</f>
        <v>Areal-frøgræs</v>
      </c>
      <c r="E330" s="99" t="str">
        <f>'Resultater - Vestdanmark'!E330</f>
        <v>Hektar</v>
      </c>
      <c r="F330" s="99" t="str">
        <f>'Resultater - Vestdanmark'!F330</f>
        <v>Gødning</v>
      </c>
      <c r="G330" s="99" t="str">
        <f>'Resultater - Vestdanmark'!G330</f>
        <v>kg N</v>
      </c>
      <c r="H330" s="286">
        <f>'Resultater - Vestdanmark'!H330+'Resultater - Østdanmark'!H330</f>
        <v>-655008.26237096614</v>
      </c>
      <c r="I330" s="287">
        <f>'Resultater - Vestdanmark'!I330+'Resultater - Østdanmark'!I330</f>
        <v>-591606.0064107785</v>
      </c>
      <c r="J330" s="288">
        <f>'Resultater - Vestdanmark'!J330+'Resultater - Østdanmark'!J330</f>
        <v>-564248.50322415296</v>
      </c>
    </row>
    <row r="331" spans="1:10" hidden="1" x14ac:dyDescent="0.55000000000000004">
      <c r="A331" s="99" t="str">
        <f>'Resultater - Vestdanmark'!A331</f>
        <v>Frøgræsmark</v>
      </c>
      <c r="B331" s="99" t="str">
        <f>'Resultater - Vestdanmark'!B331</f>
        <v>Konventionel</v>
      </c>
      <c r="C331" s="99" t="str">
        <f>'Resultater - Vestdanmark'!C331</f>
        <v>OC6</v>
      </c>
      <c r="D331" s="99" t="str">
        <f>'Resultater - Vestdanmark'!D331</f>
        <v>Areal-frøgræs</v>
      </c>
      <c r="E331" s="99" t="str">
        <f>'Resultater - Vestdanmark'!E331</f>
        <v>Hektar</v>
      </c>
      <c r="F331" s="99" t="str">
        <f>'Resultater - Vestdanmark'!F331</f>
        <v>CO2 - atmosfære</v>
      </c>
      <c r="G331" s="99" t="str">
        <f>'Resultater - Vestdanmark'!G331</f>
        <v>t CO2-ækvivalenter</v>
      </c>
      <c r="H331" s="286">
        <f>'Resultater - Vestdanmark'!H331+'Resultater - Østdanmark'!H331</f>
        <v>77590.310666771984</v>
      </c>
      <c r="I331" s="287">
        <f>'Resultater - Vestdanmark'!I331+'Resultater - Østdanmark'!I331</f>
        <v>70079.869929554174</v>
      </c>
      <c r="J331" s="288">
        <f>'Resultater - Vestdanmark'!J331+'Resultater - Østdanmark'!J331</f>
        <v>66839.182302753994</v>
      </c>
    </row>
    <row r="332" spans="1:10" hidden="1" x14ac:dyDescent="0.55000000000000004">
      <c r="A332" s="99" t="str">
        <f>'Resultater - Vestdanmark'!A332</f>
        <v>Frøgræsmark</v>
      </c>
      <c r="B332" s="99" t="str">
        <f>'Resultater - Vestdanmark'!B332</f>
        <v>Konventionel</v>
      </c>
      <c r="C332" s="99" t="str">
        <f>'Resultater - Vestdanmark'!C332</f>
        <v>OC12</v>
      </c>
      <c r="D332" s="99" t="str">
        <f>'Resultater - Vestdanmark'!D332</f>
        <v>Areal-frøgræs</v>
      </c>
      <c r="E332" s="99" t="str">
        <f>'Resultater - Vestdanmark'!E332</f>
        <v>Hektar</v>
      </c>
      <c r="F332" s="99" t="str">
        <f>'Resultater - Vestdanmark'!F332</f>
        <v>Frø</v>
      </c>
      <c r="G332" s="99" t="str">
        <f>'Resultater - Vestdanmark'!G332</f>
        <v>Ton</v>
      </c>
      <c r="H332" s="286">
        <f>'Resultater - Vestdanmark'!H332+'Resultater - Østdanmark'!H332</f>
        <v>72418.22612376757</v>
      </c>
      <c r="I332" s="287">
        <f>'Resultater - Vestdanmark'!I332+'Resultater - Østdanmark'!I332</f>
        <v>69042.756012718266</v>
      </c>
      <c r="J332" s="288">
        <f>'Resultater - Vestdanmark'!J332+'Resultater - Østdanmark'!J332</f>
        <v>65850.027410974057</v>
      </c>
    </row>
    <row r="333" spans="1:10" hidden="1" x14ac:dyDescent="0.55000000000000004">
      <c r="A333" s="99" t="str">
        <f>'Resultater - Vestdanmark'!A333</f>
        <v>Frøgræsmark</v>
      </c>
      <c r="B333" s="99" t="str">
        <f>'Resultater - Vestdanmark'!B333</f>
        <v>Konventionel</v>
      </c>
      <c r="C333" s="99" t="str">
        <f>'Resultater - Vestdanmark'!C333</f>
        <v>OC12</v>
      </c>
      <c r="D333" s="99" t="str">
        <f>'Resultater - Vestdanmark'!D333</f>
        <v>Areal-frøgræs</v>
      </c>
      <c r="E333" s="99" t="str">
        <f>'Resultater - Vestdanmark'!E333</f>
        <v>Hektar</v>
      </c>
      <c r="F333" s="99" t="str">
        <f>'Resultater - Vestdanmark'!F333</f>
        <v>Halm</v>
      </c>
      <c r="G333" s="99" t="str">
        <f>'Resultater - Vestdanmark'!G333</f>
        <v>Ton</v>
      </c>
      <c r="H333" s="286">
        <f>'Resultater - Vestdanmark'!H333+'Resultater - Østdanmark'!H333</f>
        <v>12030.797140939529</v>
      </c>
      <c r="I333" s="287">
        <f>'Resultater - Vestdanmark'!I333+'Resultater - Østdanmark'!I333</f>
        <v>10637.45491512071</v>
      </c>
      <c r="J333" s="288">
        <f>'Resultater - Vestdanmark'!J333+'Resultater - Østdanmark'!J333</f>
        <v>10145.549485519754</v>
      </c>
    </row>
    <row r="334" spans="1:10" hidden="1" x14ac:dyDescent="0.55000000000000004">
      <c r="A334" s="99" t="str">
        <f>'Resultater - Vestdanmark'!A334</f>
        <v>Frøgræsmark</v>
      </c>
      <c r="B334" s="99" t="str">
        <f>'Resultater - Vestdanmark'!B334</f>
        <v>Konventionel</v>
      </c>
      <c r="C334" s="99" t="str">
        <f>'Resultater - Vestdanmark'!C334</f>
        <v>OC12</v>
      </c>
      <c r="D334" s="99" t="str">
        <f>'Resultater - Vestdanmark'!D334</f>
        <v>Areal-frøgræs</v>
      </c>
      <c r="E334" s="99" t="str">
        <f>'Resultater - Vestdanmark'!E334</f>
        <v>Hektar</v>
      </c>
      <c r="F334" s="99" t="str">
        <f>'Resultater - Vestdanmark'!F334</f>
        <v>Gødning</v>
      </c>
      <c r="G334" s="99" t="str">
        <f>'Resultater - Vestdanmark'!G334</f>
        <v>kg N</v>
      </c>
      <c r="H334" s="286">
        <f>'Resultater - Vestdanmark'!H334+'Resultater - Østdanmark'!H334</f>
        <v>-434413.67575579346</v>
      </c>
      <c r="I334" s="287">
        <f>'Resultater - Vestdanmark'!I334+'Resultater - Østdanmark'!I334</f>
        <v>-386348.24146927526</v>
      </c>
      <c r="J334" s="288">
        <f>'Resultater - Vestdanmark'!J334+'Resultater - Østdanmark'!J334</f>
        <v>-368482.42683485791</v>
      </c>
    </row>
    <row r="335" spans="1:10" hidden="1" x14ac:dyDescent="0.55000000000000004">
      <c r="A335" s="99" t="str">
        <f>'Resultater - Vestdanmark'!A335</f>
        <v>Frøgræsmark</v>
      </c>
      <c r="B335" s="99" t="str">
        <f>'Resultater - Vestdanmark'!B335</f>
        <v>Konventionel</v>
      </c>
      <c r="C335" s="99" t="str">
        <f>'Resultater - Vestdanmark'!C335</f>
        <v>OC12</v>
      </c>
      <c r="D335" s="99" t="str">
        <f>'Resultater - Vestdanmark'!D335</f>
        <v>Areal-frøgræs</v>
      </c>
      <c r="E335" s="99" t="str">
        <f>'Resultater - Vestdanmark'!E335</f>
        <v>Hektar</v>
      </c>
      <c r="F335" s="99" t="str">
        <f>'Resultater - Vestdanmark'!F335</f>
        <v>CO2 - atmosfære</v>
      </c>
      <c r="G335" s="99" t="str">
        <f>'Resultater - Vestdanmark'!G335</f>
        <v>t CO2-ækvivalenter</v>
      </c>
      <c r="H335" s="286">
        <f>'Resultater - Vestdanmark'!H335+'Resultater - Østdanmark'!H335</f>
        <v>148249.80065505981</v>
      </c>
      <c r="I335" s="287">
        <f>'Resultater - Vestdanmark'!I335+'Resultater - Østdanmark'!I335</f>
        <v>131846.7925338769</v>
      </c>
      <c r="J335" s="288">
        <f>'Resultater - Vestdanmark'!J335+'Resultater - Østdanmark'!J335</f>
        <v>125749.83102942017</v>
      </c>
    </row>
    <row r="336" spans="1:10" hidden="1" x14ac:dyDescent="0.55000000000000004">
      <c r="A336" s="99" t="str">
        <f>'Resultater - Vestdanmark'!A336</f>
        <v>Frøgræsmark</v>
      </c>
      <c r="B336" s="99" t="str">
        <f>'Resultater - Vestdanmark'!B336</f>
        <v>Økologisk</v>
      </c>
      <c r="C336" s="99" t="str">
        <f>'Resultater - Vestdanmark'!C336</f>
        <v>JB1-10</v>
      </c>
      <c r="D336" s="99" t="str">
        <f>'Resultater - Vestdanmark'!D336</f>
        <v>Areal-frøgræs</v>
      </c>
      <c r="E336" s="99" t="str">
        <f>'Resultater - Vestdanmark'!E336</f>
        <v>Hektar</v>
      </c>
      <c r="F336" s="99" t="str">
        <f>'Resultater - Vestdanmark'!F336</f>
        <v>Frø</v>
      </c>
      <c r="G336" s="99" t="str">
        <f>'Resultater - Vestdanmark'!G336</f>
        <v>Ton</v>
      </c>
      <c r="H336" s="286">
        <f>'Resultater - Vestdanmark'!H336+'Resultater - Østdanmark'!H336</f>
        <v>90727.938572043873</v>
      </c>
      <c r="I336" s="287">
        <f>'Resultater - Vestdanmark'!I336+'Resultater - Østdanmark'!I336</f>
        <v>114961.8336418485</v>
      </c>
      <c r="J336" s="288">
        <f>'Resultater - Vestdanmark'!J336+'Resultater - Østdanmark'!J336</f>
        <v>147000.74616642622</v>
      </c>
    </row>
    <row r="337" spans="1:10" hidden="1" x14ac:dyDescent="0.55000000000000004">
      <c r="A337" s="99" t="str">
        <f>'Resultater - Vestdanmark'!A337</f>
        <v>Frøgræsmark</v>
      </c>
      <c r="B337" s="99" t="str">
        <f>'Resultater - Vestdanmark'!B337</f>
        <v>Økologisk</v>
      </c>
      <c r="C337" s="99" t="str">
        <f>'Resultater - Vestdanmark'!C337</f>
        <v>JB1-10</v>
      </c>
      <c r="D337" s="99" t="str">
        <f>'Resultater - Vestdanmark'!D337</f>
        <v>Areal-frøgræs</v>
      </c>
      <c r="E337" s="99" t="str">
        <f>'Resultater - Vestdanmark'!E337</f>
        <v>Hektar</v>
      </c>
      <c r="F337" s="99" t="str">
        <f>'Resultater - Vestdanmark'!F337</f>
        <v>Halm</v>
      </c>
      <c r="G337" s="99" t="str">
        <f>'Resultater - Vestdanmark'!G337</f>
        <v>Ton</v>
      </c>
      <c r="H337" s="286">
        <f>'Resultater - Vestdanmark'!H337+'Resultater - Østdanmark'!H337</f>
        <v>15072.578857570828</v>
      </c>
      <c r="I337" s="287">
        <f>'Resultater - Vestdanmark'!I337+'Resultater - Østdanmark'!I337</f>
        <v>17712.23214350687</v>
      </c>
      <c r="J337" s="288">
        <f>'Resultater - Vestdanmark'!J337+'Resultater - Østdanmark'!J337</f>
        <v>22648.484796093784</v>
      </c>
    </row>
    <row r="338" spans="1:10" hidden="1" x14ac:dyDescent="0.55000000000000004">
      <c r="A338" s="99" t="str">
        <f>'Resultater - Vestdanmark'!A338</f>
        <v>Frøgræsmark</v>
      </c>
      <c r="B338" s="99" t="str">
        <f>'Resultater - Vestdanmark'!B338</f>
        <v>Økologisk</v>
      </c>
      <c r="C338" s="99" t="str">
        <f>'Resultater - Vestdanmark'!C338</f>
        <v>JB1-10</v>
      </c>
      <c r="D338" s="99" t="str">
        <f>'Resultater - Vestdanmark'!D338</f>
        <v>Areal-frøgræs</v>
      </c>
      <c r="E338" s="99" t="str">
        <f>'Resultater - Vestdanmark'!E338</f>
        <v>Hektar</v>
      </c>
      <c r="F338" s="99" t="str">
        <f>'Resultater - Vestdanmark'!F338</f>
        <v>Gødning</v>
      </c>
      <c r="G338" s="99" t="str">
        <f>'Resultater - Vestdanmark'!G338</f>
        <v>kg N</v>
      </c>
      <c r="H338" s="286">
        <f>'Resultater - Vestdanmark'!H338+'Resultater - Østdanmark'!H338</f>
        <v>-952433.57849676628</v>
      </c>
      <c r="I338" s="287">
        <f>'Resultater - Vestdanmark'!I338+'Resultater - Østdanmark'!I338</f>
        <v>-1125777.4667483179</v>
      </c>
      <c r="J338" s="288">
        <f>'Resultater - Vestdanmark'!J338+'Resultater - Østdanmark'!J338</f>
        <v>-1439522.3387347744</v>
      </c>
    </row>
    <row r="339" spans="1:10" hidden="1" x14ac:dyDescent="0.55000000000000004">
      <c r="A339" s="99" t="str">
        <f>'Resultater - Vestdanmark'!A339</f>
        <v>Frøgræsmark</v>
      </c>
      <c r="B339" s="99" t="str">
        <f>'Resultater - Vestdanmark'!B339</f>
        <v>Økologisk</v>
      </c>
      <c r="C339" s="99" t="str">
        <f>'Resultater - Vestdanmark'!C339</f>
        <v>JB1-10</v>
      </c>
      <c r="D339" s="99" t="str">
        <f>'Resultater - Vestdanmark'!D339</f>
        <v>Areal-frøgræs</v>
      </c>
      <c r="E339" s="99" t="str">
        <f>'Resultater - Vestdanmark'!E339</f>
        <v>Hektar</v>
      </c>
      <c r="F339" s="99" t="str">
        <f>'Resultater - Vestdanmark'!F339</f>
        <v>CO2 - atmosfære</v>
      </c>
      <c r="G339" s="99" t="str">
        <f>'Resultater - Vestdanmark'!G339</f>
        <v>t CO2-ækvivalenter</v>
      </c>
      <c r="H339" s="286">
        <f>'Resultater - Vestdanmark'!H339+'Resultater - Østdanmark'!H339</f>
        <v>25327.986699790868</v>
      </c>
      <c r="I339" s="287">
        <f>'Resultater - Vestdanmark'!I339+'Resultater - Østdanmark'!I339</f>
        <v>29937.706259505281</v>
      </c>
      <c r="J339" s="288">
        <f>'Resultater - Vestdanmark'!J339+'Resultater - Østdanmark'!J339</f>
        <v>38281.097467260282</v>
      </c>
    </row>
    <row r="340" spans="1:10" hidden="1" x14ac:dyDescent="0.55000000000000004">
      <c r="A340" s="99" t="str">
        <f>'Resultater - Vestdanmark'!A340</f>
        <v>Frøgræsmark</v>
      </c>
      <c r="B340" s="99" t="str">
        <f>'Resultater - Vestdanmark'!B340</f>
        <v>Økologisk</v>
      </c>
      <c r="C340" s="99" t="str">
        <f>'Resultater - Vestdanmark'!C340</f>
        <v>OC6</v>
      </c>
      <c r="D340" s="99" t="str">
        <f>'Resultater - Vestdanmark'!D340</f>
        <v>Areal-frøgræs</v>
      </c>
      <c r="E340" s="99" t="str">
        <f>'Resultater - Vestdanmark'!E340</f>
        <v>Hektar</v>
      </c>
      <c r="F340" s="99" t="str">
        <f>'Resultater - Vestdanmark'!F340</f>
        <v>Frø</v>
      </c>
      <c r="G340" s="99" t="str">
        <f>'Resultater - Vestdanmark'!G340</f>
        <v>Ton</v>
      </c>
      <c r="H340" s="286">
        <f>'Resultater - Vestdanmark'!H340+'Resultater - Østdanmark'!H340</f>
        <v>6063.2651310986303</v>
      </c>
      <c r="I340" s="287">
        <f>'Resultater - Vestdanmark'!I340+'Resultater - Østdanmark'!I340</f>
        <v>7165.8045495054303</v>
      </c>
      <c r="J340" s="288">
        <f>'Resultater - Vestdanmark'!J340+'Resultater - Østdanmark'!J340</f>
        <v>9289.0058975070406</v>
      </c>
    </row>
    <row r="341" spans="1:10" hidden="1" x14ac:dyDescent="0.55000000000000004">
      <c r="A341" s="99" t="str">
        <f>'Resultater - Vestdanmark'!A341</f>
        <v>Frøgræsmark</v>
      </c>
      <c r="B341" s="99" t="str">
        <f>'Resultater - Vestdanmark'!B341</f>
        <v>Økologisk</v>
      </c>
      <c r="C341" s="99" t="str">
        <f>'Resultater - Vestdanmark'!C341</f>
        <v>OC6</v>
      </c>
      <c r="D341" s="99" t="str">
        <f>'Resultater - Vestdanmark'!D341</f>
        <v>Areal-frøgræs</v>
      </c>
      <c r="E341" s="99" t="str">
        <f>'Resultater - Vestdanmark'!E341</f>
        <v>Hektar</v>
      </c>
      <c r="F341" s="99" t="str">
        <f>'Resultater - Vestdanmark'!F341</f>
        <v>Halm</v>
      </c>
      <c r="G341" s="99" t="str">
        <f>'Resultater - Vestdanmark'!G341</f>
        <v>Ton</v>
      </c>
      <c r="H341" s="286">
        <f>'Resultater - Vestdanmark'!H341+'Resultater - Østdanmark'!H341</f>
        <v>1007.2866557006012</v>
      </c>
      <c r="I341" s="287">
        <f>'Resultater - Vestdanmark'!I341+'Resultater - Østdanmark'!I341</f>
        <v>1104.0393985994624</v>
      </c>
      <c r="J341" s="288">
        <f>'Resultater - Vestdanmark'!J341+'Resultater - Østdanmark'!J341</f>
        <v>1431.1621833696736</v>
      </c>
    </row>
    <row r="342" spans="1:10" hidden="1" x14ac:dyDescent="0.55000000000000004">
      <c r="A342" s="99" t="str">
        <f>'Resultater - Vestdanmark'!A342</f>
        <v>Frøgræsmark</v>
      </c>
      <c r="B342" s="99" t="str">
        <f>'Resultater - Vestdanmark'!B342</f>
        <v>Økologisk</v>
      </c>
      <c r="C342" s="99" t="str">
        <f>'Resultater - Vestdanmark'!C342</f>
        <v>OC6</v>
      </c>
      <c r="D342" s="99" t="str">
        <f>'Resultater - Vestdanmark'!D342</f>
        <v>Areal-frøgræs</v>
      </c>
      <c r="E342" s="99" t="str">
        <f>'Resultater - Vestdanmark'!E342</f>
        <v>Hektar</v>
      </c>
      <c r="F342" s="99" t="str">
        <f>'Resultater - Vestdanmark'!F342</f>
        <v>Gødning</v>
      </c>
      <c r="G342" s="99" t="str">
        <f>'Resultater - Vestdanmark'!G342</f>
        <v>kg N</v>
      </c>
      <c r="H342" s="286">
        <f>'Resultater - Vestdanmark'!H342+'Resultater - Østdanmark'!H342</f>
        <v>-47737.698528232206</v>
      </c>
      <c r="I342" s="287">
        <f>'Resultater - Vestdanmark'!I342+'Resultater - Østdanmark'!I342</f>
        <v>-52628.996755270993</v>
      </c>
      <c r="J342" s="288">
        <f>'Resultater - Vestdanmark'!J342+'Resultater - Østdanmark'!J342</f>
        <v>-68222.773571647573</v>
      </c>
    </row>
    <row r="343" spans="1:10" hidden="1" x14ac:dyDescent="0.55000000000000004">
      <c r="A343" s="99" t="str">
        <f>'Resultater - Vestdanmark'!A343</f>
        <v>Frøgræsmark</v>
      </c>
      <c r="B343" s="99" t="str">
        <f>'Resultater - Vestdanmark'!B343</f>
        <v>Økologisk</v>
      </c>
      <c r="C343" s="99" t="str">
        <f>'Resultater - Vestdanmark'!C343</f>
        <v>OC6</v>
      </c>
      <c r="D343" s="99" t="str">
        <f>'Resultater - Vestdanmark'!D343</f>
        <v>Areal-frøgræs</v>
      </c>
      <c r="E343" s="99" t="str">
        <f>'Resultater - Vestdanmark'!E343</f>
        <v>Hektar</v>
      </c>
      <c r="F343" s="99" t="str">
        <f>'Resultater - Vestdanmark'!F343</f>
        <v>CO2 - atmosfære</v>
      </c>
      <c r="G343" s="99" t="str">
        <f>'Resultater - Vestdanmark'!G343</f>
        <v>t CO2-ækvivalenter</v>
      </c>
      <c r="H343" s="286">
        <f>'Resultater - Vestdanmark'!H343+'Resultater - Østdanmark'!H343</f>
        <v>9920.8146156029889</v>
      </c>
      <c r="I343" s="287">
        <f>'Resultater - Vestdanmark'!I343+'Resultater - Østdanmark'!I343</f>
        <v>10937.320740450652</v>
      </c>
      <c r="J343" s="288">
        <f>'Resultater - Vestdanmark'!J343+'Resultater - Østdanmark'!J343</f>
        <v>14178.008367250844</v>
      </c>
    </row>
    <row r="344" spans="1:10" hidden="1" x14ac:dyDescent="0.55000000000000004">
      <c r="A344" s="99" t="str">
        <f>'Resultater - Vestdanmark'!A344</f>
        <v>Frøgræsmark</v>
      </c>
      <c r="B344" s="99" t="str">
        <f>'Resultater - Vestdanmark'!B344</f>
        <v>Økologisk</v>
      </c>
      <c r="C344" s="99" t="str">
        <f>'Resultater - Vestdanmark'!C344</f>
        <v>OC12</v>
      </c>
      <c r="D344" s="99" t="str">
        <f>'Resultater - Vestdanmark'!D344</f>
        <v>Areal-frøgræs</v>
      </c>
      <c r="E344" s="99" t="str">
        <f>'Resultater - Vestdanmark'!E344</f>
        <v>Hektar</v>
      </c>
      <c r="F344" s="99" t="str">
        <f>'Resultater - Vestdanmark'!F344</f>
        <v>Frø</v>
      </c>
      <c r="G344" s="99" t="str">
        <f>'Resultater - Vestdanmark'!G344</f>
        <v>Ton</v>
      </c>
      <c r="H344" s="286">
        <f>'Resultater - Vestdanmark'!H344+'Resultater - Østdanmark'!H344</f>
        <v>5277.9173107404822</v>
      </c>
      <c r="I344" s="287">
        <f>'Resultater - Vestdanmark'!I344+'Resultater - Østdanmark'!I344</f>
        <v>6142.011647605399</v>
      </c>
      <c r="J344" s="288">
        <f>'Resultater - Vestdanmark'!J344+'Resultater - Østdanmark'!J344</f>
        <v>7961.8669505995913</v>
      </c>
    </row>
    <row r="345" spans="1:10" hidden="1" x14ac:dyDescent="0.55000000000000004">
      <c r="A345" s="99" t="str">
        <f>'Resultater - Vestdanmark'!A345</f>
        <v>Frøgræsmark</v>
      </c>
      <c r="B345" s="99" t="str">
        <f>'Resultater - Vestdanmark'!B345</f>
        <v>Økologisk</v>
      </c>
      <c r="C345" s="99" t="str">
        <f>'Resultater - Vestdanmark'!C345</f>
        <v>OC12</v>
      </c>
      <c r="D345" s="99" t="str">
        <f>'Resultater - Vestdanmark'!D345</f>
        <v>Areal-frøgræs</v>
      </c>
      <c r="E345" s="99" t="str">
        <f>'Resultater - Vestdanmark'!E345</f>
        <v>Hektar</v>
      </c>
      <c r="F345" s="99" t="str">
        <f>'Resultater - Vestdanmark'!F345</f>
        <v>Halm</v>
      </c>
      <c r="G345" s="99" t="str">
        <f>'Resultater - Vestdanmark'!G345</f>
        <v>Ton</v>
      </c>
      <c r="H345" s="286">
        <f>'Resultater - Vestdanmark'!H345+'Resultater - Østdanmark'!H345</f>
        <v>876.81728607450714</v>
      </c>
      <c r="I345" s="287">
        <f>'Resultater - Vestdanmark'!I345+'Resultater - Østdanmark'!I345</f>
        <v>946.30307019484246</v>
      </c>
      <c r="J345" s="288">
        <f>'Resultater - Vestdanmark'!J345+'Resultater - Østdanmark'!J345</f>
        <v>1226.6891650673883</v>
      </c>
    </row>
    <row r="346" spans="1:10" hidden="1" x14ac:dyDescent="0.55000000000000004">
      <c r="A346" s="99" t="str">
        <f>'Resultater - Vestdanmark'!A346</f>
        <v>Frøgræsmark</v>
      </c>
      <c r="B346" s="99" t="str">
        <f>'Resultater - Vestdanmark'!B346</f>
        <v>Økologisk</v>
      </c>
      <c r="C346" s="99" t="str">
        <f>'Resultater - Vestdanmark'!C346</f>
        <v>OC12</v>
      </c>
      <c r="D346" s="99" t="str">
        <f>'Resultater - Vestdanmark'!D346</f>
        <v>Areal-frøgræs</v>
      </c>
      <c r="E346" s="99" t="str">
        <f>'Resultater - Vestdanmark'!E346</f>
        <v>Hektar</v>
      </c>
      <c r="F346" s="99" t="str">
        <f>'Resultater - Vestdanmark'!F346</f>
        <v>Gødning</v>
      </c>
      <c r="G346" s="99" t="str">
        <f>'Resultater - Vestdanmark'!G346</f>
        <v>kg N</v>
      </c>
      <c r="H346" s="286">
        <f>'Resultater - Vestdanmark'!H346+'Resultater - Østdanmark'!H346</f>
        <v>-31660.530532401586</v>
      </c>
      <c r="I346" s="287">
        <f>'Resultater - Vestdanmark'!I346+'Resultater - Østdanmark'!I346</f>
        <v>-34369.360902960383</v>
      </c>
      <c r="J346" s="288">
        <f>'Resultater - Vestdanmark'!J346+'Resultater - Østdanmark'!J346</f>
        <v>-44552.875244578274</v>
      </c>
    </row>
    <row r="347" spans="1:10" hidden="1" x14ac:dyDescent="0.55000000000000004">
      <c r="A347" s="99" t="str">
        <f>'Resultater - Vestdanmark'!A347</f>
        <v>Frøgræsmark</v>
      </c>
      <c r="B347" s="99" t="str">
        <f>'Resultater - Vestdanmark'!B347</f>
        <v>Økologisk</v>
      </c>
      <c r="C347" s="99" t="str">
        <f>'Resultater - Vestdanmark'!C347</f>
        <v>OC12</v>
      </c>
      <c r="D347" s="99" t="str">
        <f>'Resultater - Vestdanmark'!D347</f>
        <v>Areal-frøgræs</v>
      </c>
      <c r="E347" s="99" t="str">
        <f>'Resultater - Vestdanmark'!E347</f>
        <v>Hektar</v>
      </c>
      <c r="F347" s="99" t="str">
        <f>'Resultater - Vestdanmark'!F347</f>
        <v>CO2 - atmosfære</v>
      </c>
      <c r="G347" s="99" t="str">
        <f>'Resultater - Vestdanmark'!G347</f>
        <v>t CO2-ækvivalenter</v>
      </c>
      <c r="H347" s="286">
        <f>'Resultater - Vestdanmark'!H347+'Resultater - Østdanmark'!H347</f>
        <v>18955.444004025605</v>
      </c>
      <c r="I347" s="287">
        <f>'Resultater - Vestdanmark'!I347+'Resultater - Østdanmark'!I347</f>
        <v>20577.245077541484</v>
      </c>
      <c r="J347" s="288">
        <f>'Resultater - Vestdanmark'!J347+'Resultater - Østdanmark'!J347</f>
        <v>26674.20658199822</v>
      </c>
    </row>
    <row r="348" spans="1:10" hidden="1" x14ac:dyDescent="0.55000000000000004">
      <c r="A348" s="99" t="str">
        <f>'Resultater - Vestdanmark'!A348</f>
        <v>Juletræsmark</v>
      </c>
      <c r="B348" s="99" t="str">
        <f>'Resultater - Vestdanmark'!B348</f>
        <v>Konventionel</v>
      </c>
      <c r="C348" s="99" t="str">
        <f>'Resultater - Vestdanmark'!C348</f>
        <v>JB1-10</v>
      </c>
      <c r="D348" s="99" t="str">
        <f>'Resultater - Vestdanmark'!D348</f>
        <v>Areal-juletræer</v>
      </c>
      <c r="E348" s="99" t="str">
        <f>'Resultater - Vestdanmark'!E348</f>
        <v>Hektar</v>
      </c>
      <c r="F348" s="99" t="str">
        <f>'Resultater - Vestdanmark'!F348</f>
        <v>Juletræer</v>
      </c>
      <c r="G348" s="99" t="str">
        <f>'Resultater - Vestdanmark'!G348</f>
        <v>Ton</v>
      </c>
      <c r="H348" s="286">
        <f>'Resultater - Vestdanmark'!H348+'Resultater - Østdanmark'!H348</f>
        <v>803523.26097451104</v>
      </c>
      <c r="I348" s="287">
        <f>'Resultater - Vestdanmark'!I348+'Resultater - Østdanmark'!I348</f>
        <v>832681.84288694861</v>
      </c>
      <c r="J348" s="288">
        <f>'Resultater - Vestdanmark'!J348+'Resultater - Østdanmark'!J348</f>
        <v>780862.4344128652</v>
      </c>
    </row>
    <row r="349" spans="1:10" hidden="1" x14ac:dyDescent="0.55000000000000004">
      <c r="A349" s="99" t="str">
        <f>'Resultater - Vestdanmark'!A349</f>
        <v>Juletræsmark</v>
      </c>
      <c r="B349" s="99" t="str">
        <f>'Resultater - Vestdanmark'!B349</f>
        <v>Konventionel</v>
      </c>
      <c r="C349" s="99" t="str">
        <f>'Resultater - Vestdanmark'!C349</f>
        <v>JB1-10</v>
      </c>
      <c r="D349" s="99" t="str">
        <f>'Resultater - Vestdanmark'!D349</f>
        <v>Areal-juletræer</v>
      </c>
      <c r="E349" s="99" t="str">
        <f>'Resultater - Vestdanmark'!E349</f>
        <v>Hektar</v>
      </c>
      <c r="F349" s="99" t="str">
        <f>'Resultater - Vestdanmark'!F349</f>
        <v>Gødning</v>
      </c>
      <c r="G349" s="99" t="str">
        <f>'Resultater - Vestdanmark'!G349</f>
        <v>kg N</v>
      </c>
      <c r="H349" s="286">
        <f>'Resultater - Vestdanmark'!H349+'Resultater - Østdanmark'!H349</f>
        <v>-1767751.1741439244</v>
      </c>
      <c r="I349" s="287">
        <f>'Resultater - Vestdanmark'!I349+'Resultater - Østdanmark'!I349</f>
        <v>-1708861.990999335</v>
      </c>
      <c r="J349" s="288">
        <f>'Resultater - Vestdanmark'!J349+'Resultater - Østdanmark'!J349</f>
        <v>-1602516.1900264022</v>
      </c>
    </row>
    <row r="350" spans="1:10" hidden="1" x14ac:dyDescent="0.55000000000000004">
      <c r="A350" s="99" t="str">
        <f>'Resultater - Vestdanmark'!A350</f>
        <v>Juletræsmark</v>
      </c>
      <c r="B350" s="99" t="str">
        <f>'Resultater - Vestdanmark'!B350</f>
        <v>Konventionel</v>
      </c>
      <c r="C350" s="99" t="str">
        <f>'Resultater - Vestdanmark'!C350</f>
        <v>JB1-10</v>
      </c>
      <c r="D350" s="99" t="str">
        <f>'Resultater - Vestdanmark'!D350</f>
        <v>Areal-juletræer</v>
      </c>
      <c r="E350" s="99" t="str">
        <f>'Resultater - Vestdanmark'!E350</f>
        <v>Hektar</v>
      </c>
      <c r="F350" s="99" t="str">
        <f>'Resultater - Vestdanmark'!F350</f>
        <v>CO2 - atmosfære</v>
      </c>
      <c r="G350" s="99" t="str">
        <f>'Resultater - Vestdanmark'!G350</f>
        <v>t CO2-ækvivalenter</v>
      </c>
      <c r="H350" s="286">
        <f>'Resultater - Vestdanmark'!H350+'Resultater - Østdanmark'!H350</f>
        <v>31589.622964822924</v>
      </c>
      <c r="I350" s="287">
        <f>'Resultater - Vestdanmark'!I350+'Resultater - Østdanmark'!I350</f>
        <v>30537.276277430748</v>
      </c>
      <c r="J350" s="288">
        <f>'Resultater - Vestdanmark'!J350+'Resultater - Østdanmark'!J350</f>
        <v>28636.882259446902</v>
      </c>
    </row>
    <row r="351" spans="1:10" hidden="1" x14ac:dyDescent="0.55000000000000004">
      <c r="A351" s="99" t="str">
        <f>'Resultater - Vestdanmark'!A351</f>
        <v>Juletræsmark</v>
      </c>
      <c r="B351" s="99" t="str">
        <f>'Resultater - Vestdanmark'!B351</f>
        <v>Konventionel</v>
      </c>
      <c r="C351" s="99" t="str">
        <f>'Resultater - Vestdanmark'!C351</f>
        <v>OC6</v>
      </c>
      <c r="D351" s="99" t="str">
        <f>'Resultater - Vestdanmark'!D351</f>
        <v>Areal-juletræer</v>
      </c>
      <c r="E351" s="99" t="str">
        <f>'Resultater - Vestdanmark'!E351</f>
        <v>Hektar</v>
      </c>
      <c r="F351" s="99" t="str">
        <f>'Resultater - Vestdanmark'!F351</f>
        <v>Juletræer</v>
      </c>
      <c r="G351" s="99" t="str">
        <f>'Resultater - Vestdanmark'!G351</f>
        <v>Ton</v>
      </c>
      <c r="H351" s="286">
        <f>'Resultater - Vestdanmark'!H351+'Resultater - Østdanmark'!H351</f>
        <v>27634.888548227009</v>
      </c>
      <c r="I351" s="287">
        <f>'Resultater - Vestdanmark'!I351+'Resultater - Østdanmark'!I351</f>
        <v>26748.811950428641</v>
      </c>
      <c r="J351" s="288">
        <f>'Resultater - Vestdanmark'!J351+'Resultater - Østdanmark'!J351</f>
        <v>25511.872669483968</v>
      </c>
    </row>
    <row r="352" spans="1:10" hidden="1" x14ac:dyDescent="0.55000000000000004">
      <c r="A352" s="99" t="str">
        <f>'Resultater - Vestdanmark'!A352</f>
        <v>Juletræsmark</v>
      </c>
      <c r="B352" s="99" t="str">
        <f>'Resultater - Vestdanmark'!B352</f>
        <v>Konventionel</v>
      </c>
      <c r="C352" s="99" t="str">
        <f>'Resultater - Vestdanmark'!C352</f>
        <v>OC6</v>
      </c>
      <c r="D352" s="99" t="str">
        <f>'Resultater - Vestdanmark'!D352</f>
        <v>Areal-juletræer</v>
      </c>
      <c r="E352" s="99" t="str">
        <f>'Resultater - Vestdanmark'!E352</f>
        <v>Hektar</v>
      </c>
      <c r="F352" s="99" t="str">
        <f>'Resultater - Vestdanmark'!F352</f>
        <v>Gødning</v>
      </c>
      <c r="G352" s="99" t="str">
        <f>'Resultater - Vestdanmark'!G352</f>
        <v>kg N</v>
      </c>
      <c r="H352" s="286">
        <f>'Resultater - Vestdanmark'!H352+'Resultater - Østdanmark'!H352</f>
        <v>-46058.147580378347</v>
      </c>
      <c r="I352" s="287">
        <f>'Resultater - Vestdanmark'!I352+'Resultater - Østdanmark'!I352</f>
        <v>-41587.083256263431</v>
      </c>
      <c r="J352" s="288">
        <f>'Resultater - Vestdanmark'!J352+'Resultater - Østdanmark'!J352</f>
        <v>-39663.981140366857</v>
      </c>
    </row>
    <row r="353" spans="1:10" hidden="1" x14ac:dyDescent="0.55000000000000004">
      <c r="A353" s="99" t="str">
        <f>'Resultater - Vestdanmark'!A353</f>
        <v>Juletræsmark</v>
      </c>
      <c r="B353" s="99" t="str">
        <f>'Resultater - Vestdanmark'!B353</f>
        <v>Konventionel</v>
      </c>
      <c r="C353" s="99" t="str">
        <f>'Resultater - Vestdanmark'!C353</f>
        <v>OC6</v>
      </c>
      <c r="D353" s="99" t="str">
        <f>'Resultater - Vestdanmark'!D353</f>
        <v>Areal-juletræer</v>
      </c>
      <c r="E353" s="99" t="str">
        <f>'Resultater - Vestdanmark'!E353</f>
        <v>Hektar</v>
      </c>
      <c r="F353" s="99" t="str">
        <f>'Resultater - Vestdanmark'!F353</f>
        <v>CO2 - atmosfære</v>
      </c>
      <c r="G353" s="99" t="str">
        <f>'Resultater - Vestdanmark'!G353</f>
        <v>t CO2-ækvivalenter</v>
      </c>
      <c r="H353" s="286">
        <f>'Resultater - Vestdanmark'!H353+'Resultater - Østdanmark'!H353</f>
        <v>4910.5789263453398</v>
      </c>
      <c r="I353" s="287">
        <f>'Resultater - Vestdanmark'!I353+'Resultater - Østdanmark'!I353</f>
        <v>4433.887713134528</v>
      </c>
      <c r="J353" s="288">
        <f>'Resultater - Vestdanmark'!J353+'Resultater - Østdanmark'!J353</f>
        <v>4228.8524431629894</v>
      </c>
    </row>
    <row r="354" spans="1:10" hidden="1" x14ac:dyDescent="0.55000000000000004">
      <c r="A354" s="99" t="str">
        <f>'Resultater - Vestdanmark'!A354</f>
        <v>Juletræsmark</v>
      </c>
      <c r="B354" s="99" t="str">
        <f>'Resultater - Vestdanmark'!B354</f>
        <v>Konventionel</v>
      </c>
      <c r="C354" s="99" t="str">
        <f>'Resultater - Vestdanmark'!C354</f>
        <v>OC12</v>
      </c>
      <c r="D354" s="99" t="str">
        <f>'Resultater - Vestdanmark'!D354</f>
        <v>Areal-juletræer</v>
      </c>
      <c r="E354" s="99" t="str">
        <f>'Resultater - Vestdanmark'!E354</f>
        <v>Hektar</v>
      </c>
      <c r="F354" s="99" t="str">
        <f>'Resultater - Vestdanmark'!F354</f>
        <v>Juletræer</v>
      </c>
      <c r="G354" s="99" t="str">
        <f>'Resultater - Vestdanmark'!G354</f>
        <v>Ton</v>
      </c>
      <c r="H354" s="286">
        <f>'Resultater - Vestdanmark'!H354+'Resultater - Østdanmark'!H354</f>
        <v>18493.012942248984</v>
      </c>
      <c r="I354" s="287">
        <f>'Resultater - Vestdanmark'!I354+'Resultater - Østdanmark'!I354</f>
        <v>17533.026612413661</v>
      </c>
      <c r="J354" s="288">
        <f>'Resultater - Vestdanmark'!J354+'Resultater - Østdanmark'!J354</f>
        <v>16722.250815307831</v>
      </c>
    </row>
    <row r="355" spans="1:10" hidden="1" x14ac:dyDescent="0.55000000000000004">
      <c r="A355" s="99" t="str">
        <f>'Resultater - Vestdanmark'!A355</f>
        <v>Juletræsmark</v>
      </c>
      <c r="B355" s="99" t="str">
        <f>'Resultater - Vestdanmark'!B355</f>
        <v>Konventionel</v>
      </c>
      <c r="C355" s="99" t="str">
        <f>'Resultater - Vestdanmark'!C355</f>
        <v>OC12</v>
      </c>
      <c r="D355" s="99" t="str">
        <f>'Resultater - Vestdanmark'!D355</f>
        <v>Areal-juletræer</v>
      </c>
      <c r="E355" s="99" t="str">
        <f>'Resultater - Vestdanmark'!E355</f>
        <v>Hektar</v>
      </c>
      <c r="F355" s="99" t="str">
        <f>'Resultater - Vestdanmark'!F355</f>
        <v>Gødning</v>
      </c>
      <c r="G355" s="99" t="str">
        <f>'Resultater - Vestdanmark'!G355</f>
        <v>kg N</v>
      </c>
      <c r="H355" s="286">
        <f>'Resultater - Vestdanmark'!H355+'Resultater - Østdanmark'!H355</f>
        <v>-23776.730925748692</v>
      </c>
      <c r="I355" s="287">
        <f>'Resultater - Vestdanmark'!I355+'Resultater - Østdanmark'!I355</f>
        <v>-21028.416779280778</v>
      </c>
      <c r="J355" s="288">
        <f>'Resultater - Vestdanmark'!J355+'Resultater - Østdanmark'!J355</f>
        <v>-20056.004442666643</v>
      </c>
    </row>
    <row r="356" spans="1:10" hidden="1" x14ac:dyDescent="0.55000000000000004">
      <c r="A356" s="99" t="str">
        <f>'Resultater - Vestdanmark'!A356</f>
        <v>Juletræsmark</v>
      </c>
      <c r="B356" s="99" t="str">
        <f>'Resultater - Vestdanmark'!B356</f>
        <v>Konventionel</v>
      </c>
      <c r="C356" s="99" t="str">
        <f>'Resultater - Vestdanmark'!C356</f>
        <v>OC12</v>
      </c>
      <c r="D356" s="99" t="str">
        <f>'Resultater - Vestdanmark'!D356</f>
        <v>Areal-juletræer</v>
      </c>
      <c r="E356" s="99" t="str">
        <f>'Resultater - Vestdanmark'!E356</f>
        <v>Hektar</v>
      </c>
      <c r="F356" s="99" t="str">
        <f>'Resultater - Vestdanmark'!F356</f>
        <v>CO2 - atmosfære</v>
      </c>
      <c r="G356" s="99" t="str">
        <f>'Resultater - Vestdanmark'!G356</f>
        <v>t CO2-ækvivalenter</v>
      </c>
      <c r="H356" s="286">
        <f>'Resultater - Vestdanmark'!H356+'Resultater - Østdanmark'!H356</f>
        <v>7529.7457544847666</v>
      </c>
      <c r="I356" s="287">
        <f>'Resultater - Vestdanmark'!I356+'Resultater - Østdanmark'!I356</f>
        <v>6659.3945341684866</v>
      </c>
      <c r="J356" s="288">
        <f>'Resultater - Vestdanmark'!J356+'Resultater - Østdanmark'!J356</f>
        <v>6351.4456539757248</v>
      </c>
    </row>
    <row r="357" spans="1:10" hidden="1" x14ac:dyDescent="0.55000000000000004">
      <c r="A357" s="99" t="str">
        <f>'Resultater - Vestdanmark'!A357</f>
        <v>Juletræsmark</v>
      </c>
      <c r="B357" s="99" t="str">
        <f>'Resultater - Vestdanmark'!B357</f>
        <v>Økologisk</v>
      </c>
      <c r="C357" s="99" t="str">
        <f>'Resultater - Vestdanmark'!C357</f>
        <v>JB1-10</v>
      </c>
      <c r="D357" s="99" t="str">
        <f>'Resultater - Vestdanmark'!D357</f>
        <v>Areal-juletræer</v>
      </c>
      <c r="E357" s="99" t="str">
        <f>'Resultater - Vestdanmark'!E357</f>
        <v>Hektar</v>
      </c>
      <c r="F357" s="99" t="str">
        <f>'Resultater - Vestdanmark'!F357</f>
        <v>Juletræer</v>
      </c>
      <c r="G357" s="99" t="str">
        <f>'Resultater - Vestdanmark'!G357</f>
        <v>Ton</v>
      </c>
      <c r="H357" s="286">
        <f>'Resultater - Vestdanmark'!H357+'Resultater - Østdanmark'!H357</f>
        <v>58561.6295189554</v>
      </c>
      <c r="I357" s="287">
        <f>'Resultater - Vestdanmark'!I357+'Resultater - Østdanmark'!I357</f>
        <v>74074.991688035487</v>
      </c>
      <c r="J357" s="288">
        <f>'Resultater - Vestdanmark'!J357+'Resultater - Østdanmark'!J357</f>
        <v>94413.367069919143</v>
      </c>
    </row>
    <row r="358" spans="1:10" hidden="1" x14ac:dyDescent="0.55000000000000004">
      <c r="A358" s="99" t="str">
        <f>'Resultater - Vestdanmark'!A358</f>
        <v>Juletræsmark</v>
      </c>
      <c r="B358" s="99" t="str">
        <f>'Resultater - Vestdanmark'!B358</f>
        <v>Økologisk</v>
      </c>
      <c r="C358" s="99" t="str">
        <f>'Resultater - Vestdanmark'!C358</f>
        <v>JB1-10</v>
      </c>
      <c r="D358" s="99" t="str">
        <f>'Resultater - Vestdanmark'!D358</f>
        <v>Areal-juletræer</v>
      </c>
      <c r="E358" s="99" t="str">
        <f>'Resultater - Vestdanmark'!E358</f>
        <v>Hektar</v>
      </c>
      <c r="F358" s="99" t="str">
        <f>'Resultater - Vestdanmark'!F358</f>
        <v>Gødning</v>
      </c>
      <c r="G358" s="99" t="str">
        <f>'Resultater - Vestdanmark'!G358</f>
        <v>kg N</v>
      </c>
      <c r="H358" s="286">
        <f>'Resultater - Vestdanmark'!H358+'Resultater - Østdanmark'!H358</f>
        <v>-128835.58494170189</v>
      </c>
      <c r="I358" s="287">
        <f>'Resultater - Vestdanmark'!I358+'Resultater - Østdanmark'!I358</f>
        <v>-152019.57249410267</v>
      </c>
      <c r="J358" s="288">
        <f>'Resultater - Vestdanmark'!J358+'Resultater - Østdanmark'!J358</f>
        <v>-193758.77570319222</v>
      </c>
    </row>
    <row r="359" spans="1:10" hidden="1" x14ac:dyDescent="0.55000000000000004">
      <c r="A359" s="99" t="str">
        <f>'Resultater - Vestdanmark'!A359</f>
        <v>Juletræsmark</v>
      </c>
      <c r="B359" s="99" t="str">
        <f>'Resultater - Vestdanmark'!B359</f>
        <v>Økologisk</v>
      </c>
      <c r="C359" s="99" t="str">
        <f>'Resultater - Vestdanmark'!C359</f>
        <v>JB1-10</v>
      </c>
      <c r="D359" s="99" t="str">
        <f>'Resultater - Vestdanmark'!D359</f>
        <v>Areal-juletræer</v>
      </c>
      <c r="E359" s="99" t="str">
        <f>'Resultater - Vestdanmark'!E359</f>
        <v>Hektar</v>
      </c>
      <c r="F359" s="99" t="str">
        <f>'Resultater - Vestdanmark'!F359</f>
        <v>CO2 - atmosfære</v>
      </c>
      <c r="G359" s="99" t="str">
        <f>'Resultater - Vestdanmark'!G359</f>
        <v>t CO2-ækvivalenter</v>
      </c>
      <c r="H359" s="286">
        <f>'Resultater - Vestdanmark'!H359+'Resultater - Østdanmark'!H359</f>
        <v>4039.0970279361727</v>
      </c>
      <c r="I359" s="287">
        <f>'Resultater - Vestdanmark'!I359+'Resultater - Østdanmark'!I359</f>
        <v>4765.9332918533546</v>
      </c>
      <c r="J359" s="288">
        <f>'Resultater - Vestdanmark'!J359+'Resultater - Østdanmark'!J359</f>
        <v>6074.4901762463114</v>
      </c>
    </row>
    <row r="360" spans="1:10" hidden="1" x14ac:dyDescent="0.55000000000000004">
      <c r="A360" s="99" t="str">
        <f>'Resultater - Vestdanmark'!A360</f>
        <v>Juletræsmark</v>
      </c>
      <c r="B360" s="99" t="str">
        <f>'Resultater - Vestdanmark'!B360</f>
        <v>Økologisk</v>
      </c>
      <c r="C360" s="99" t="str">
        <f>'Resultater - Vestdanmark'!C360</f>
        <v>OC6</v>
      </c>
      <c r="D360" s="99" t="str">
        <f>'Resultater - Vestdanmark'!D360</f>
        <v>Areal-juletræer</v>
      </c>
      <c r="E360" s="99" t="str">
        <f>'Resultater - Vestdanmark'!E360</f>
        <v>Hektar</v>
      </c>
      <c r="F360" s="99" t="str">
        <f>'Resultater - Vestdanmark'!F360</f>
        <v>Juletræer</v>
      </c>
      <c r="G360" s="99" t="str">
        <f>'Resultater - Vestdanmark'!G360</f>
        <v>Ton</v>
      </c>
      <c r="H360" s="286">
        <f>'Resultater - Vestdanmark'!H360+'Resultater - Østdanmark'!H360</f>
        <v>2014.0600571988041</v>
      </c>
      <c r="I360" s="287">
        <f>'Resultater - Vestdanmark'!I360+'Resultater - Østdanmark'!I360</f>
        <v>2379.5619417173225</v>
      </c>
      <c r="J360" s="288">
        <f>'Resultater - Vestdanmark'!J360+'Resultater - Østdanmark'!J360</f>
        <v>3084.6173318557881</v>
      </c>
    </row>
    <row r="361" spans="1:10" hidden="1" x14ac:dyDescent="0.55000000000000004">
      <c r="A361" s="99" t="str">
        <f>'Resultater - Vestdanmark'!A361</f>
        <v>Juletræsmark</v>
      </c>
      <c r="B361" s="99" t="str">
        <f>'Resultater - Vestdanmark'!B361</f>
        <v>Økologisk</v>
      </c>
      <c r="C361" s="99" t="str">
        <f>'Resultater - Vestdanmark'!C361</f>
        <v>OC6</v>
      </c>
      <c r="D361" s="99" t="str">
        <f>'Resultater - Vestdanmark'!D361</f>
        <v>Areal-juletræer</v>
      </c>
      <c r="E361" s="99" t="str">
        <f>'Resultater - Vestdanmark'!E361</f>
        <v>Hektar</v>
      </c>
      <c r="F361" s="99" t="str">
        <f>'Resultater - Vestdanmark'!F361</f>
        <v>Gødning</v>
      </c>
      <c r="G361" s="99" t="str">
        <f>'Resultater - Vestdanmark'!G361</f>
        <v>kg N</v>
      </c>
      <c r="H361" s="286">
        <f>'Resultater - Vestdanmark'!H361+'Resultater - Østdanmark'!H361</f>
        <v>-3356.766761998007</v>
      </c>
      <c r="I361" s="287">
        <f>'Resultater - Vestdanmark'!I361+'Resultater - Østdanmark'!I361</f>
        <v>-3699.5676954560363</v>
      </c>
      <c r="J361" s="288">
        <f>'Resultater - Vestdanmark'!J361+'Resultater - Østdanmark'!J361</f>
        <v>-4795.7359015170832</v>
      </c>
    </row>
    <row r="362" spans="1:10" hidden="1" x14ac:dyDescent="0.55000000000000004">
      <c r="A362" s="99" t="str">
        <f>'Resultater - Vestdanmark'!A362</f>
        <v>Juletræsmark</v>
      </c>
      <c r="B362" s="99" t="str">
        <f>'Resultater - Vestdanmark'!B362</f>
        <v>Økologisk</v>
      </c>
      <c r="C362" s="99" t="str">
        <f>'Resultater - Vestdanmark'!C362</f>
        <v>OC6</v>
      </c>
      <c r="D362" s="99" t="str">
        <f>'Resultater - Vestdanmark'!D362</f>
        <v>Areal-juletræer</v>
      </c>
      <c r="E362" s="99" t="str">
        <f>'Resultater - Vestdanmark'!E362</f>
        <v>Hektar</v>
      </c>
      <c r="F362" s="99" t="str">
        <f>'Resultater - Vestdanmark'!F362</f>
        <v>CO2 - atmosfære</v>
      </c>
      <c r="G362" s="99" t="str">
        <f>'Resultater - Vestdanmark'!G362</f>
        <v>t CO2-ækvivalenter</v>
      </c>
      <c r="H362" s="286">
        <f>'Resultater - Vestdanmark'!H362+'Resultater - Østdanmark'!H362</f>
        <v>627.87405753257133</v>
      </c>
      <c r="I362" s="287">
        <f>'Resultater - Vestdanmark'!I362+'Resultater - Østdanmark'!I362</f>
        <v>691.99403615394374</v>
      </c>
      <c r="J362" s="288">
        <f>'Resultater - Vestdanmark'!J362+'Resultater - Østdanmark'!J362</f>
        <v>897.02930612548255</v>
      </c>
    </row>
    <row r="363" spans="1:10" hidden="1" x14ac:dyDescent="0.55000000000000004">
      <c r="A363" s="99" t="str">
        <f>'Resultater - Vestdanmark'!A363</f>
        <v>Juletræsmark</v>
      </c>
      <c r="B363" s="99" t="str">
        <f>'Resultater - Vestdanmark'!B363</f>
        <v>Økologisk</v>
      </c>
      <c r="C363" s="99" t="str">
        <f>'Resultater - Vestdanmark'!C363</f>
        <v>OC12</v>
      </c>
      <c r="D363" s="99" t="str">
        <f>'Resultater - Vestdanmark'!D363</f>
        <v>Areal-juletræer</v>
      </c>
      <c r="E363" s="99" t="str">
        <f>'Resultater - Vestdanmark'!E363</f>
        <v>Hektar</v>
      </c>
      <c r="F363" s="99" t="str">
        <f>'Resultater - Vestdanmark'!F363</f>
        <v>Juletræer</v>
      </c>
      <c r="G363" s="99" t="str">
        <f>'Resultater - Vestdanmark'!G363</f>
        <v>Ton</v>
      </c>
      <c r="H363" s="286">
        <f>'Resultater - Vestdanmark'!H363+'Resultater - Østdanmark'!H363</f>
        <v>1347.7904439254141</v>
      </c>
      <c r="I363" s="287">
        <f>'Resultater - Vestdanmark'!I363+'Resultater - Østdanmark'!I363</f>
        <v>1559.7299396823485</v>
      </c>
      <c r="J363" s="288">
        <f>'Resultater - Vestdanmark'!J363+'Resultater - Østdanmark'!J363</f>
        <v>2021.8721440326738</v>
      </c>
    </row>
    <row r="364" spans="1:10" hidden="1" x14ac:dyDescent="0.55000000000000004">
      <c r="A364" s="99" t="str">
        <f>'Resultater - Vestdanmark'!A364</f>
        <v>Juletræsmark</v>
      </c>
      <c r="B364" s="99" t="str">
        <f>'Resultater - Vestdanmark'!B364</f>
        <v>Økologisk</v>
      </c>
      <c r="C364" s="99" t="str">
        <f>'Resultater - Vestdanmark'!C364</f>
        <v>OC12</v>
      </c>
      <c r="D364" s="99" t="str">
        <f>'Resultater - Vestdanmark'!D364</f>
        <v>Areal-juletræer</v>
      </c>
      <c r="E364" s="99" t="str">
        <f>'Resultater - Vestdanmark'!E364</f>
        <v>Hektar</v>
      </c>
      <c r="F364" s="99" t="str">
        <f>'Resultater - Vestdanmark'!F364</f>
        <v>Gødning</v>
      </c>
      <c r="G364" s="99" t="str">
        <f>'Resultater - Vestdanmark'!G364</f>
        <v>kg N</v>
      </c>
      <c r="H364" s="286">
        <f>'Resultater - Vestdanmark'!H364+'Resultater - Østdanmark'!H364</f>
        <v>-1732.8734279041039</v>
      </c>
      <c r="I364" s="287">
        <f>'Resultater - Vestdanmark'!I364+'Resultater - Østdanmark'!I364</f>
        <v>-1870.678232561452</v>
      </c>
      <c r="J364" s="288">
        <f>'Resultater - Vestdanmark'!J364+'Resultater - Østdanmark'!J364</f>
        <v>-2424.9532644315118</v>
      </c>
    </row>
    <row r="365" spans="1:10" hidden="1" x14ac:dyDescent="0.55000000000000004">
      <c r="A365" s="99" t="str">
        <f>'Resultater - Vestdanmark'!A365</f>
        <v>Juletræsmark</v>
      </c>
      <c r="B365" s="99" t="str">
        <f>'Resultater - Vestdanmark'!B365</f>
        <v>Økologisk</v>
      </c>
      <c r="C365" s="99" t="str">
        <f>'Resultater - Vestdanmark'!C365</f>
        <v>OC12</v>
      </c>
      <c r="D365" s="99" t="str">
        <f>'Resultater - Vestdanmark'!D365</f>
        <v>Areal-juletræer</v>
      </c>
      <c r="E365" s="99" t="str">
        <f>'Resultater - Vestdanmark'!E365</f>
        <v>Hektar</v>
      </c>
      <c r="F365" s="99" t="str">
        <f>'Resultater - Vestdanmark'!F365</f>
        <v>CO2 - atmosfære</v>
      </c>
      <c r="G365" s="99" t="str">
        <f>'Resultater - Vestdanmark'!G365</f>
        <v>t CO2-ækvivalenter</v>
      </c>
      <c r="H365" s="286">
        <f>'Resultater - Vestdanmark'!H365+'Resultater - Østdanmark'!H365</f>
        <v>962.76469434034368</v>
      </c>
      <c r="I365" s="287">
        <f>'Resultater - Vestdanmark'!I365+'Resultater - Østdanmark'!I365</f>
        <v>1039.3274706505731</v>
      </c>
      <c r="J365" s="288">
        <f>'Resultater - Vestdanmark'!J365+'Resultater - Østdanmark'!J365</f>
        <v>1347.2763508433356</v>
      </c>
    </row>
    <row r="366" spans="1:10" hidden="1" x14ac:dyDescent="0.55000000000000004">
      <c r="A366" s="99" t="str">
        <f>'Resultater - Vestdanmark'!A366</f>
        <v>Pil- og poppeldyrkning</v>
      </c>
      <c r="B366" s="99" t="str">
        <f>'Resultater - Vestdanmark'!B366</f>
        <v>Konventionel</v>
      </c>
      <c r="C366" s="99" t="str">
        <f>'Resultater - Vestdanmark'!C366</f>
        <v>JB1-10</v>
      </c>
      <c r="D366" s="99" t="str">
        <f>'Resultater - Vestdanmark'!D366</f>
        <v>Areal-pil-poppel</v>
      </c>
      <c r="E366" s="99" t="str">
        <f>'Resultater - Vestdanmark'!E366</f>
        <v>Hektar</v>
      </c>
      <c r="F366" s="99" t="str">
        <f>'Resultater - Vestdanmark'!F366</f>
        <v>Pil &amp; poppel</v>
      </c>
      <c r="G366" s="99" t="str">
        <f>'Resultater - Vestdanmark'!G366</f>
        <v>Ton</v>
      </c>
      <c r="H366" s="286">
        <f>'Resultater - Vestdanmark'!H366+'Resultater - Østdanmark'!H366</f>
        <v>151119.96541178104</v>
      </c>
      <c r="I366" s="287">
        <f>'Resultater - Vestdanmark'!I366+'Resultater - Østdanmark'!I366</f>
        <v>156643.47190119475</v>
      </c>
      <c r="J366" s="288">
        <f>'Resultater - Vestdanmark'!J366+'Resultater - Østdanmark'!J366</f>
        <v>146964.55359536136</v>
      </c>
    </row>
    <row r="367" spans="1:10" hidden="1" x14ac:dyDescent="0.55000000000000004">
      <c r="A367" s="99" t="str">
        <f>'Resultater - Vestdanmark'!A367</f>
        <v>Pil- og poppeldyrkning</v>
      </c>
      <c r="B367" s="99" t="str">
        <f>'Resultater - Vestdanmark'!B367</f>
        <v>Konventionel</v>
      </c>
      <c r="C367" s="99" t="str">
        <f>'Resultater - Vestdanmark'!C367</f>
        <v>JB1-10</v>
      </c>
      <c r="D367" s="99" t="str">
        <f>'Resultater - Vestdanmark'!D367</f>
        <v>Areal-pil-poppel</v>
      </c>
      <c r="E367" s="99" t="str">
        <f>'Resultater - Vestdanmark'!E367</f>
        <v>Hektar</v>
      </c>
      <c r="F367" s="99" t="str">
        <f>'Resultater - Vestdanmark'!F367</f>
        <v>Gødning</v>
      </c>
      <c r="G367" s="99" t="str">
        <f>'Resultater - Vestdanmark'!G367</f>
        <v>kg N</v>
      </c>
      <c r="H367" s="286">
        <f>'Resultater - Vestdanmark'!H367+'Resultater - Østdanmark'!H367</f>
        <v>-743510.2298259628</v>
      </c>
      <c r="I367" s="287">
        <f>'Resultater - Vestdanmark'!I367+'Resultater - Østdanmark'!I367</f>
        <v>-718923.39715846837</v>
      </c>
      <c r="J367" s="288">
        <f>'Resultater - Vestdanmark'!J367+'Resultater - Østdanmark'!J367</f>
        <v>-674501.49597871071</v>
      </c>
    </row>
    <row r="368" spans="1:10" hidden="1" x14ac:dyDescent="0.55000000000000004">
      <c r="A368" s="99" t="str">
        <f>'Resultater - Vestdanmark'!A368</f>
        <v>Pil- og poppeldyrkning</v>
      </c>
      <c r="B368" s="99" t="str">
        <f>'Resultater - Vestdanmark'!B368</f>
        <v>Konventionel</v>
      </c>
      <c r="C368" s="99" t="str">
        <f>'Resultater - Vestdanmark'!C368</f>
        <v>JB1-10</v>
      </c>
      <c r="D368" s="99" t="str">
        <f>'Resultater - Vestdanmark'!D368</f>
        <v>Areal-pil-poppel</v>
      </c>
      <c r="E368" s="99" t="str">
        <f>'Resultater - Vestdanmark'!E368</f>
        <v>Hektar</v>
      </c>
      <c r="F368" s="99" t="str">
        <f>'Resultater - Vestdanmark'!F368</f>
        <v>CO2 - atmosfære</v>
      </c>
      <c r="G368" s="99" t="str">
        <f>'Resultater - Vestdanmark'!G368</f>
        <v>t CO2-ækvivalenter</v>
      </c>
      <c r="H368" s="286">
        <f>'Resultater - Vestdanmark'!H368+'Resultater - Østdanmark'!H368</f>
        <v>12179.28225780596</v>
      </c>
      <c r="I368" s="287">
        <f>'Resultater - Vestdanmark'!I368+'Resultater - Østdanmark'!I368</f>
        <v>11776.530603732615</v>
      </c>
      <c r="J368" s="288">
        <f>'Resultater - Vestdanmark'!J368+'Resultater - Østdanmark'!J368</f>
        <v>11048.864929215571</v>
      </c>
    </row>
    <row r="369" spans="1:10" hidden="1" x14ac:dyDescent="0.55000000000000004">
      <c r="A369" s="99" t="str">
        <f>'Resultater - Vestdanmark'!A369</f>
        <v>Pil- og poppeldyrkning</v>
      </c>
      <c r="B369" s="99" t="str">
        <f>'Resultater - Vestdanmark'!B369</f>
        <v>Konventionel</v>
      </c>
      <c r="C369" s="99" t="str">
        <f>'Resultater - Vestdanmark'!C369</f>
        <v>OC6</v>
      </c>
      <c r="D369" s="99" t="str">
        <f>'Resultater - Vestdanmark'!D369</f>
        <v>Areal-pil-poppel</v>
      </c>
      <c r="E369" s="99" t="str">
        <f>'Resultater - Vestdanmark'!E369</f>
        <v>Hektar</v>
      </c>
      <c r="F369" s="99" t="str">
        <f>'Resultater - Vestdanmark'!F369</f>
        <v>Pil &amp; poppel</v>
      </c>
      <c r="G369" s="99" t="str">
        <f>'Resultater - Vestdanmark'!G369</f>
        <v>Ton</v>
      </c>
      <c r="H369" s="286">
        <f>'Resultater - Vestdanmark'!H369+'Resultater - Østdanmark'!H369</f>
        <v>22625.724932981873</v>
      </c>
      <c r="I369" s="287">
        <f>'Resultater - Vestdanmark'!I369+'Resultater - Østdanmark'!I369</f>
        <v>21901.094573449609</v>
      </c>
      <c r="J369" s="288">
        <f>'Resultater - Vestdanmark'!J369+'Resultater - Østdanmark'!J369</f>
        <v>20888.327194330555</v>
      </c>
    </row>
    <row r="370" spans="1:10" hidden="1" x14ac:dyDescent="0.55000000000000004">
      <c r="A370" s="99" t="str">
        <f>'Resultater - Vestdanmark'!A370</f>
        <v>Pil- og poppeldyrkning</v>
      </c>
      <c r="B370" s="99" t="str">
        <f>'Resultater - Vestdanmark'!B370</f>
        <v>Konventionel</v>
      </c>
      <c r="C370" s="99" t="str">
        <f>'Resultater - Vestdanmark'!C370</f>
        <v>OC6</v>
      </c>
      <c r="D370" s="99" t="str">
        <f>'Resultater - Vestdanmark'!D370</f>
        <v>Areal-pil-poppel</v>
      </c>
      <c r="E370" s="99" t="str">
        <f>'Resultater - Vestdanmark'!E370</f>
        <v>Hektar</v>
      </c>
      <c r="F370" s="99" t="str">
        <f>'Resultater - Vestdanmark'!F370</f>
        <v>Gødning</v>
      </c>
      <c r="G370" s="99" t="str">
        <f>'Resultater - Vestdanmark'!G370</f>
        <v>kg N</v>
      </c>
      <c r="H370" s="286">
        <f>'Resultater - Vestdanmark'!H370+'Resultater - Østdanmark'!H370</f>
        <v>-92765.472225225691</v>
      </c>
      <c r="I370" s="287">
        <f>'Resultater - Vestdanmark'!I370+'Resultater - Østdanmark'!I370</f>
        <v>-83763.514693230798</v>
      </c>
      <c r="J370" s="288">
        <f>'Resultater - Vestdanmark'!J370+'Resultater - Østdanmark'!J370</f>
        <v>-79890.057366376175</v>
      </c>
    </row>
    <row r="371" spans="1:10" hidden="1" x14ac:dyDescent="0.55000000000000004">
      <c r="A371" s="99" t="str">
        <f>'Resultater - Vestdanmark'!A371</f>
        <v>Pil- og poppeldyrkning</v>
      </c>
      <c r="B371" s="99" t="str">
        <f>'Resultater - Vestdanmark'!B371</f>
        <v>Konventionel</v>
      </c>
      <c r="C371" s="99" t="str">
        <f>'Resultater - Vestdanmark'!C371</f>
        <v>OC6</v>
      </c>
      <c r="D371" s="99" t="str">
        <f>'Resultater - Vestdanmark'!D371</f>
        <v>Areal-pil-poppel</v>
      </c>
      <c r="E371" s="99" t="str">
        <f>'Resultater - Vestdanmark'!E371</f>
        <v>Hektar</v>
      </c>
      <c r="F371" s="99" t="str">
        <f>'Resultater - Vestdanmark'!F371</f>
        <v>CO2 - atmosfære</v>
      </c>
      <c r="G371" s="99" t="str">
        <f>'Resultater - Vestdanmark'!G371</f>
        <v>t CO2-ækvivalenter</v>
      </c>
      <c r="H371" s="286">
        <f>'Resultater - Vestdanmark'!H371+'Resultater - Østdanmark'!H371</f>
        <v>8241.9759393401473</v>
      </c>
      <c r="I371" s="287">
        <f>'Resultater - Vestdanmark'!I371+'Resultater - Østdanmark'!I371</f>
        <v>7442.1749400467033</v>
      </c>
      <c r="J371" s="288">
        <f>'Resultater - Vestdanmark'!J371+'Resultater - Østdanmark'!J371</f>
        <v>7098.0281220098623</v>
      </c>
    </row>
    <row r="372" spans="1:10" hidden="1" x14ac:dyDescent="0.55000000000000004">
      <c r="A372" s="99" t="str">
        <f>'Resultater - Vestdanmark'!A372</f>
        <v>Pil- og poppeldyrkning</v>
      </c>
      <c r="B372" s="99" t="str">
        <f>'Resultater - Vestdanmark'!B372</f>
        <v>Konventionel</v>
      </c>
      <c r="C372" s="99" t="str">
        <f>'Resultater - Vestdanmark'!C372</f>
        <v>OC12</v>
      </c>
      <c r="D372" s="99" t="str">
        <f>'Resultater - Vestdanmark'!D372</f>
        <v>Areal-pil-poppel</v>
      </c>
      <c r="E372" s="99" t="str">
        <f>'Resultater - Vestdanmark'!E372</f>
        <v>Hektar</v>
      </c>
      <c r="F372" s="99" t="str">
        <f>'Resultater - Vestdanmark'!F372</f>
        <v>Pil &amp; poppel</v>
      </c>
      <c r="G372" s="99" t="str">
        <f>'Resultater - Vestdanmark'!G372</f>
        <v>Ton</v>
      </c>
      <c r="H372" s="286">
        <f>'Resultater - Vestdanmark'!H372+'Resultater - Østdanmark'!H372</f>
        <v>21786.130098302907</v>
      </c>
      <c r="I372" s="287">
        <f>'Resultater - Vestdanmark'!I372+'Resultater - Østdanmark'!I372</f>
        <v>20669.578921354339</v>
      </c>
      <c r="J372" s="288">
        <f>'Resultater - Vestdanmark'!J372+'Resultater - Østdanmark'!J372</f>
        <v>19713.760242910204</v>
      </c>
    </row>
    <row r="373" spans="1:10" hidden="1" x14ac:dyDescent="0.55000000000000004">
      <c r="A373" s="99" t="str">
        <f>'Resultater - Vestdanmark'!A373</f>
        <v>Pil- og poppeldyrkning</v>
      </c>
      <c r="B373" s="99" t="str">
        <f>'Resultater - Vestdanmark'!B373</f>
        <v>Konventionel</v>
      </c>
      <c r="C373" s="99" t="str">
        <f>'Resultater - Vestdanmark'!C373</f>
        <v>OC12</v>
      </c>
      <c r="D373" s="99" t="str">
        <f>'Resultater - Vestdanmark'!D373</f>
        <v>Areal-pil-poppel</v>
      </c>
      <c r="E373" s="99" t="str">
        <f>'Resultater - Vestdanmark'!E373</f>
        <v>Hektar</v>
      </c>
      <c r="F373" s="99" t="str">
        <f>'Resultater - Vestdanmark'!F373</f>
        <v>Gødning</v>
      </c>
      <c r="G373" s="99" t="str">
        <f>'Resultater - Vestdanmark'!G373</f>
        <v>kg N</v>
      </c>
      <c r="H373" s="286">
        <f>'Resultater - Vestdanmark'!H373+'Resultater - Østdanmark'!H373</f>
        <v>-76562.685774035956</v>
      </c>
      <c r="I373" s="287">
        <f>'Resultater - Vestdanmark'!I373+'Resultater - Østdanmark'!I373</f>
        <v>-67760.080152627503</v>
      </c>
      <c r="J373" s="288">
        <f>'Resultater - Vestdanmark'!J373+'Resultater - Østdanmark'!J373</f>
        <v>-64626.666041523327</v>
      </c>
    </row>
    <row r="374" spans="1:10" hidden="1" x14ac:dyDescent="0.55000000000000004">
      <c r="A374" s="99" t="str">
        <f>'Resultater - Vestdanmark'!A374</f>
        <v>Pil- og poppeldyrkning</v>
      </c>
      <c r="B374" s="99" t="str">
        <f>'Resultater - Vestdanmark'!B374</f>
        <v>Konventionel</v>
      </c>
      <c r="C374" s="99" t="str">
        <f>'Resultater - Vestdanmark'!C374</f>
        <v>OC12</v>
      </c>
      <c r="D374" s="99" t="str">
        <f>'Resultater - Vestdanmark'!D374</f>
        <v>Areal-pil-poppel</v>
      </c>
      <c r="E374" s="99" t="str">
        <f>'Resultater - Vestdanmark'!E374</f>
        <v>Hektar</v>
      </c>
      <c r="F374" s="99" t="str">
        <f>'Resultater - Vestdanmark'!F374</f>
        <v>CO2 - atmosfære</v>
      </c>
      <c r="G374" s="99" t="str">
        <f>'Resultater - Vestdanmark'!G374</f>
        <v>t CO2-ækvivalenter</v>
      </c>
      <c r="H374" s="286">
        <f>'Resultater - Vestdanmark'!H374+'Resultater - Østdanmark'!H374</f>
        <v>18184.718915711666</v>
      </c>
      <c r="I374" s="287">
        <f>'Resultater - Vestdanmark'!I374+'Resultater - Østdanmark'!I374</f>
        <v>16093.975790220891</v>
      </c>
      <c r="J374" s="288">
        <f>'Resultater - Vestdanmark'!J374+'Resultater - Østdanmark'!J374</f>
        <v>15349.745695875414</v>
      </c>
    </row>
    <row r="375" spans="1:10" hidden="1" x14ac:dyDescent="0.55000000000000004">
      <c r="A375" s="99" t="str">
        <f>'Resultater - Vestdanmark'!A375</f>
        <v>Pil- og poppeldyrkning</v>
      </c>
      <c r="B375" s="99" t="str">
        <f>'Resultater - Vestdanmark'!B375</f>
        <v>Økologisk</v>
      </c>
      <c r="C375" s="99" t="str">
        <f>'Resultater - Vestdanmark'!C375</f>
        <v>JB1-10</v>
      </c>
      <c r="D375" s="99" t="str">
        <f>'Resultater - Vestdanmark'!D375</f>
        <v>Areal-pil-poppel</v>
      </c>
      <c r="E375" s="99" t="str">
        <f>'Resultater - Vestdanmark'!E375</f>
        <v>Hektar</v>
      </c>
      <c r="F375" s="99" t="str">
        <f>'Resultater - Vestdanmark'!F375</f>
        <v>Pil &amp; poppel</v>
      </c>
      <c r="G375" s="99" t="str">
        <f>'Resultater - Vestdanmark'!G375</f>
        <v>Ton</v>
      </c>
      <c r="H375" s="286">
        <f>'Resultater - Vestdanmark'!H375+'Resultater - Østdanmark'!H375</f>
        <v>11013.783741156445</v>
      </c>
      <c r="I375" s="287">
        <f>'Resultater - Vestdanmark'!I375+'Resultater - Østdanmark'!I375</f>
        <v>13934.9308240427</v>
      </c>
      <c r="J375" s="288">
        <f>'Resultater - Vestdanmark'!J375+'Resultater - Østdanmark'!J375</f>
        <v>17769.350571075505</v>
      </c>
    </row>
    <row r="376" spans="1:10" hidden="1" x14ac:dyDescent="0.55000000000000004">
      <c r="A376" s="99" t="str">
        <f>'Resultater - Vestdanmark'!A376</f>
        <v>Pil- og poppeldyrkning</v>
      </c>
      <c r="B376" s="99" t="str">
        <f>'Resultater - Vestdanmark'!B376</f>
        <v>Økologisk</v>
      </c>
      <c r="C376" s="99" t="str">
        <f>'Resultater - Vestdanmark'!C376</f>
        <v>JB1-10</v>
      </c>
      <c r="D376" s="99" t="str">
        <f>'Resultater - Vestdanmark'!D376</f>
        <v>Areal-pil-poppel</v>
      </c>
      <c r="E376" s="99" t="str">
        <f>'Resultater - Vestdanmark'!E376</f>
        <v>Hektar</v>
      </c>
      <c r="F376" s="99" t="str">
        <f>'Resultater - Vestdanmark'!F376</f>
        <v>Gødning</v>
      </c>
      <c r="G376" s="99" t="str">
        <f>'Resultater - Vestdanmark'!G376</f>
        <v>kg N</v>
      </c>
      <c r="H376" s="286">
        <f>'Resultater - Vestdanmark'!H376+'Resultater - Østdanmark'!H376</f>
        <v>-54187.816006489709</v>
      </c>
      <c r="I376" s="287">
        <f>'Resultater - Vestdanmark'!I376+'Resultater - Østdanmark'!I376</f>
        <v>-63955.09296109149</v>
      </c>
      <c r="J376" s="288">
        <f>'Resultater - Vestdanmark'!J376+'Resultater - Østdanmark'!J376</f>
        <v>-81553.362695607735</v>
      </c>
    </row>
    <row r="377" spans="1:10" hidden="1" x14ac:dyDescent="0.55000000000000004">
      <c r="A377" s="99" t="str">
        <f>'Resultater - Vestdanmark'!A377</f>
        <v>Pil- og poppeldyrkning</v>
      </c>
      <c r="B377" s="99" t="str">
        <f>'Resultater - Vestdanmark'!B377</f>
        <v>Økologisk</v>
      </c>
      <c r="C377" s="99" t="str">
        <f>'Resultater - Vestdanmark'!C377</f>
        <v>JB1-10</v>
      </c>
      <c r="D377" s="99" t="str">
        <f>'Resultater - Vestdanmark'!D377</f>
        <v>Areal-pil-poppel</v>
      </c>
      <c r="E377" s="99" t="str">
        <f>'Resultater - Vestdanmark'!E377</f>
        <v>Hektar</v>
      </c>
      <c r="F377" s="99" t="str">
        <f>'Resultater - Vestdanmark'!F377</f>
        <v>CO2 - atmosfære</v>
      </c>
      <c r="G377" s="99" t="str">
        <f>'Resultater - Vestdanmark'!G377</f>
        <v>t CO2-ækvivalenter</v>
      </c>
      <c r="H377" s="286">
        <f>'Resultater - Vestdanmark'!H377+'Resultater - Østdanmark'!H377</f>
        <v>1557.2614723727386</v>
      </c>
      <c r="I377" s="287">
        <f>'Resultater - Vestdanmark'!I377+'Resultater - Østdanmark'!I377</f>
        <v>1837.9556433571138</v>
      </c>
      <c r="J377" s="288">
        <f>'Resultater - Vestdanmark'!J377+'Resultater - Østdanmark'!J377</f>
        <v>2343.6986213487576</v>
      </c>
    </row>
    <row r="378" spans="1:10" hidden="1" x14ac:dyDescent="0.55000000000000004">
      <c r="A378" s="99" t="str">
        <f>'Resultater - Vestdanmark'!A378</f>
        <v>Pil- og poppeldyrkning</v>
      </c>
      <c r="B378" s="99" t="str">
        <f>'Resultater - Vestdanmark'!B378</f>
        <v>Økologisk</v>
      </c>
      <c r="C378" s="99" t="str">
        <f>'Resultater - Vestdanmark'!C378</f>
        <v>OC6</v>
      </c>
      <c r="D378" s="99" t="str">
        <f>'Resultater - Vestdanmark'!D378</f>
        <v>Areal-pil-poppel</v>
      </c>
      <c r="E378" s="99" t="str">
        <f>'Resultater - Vestdanmark'!E378</f>
        <v>Hektar</v>
      </c>
      <c r="F378" s="99" t="str">
        <f>'Resultater - Vestdanmark'!F378</f>
        <v>Pil &amp; poppel</v>
      </c>
      <c r="G378" s="99" t="str">
        <f>'Resultater - Vestdanmark'!G378</f>
        <v>Ton</v>
      </c>
      <c r="H378" s="286">
        <f>'Resultater - Vestdanmark'!H378+'Resultater - Østdanmark'!H378</f>
        <v>1648.986887468722</v>
      </c>
      <c r="I378" s="287">
        <f>'Resultater - Vestdanmark'!I378+'Resultater - Østdanmark'!I378</f>
        <v>1948.3112455802861</v>
      </c>
      <c r="J378" s="288">
        <f>'Resultater - Vestdanmark'!J378+'Resultater - Østdanmark'!J378</f>
        <v>2525.5886516781484</v>
      </c>
    </row>
    <row r="379" spans="1:10" hidden="1" x14ac:dyDescent="0.55000000000000004">
      <c r="A379" s="99" t="str">
        <f>'Resultater - Vestdanmark'!A379</f>
        <v>Pil- og poppeldyrkning</v>
      </c>
      <c r="B379" s="99" t="str">
        <f>'Resultater - Vestdanmark'!B379</f>
        <v>Økologisk</v>
      </c>
      <c r="C379" s="99" t="str">
        <f>'Resultater - Vestdanmark'!C379</f>
        <v>OC6</v>
      </c>
      <c r="D379" s="99" t="str">
        <f>'Resultater - Vestdanmark'!D379</f>
        <v>Areal-pil-poppel</v>
      </c>
      <c r="E379" s="99" t="str">
        <f>'Resultater - Vestdanmark'!E379</f>
        <v>Hektar</v>
      </c>
      <c r="F379" s="99" t="str">
        <f>'Resultater - Vestdanmark'!F379</f>
        <v>Gødning</v>
      </c>
      <c r="G379" s="99" t="str">
        <f>'Resultater - Vestdanmark'!G379</f>
        <v>kg N</v>
      </c>
      <c r="H379" s="286">
        <f>'Resultater - Vestdanmark'!H379+'Resultater - Østdanmark'!H379</f>
        <v>-6760.8462386217598</v>
      </c>
      <c r="I379" s="287">
        <f>'Resultater - Vestdanmark'!I379+'Resultater - Østdanmark'!I379</f>
        <v>-7451.5635325365429</v>
      </c>
      <c r="J379" s="288">
        <f>'Resultater - Vestdanmark'!J379+'Resultater - Østdanmark'!J379</f>
        <v>-9659.4342088436642</v>
      </c>
    </row>
    <row r="380" spans="1:10" hidden="1" x14ac:dyDescent="0.55000000000000004">
      <c r="A380" s="99" t="str">
        <f>'Resultater - Vestdanmark'!A380</f>
        <v>Pil- og poppeldyrkning</v>
      </c>
      <c r="B380" s="99" t="str">
        <f>'Resultater - Vestdanmark'!B380</f>
        <v>Økologisk</v>
      </c>
      <c r="C380" s="99" t="str">
        <f>'Resultater - Vestdanmark'!C380</f>
        <v>OC6</v>
      </c>
      <c r="D380" s="99" t="str">
        <f>'Resultater - Vestdanmark'!D380</f>
        <v>Areal-pil-poppel</v>
      </c>
      <c r="E380" s="99" t="str">
        <f>'Resultater - Vestdanmark'!E380</f>
        <v>Hektar</v>
      </c>
      <c r="F380" s="99" t="str">
        <f>'Resultater - Vestdanmark'!F380</f>
        <v>CO2 - atmosfære</v>
      </c>
      <c r="G380" s="99" t="str">
        <f>'Resultater - Vestdanmark'!G380</f>
        <v>t CO2-ækvivalenter</v>
      </c>
      <c r="H380" s="286">
        <f>'Resultater - Vestdanmark'!H380+'Resultater - Østdanmark'!H380</f>
        <v>1053.8315242945746</v>
      </c>
      <c r="I380" s="287">
        <f>'Resultater - Vestdanmark'!I380+'Resultater - Østdanmark'!I380</f>
        <v>1161.4955108743411</v>
      </c>
      <c r="J380" s="288">
        <f>'Resultater - Vestdanmark'!J380+'Resultater - Østdanmark'!J380</f>
        <v>1505.6423289111826</v>
      </c>
    </row>
    <row r="381" spans="1:10" hidden="1" x14ac:dyDescent="0.55000000000000004">
      <c r="A381" s="99" t="str">
        <f>'Resultater - Vestdanmark'!A381</f>
        <v>Pil- og poppeldyrkning</v>
      </c>
      <c r="B381" s="99" t="str">
        <f>'Resultater - Vestdanmark'!B381</f>
        <v>Økologisk</v>
      </c>
      <c r="C381" s="99" t="str">
        <f>'Resultater - Vestdanmark'!C381</f>
        <v>OC12</v>
      </c>
      <c r="D381" s="99" t="str">
        <f>'Resultater - Vestdanmark'!D381</f>
        <v>Areal-pil-poppel</v>
      </c>
      <c r="E381" s="99" t="str">
        <f>'Resultater - Vestdanmark'!E381</f>
        <v>Hektar</v>
      </c>
      <c r="F381" s="99" t="str">
        <f>'Resultater - Vestdanmark'!F381</f>
        <v>Pil &amp; poppel</v>
      </c>
      <c r="G381" s="99" t="str">
        <f>'Resultater - Vestdanmark'!G381</f>
        <v>Ton</v>
      </c>
      <c r="H381" s="286">
        <f>'Resultater - Vestdanmark'!H381+'Resultater - Østdanmark'!H381</f>
        <v>1587.7963233089895</v>
      </c>
      <c r="I381" s="287">
        <f>'Resultater - Vestdanmark'!I381+'Resultater - Østdanmark'!I381</f>
        <v>1838.7561826568972</v>
      </c>
      <c r="J381" s="288">
        <f>'Resultater - Vestdanmark'!J381+'Resultater - Østdanmark'!J381</f>
        <v>2383.5728293700517</v>
      </c>
    </row>
    <row r="382" spans="1:10" hidden="1" x14ac:dyDescent="0.55000000000000004">
      <c r="A382" s="99" t="str">
        <f>'Resultater - Vestdanmark'!A382</f>
        <v>Pil- og poppeldyrkning</v>
      </c>
      <c r="B382" s="99" t="str">
        <f>'Resultater - Vestdanmark'!B382</f>
        <v>Økologisk</v>
      </c>
      <c r="C382" s="99" t="str">
        <f>'Resultater - Vestdanmark'!C382</f>
        <v>OC12</v>
      </c>
      <c r="D382" s="99" t="str">
        <f>'Resultater - Vestdanmark'!D382</f>
        <v>Areal-pil-poppel</v>
      </c>
      <c r="E382" s="99" t="str">
        <f>'Resultater - Vestdanmark'!E382</f>
        <v>Hektar</v>
      </c>
      <c r="F382" s="99" t="str">
        <f>'Resultater - Vestdanmark'!F382</f>
        <v>Gødning</v>
      </c>
      <c r="G382" s="99" t="str">
        <f>'Resultater - Vestdanmark'!G382</f>
        <v>kg N</v>
      </c>
      <c r="H382" s="286">
        <f>'Resultater - Vestdanmark'!H382+'Resultater - Østdanmark'!H382</f>
        <v>-5579.9699362001647</v>
      </c>
      <c r="I382" s="287">
        <f>'Resultater - Vestdanmark'!I382+'Resultater - Østdanmark'!I382</f>
        <v>-6027.9053962366306</v>
      </c>
      <c r="J382" s="288">
        <f>'Resultater - Vestdanmark'!J382+'Resultater - Østdanmark'!J382</f>
        <v>-7813.9514395660026</v>
      </c>
    </row>
    <row r="383" spans="1:10" hidden="1" x14ac:dyDescent="0.55000000000000004">
      <c r="A383" s="99" t="str">
        <f>'Resultater - Vestdanmark'!A383</f>
        <v>Pil- og poppeldyrkning</v>
      </c>
      <c r="B383" s="99" t="str">
        <f>'Resultater - Vestdanmark'!B383</f>
        <v>Økologisk</v>
      </c>
      <c r="C383" s="99" t="str">
        <f>'Resultater - Vestdanmark'!C383</f>
        <v>OC12</v>
      </c>
      <c r="D383" s="99" t="str">
        <f>'Resultater - Vestdanmark'!D383</f>
        <v>Areal-pil-poppel</v>
      </c>
      <c r="E383" s="99" t="str">
        <f>'Resultater - Vestdanmark'!E383</f>
        <v>Hektar</v>
      </c>
      <c r="F383" s="99" t="str">
        <f>'Resultater - Vestdanmark'!F383</f>
        <v>CO2 - atmosfære</v>
      </c>
      <c r="G383" s="99" t="str">
        <f>'Resultater - Vestdanmark'!G383</f>
        <v>t CO2-ækvivalenter</v>
      </c>
      <c r="H383" s="286">
        <f>'Resultater - Vestdanmark'!H383+'Resultater - Østdanmark'!H383</f>
        <v>2325.1256973879313</v>
      </c>
      <c r="I383" s="287">
        <f>'Resultater - Vestdanmark'!I383+'Resultater - Østdanmark'!I383</f>
        <v>2511.7765684159772</v>
      </c>
      <c r="J383" s="288">
        <f>'Resultater - Vestdanmark'!J383+'Resultater - Østdanmark'!J383</f>
        <v>3256.0066627614515</v>
      </c>
    </row>
    <row r="384" spans="1:10" hidden="1" x14ac:dyDescent="0.55000000000000004">
      <c r="A384" s="99" t="str">
        <f>'Resultater - Vestdanmark'!A384</f>
        <v>Permanent græs</v>
      </c>
      <c r="B384" s="99" t="str">
        <f>'Resultater - Vestdanmark'!B384</f>
        <v>Konventionel</v>
      </c>
      <c r="C384" s="99" t="str">
        <f>'Resultater - Vestdanmark'!C384</f>
        <v>JB1-10</v>
      </c>
      <c r="D384" s="99" t="str">
        <f>'Resultater - Vestdanmark'!D384</f>
        <v>Areal-permanent græs</v>
      </c>
      <c r="E384" s="99" t="str">
        <f>'Resultater - Vestdanmark'!E384</f>
        <v>Hektar</v>
      </c>
      <c r="F384" s="99" t="str">
        <f>'Resultater - Vestdanmark'!F384</f>
        <v>Græs</v>
      </c>
      <c r="G384" s="99" t="str">
        <f>'Resultater - Vestdanmark'!G384</f>
        <v>Ton</v>
      </c>
      <c r="H384" s="286">
        <f>'Resultater - Vestdanmark'!H384+'Resultater - Østdanmark'!H384</f>
        <v>2073397.5877193159</v>
      </c>
      <c r="I384" s="287">
        <f>'Resultater - Vestdanmark'!I384+'Resultater - Østdanmark'!I384</f>
        <v>2149257.1655585216</v>
      </c>
      <c r="J384" s="288">
        <f>'Resultater - Vestdanmark'!J384+'Resultater - Østdanmark'!J384</f>
        <v>2016588.5066376149</v>
      </c>
    </row>
    <row r="385" spans="1:10" hidden="1" x14ac:dyDescent="0.55000000000000004">
      <c r="A385" s="99" t="str">
        <f>'Resultater - Vestdanmark'!A385</f>
        <v>Permanent græs</v>
      </c>
      <c r="B385" s="99" t="str">
        <f>'Resultater - Vestdanmark'!B385</f>
        <v>Konventionel</v>
      </c>
      <c r="C385" s="99" t="str">
        <f>'Resultater - Vestdanmark'!C385</f>
        <v>JB1-10</v>
      </c>
      <c r="D385" s="99" t="str">
        <f>'Resultater - Vestdanmark'!D385</f>
        <v>Areal-permanent græs</v>
      </c>
      <c r="E385" s="99" t="str">
        <f>'Resultater - Vestdanmark'!E385</f>
        <v>Hektar</v>
      </c>
      <c r="F385" s="99" t="str">
        <f>'Resultater - Vestdanmark'!F385</f>
        <v>Gødning</v>
      </c>
      <c r="G385" s="99" t="str">
        <f>'Resultater - Vestdanmark'!G385</f>
        <v>kg N</v>
      </c>
      <c r="H385" s="286">
        <f>'Resultater - Vestdanmark'!H385+'Resultater - Østdanmark'!H385</f>
        <v>-7517757.7509764899</v>
      </c>
      <c r="I385" s="287">
        <f>'Resultater - Vestdanmark'!I385+'Resultater - Østdanmark'!I385</f>
        <v>-7269412.8801644929</v>
      </c>
      <c r="J385" s="288">
        <f>'Resultater - Vestdanmark'!J385+'Resultater - Østdanmark'!J385</f>
        <v>-6820688.8868664792</v>
      </c>
    </row>
    <row r="386" spans="1:10" hidden="1" x14ac:dyDescent="0.55000000000000004">
      <c r="A386" s="99" t="str">
        <f>'Resultater - Vestdanmark'!A386</f>
        <v>Permanent græs</v>
      </c>
      <c r="B386" s="99" t="str">
        <f>'Resultater - Vestdanmark'!B386</f>
        <v>Konventionel</v>
      </c>
      <c r="C386" s="99" t="str">
        <f>'Resultater - Vestdanmark'!C386</f>
        <v>JB1-10</v>
      </c>
      <c r="D386" s="99" t="str">
        <f>'Resultater - Vestdanmark'!D386</f>
        <v>Areal-permanent græs</v>
      </c>
      <c r="E386" s="99" t="str">
        <f>'Resultater - Vestdanmark'!E386</f>
        <v>Hektar</v>
      </c>
      <c r="F386" s="99" t="str">
        <f>'Resultater - Vestdanmark'!F386</f>
        <v>CO2 - atmosfære</v>
      </c>
      <c r="G386" s="99" t="str">
        <f>'Resultater - Vestdanmark'!G386</f>
        <v>t CO2-ækvivalenter</v>
      </c>
      <c r="H386" s="286">
        <f>'Resultater - Vestdanmark'!H386+'Resultater - Østdanmark'!H386</f>
        <v>295552.28134429298</v>
      </c>
      <c r="I386" s="287">
        <f>'Resultater - Vestdanmark'!I386+'Resultater - Østdanmark'!I386</f>
        <v>285788.87906931207</v>
      </c>
      <c r="J386" s="288">
        <f>'Resultater - Vestdanmark'!J386+'Resultater - Østdanmark'!J386</f>
        <v>268147.79454568226</v>
      </c>
    </row>
    <row r="387" spans="1:10" hidden="1" x14ac:dyDescent="0.55000000000000004">
      <c r="A387" s="99" t="str">
        <f>'Resultater - Vestdanmark'!A387</f>
        <v>Permanent græs</v>
      </c>
      <c r="B387" s="99" t="str">
        <f>'Resultater - Vestdanmark'!B387</f>
        <v>Konventionel</v>
      </c>
      <c r="C387" s="99" t="str">
        <f>'Resultater - Vestdanmark'!C387</f>
        <v>OC6</v>
      </c>
      <c r="D387" s="99" t="str">
        <f>'Resultater - Vestdanmark'!D387</f>
        <v>Areal-permanent græs</v>
      </c>
      <c r="E387" s="99" t="str">
        <f>'Resultater - Vestdanmark'!E387</f>
        <v>Hektar</v>
      </c>
      <c r="F387" s="99" t="str">
        <f>'Resultater - Vestdanmark'!F387</f>
        <v>Græs</v>
      </c>
      <c r="G387" s="99" t="str">
        <f>'Resultater - Vestdanmark'!G387</f>
        <v>Ton</v>
      </c>
      <c r="H387" s="286">
        <f>'Resultater - Vestdanmark'!H387+'Resultater - Østdanmark'!H387</f>
        <v>362721.58612359717</v>
      </c>
      <c r="I387" s="287">
        <f>'Resultater - Vestdanmark'!I387+'Resultater - Østdanmark'!I387</f>
        <v>350840.45448944706</v>
      </c>
      <c r="J387" s="288">
        <f>'Resultater - Vestdanmark'!J387+'Resultater - Østdanmark'!J387</f>
        <v>334616.61844369222</v>
      </c>
    </row>
    <row r="388" spans="1:10" hidden="1" x14ac:dyDescent="0.55000000000000004">
      <c r="A388" s="99" t="str">
        <f>'Resultater - Vestdanmark'!A388</f>
        <v>Permanent græs</v>
      </c>
      <c r="B388" s="99" t="str">
        <f>'Resultater - Vestdanmark'!B388</f>
        <v>Konventionel</v>
      </c>
      <c r="C388" s="99" t="str">
        <f>'Resultater - Vestdanmark'!C388</f>
        <v>OC6</v>
      </c>
      <c r="D388" s="99" t="str">
        <f>'Resultater - Vestdanmark'!D388</f>
        <v>Areal-permanent græs</v>
      </c>
      <c r="E388" s="99" t="str">
        <f>'Resultater - Vestdanmark'!E388</f>
        <v>Hektar</v>
      </c>
      <c r="F388" s="99" t="str">
        <f>'Resultater - Vestdanmark'!F388</f>
        <v>Gødning</v>
      </c>
      <c r="G388" s="99" t="str">
        <f>'Resultater - Vestdanmark'!G388</f>
        <v>kg N</v>
      </c>
      <c r="H388" s="286">
        <f>'Resultater - Vestdanmark'!H388+'Resultater - Østdanmark'!H388</f>
        <v>-1095968.0508931505</v>
      </c>
      <c r="I388" s="287">
        <f>'Resultater - Vestdanmark'!I388+'Resultater - Østdanmark'!I388</f>
        <v>-988870.38725834386</v>
      </c>
      <c r="J388" s="288">
        <f>'Resultater - Vestdanmark'!J388+'Resultater - Østdanmark'!J388</f>
        <v>-943142.2768648942</v>
      </c>
    </row>
    <row r="389" spans="1:10" hidden="1" x14ac:dyDescent="0.55000000000000004">
      <c r="A389" s="99" t="str">
        <f>'Resultater - Vestdanmark'!A389</f>
        <v>Permanent græs</v>
      </c>
      <c r="B389" s="99" t="str">
        <f>'Resultater - Vestdanmark'!B389</f>
        <v>Konventionel</v>
      </c>
      <c r="C389" s="99" t="str">
        <f>'Resultater - Vestdanmark'!C389</f>
        <v>OC6</v>
      </c>
      <c r="D389" s="99" t="str">
        <f>'Resultater - Vestdanmark'!D389</f>
        <v>Areal-permanent græs</v>
      </c>
      <c r="E389" s="99" t="str">
        <f>'Resultater - Vestdanmark'!E389</f>
        <v>Hektar</v>
      </c>
      <c r="F389" s="99" t="str">
        <f>'Resultater - Vestdanmark'!F389</f>
        <v>CO2 - atmosfære</v>
      </c>
      <c r="G389" s="99" t="str">
        <f>'Resultater - Vestdanmark'!G389</f>
        <v>t CO2-ækvivalenter</v>
      </c>
      <c r="H389" s="286">
        <f>'Resultater - Vestdanmark'!H389+'Resultater - Østdanmark'!H389</f>
        <v>233697.52790303045</v>
      </c>
      <c r="I389" s="287">
        <f>'Resultater - Vestdanmark'!I389+'Resultater - Østdanmark'!I389</f>
        <v>210860.67676010903</v>
      </c>
      <c r="J389" s="288">
        <f>'Resultater - Vestdanmark'!J389+'Resultater - Østdanmark'!J389</f>
        <v>201109.89401975714</v>
      </c>
    </row>
    <row r="390" spans="1:10" hidden="1" x14ac:dyDescent="0.55000000000000004">
      <c r="A390" s="99" t="str">
        <f>'Resultater - Vestdanmark'!A390</f>
        <v>Permanent græs</v>
      </c>
      <c r="B390" s="99" t="str">
        <f>'Resultater - Vestdanmark'!B390</f>
        <v>Konventionel</v>
      </c>
      <c r="C390" s="99" t="str">
        <f>'Resultater - Vestdanmark'!C390</f>
        <v>OC12</v>
      </c>
      <c r="D390" s="99" t="str">
        <f>'Resultater - Vestdanmark'!D390</f>
        <v>Areal-permanent græs</v>
      </c>
      <c r="E390" s="99" t="str">
        <f>'Resultater - Vestdanmark'!E390</f>
        <v>Hektar</v>
      </c>
      <c r="F390" s="99" t="str">
        <f>'Resultater - Vestdanmark'!F390</f>
        <v>Græs</v>
      </c>
      <c r="G390" s="99" t="str">
        <f>'Resultater - Vestdanmark'!G390</f>
        <v>Ton</v>
      </c>
      <c r="H390" s="286">
        <f>'Resultater - Vestdanmark'!H390+'Resultater - Østdanmark'!H390</f>
        <v>457088.33107391914</v>
      </c>
      <c r="I390" s="287">
        <f>'Resultater - Vestdanmark'!I390+'Resultater - Østdanmark'!I390</f>
        <v>429568.92499191454</v>
      </c>
      <c r="J390" s="288">
        <f>'Resultater - Vestdanmark'!J390+'Resultater - Østdanmark'!J390</f>
        <v>409704.46603275085</v>
      </c>
    </row>
    <row r="391" spans="1:10" hidden="1" x14ac:dyDescent="0.55000000000000004">
      <c r="A391" s="99" t="str">
        <f>'Resultater - Vestdanmark'!A391</f>
        <v>Permanent græs</v>
      </c>
      <c r="B391" s="99" t="str">
        <f>'Resultater - Vestdanmark'!B391</f>
        <v>Konventionel</v>
      </c>
      <c r="C391" s="99" t="str">
        <f>'Resultater - Vestdanmark'!C391</f>
        <v>OC12</v>
      </c>
      <c r="D391" s="99" t="str">
        <f>'Resultater - Vestdanmark'!D391</f>
        <v>Areal-permanent græs</v>
      </c>
      <c r="E391" s="99" t="str">
        <f>'Resultater - Vestdanmark'!E391</f>
        <v>Hektar</v>
      </c>
      <c r="F391" s="99" t="str">
        <f>'Resultater - Vestdanmark'!F391</f>
        <v>Gødning</v>
      </c>
      <c r="G391" s="99" t="str">
        <f>'Resultater - Vestdanmark'!G391</f>
        <v>kg N</v>
      </c>
      <c r="H391" s="286">
        <f>'Resultater - Vestdanmark'!H391+'Resultater - Østdanmark'!H391</f>
        <v>-1183798.6405105125</v>
      </c>
      <c r="I391" s="287">
        <f>'Resultater - Vestdanmark'!I391+'Resultater - Østdanmark'!I391</f>
        <v>-1037805.0367140775</v>
      </c>
      <c r="J391" s="288">
        <f>'Resultater - Vestdanmark'!J391+'Resultater - Østdanmark'!J391</f>
        <v>-989814.05235735723</v>
      </c>
    </row>
    <row r="392" spans="1:10" hidden="1" x14ac:dyDescent="0.55000000000000004">
      <c r="A392" s="99" t="str">
        <f>'Resultater - Vestdanmark'!A392</f>
        <v>Permanent græs</v>
      </c>
      <c r="B392" s="99" t="str">
        <f>'Resultater - Vestdanmark'!B392</f>
        <v>Konventionel</v>
      </c>
      <c r="C392" s="99" t="str">
        <f>'Resultater - Vestdanmark'!C392</f>
        <v>OC12</v>
      </c>
      <c r="D392" s="99" t="str">
        <f>'Resultater - Vestdanmark'!D392</f>
        <v>Areal-permanent græs</v>
      </c>
      <c r="E392" s="99" t="str">
        <f>'Resultater - Vestdanmark'!E392</f>
        <v>Hektar</v>
      </c>
      <c r="F392" s="99" t="str">
        <f>'Resultater - Vestdanmark'!F392</f>
        <v>CO2 - atmosfære</v>
      </c>
      <c r="G392" s="99" t="str">
        <f>'Resultater - Vestdanmark'!G392</f>
        <v>t CO2-ækvivalenter</v>
      </c>
      <c r="H392" s="286">
        <f>'Resultater - Vestdanmark'!H392+'Resultater - Østdanmark'!H392</f>
        <v>674805.3408895086</v>
      </c>
      <c r="I392" s="287">
        <f>'Resultater - Vestdanmark'!I392+'Resultater - Østdanmark'!I392</f>
        <v>591584.03938923345</v>
      </c>
      <c r="J392" s="288">
        <f>'Resultater - Vestdanmark'!J392+'Resultater - Østdanmark'!J392</f>
        <v>564227.55201863311</v>
      </c>
    </row>
    <row r="393" spans="1:10" hidden="1" x14ac:dyDescent="0.55000000000000004">
      <c r="A393" s="99" t="str">
        <f>'Resultater - Vestdanmark'!A393</f>
        <v>Permanent græs</v>
      </c>
      <c r="B393" s="99" t="str">
        <f>'Resultater - Vestdanmark'!B393</f>
        <v>Økologisk</v>
      </c>
      <c r="C393" s="99" t="str">
        <f>'Resultater - Vestdanmark'!C393</f>
        <v>JB1-10</v>
      </c>
      <c r="D393" s="99" t="str">
        <f>'Resultater - Vestdanmark'!D393</f>
        <v>Areal-permanent græs</v>
      </c>
      <c r="E393" s="99" t="str">
        <f>'Resultater - Vestdanmark'!E393</f>
        <v>Hektar</v>
      </c>
      <c r="F393" s="99" t="str">
        <f>'Resultater - Vestdanmark'!F393</f>
        <v>Græs</v>
      </c>
      <c r="G393" s="99" t="str">
        <f>'Resultater - Vestdanmark'!G393</f>
        <v>Ton</v>
      </c>
      <c r="H393" s="286">
        <f>'Resultater - Vestdanmark'!H393+'Resultater - Østdanmark'!H393</f>
        <v>265107.75527814421</v>
      </c>
      <c r="I393" s="287">
        <f>'Resultater - Vestdanmark'!I393+'Resultater - Østdanmark'!I393</f>
        <v>335433.19924901793</v>
      </c>
      <c r="J393" s="288">
        <f>'Resultater - Vestdanmark'!J393+'Resultater - Østdanmark'!J393</f>
        <v>427761.19837767596</v>
      </c>
    </row>
    <row r="394" spans="1:10" hidden="1" x14ac:dyDescent="0.55000000000000004">
      <c r="A394" s="99" t="str">
        <f>'Resultater - Vestdanmark'!A394</f>
        <v>Permanent græs</v>
      </c>
      <c r="B394" s="99" t="str">
        <f>'Resultater - Vestdanmark'!B394</f>
        <v>Økologisk</v>
      </c>
      <c r="C394" s="99" t="str">
        <f>'Resultater - Vestdanmark'!C394</f>
        <v>JB1-10</v>
      </c>
      <c r="D394" s="99" t="str">
        <f>'Resultater - Vestdanmark'!D394</f>
        <v>Areal-permanent græs</v>
      </c>
      <c r="E394" s="99" t="str">
        <f>'Resultater - Vestdanmark'!E394</f>
        <v>Hektar</v>
      </c>
      <c r="F394" s="99" t="str">
        <f>'Resultater - Vestdanmark'!F394</f>
        <v>Gødning</v>
      </c>
      <c r="G394" s="99" t="str">
        <f>'Resultater - Vestdanmark'!G394</f>
        <v>kg N</v>
      </c>
      <c r="H394" s="286">
        <f>'Resultater - Vestdanmark'!H394+'Resultater - Østdanmark'!H394</f>
        <v>-961231.89005853585</v>
      </c>
      <c r="I394" s="287">
        <f>'Resultater - Vestdanmark'!I394+'Resultater - Østdanmark'!I394</f>
        <v>-1134532.6460372331</v>
      </c>
      <c r="J394" s="288">
        <f>'Resultater - Vestdanmark'!J394+'Resultater - Østdanmark'!J394</f>
        <v>-1446812.7941837986</v>
      </c>
    </row>
    <row r="395" spans="1:10" hidden="1" x14ac:dyDescent="0.55000000000000004">
      <c r="A395" s="99" t="str">
        <f>'Resultater - Vestdanmark'!A395</f>
        <v>Permanent græs</v>
      </c>
      <c r="B395" s="99" t="str">
        <f>'Resultater - Vestdanmark'!B395</f>
        <v>Økologisk</v>
      </c>
      <c r="C395" s="99" t="str">
        <f>'Resultater - Vestdanmark'!C395</f>
        <v>JB1-10</v>
      </c>
      <c r="D395" s="99" t="str">
        <f>'Resultater - Vestdanmark'!D395</f>
        <v>Areal-permanent græs</v>
      </c>
      <c r="E395" s="99" t="str">
        <f>'Resultater - Vestdanmark'!E395</f>
        <v>Hektar</v>
      </c>
      <c r="F395" s="99" t="str">
        <f>'Resultater - Vestdanmark'!F395</f>
        <v>CO2 - atmosfære</v>
      </c>
      <c r="G395" s="99" t="str">
        <f>'Resultater - Vestdanmark'!G395</f>
        <v>t CO2-ækvivalenter</v>
      </c>
      <c r="H395" s="286">
        <f>'Resultater - Vestdanmark'!H395+'Resultater - Østdanmark'!H395</f>
        <v>37789.762242709345</v>
      </c>
      <c r="I395" s="287">
        <f>'Resultater - Vestdanmark'!I395+'Resultater - Østdanmark'!I395</f>
        <v>44602.888640875302</v>
      </c>
      <c r="J395" s="288">
        <f>'Resultater - Vestdanmark'!J395+'Resultater - Østdanmark'!J395</f>
        <v>56879.835206659875</v>
      </c>
    </row>
    <row r="396" spans="1:10" hidden="1" x14ac:dyDescent="0.55000000000000004">
      <c r="A396" s="99" t="str">
        <f>'Resultater - Vestdanmark'!A396</f>
        <v>Permanent græs</v>
      </c>
      <c r="B396" s="99" t="str">
        <f>'Resultater - Vestdanmark'!B396</f>
        <v>Økologisk</v>
      </c>
      <c r="C396" s="99" t="str">
        <f>'Resultater - Vestdanmark'!C396</f>
        <v>OC6</v>
      </c>
      <c r="D396" s="99" t="str">
        <f>'Resultater - Vestdanmark'!D396</f>
        <v>Areal-permanent græs</v>
      </c>
      <c r="E396" s="99" t="str">
        <f>'Resultater - Vestdanmark'!E396</f>
        <v>Hektar</v>
      </c>
      <c r="F396" s="99" t="str">
        <f>'Resultater - Vestdanmark'!F396</f>
        <v>Græs</v>
      </c>
      <c r="G396" s="99" t="str">
        <f>'Resultater - Vestdanmark'!G396</f>
        <v>Ton</v>
      </c>
      <c r="H396" s="286">
        <f>'Resultater - Vestdanmark'!H396+'Resultater - Østdanmark'!H396</f>
        <v>46378.13126518044</v>
      </c>
      <c r="I396" s="287">
        <f>'Resultater - Vestdanmark'!I396+'Resultater - Østdanmark'!I396</f>
        <v>54755.446654422383</v>
      </c>
      <c r="J396" s="288">
        <f>'Resultater - Vestdanmark'!J396+'Resultater - Østdanmark'!J396</f>
        <v>70979.282700177151</v>
      </c>
    </row>
    <row r="397" spans="1:10" hidden="1" x14ac:dyDescent="0.55000000000000004">
      <c r="A397" s="99" t="str">
        <f>'Resultater - Vestdanmark'!A397</f>
        <v>Permanent græs</v>
      </c>
      <c r="B397" s="99" t="str">
        <f>'Resultater - Vestdanmark'!B397</f>
        <v>Økologisk</v>
      </c>
      <c r="C397" s="99" t="str">
        <f>'Resultater - Vestdanmark'!C397</f>
        <v>OC6</v>
      </c>
      <c r="D397" s="99" t="str">
        <f>'Resultater - Vestdanmark'!D397</f>
        <v>Areal-permanent græs</v>
      </c>
      <c r="E397" s="99" t="str">
        <f>'Resultater - Vestdanmark'!E397</f>
        <v>Hektar</v>
      </c>
      <c r="F397" s="99" t="str">
        <f>'Resultater - Vestdanmark'!F397</f>
        <v>Gødning</v>
      </c>
      <c r="G397" s="99" t="str">
        <f>'Resultater - Vestdanmark'!G397</f>
        <v>kg N</v>
      </c>
      <c r="H397" s="286">
        <f>'Resultater - Vestdanmark'!H397+'Resultater - Østdanmark'!H397</f>
        <v>-140132.13459384954</v>
      </c>
      <c r="I397" s="287">
        <f>'Resultater - Vestdanmark'!I397+'Resultater - Østdanmark'!I397</f>
        <v>-154332.37257789183</v>
      </c>
      <c r="J397" s="288">
        <f>'Resultater - Vestdanmark'!J397+'Resultater - Østdanmark'!J397</f>
        <v>-200060.4829713412</v>
      </c>
    </row>
    <row r="398" spans="1:10" hidden="1" x14ac:dyDescent="0.55000000000000004">
      <c r="A398" s="99" t="str">
        <f>'Resultater - Vestdanmark'!A398</f>
        <v>Permanent græs</v>
      </c>
      <c r="B398" s="99" t="str">
        <f>'Resultater - Vestdanmark'!B398</f>
        <v>Økologisk</v>
      </c>
      <c r="C398" s="99" t="str">
        <f>'Resultater - Vestdanmark'!C398</f>
        <v>OC6</v>
      </c>
      <c r="D398" s="99" t="str">
        <f>'Resultater - Vestdanmark'!D398</f>
        <v>Areal-permanent græs</v>
      </c>
      <c r="E398" s="99" t="str">
        <f>'Resultater - Vestdanmark'!E398</f>
        <v>Hektar</v>
      </c>
      <c r="F398" s="99" t="str">
        <f>'Resultater - Vestdanmark'!F398</f>
        <v>CO2 - atmosfære</v>
      </c>
      <c r="G398" s="99" t="str">
        <f>'Resultater - Vestdanmark'!G398</f>
        <v>t CO2-ækvivalenter</v>
      </c>
      <c r="H398" s="286">
        <f>'Resultater - Vestdanmark'!H398+'Resultater - Østdanmark'!H398</f>
        <v>29880.919802059198</v>
      </c>
      <c r="I398" s="287">
        <f>'Resultater - Vestdanmark'!I398+'Resultater - Østdanmark'!I398</f>
        <v>32908.891748687536</v>
      </c>
      <c r="J398" s="288">
        <f>'Resultater - Vestdanmark'!J398+'Resultater - Østdanmark'!J398</f>
        <v>42659.674489039389</v>
      </c>
    </row>
    <row r="399" spans="1:10" hidden="1" x14ac:dyDescent="0.55000000000000004">
      <c r="A399" s="99" t="str">
        <f>'Resultater - Vestdanmark'!A399</f>
        <v>Permanent græs</v>
      </c>
      <c r="B399" s="99" t="str">
        <f>'Resultater - Vestdanmark'!B399</f>
        <v>Økologisk</v>
      </c>
      <c r="C399" s="99" t="str">
        <f>'Resultater - Vestdanmark'!C399</f>
        <v>OC12</v>
      </c>
      <c r="D399" s="99" t="str">
        <f>'Resultater - Vestdanmark'!D399</f>
        <v>Areal-permanent græs</v>
      </c>
      <c r="E399" s="99" t="str">
        <f>'Resultater - Vestdanmark'!E399</f>
        <v>Hektar</v>
      </c>
      <c r="F399" s="99" t="str">
        <f>'Resultater - Vestdanmark'!F399</f>
        <v>Græs</v>
      </c>
      <c r="G399" s="99" t="str">
        <f>'Resultater - Vestdanmark'!G399</f>
        <v>Ton</v>
      </c>
      <c r="H399" s="286">
        <f>'Resultater - Vestdanmark'!H399+'Resultater - Østdanmark'!H399</f>
        <v>58444.006172560563</v>
      </c>
      <c r="I399" s="287">
        <f>'Resultater - Vestdanmark'!I399+'Resultater - Østdanmark'!I399</f>
        <v>67042.548987177404</v>
      </c>
      <c r="J399" s="288">
        <f>'Resultater - Vestdanmark'!J399+'Resultater - Østdanmark'!J399</f>
        <v>86907.007946341095</v>
      </c>
    </row>
    <row r="400" spans="1:10" hidden="1" x14ac:dyDescent="0.55000000000000004">
      <c r="A400" s="99" t="str">
        <f>'Resultater - Vestdanmark'!A400</f>
        <v>Permanent græs</v>
      </c>
      <c r="B400" s="99" t="str">
        <f>'Resultater - Vestdanmark'!B400</f>
        <v>Økologisk</v>
      </c>
      <c r="C400" s="99" t="str">
        <f>'Resultater - Vestdanmark'!C400</f>
        <v>OC12</v>
      </c>
      <c r="D400" s="99" t="str">
        <f>'Resultater - Vestdanmark'!D400</f>
        <v>Areal-permanent græs</v>
      </c>
      <c r="E400" s="99" t="str">
        <f>'Resultater - Vestdanmark'!E400</f>
        <v>Hektar</v>
      </c>
      <c r="F400" s="99" t="str">
        <f>'Resultater - Vestdanmark'!F400</f>
        <v>Gødning</v>
      </c>
      <c r="G400" s="99" t="str">
        <f>'Resultater - Vestdanmark'!G400</f>
        <v>kg N</v>
      </c>
      <c r="H400" s="286">
        <f>'Resultater - Vestdanmark'!H400+'Resultater - Østdanmark'!H400</f>
        <v>-151362.28678276329</v>
      </c>
      <c r="I400" s="287">
        <f>'Resultater - Vestdanmark'!I400+'Resultater - Østdanmark'!I400</f>
        <v>-161969.57220393119</v>
      </c>
      <c r="J400" s="288">
        <f>'Resultater - Vestdanmark'!J400+'Resultater - Østdanmark'!J400</f>
        <v>-209960.55656065154</v>
      </c>
    </row>
    <row r="401" spans="1:10" hidden="1" x14ac:dyDescent="0.55000000000000004">
      <c r="A401" s="99" t="str">
        <f>'Resultater - Vestdanmark'!A401</f>
        <v>Permanent græs</v>
      </c>
      <c r="B401" s="99" t="str">
        <f>'Resultater - Vestdanmark'!B401</f>
        <v>Økologisk</v>
      </c>
      <c r="C401" s="99" t="str">
        <f>'Resultater - Vestdanmark'!C401</f>
        <v>OC12</v>
      </c>
      <c r="D401" s="99" t="str">
        <f>'Resultater - Vestdanmark'!D401</f>
        <v>Areal-permanent græs</v>
      </c>
      <c r="E401" s="99" t="str">
        <f>'Resultater - Vestdanmark'!E401</f>
        <v>Hektar</v>
      </c>
      <c r="F401" s="99" t="str">
        <f>'Resultater - Vestdanmark'!F401</f>
        <v>CO2 - atmosfære</v>
      </c>
      <c r="G401" s="99" t="str">
        <f>'Resultater - Vestdanmark'!G401</f>
        <v>t CO2-ækvivalenter</v>
      </c>
      <c r="H401" s="286">
        <f>'Resultater - Vestdanmark'!H401+'Resultater - Østdanmark'!H401</f>
        <v>86281.632732920101</v>
      </c>
      <c r="I401" s="287">
        <f>'Resultater - Vestdanmark'!I401+'Resultater - Østdanmark'!I401</f>
        <v>92328.144875776328</v>
      </c>
      <c r="J401" s="288">
        <f>'Resultater - Vestdanmark'!J401+'Resultater - Østdanmark'!J401</f>
        <v>119684.63224637671</v>
      </c>
    </row>
    <row r="402" spans="1:10" x14ac:dyDescent="0.55000000000000004">
      <c r="A402" s="99" t="str">
        <f>'Resultater - Vestdanmark'!A402</f>
        <v>Tømmerproduktion</v>
      </c>
      <c r="B402" s="99" t="str">
        <f>'Resultater - Vestdanmark'!B402</f>
        <v/>
      </c>
      <c r="C402" s="99" t="str">
        <f>'Resultater - Vestdanmark'!C402</f>
        <v/>
      </c>
      <c r="D402" s="99" t="str">
        <f>'Resultater - Vestdanmark'!D402</f>
        <v>Træer</v>
      </c>
      <c r="E402" s="99" t="str">
        <f>'Resultater - Vestdanmark'!E402</f>
        <v>m3</v>
      </c>
      <c r="F402" s="99" t="str">
        <f>'Resultater - Vestdanmark'!F402</f>
        <v>Træmaterialer</v>
      </c>
      <c r="G402" s="99" t="str">
        <f>'Resultater - Vestdanmark'!G402</f>
        <v>m3</v>
      </c>
      <c r="H402" s="286">
        <f>'Resultater - Vestdanmark'!H402+'Resultater - Østdanmark'!H402</f>
        <v>827693.20492220437</v>
      </c>
      <c r="I402" s="287">
        <f>'Resultater - Vestdanmark'!I402+'Resultater - Østdanmark'!I402</f>
        <v>783291.25515859458</v>
      </c>
      <c r="J402" s="288">
        <f>'Resultater - Vestdanmark'!J402+'Resultater - Østdanmark'!J402</f>
        <v>712825.86568798381</v>
      </c>
    </row>
    <row r="403" spans="1:10" x14ac:dyDescent="0.55000000000000004">
      <c r="A403" s="99" t="str">
        <f>'Resultater - Vestdanmark'!A403</f>
        <v>Tømmerproduktion</v>
      </c>
      <c r="B403" s="99" t="str">
        <f>'Resultater - Vestdanmark'!B403</f>
        <v/>
      </c>
      <c r="C403" s="99" t="str">
        <f>'Resultater - Vestdanmark'!C403</f>
        <v/>
      </c>
      <c r="D403" s="99" t="str">
        <f>'Resultater - Vestdanmark'!D403</f>
        <v>Træer</v>
      </c>
      <c r="E403" s="99" t="str">
        <f>'Resultater - Vestdanmark'!E403</f>
        <v>m3</v>
      </c>
      <c r="F403" s="99" t="str">
        <f>'Resultater - Vestdanmark'!F403</f>
        <v>Træ til energi</v>
      </c>
      <c r="G403" s="99" t="str">
        <f>'Resultater - Vestdanmark'!G403</f>
        <v>m3</v>
      </c>
      <c r="H403" s="286">
        <f>'Resultater - Vestdanmark'!H403+'Resultater - Østdanmark'!H403</f>
        <v>896667.6386657214</v>
      </c>
      <c r="I403" s="287">
        <f>'Resultater - Vestdanmark'!I403+'Resultater - Østdanmark'!I403</f>
        <v>848565.52642181097</v>
      </c>
      <c r="J403" s="288">
        <f>'Resultater - Vestdanmark'!J403+'Resultater - Østdanmark'!J403</f>
        <v>772228.02116198244</v>
      </c>
    </row>
    <row r="404" spans="1:10" x14ac:dyDescent="0.55000000000000004">
      <c r="A404" s="99" t="str">
        <f>'Resultater - Vestdanmark'!A404</f>
        <v>Mejeri</v>
      </c>
      <c r="B404" s="99" t="str">
        <f>'Resultater - Vestdanmark'!B404</f>
        <v/>
      </c>
      <c r="C404" s="99" t="str">
        <f>'Resultater - Vestdanmark'!C404</f>
        <v/>
      </c>
      <c r="D404" s="99" t="str">
        <f>'Resultater - Vestdanmark'!D404</f>
        <v>Råmælk</v>
      </c>
      <c r="E404" s="99" t="str">
        <f>'Resultater - Vestdanmark'!E404</f>
        <v>Ton</v>
      </c>
      <c r="F404" s="99" t="str">
        <f>'Resultater - Vestdanmark'!F404</f>
        <v>Mejeriprodukter</v>
      </c>
      <c r="G404" s="99" t="str">
        <f>'Resultater - Vestdanmark'!G404</f>
        <v>Ton</v>
      </c>
      <c r="H404" s="286">
        <f>'Resultater - Vestdanmark'!H404+'Resultater - Østdanmark'!H404</f>
        <v>3383628.2</v>
      </c>
      <c r="I404" s="287">
        <f>'Resultater - Vestdanmark'!I404+'Resultater - Østdanmark'!I404</f>
        <v>3349973.4189923876</v>
      </c>
      <c r="J404" s="288">
        <f>'Resultater - Vestdanmark'!J404+'Resultater - Østdanmark'!J404</f>
        <v>3287746.765328066</v>
      </c>
    </row>
    <row r="405" spans="1:10" x14ac:dyDescent="0.55000000000000004">
      <c r="A405" s="99" t="str">
        <f>'Resultater - Vestdanmark'!A405</f>
        <v>Mejeri</v>
      </c>
      <c r="B405" s="99" t="str">
        <f>'Resultater - Vestdanmark'!B405</f>
        <v/>
      </c>
      <c r="C405" s="99" t="str">
        <f>'Resultater - Vestdanmark'!C405</f>
        <v/>
      </c>
      <c r="D405" s="99" t="str">
        <f>'Resultater - Vestdanmark'!D405</f>
        <v>Råmælk</v>
      </c>
      <c r="E405" s="99" t="str">
        <f>'Resultater - Vestdanmark'!E405</f>
        <v>Ton</v>
      </c>
      <c r="F405" s="99" t="str">
        <f>'Resultater - Vestdanmark'!F405</f>
        <v>Spildevandsslam</v>
      </c>
      <c r="G405" s="99" t="str">
        <f>'Resultater - Vestdanmark'!G405</f>
        <v>Ton</v>
      </c>
      <c r="H405" s="286">
        <f>'Resultater - Vestdanmark'!H405+'Resultater - Østdanmark'!H405</f>
        <v>131725</v>
      </c>
      <c r="I405" s="287">
        <f>'Resultater - Vestdanmark'!I405+'Resultater - Østdanmark'!I405</f>
        <v>130414.81585263187</v>
      </c>
      <c r="J405" s="288">
        <f>'Resultater - Vestdanmark'!J405+'Resultater - Østdanmark'!J405</f>
        <v>127992.32571203879</v>
      </c>
    </row>
    <row r="406" spans="1:10" s="172" customFormat="1" x14ac:dyDescent="0.55000000000000004">
      <c r="A406" s="99" t="str">
        <f>'Resultater - Vestdanmark'!A406</f>
        <v>Mejeri</v>
      </c>
      <c r="B406" s="99" t="str">
        <f>'Resultater - Vestdanmark'!B406</f>
        <v/>
      </c>
      <c r="C406" s="99" t="str">
        <f>'Resultater - Vestdanmark'!C406</f>
        <v/>
      </c>
      <c r="D406" s="99" t="str">
        <f>'Resultater - Vestdanmark'!D406</f>
        <v>Råmælk</v>
      </c>
      <c r="E406" s="99" t="str">
        <f>'Resultater - Vestdanmark'!E406</f>
        <v>Ton</v>
      </c>
      <c r="F406" s="99" t="str">
        <f>'Resultater - Vestdanmark'!F406</f>
        <v>Industriaffald</v>
      </c>
      <c r="G406" s="99" t="str">
        <f>'Resultater - Vestdanmark'!G406</f>
        <v>Ton</v>
      </c>
      <c r="H406" s="286">
        <f>'Resultater - Vestdanmark'!H406+'Resultater - Østdanmark'!H406</f>
        <v>17308.665000000001</v>
      </c>
      <c r="I406" s="287">
        <f>'Resultater - Vestdanmark'!I406+'Resultater - Østdanmark'!I406</f>
        <v>17136.506803035827</v>
      </c>
      <c r="J406" s="288">
        <f>'Resultater - Vestdanmark'!J406+'Resultater - Østdanmark'!J406</f>
        <v>16818.191598561898</v>
      </c>
    </row>
    <row r="407" spans="1:10" x14ac:dyDescent="0.55000000000000004">
      <c r="A407" s="99" t="str">
        <f>'Resultater - Vestdanmark'!A407</f>
        <v>Mejeri</v>
      </c>
      <c r="B407" s="99" t="str">
        <f>'Resultater - Vestdanmark'!B407</f>
        <v/>
      </c>
      <c r="C407" s="99" t="str">
        <f>'Resultater - Vestdanmark'!C407</f>
        <v/>
      </c>
      <c r="D407" s="99" t="str">
        <f>'Resultater - Vestdanmark'!D407</f>
        <v>Råmælk</v>
      </c>
      <c r="E407" s="99" t="str">
        <f>'Resultater - Vestdanmark'!E407</f>
        <v>Ton</v>
      </c>
      <c r="F407" s="99" t="str">
        <f>'Resultater - Vestdanmark'!F407</f>
        <v>Mælk til foder</v>
      </c>
      <c r="G407" s="99" t="str">
        <f>'Resultater - Vestdanmark'!G407</f>
        <v>Ton</v>
      </c>
      <c r="H407" s="286">
        <f>'Resultater - Vestdanmark'!H407+'Resultater - Østdanmark'!H407</f>
        <v>1753646.8000000003</v>
      </c>
      <c r="I407" s="287">
        <f>'Resultater - Vestdanmark'!I407+'Resultater - Østdanmark'!I407</f>
        <v>1736204.3992602557</v>
      </c>
      <c r="J407" s="288">
        <f>'Resultater - Vestdanmark'!J407+'Resultater - Østdanmark'!J407</f>
        <v>1703953.9374414468</v>
      </c>
    </row>
    <row r="408" spans="1:10" x14ac:dyDescent="0.55000000000000004">
      <c r="A408" s="99" t="str">
        <f>'Resultater - Vestdanmark'!A408</f>
        <v>Slagteri</v>
      </c>
      <c r="B408" s="99" t="str">
        <f>'Resultater - Vestdanmark'!B408</f>
        <v/>
      </c>
      <c r="C408" s="99" t="str">
        <f>'Resultater - Vestdanmark'!C408</f>
        <v/>
      </c>
      <c r="D408" s="99" t="str">
        <f>'Resultater - Vestdanmark'!D408</f>
        <v>Slagtesvin</v>
      </c>
      <c r="E408" s="99" t="str">
        <f>'Resultater - Vestdanmark'!E408</f>
        <v>Antal</v>
      </c>
      <c r="F408" s="99" t="str">
        <f>'Resultater - Vestdanmark'!F408</f>
        <v>Svinekød</v>
      </c>
      <c r="G408" s="99" t="str">
        <f>'Resultater - Vestdanmark'!G408</f>
        <v>Ton</v>
      </c>
      <c r="H408" s="286">
        <f>'Resultater - Vestdanmark'!H408+'Resultater - Østdanmark'!H408</f>
        <v>1601127.6966659406</v>
      </c>
      <c r="I408" s="287">
        <f>'Resultater - Vestdanmark'!I408+'Resultater - Østdanmark'!I408</f>
        <v>1577683.1378100975</v>
      </c>
      <c r="J408" s="288">
        <f>'Resultater - Vestdanmark'!J408+'Resultater - Østdanmark'!J408</f>
        <v>1534334.8704746079</v>
      </c>
    </row>
    <row r="409" spans="1:10" x14ac:dyDescent="0.55000000000000004">
      <c r="A409" s="99" t="str">
        <f>'Resultater - Vestdanmark'!A409</f>
        <v>Slagteri</v>
      </c>
      <c r="B409" s="99" t="str">
        <f>'Resultater - Vestdanmark'!B409</f>
        <v/>
      </c>
      <c r="C409" s="99" t="str">
        <f>'Resultater - Vestdanmark'!C409</f>
        <v/>
      </c>
      <c r="D409" s="99" t="str">
        <f>'Resultater - Vestdanmark'!D409</f>
        <v>Slagtesvin</v>
      </c>
      <c r="E409" s="99" t="str">
        <f>'Resultater - Vestdanmark'!E409</f>
        <v>Antal</v>
      </c>
      <c r="F409" s="99" t="str">
        <f>'Resultater - Vestdanmark'!F409</f>
        <v>Industriaffald</v>
      </c>
      <c r="G409" s="99" t="str">
        <f>'Resultater - Vestdanmark'!G409</f>
        <v>Ton</v>
      </c>
      <c r="H409" s="286">
        <f>'Resultater - Vestdanmark'!H409+'Resultater - Østdanmark'!H409</f>
        <v>22728.326432774025</v>
      </c>
      <c r="I409" s="287">
        <f>'Resultater - Vestdanmark'!I409+'Resultater - Østdanmark'!I409</f>
        <v>30225.931677220276</v>
      </c>
      <c r="J409" s="288">
        <f>'Resultater - Vestdanmark'!J409+'Resultater - Østdanmark'!J409</f>
        <v>29395.446939564357</v>
      </c>
    </row>
    <row r="410" spans="1:10" x14ac:dyDescent="0.55000000000000004">
      <c r="A410" s="99" t="str">
        <f>'Resultater - Vestdanmark'!A410</f>
        <v>Slagteri</v>
      </c>
      <c r="B410" s="99" t="str">
        <f>'Resultater - Vestdanmark'!B410</f>
        <v/>
      </c>
      <c r="C410" s="99" t="str">
        <f>'Resultater - Vestdanmark'!C410</f>
        <v/>
      </c>
      <c r="D410" s="99" t="str">
        <f>'Resultater - Vestdanmark'!D410</f>
        <v>Slagtesvin</v>
      </c>
      <c r="E410" s="99" t="str">
        <f>'Resultater - Vestdanmark'!E410</f>
        <v>Antal</v>
      </c>
      <c r="F410" s="99" t="str">
        <f>'Resultater - Vestdanmark'!F410</f>
        <v>Slagteriaffald til foder</v>
      </c>
      <c r="G410" s="99" t="str">
        <f>'Resultater - Vestdanmark'!G410</f>
        <v>Ton</v>
      </c>
      <c r="H410" s="286">
        <f>'Resultater - Vestdanmark'!H410+'Resultater - Østdanmark'!H410</f>
        <v>142794.72651993899</v>
      </c>
      <c r="I410" s="287">
        <f>'Resultater - Vestdanmark'!I410+'Resultater - Østdanmark'!I410</f>
        <v>140703.85058470169</v>
      </c>
      <c r="J410" s="288">
        <f>'Resultater - Vestdanmark'!J410+'Resultater - Østdanmark'!J410</f>
        <v>136837.88537020085</v>
      </c>
    </row>
    <row r="411" spans="1:10" x14ac:dyDescent="0.55000000000000004">
      <c r="A411" s="99" t="str">
        <f>'Resultater - Vestdanmark'!A411</f>
        <v>Slagteri</v>
      </c>
      <c r="B411" s="99" t="str">
        <f>'Resultater - Vestdanmark'!B411</f>
        <v/>
      </c>
      <c r="C411" s="99" t="str">
        <f>'Resultater - Vestdanmark'!C411</f>
        <v/>
      </c>
      <c r="D411" s="99" t="str">
        <f>'Resultater - Vestdanmark'!D411</f>
        <v>Slagtesvin</v>
      </c>
      <c r="E411" s="99" t="str">
        <f>'Resultater - Vestdanmark'!E411</f>
        <v>Antal</v>
      </c>
      <c r="F411" s="99" t="str">
        <f>'Resultater - Vestdanmark'!F411</f>
        <v>Slagteriaffald til andet</v>
      </c>
      <c r="G411" s="99" t="str">
        <f>'Resultater - Vestdanmark'!G411</f>
        <v>Ton</v>
      </c>
      <c r="H411" s="286">
        <f>'Resultater - Vestdanmark'!H411+'Resultater - Østdanmark'!H411</f>
        <v>140895.61996077577</v>
      </c>
      <c r="I411" s="287">
        <f>'Resultater - Vestdanmark'!I411+'Resultater - Østdanmark'!I411</f>
        <v>138832.55174855303</v>
      </c>
      <c r="J411" s="288">
        <f>'Resultater - Vestdanmark'!J411+'Resultater - Østdanmark'!J411</f>
        <v>135018.00215755089</v>
      </c>
    </row>
    <row r="412" spans="1:10" x14ac:dyDescent="0.55000000000000004">
      <c r="A412" s="99" t="str">
        <f>'Resultater - Vestdanmark'!A412</f>
        <v>Slagteri</v>
      </c>
      <c r="B412" s="99" t="str">
        <f>'Resultater - Vestdanmark'!B412</f>
        <v/>
      </c>
      <c r="C412" s="99" t="str">
        <f>'Resultater - Vestdanmark'!C412</f>
        <v/>
      </c>
      <c r="D412" s="99" t="str">
        <f>'Resultater - Vestdanmark'!D412</f>
        <v>Slagtekøer</v>
      </c>
      <c r="E412" s="99" t="str">
        <f>'Resultater - Vestdanmark'!E412</f>
        <v>Antal</v>
      </c>
      <c r="F412" s="99" t="str">
        <f>'Resultater - Vestdanmark'!F412</f>
        <v>Oksekød</v>
      </c>
      <c r="G412" s="99" t="str">
        <f>'Resultater - Vestdanmark'!G412</f>
        <v>Ton</v>
      </c>
      <c r="H412" s="286">
        <f>'Resultater - Vestdanmark'!H412+'Resultater - Østdanmark'!H412</f>
        <v>115671.91919191919</v>
      </c>
      <c r="I412" s="287">
        <f>'Resultater - Vestdanmark'!I412+'Resultater - Østdanmark'!I412</f>
        <v>113713.9338619913</v>
      </c>
      <c r="J412" s="288">
        <f>'Resultater - Vestdanmark'!J412+'Resultater - Østdanmark'!J412</f>
        <v>110093.6792842632</v>
      </c>
    </row>
    <row r="413" spans="1:10" x14ac:dyDescent="0.55000000000000004">
      <c r="A413" s="99" t="str">
        <f>'Resultater - Vestdanmark'!A413</f>
        <v>Slagteri</v>
      </c>
      <c r="B413" s="99" t="str">
        <f>'Resultater - Vestdanmark'!B413</f>
        <v/>
      </c>
      <c r="C413" s="99" t="str">
        <f>'Resultater - Vestdanmark'!C413</f>
        <v/>
      </c>
      <c r="D413" s="99" t="str">
        <f>'Resultater - Vestdanmark'!D413</f>
        <v>Slagtekøer</v>
      </c>
      <c r="E413" s="99" t="str">
        <f>'Resultater - Vestdanmark'!E413</f>
        <v>Antal</v>
      </c>
      <c r="F413" s="99" t="str">
        <f>'Resultater - Vestdanmark'!F413</f>
        <v>Industriaffald</v>
      </c>
      <c r="G413" s="99" t="str">
        <f>'Resultater - Vestdanmark'!G413</f>
        <v>Ton</v>
      </c>
      <c r="H413" s="286">
        <f>'Resultater - Vestdanmark'!H413+'Resultater - Østdanmark'!H413</f>
        <v>50006.545454545456</v>
      </c>
      <c r="I413" s="287">
        <f>'Resultater - Vestdanmark'!I413+'Resultater - Østdanmark'!I413</f>
        <v>55152.179429823183</v>
      </c>
      <c r="J413" s="288">
        <f>'Resultater - Vestdanmark'!J413+'Resultater - Østdanmark'!J413</f>
        <v>53396.326622067689</v>
      </c>
    </row>
    <row r="414" spans="1:10" x14ac:dyDescent="0.55000000000000004">
      <c r="A414" s="99" t="str">
        <f>'Resultater - Vestdanmark'!A414</f>
        <v>Slagteri</v>
      </c>
      <c r="B414" s="99" t="str">
        <f>'Resultater - Vestdanmark'!B414</f>
        <v/>
      </c>
      <c r="C414" s="99" t="str">
        <f>'Resultater - Vestdanmark'!C414</f>
        <v/>
      </c>
      <c r="D414" s="99" t="str">
        <f>'Resultater - Vestdanmark'!D414</f>
        <v>Slagtekøer</v>
      </c>
      <c r="E414" s="99" t="str">
        <f>'Resultater - Vestdanmark'!E414</f>
        <v>Antal</v>
      </c>
      <c r="F414" s="99" t="str">
        <f>'Resultater - Vestdanmark'!F414</f>
        <v>Slagteriaffald til foder</v>
      </c>
      <c r="G414" s="99" t="str">
        <f>'Resultater - Vestdanmark'!G414</f>
        <v>Ton</v>
      </c>
      <c r="H414" s="286">
        <f>'Resultater - Vestdanmark'!H414+'Resultater - Østdanmark'!H414</f>
        <v>7405.2525252525256</v>
      </c>
      <c r="I414" s="287">
        <f>'Resultater - Vestdanmark'!I414+'Resultater - Østdanmark'!I414</f>
        <v>7279.9033833851809</v>
      </c>
      <c r="J414" s="288">
        <f>'Resultater - Vestdanmark'!J414+'Resultater - Østdanmark'!J414</f>
        <v>7048.136680272929</v>
      </c>
    </row>
    <row r="415" spans="1:10" x14ac:dyDescent="0.55000000000000004">
      <c r="A415" s="99" t="str">
        <f>'Resultater - Vestdanmark'!A415</f>
        <v>Slagteri</v>
      </c>
      <c r="B415" s="99" t="str">
        <f>'Resultater - Vestdanmark'!B415</f>
        <v/>
      </c>
      <c r="C415" s="99" t="str">
        <f>'Resultater - Vestdanmark'!C415</f>
        <v/>
      </c>
      <c r="D415" s="99" t="str">
        <f>'Resultater - Vestdanmark'!D415</f>
        <v>Slagtekøer</v>
      </c>
      <c r="E415" s="99" t="str">
        <f>'Resultater - Vestdanmark'!E415</f>
        <v>Antal</v>
      </c>
      <c r="F415" s="99" t="str">
        <f>'Resultater - Vestdanmark'!F415</f>
        <v>Slagteriaffald til andet</v>
      </c>
      <c r="G415" s="99" t="str">
        <f>'Resultater - Vestdanmark'!G415</f>
        <v>Ton</v>
      </c>
      <c r="H415" s="286">
        <f>'Resultater - Vestdanmark'!H415+'Resultater - Østdanmark'!H415</f>
        <v>76114.747474747448</v>
      </c>
      <c r="I415" s="287">
        <f>'Resultater - Vestdanmark'!I415+'Resultater - Østdanmark'!I415</f>
        <v>74826.348700110961</v>
      </c>
      <c r="J415" s="288">
        <f>'Resultater - Vestdanmark'!J415+'Resultater - Østdanmark'!J415</f>
        <v>72444.139042805269</v>
      </c>
    </row>
    <row r="416" spans="1:10" x14ac:dyDescent="0.55000000000000004">
      <c r="A416" s="99" t="str">
        <f>'Resultater - Vestdanmark'!A416</f>
        <v>Slagteri</v>
      </c>
      <c r="B416" s="99" t="str">
        <f>'Resultater - Vestdanmark'!B416</f>
        <v/>
      </c>
      <c r="C416" s="99" t="str">
        <f>'Resultater - Vestdanmark'!C416</f>
        <v/>
      </c>
      <c r="D416" s="99" t="str">
        <f>'Resultater - Vestdanmark'!D416</f>
        <v>Slagtefjerkræ</v>
      </c>
      <c r="E416" s="99" t="str">
        <f>'Resultater - Vestdanmark'!E416</f>
        <v>Antal</v>
      </c>
      <c r="F416" s="99" t="str">
        <f>'Resultater - Vestdanmark'!F416</f>
        <v>Fjerkrækød</v>
      </c>
      <c r="G416" s="99" t="str">
        <f>'Resultater - Vestdanmark'!G416</f>
        <v>Ton</v>
      </c>
      <c r="H416" s="286">
        <f>'Resultater - Vestdanmark'!H416+'Resultater - Østdanmark'!H416</f>
        <v>201545.30567673693</v>
      </c>
      <c r="I416" s="287">
        <f>'Resultater - Vestdanmark'!I416+'Resultater - Østdanmark'!I416</f>
        <v>196872.93522310784</v>
      </c>
      <c r="J416" s="288">
        <f>'Resultater - Vestdanmark'!J416+'Resultater - Østdanmark'!J416</f>
        <v>188233.86614274088</v>
      </c>
    </row>
    <row r="417" spans="1:10" ht="14.7" thickBot="1" x14ac:dyDescent="0.6">
      <c r="A417" s="99" t="str">
        <f>'Resultater - Vestdanmark'!A417</f>
        <v>Slagteri</v>
      </c>
      <c r="B417" s="99" t="str">
        <f>'Resultater - Vestdanmark'!B417</f>
        <v/>
      </c>
      <c r="C417" s="99" t="str">
        <f>'Resultater - Vestdanmark'!C417</f>
        <v/>
      </c>
      <c r="D417" s="99" t="str">
        <f>'Resultater - Vestdanmark'!D417</f>
        <v>Slagtefjerkræ</v>
      </c>
      <c r="E417" s="99" t="str">
        <f>'Resultater - Vestdanmark'!E417</f>
        <v>Antal</v>
      </c>
      <c r="F417" s="99" t="str">
        <f>'Resultater - Vestdanmark'!F417</f>
        <v>Industriaffald</v>
      </c>
      <c r="G417" s="99" t="str">
        <f>'Resultater - Vestdanmark'!G417</f>
        <v>Ton</v>
      </c>
      <c r="H417" s="289">
        <f>'Resultater - Vestdanmark'!H417+'Resultater - Østdanmark'!H417</f>
        <v>550.81037157810442</v>
      </c>
      <c r="I417" s="290">
        <f>'Resultater - Vestdanmark'!I417+'Resultater - Østdanmark'!I417</f>
        <v>726.16257554479</v>
      </c>
      <c r="J417" s="291">
        <f>'Resultater - Vestdanmark'!J417+'Resultater - Østdanmark'!J417</f>
        <v>694.29751168215546</v>
      </c>
    </row>
    <row r="418" spans="1:10" x14ac:dyDescent="0.55000000000000004">
      <c r="A418" s="99" t="str">
        <f>'Resultater - Vestdanmark'!A418</f>
        <v>Foderproduktion</v>
      </c>
      <c r="B418" s="99" t="str">
        <f>'Resultater - Vestdanmark'!B418</f>
        <v/>
      </c>
      <c r="C418" s="99" t="str">
        <f>'Resultater - Vestdanmark'!C418</f>
        <v/>
      </c>
      <c r="D418" s="99" t="str">
        <f>'Resultater - Vestdanmark'!D418</f>
        <v>Korn</v>
      </c>
      <c r="E418" s="99" t="str">
        <f>'Resultater - Vestdanmark'!E418</f>
        <v>Ton</v>
      </c>
      <c r="F418" s="99" t="str">
        <f>'Resultater - Vestdanmark'!F418</f>
        <v>Foder</v>
      </c>
      <c r="G418" s="99" t="str">
        <f>'Resultater - Vestdanmark'!G418</f>
        <v>FE</v>
      </c>
      <c r="H418" s="283">
        <f>'Resultater - Vestdanmark'!H418+'Resultater - Østdanmark'!H418</f>
        <v>5940049093.1121235</v>
      </c>
      <c r="I418" s="284">
        <f>'Resultater - Vestdanmark'!I418+'Resultater - Østdanmark'!I418</f>
        <v>5940049093.1121225</v>
      </c>
      <c r="J418" s="285">
        <f>'Resultater - Vestdanmark'!J418+'Resultater - Østdanmark'!J418</f>
        <v>5940049093.1121225</v>
      </c>
    </row>
    <row r="419" spans="1:10" x14ac:dyDescent="0.55000000000000004">
      <c r="A419" s="99" t="str">
        <f>'Resultater - Vestdanmark'!A419</f>
        <v>Foderproduktion</v>
      </c>
      <c r="B419" s="99" t="str">
        <f>'Resultater - Vestdanmark'!B419</f>
        <v/>
      </c>
      <c r="C419" s="99" t="str">
        <f>'Resultater - Vestdanmark'!C419</f>
        <v/>
      </c>
      <c r="D419" s="99" t="str">
        <f>'Resultater - Vestdanmark'!D419</f>
        <v>Halm</v>
      </c>
      <c r="E419" s="99" t="str">
        <f>'Resultater - Vestdanmark'!E419</f>
        <v>Ton</v>
      </c>
      <c r="F419" s="99" t="str">
        <f>'Resultater - Vestdanmark'!F419</f>
        <v>Foder</v>
      </c>
      <c r="G419" s="99" t="str">
        <f>'Resultater - Vestdanmark'!G419</f>
        <v>FE</v>
      </c>
      <c r="H419" s="286">
        <f>'Resultater - Vestdanmark'!H419+'Resultater - Østdanmark'!H419</f>
        <v>164945487.85478973</v>
      </c>
      <c r="I419" s="287">
        <f>'Resultater - Vestdanmark'!I419+'Resultater - Østdanmark'!I419</f>
        <v>164945487.85478973</v>
      </c>
      <c r="J419" s="288">
        <f>'Resultater - Vestdanmark'!J419+'Resultater - Østdanmark'!J419</f>
        <v>164945487.85478973</v>
      </c>
    </row>
    <row r="420" spans="1:10" x14ac:dyDescent="0.55000000000000004">
      <c r="A420" s="99" t="str">
        <f>'Resultater - Vestdanmark'!A420</f>
        <v>Foderproduktion</v>
      </c>
      <c r="B420" s="99" t="str">
        <f>'Resultater - Vestdanmark'!B420</f>
        <v/>
      </c>
      <c r="C420" s="99" t="str">
        <f>'Resultater - Vestdanmark'!C420</f>
        <v/>
      </c>
      <c r="D420" s="99" t="str">
        <f>'Resultater - Vestdanmark'!D420</f>
        <v>Kartofler</v>
      </c>
      <c r="E420" s="99" t="str">
        <f>'Resultater - Vestdanmark'!E420</f>
        <v>Ton</v>
      </c>
      <c r="F420" s="99" t="str">
        <f>'Resultater - Vestdanmark'!F420</f>
        <v>Foder</v>
      </c>
      <c r="G420" s="99" t="str">
        <f>'Resultater - Vestdanmark'!G420</f>
        <v>FE</v>
      </c>
      <c r="H420" s="286">
        <f>'Resultater - Vestdanmark'!H420+'Resultater - Østdanmark'!H420</f>
        <v>0</v>
      </c>
      <c r="I420" s="287">
        <f>'Resultater - Vestdanmark'!I420+'Resultater - Østdanmark'!I420</f>
        <v>0</v>
      </c>
      <c r="J420" s="288">
        <f>'Resultater - Vestdanmark'!J420+'Resultater - Østdanmark'!J420</f>
        <v>0</v>
      </c>
    </row>
    <row r="421" spans="1:10" x14ac:dyDescent="0.55000000000000004">
      <c r="A421" s="99" t="str">
        <f>'Resultater - Vestdanmark'!A421</f>
        <v>Foderproduktion</v>
      </c>
      <c r="B421" s="99" t="str">
        <f>'Resultater - Vestdanmark'!B421</f>
        <v/>
      </c>
      <c r="C421" s="99" t="str">
        <f>'Resultater - Vestdanmark'!C421</f>
        <v/>
      </c>
      <c r="D421" s="99" t="str">
        <f>'Resultater - Vestdanmark'!D421</f>
        <v>Bælgsæd</v>
      </c>
      <c r="E421" s="99" t="str">
        <f>'Resultater - Vestdanmark'!E421</f>
        <v>Ton</v>
      </c>
      <c r="F421" s="99" t="str">
        <f>'Resultater - Vestdanmark'!F421</f>
        <v>Foder</v>
      </c>
      <c r="G421" s="99" t="str">
        <f>'Resultater - Vestdanmark'!G421</f>
        <v>FE</v>
      </c>
      <c r="H421" s="286">
        <f>'Resultater - Vestdanmark'!H421+'Resultater - Østdanmark'!H421</f>
        <v>78449683.248009756</v>
      </c>
      <c r="I421" s="287">
        <f>'Resultater - Vestdanmark'!I421+'Resultater - Østdanmark'!I421</f>
        <v>78449683.248009741</v>
      </c>
      <c r="J421" s="288">
        <f>'Resultater - Vestdanmark'!J421+'Resultater - Østdanmark'!J421</f>
        <v>78449683.248009741</v>
      </c>
    </row>
    <row r="422" spans="1:10" x14ac:dyDescent="0.55000000000000004">
      <c r="A422" s="99" t="str">
        <f>'Resultater - Vestdanmark'!A422</f>
        <v>Foderproduktion</v>
      </c>
      <c r="B422" s="99" t="str">
        <f>'Resultater - Vestdanmark'!B422</f>
        <v/>
      </c>
      <c r="C422" s="99" t="str">
        <f>'Resultater - Vestdanmark'!C422</f>
        <v/>
      </c>
      <c r="D422" s="99" t="str">
        <f>'Resultater - Vestdanmark'!D422</f>
        <v>Roer</v>
      </c>
      <c r="E422" s="99" t="str">
        <f>'Resultater - Vestdanmark'!E422</f>
        <v>Ton</v>
      </c>
      <c r="F422" s="99" t="str">
        <f>'Resultater - Vestdanmark'!F422</f>
        <v>Foder</v>
      </c>
      <c r="G422" s="99" t="str">
        <f>'Resultater - Vestdanmark'!G422</f>
        <v>FE</v>
      </c>
      <c r="H422" s="286">
        <f>'Resultater - Vestdanmark'!H422+'Resultater - Østdanmark'!H422</f>
        <v>143824419.28801787</v>
      </c>
      <c r="I422" s="287">
        <f>'Resultater - Vestdanmark'!I422+'Resultater - Østdanmark'!I422</f>
        <v>143824419.28801787</v>
      </c>
      <c r="J422" s="288">
        <f>'Resultater - Vestdanmark'!J422+'Resultater - Østdanmark'!J422</f>
        <v>143824419.28801787</v>
      </c>
    </row>
    <row r="423" spans="1:10" x14ac:dyDescent="0.55000000000000004">
      <c r="A423" s="99" t="str">
        <f>'Resultater - Vestdanmark'!A423</f>
        <v>Foderproduktion</v>
      </c>
      <c r="B423" s="99" t="str">
        <f>'Resultater - Vestdanmark'!B423</f>
        <v/>
      </c>
      <c r="C423" s="99" t="str">
        <f>'Resultater - Vestdanmark'!C423</f>
        <v/>
      </c>
      <c r="D423" s="99" t="str">
        <f>'Resultater - Vestdanmark'!D423</f>
        <v>Majs</v>
      </c>
      <c r="E423" s="99" t="str">
        <f>'Resultater - Vestdanmark'!E423</f>
        <v>Ton</v>
      </c>
      <c r="F423" s="99" t="str">
        <f>'Resultater - Vestdanmark'!F423</f>
        <v>Foder</v>
      </c>
      <c r="G423" s="99" t="str">
        <f>'Resultater - Vestdanmark'!G423</f>
        <v>FE</v>
      </c>
      <c r="H423" s="286">
        <f>'Resultater - Vestdanmark'!H423+'Resultater - Østdanmark'!H423</f>
        <v>1682645129.1528244</v>
      </c>
      <c r="I423" s="287">
        <f>'Resultater - Vestdanmark'!I423+'Resultater - Østdanmark'!I423</f>
        <v>1682645129.1528244</v>
      </c>
      <c r="J423" s="288">
        <f>'Resultater - Vestdanmark'!J423+'Resultater - Østdanmark'!J423</f>
        <v>1682645129.1528244</v>
      </c>
    </row>
    <row r="424" spans="1:10" x14ac:dyDescent="0.55000000000000004">
      <c r="A424" s="99" t="str">
        <f>'Resultater - Vestdanmark'!A424</f>
        <v>Foderproduktion</v>
      </c>
      <c r="B424" s="99" t="str">
        <f>'Resultater - Vestdanmark'!B424</f>
        <v/>
      </c>
      <c r="C424" s="99" t="str">
        <f>'Resultater - Vestdanmark'!C424</f>
        <v/>
      </c>
      <c r="D424" s="99" t="str">
        <f>'Resultater - Vestdanmark'!D424</f>
        <v>Rapskage</v>
      </c>
      <c r="E424" s="99" t="str">
        <f>'Resultater - Vestdanmark'!E424</f>
        <v>Ton</v>
      </c>
      <c r="F424" s="99" t="str">
        <f>'Resultater - Vestdanmark'!F424</f>
        <v>Foder</v>
      </c>
      <c r="G424" s="99" t="str">
        <f>'Resultater - Vestdanmark'!G424</f>
        <v>FE</v>
      </c>
      <c r="H424" s="286">
        <f>'Resultater - Vestdanmark'!H424+'Resultater - Østdanmark'!H424</f>
        <v>242389405.93295321</v>
      </c>
      <c r="I424" s="287">
        <f>'Resultater - Vestdanmark'!I424+'Resultater - Østdanmark'!I424</f>
        <v>242389405.93295318</v>
      </c>
      <c r="J424" s="288">
        <f>'Resultater - Vestdanmark'!J424+'Resultater - Østdanmark'!J424</f>
        <v>242389405.93295318</v>
      </c>
    </row>
    <row r="425" spans="1:10" x14ac:dyDescent="0.55000000000000004">
      <c r="A425" s="99" t="str">
        <f>'Resultater - Vestdanmark'!A425</f>
        <v>Foderproduktion</v>
      </c>
      <c r="B425" s="99" t="str">
        <f>'Resultater - Vestdanmark'!B425</f>
        <v/>
      </c>
      <c r="C425" s="99" t="str">
        <f>'Resultater - Vestdanmark'!C425</f>
        <v/>
      </c>
      <c r="D425" s="99" t="str">
        <f>'Resultater - Vestdanmark'!D425</f>
        <v>Tang</v>
      </c>
      <c r="E425" s="99" t="str">
        <f>'Resultater - Vestdanmark'!E425</f>
        <v>Ton</v>
      </c>
      <c r="F425" s="99" t="str">
        <f>'Resultater - Vestdanmark'!F425</f>
        <v>Foder</v>
      </c>
      <c r="G425" s="99" t="str">
        <f>'Resultater - Vestdanmark'!G425</f>
        <v>FE</v>
      </c>
      <c r="H425" s="286">
        <f>'Resultater - Vestdanmark'!H425+'Resultater - Østdanmark'!H425</f>
        <v>0</v>
      </c>
      <c r="I425" s="287">
        <f>'Resultater - Vestdanmark'!I425+'Resultater - Østdanmark'!I425</f>
        <v>0</v>
      </c>
      <c r="J425" s="288">
        <f>'Resultater - Vestdanmark'!J425+'Resultater - Østdanmark'!J425</f>
        <v>0</v>
      </c>
    </row>
    <row r="426" spans="1:10" x14ac:dyDescent="0.55000000000000004">
      <c r="A426" s="99" t="str">
        <f>'Resultater - Vestdanmark'!A426</f>
        <v>Foderproduktion</v>
      </c>
      <c r="B426" s="99" t="str">
        <f>'Resultater - Vestdanmark'!B426</f>
        <v/>
      </c>
      <c r="C426" s="99" t="str">
        <f>'Resultater - Vestdanmark'!C426</f>
        <v/>
      </c>
      <c r="D426" s="99" t="str">
        <f>'Resultater - Vestdanmark'!D426</f>
        <v>Muslinger</v>
      </c>
      <c r="E426" s="99" t="str">
        <f>'Resultater - Vestdanmark'!E426</f>
        <v>Ton</v>
      </c>
      <c r="F426" s="99" t="str">
        <f>'Resultater - Vestdanmark'!F426</f>
        <v>Foder</v>
      </c>
      <c r="G426" s="99" t="str">
        <f>'Resultater - Vestdanmark'!G426</f>
        <v>FE</v>
      </c>
      <c r="H426" s="286">
        <f>'Resultater - Vestdanmark'!H426+'Resultater - Østdanmark'!H426</f>
        <v>0</v>
      </c>
      <c r="I426" s="287">
        <f>'Resultater - Vestdanmark'!I426+'Resultater - Østdanmark'!I426</f>
        <v>0</v>
      </c>
      <c r="J426" s="288">
        <f>'Resultater - Vestdanmark'!J426+'Resultater - Østdanmark'!J426</f>
        <v>0</v>
      </c>
    </row>
    <row r="427" spans="1:10" x14ac:dyDescent="0.55000000000000004">
      <c r="A427" s="99" t="str">
        <f>'Resultater - Vestdanmark'!A427</f>
        <v>Foderproduktion</v>
      </c>
      <c r="B427" s="99" t="str">
        <f>'Resultater - Vestdanmark'!B427</f>
        <v/>
      </c>
      <c r="C427" s="99" t="str">
        <f>'Resultater - Vestdanmark'!C427</f>
        <v/>
      </c>
      <c r="D427" s="99" t="str">
        <f>'Resultater - Vestdanmark'!D427</f>
        <v>Græs</v>
      </c>
      <c r="E427" s="99" t="str">
        <f>'Resultater - Vestdanmark'!E427</f>
        <v>Ton</v>
      </c>
      <c r="F427" s="99" t="str">
        <f>'Resultater - Vestdanmark'!F427</f>
        <v>Foder</v>
      </c>
      <c r="G427" s="99" t="str">
        <f>'Resultater - Vestdanmark'!G427</f>
        <v>FE</v>
      </c>
      <c r="H427" s="286">
        <f>'Resultater - Vestdanmark'!H427+'Resultater - Østdanmark'!H427</f>
        <v>2285098465.8907456</v>
      </c>
      <c r="I427" s="287">
        <f>'Resultater - Vestdanmark'!I427+'Resultater - Østdanmark'!I427</f>
        <v>2285098465.8907452</v>
      </c>
      <c r="J427" s="288">
        <f>'Resultater - Vestdanmark'!J427+'Resultater - Østdanmark'!J427</f>
        <v>2285098465.8907452</v>
      </c>
    </row>
    <row r="428" spans="1:10" x14ac:dyDescent="0.55000000000000004">
      <c r="A428" s="99" t="str">
        <f>'Resultater - Vestdanmark'!A428</f>
        <v>Foderproduktion</v>
      </c>
      <c r="B428" s="99" t="str">
        <f>'Resultater - Vestdanmark'!B428</f>
        <v/>
      </c>
      <c r="C428" s="99" t="str">
        <f>'Resultater - Vestdanmark'!C428</f>
        <v/>
      </c>
      <c r="D428" s="99" t="str">
        <f>'Resultater - Vestdanmark'!D428</f>
        <v>Mælk til foder</v>
      </c>
      <c r="E428" s="99" t="str">
        <f>'Resultater - Vestdanmark'!E428</f>
        <v>Ton</v>
      </c>
      <c r="F428" s="99" t="str">
        <f>'Resultater - Vestdanmark'!F428</f>
        <v>Foder</v>
      </c>
      <c r="G428" s="99" t="str">
        <f>'Resultater - Vestdanmark'!G428</f>
        <v>FE</v>
      </c>
      <c r="H428" s="286">
        <f>'Resultater - Vestdanmark'!H428+'Resultater - Østdanmark'!H428</f>
        <v>163939722.68494347</v>
      </c>
      <c r="I428" s="287">
        <f>'Resultater - Vestdanmark'!I428+'Resultater - Østdanmark'!I428</f>
        <v>163939722.68494344</v>
      </c>
      <c r="J428" s="288">
        <f>'Resultater - Vestdanmark'!J428+'Resultater - Østdanmark'!J428</f>
        <v>163939722.68494344</v>
      </c>
    </row>
    <row r="429" spans="1:10" x14ac:dyDescent="0.55000000000000004">
      <c r="A429" s="99" t="str">
        <f>'Resultater - Vestdanmark'!A429</f>
        <v>Foderproduktion</v>
      </c>
      <c r="B429" s="99" t="str">
        <f>'Resultater - Vestdanmark'!B429</f>
        <v/>
      </c>
      <c r="C429" s="99" t="str">
        <f>'Resultater - Vestdanmark'!C429</f>
        <v/>
      </c>
      <c r="D429" s="99" t="str">
        <f>'Resultater - Vestdanmark'!D429</f>
        <v>Fiberfraktion</v>
      </c>
      <c r="E429" s="99" t="str">
        <f>'Resultater - Vestdanmark'!E429</f>
        <v>Ton</v>
      </c>
      <c r="F429" s="99" t="str">
        <f>'Resultater - Vestdanmark'!F429</f>
        <v>Foder</v>
      </c>
      <c r="G429" s="99" t="str">
        <f>'Resultater - Vestdanmark'!G429</f>
        <v>FE</v>
      </c>
      <c r="H429" s="286">
        <f>'Resultater - Vestdanmark'!H429+'Resultater - Østdanmark'!H429</f>
        <v>0</v>
      </c>
      <c r="I429" s="287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288">
        <f>'Resultater - Vestdanmark'!J429+'Resultater - Østdanmark'!J429</f>
        <v>0</v>
      </c>
    </row>
    <row r="430" spans="1:10" x14ac:dyDescent="0.55000000000000004">
      <c r="A430" s="99" t="str">
        <f>'Resultater - Vestdanmark'!A430</f>
        <v>Foderproduktion</v>
      </c>
      <c r="B430" s="99" t="str">
        <f>'Resultater - Vestdanmark'!B430</f>
        <v/>
      </c>
      <c r="C430" s="99" t="str">
        <f>'Resultater - Vestdanmark'!C430</f>
        <v/>
      </c>
      <c r="D430" s="99" t="str">
        <f>'Resultater - Vestdanmark'!D430</f>
        <v>Græsprotein</v>
      </c>
      <c r="E430" s="99" t="str">
        <f>'Resultater - Vestdanmark'!E430</f>
        <v>Ton</v>
      </c>
      <c r="F430" s="99" t="str">
        <f>'Resultater - Vestdanmark'!F430</f>
        <v>Foder</v>
      </c>
      <c r="G430" s="99" t="str">
        <f>'Resultater - Vestdanmark'!G430</f>
        <v>FE</v>
      </c>
      <c r="H430" s="286">
        <f>'Resultater - Vestdanmark'!H430+'Resultater - Østdanmark'!H430</f>
        <v>0</v>
      </c>
      <c r="I430" s="287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288">
        <f>'Resultater - Vestdanmark'!J430+'Resultater - Østdanmark'!J430</f>
        <v>0</v>
      </c>
    </row>
    <row r="431" spans="1:10" x14ac:dyDescent="0.55000000000000004">
      <c r="A431" s="99" t="str">
        <f>'Resultater - Vestdanmark'!A431</f>
        <v>Foderproduktion</v>
      </c>
      <c r="B431" s="99" t="str">
        <f>'Resultater - Vestdanmark'!B431</f>
        <v/>
      </c>
      <c r="C431" s="99" t="str">
        <f>'Resultater - Vestdanmark'!C431</f>
        <v/>
      </c>
      <c r="D431" s="99" t="str">
        <f>'Resultater - Vestdanmark'!D431</f>
        <v>Slagteriaffald til foder</v>
      </c>
      <c r="E431" s="99" t="str">
        <f>'Resultater - Vestdanmark'!E431</f>
        <v>Ton</v>
      </c>
      <c r="F431" s="99" t="str">
        <f>'Resultater - Vestdanmark'!F431</f>
        <v>Foder</v>
      </c>
      <c r="G431" s="99" t="str">
        <f>'Resultater - Vestdanmark'!G431</f>
        <v>FE</v>
      </c>
      <c r="H431" s="286">
        <f>'Resultater - Vestdanmark'!H431+'Resultater - Østdanmark'!H431</f>
        <v>121697585.55139975</v>
      </c>
      <c r="I431" s="287">
        <f>'Resultater - Vestdanmark'!I431+'Resultater - Østdanmark'!I431</f>
        <v>121697585.55139977</v>
      </c>
      <c r="J431" s="288">
        <f>'Resultater - Vestdanmark'!J431+'Resultater - Østdanmark'!J431</f>
        <v>121697585.55139975</v>
      </c>
    </row>
    <row r="432" spans="1:10" x14ac:dyDescent="0.55000000000000004">
      <c r="A432" s="99" t="str">
        <f>'Resultater - Vestdanmark'!A432</f>
        <v>Foderproduktion</v>
      </c>
      <c r="B432" s="99" t="str">
        <f>'Resultater - Vestdanmark'!B432</f>
        <v/>
      </c>
      <c r="C432" s="99" t="str">
        <f>'Resultater - Vestdanmark'!C432</f>
        <v/>
      </c>
      <c r="D432" s="99" t="str">
        <f>'Resultater - Vestdanmark'!D432</f>
        <v>Import af foder</v>
      </c>
      <c r="E432" s="99" t="str">
        <f>'Resultater - Vestdanmark'!E432</f>
        <v>Ton</v>
      </c>
      <c r="F432" s="99" t="str">
        <f>'Resultater - Vestdanmark'!F432</f>
        <v>Foder</v>
      </c>
      <c r="G432" s="99" t="str">
        <f>'Resultater - Vestdanmark'!G432</f>
        <v>FE</v>
      </c>
      <c r="H432" s="286">
        <f>'Resultater - Vestdanmark'!H432+'Resultater - Østdanmark'!H432</f>
        <v>4029095270.4041944</v>
      </c>
      <c r="I432" s="287">
        <f>'Resultater - Vestdanmark'!I432+'Resultater - Østdanmark'!I432</f>
        <v>4029095270.4041934</v>
      </c>
      <c r="J432" s="288">
        <f>'Resultater - Vestdanmark'!J432+'Resultater - Østdanmark'!J432</f>
        <v>4029095270.4041934</v>
      </c>
    </row>
    <row r="433" spans="1:10" x14ac:dyDescent="0.55000000000000004">
      <c r="A433" s="99" t="str">
        <f>'Resultater - Vestdanmark'!A433</f>
        <v>Biogasanlæg</v>
      </c>
      <c r="B433" s="99" t="str">
        <f>'Resultater - Vestdanmark'!B433</f>
        <v/>
      </c>
      <c r="C433" s="99" t="str">
        <f>'Resultater - Vestdanmark'!C433</f>
        <v/>
      </c>
      <c r="D433" s="99" t="str">
        <f>'Resultater - Vestdanmark'!D433</f>
        <v>Halm</v>
      </c>
      <c r="E433" s="99" t="str">
        <f>'Resultater - Vestdanmark'!E433</f>
        <v>Ton</v>
      </c>
      <c r="F433" s="99" t="str">
        <f>'Resultater - Vestdanmark'!F433</f>
        <v>Biogas</v>
      </c>
      <c r="G433" s="99" t="str">
        <f>'Resultater - Vestdanmark'!G433</f>
        <v>Nm3 CH4</v>
      </c>
      <c r="H433" s="286">
        <f>'Resultater - Vestdanmark'!H433+'Resultater - Østdanmark'!H433</f>
        <v>12195000.399999999</v>
      </c>
      <c r="I433" s="287">
        <f>'Resultater - Vestdanmark'!I433+'Resultater - Østdanmark'!I433</f>
        <v>12195000.4</v>
      </c>
      <c r="J433" s="288">
        <f>'Resultater - Vestdanmark'!J433+'Resultater - Østdanmark'!J433</f>
        <v>12195000.399999999</v>
      </c>
    </row>
    <row r="434" spans="1:10" x14ac:dyDescent="0.55000000000000004">
      <c r="A434" s="99" t="str">
        <f>'Resultater - Vestdanmark'!A434</f>
        <v>Biogasanlæg</v>
      </c>
      <c r="B434" s="99" t="str">
        <f>'Resultater - Vestdanmark'!B434</f>
        <v/>
      </c>
      <c r="C434" s="99" t="str">
        <f>'Resultater - Vestdanmark'!C434</f>
        <v/>
      </c>
      <c r="D434" s="99" t="str">
        <f>'Resultater - Vestdanmark'!D434</f>
        <v>Korn</v>
      </c>
      <c r="E434" s="99" t="str">
        <f>'Resultater - Vestdanmark'!E434</f>
        <v>Ton</v>
      </c>
      <c r="F434" s="99" t="str">
        <f>'Resultater - Vestdanmark'!F434</f>
        <v>Biogas</v>
      </c>
      <c r="G434" s="99" t="str">
        <f>'Resultater - Vestdanmark'!G434</f>
        <v>Nm3 CH4</v>
      </c>
      <c r="H434" s="286">
        <f>'Resultater - Vestdanmark'!H434+'Resultater - Østdanmark'!H434</f>
        <v>361184.39999999997</v>
      </c>
      <c r="I434" s="287">
        <f>'Resultater - Vestdanmark'!I434+'Resultater - Østdanmark'!I434</f>
        <v>361184.40000000008</v>
      </c>
      <c r="J434" s="288">
        <f>'Resultater - Vestdanmark'!J434+'Resultater - Østdanmark'!J434</f>
        <v>361184.4</v>
      </c>
    </row>
    <row r="435" spans="1:10" x14ac:dyDescent="0.55000000000000004">
      <c r="A435" s="99" t="str">
        <f>'Resultater - Vestdanmark'!A435</f>
        <v>Biogasanlæg</v>
      </c>
      <c r="B435" s="99" t="str">
        <f>'Resultater - Vestdanmark'!B435</f>
        <v/>
      </c>
      <c r="C435" s="99" t="str">
        <f>'Resultater - Vestdanmark'!C435</f>
        <v/>
      </c>
      <c r="D435" s="99" t="str">
        <f>'Resultater - Vestdanmark'!D435</f>
        <v>Græs</v>
      </c>
      <c r="E435" s="99" t="str">
        <f>'Resultater - Vestdanmark'!E435</f>
        <v>Ton</v>
      </c>
      <c r="F435" s="99" t="str">
        <f>'Resultater - Vestdanmark'!F435</f>
        <v>Biogas</v>
      </c>
      <c r="G435" s="99" t="str">
        <f>'Resultater - Vestdanmark'!G435</f>
        <v>Nm3 CH4</v>
      </c>
      <c r="H435" s="286">
        <f>'Resultater - Vestdanmark'!H435+'Resultater - Østdanmark'!H435</f>
        <v>4390946.2499999991</v>
      </c>
      <c r="I435" s="287">
        <f>'Resultater - Vestdanmark'!I435+'Resultater - Østdanmark'!I435</f>
        <v>4390946.2500000009</v>
      </c>
      <c r="J435" s="288">
        <f>'Resultater - Vestdanmark'!J435+'Resultater - Østdanmark'!J435</f>
        <v>4390946.25</v>
      </c>
    </row>
    <row r="436" spans="1:10" x14ac:dyDescent="0.55000000000000004">
      <c r="A436" s="99" t="str">
        <f>'Resultater - Vestdanmark'!A436</f>
        <v>Biogasanlæg</v>
      </c>
      <c r="B436" s="99" t="str">
        <f>'Resultater - Vestdanmark'!B436</f>
        <v/>
      </c>
      <c r="C436" s="99" t="str">
        <f>'Resultater - Vestdanmark'!C436</f>
        <v/>
      </c>
      <c r="D436" s="99" t="str">
        <f>'Resultater - Vestdanmark'!D436</f>
        <v>Svinegylle</v>
      </c>
      <c r="E436" s="99" t="str">
        <f>'Resultater - Vestdanmark'!E436</f>
        <v>Ton</v>
      </c>
      <c r="F436" s="99" t="str">
        <f>'Resultater - Vestdanmark'!F436</f>
        <v>Biogas</v>
      </c>
      <c r="G436" s="99" t="str">
        <f>'Resultater - Vestdanmark'!G436</f>
        <v>Nm3 CH4</v>
      </c>
      <c r="H436" s="286">
        <f>'Resultater - Vestdanmark'!H436+'Resultater - Østdanmark'!H436</f>
        <v>34978432</v>
      </c>
      <c r="I436" s="287">
        <f>'Resultater - Vestdanmark'!I436+'Resultater - Østdanmark'!I436</f>
        <v>109768085.96855611</v>
      </c>
      <c r="J436" s="288">
        <f>'Resultater - Vestdanmark'!J436+'Resultater - Østdanmark'!J436</f>
        <v>105089391.37061904</v>
      </c>
    </row>
    <row r="437" spans="1:10" s="172" customFormat="1" x14ac:dyDescent="0.55000000000000004">
      <c r="A437" s="99" t="str">
        <f>'Resultater - Vestdanmark'!A437</f>
        <v>Biogasanlæg</v>
      </c>
      <c r="B437" s="99" t="str">
        <f>'Resultater - Vestdanmark'!B437</f>
        <v/>
      </c>
      <c r="C437" s="99" t="str">
        <f>'Resultater - Vestdanmark'!C437</f>
        <v/>
      </c>
      <c r="D437" s="99" t="str">
        <f>'Resultater - Vestdanmark'!D437</f>
        <v>Svinegylle</v>
      </c>
      <c r="E437" s="99" t="str">
        <f>'Resultater - Vestdanmark'!E437</f>
        <v>Ton</v>
      </c>
      <c r="F437" s="99" t="str">
        <f>'Resultater - Vestdanmark'!F437</f>
        <v>CO2 - atmosfære</v>
      </c>
      <c r="G437" s="99" t="str">
        <f>'Resultater - Vestdanmark'!G437</f>
        <v>t CO2-ækvivalenter</v>
      </c>
      <c r="H437" s="292">
        <f>'Resultater - Vestdanmark'!H437+'Resultater - Østdanmark'!H437</f>
        <v>-37099.291058504961</v>
      </c>
      <c r="I437" s="293">
        <f>'Resultater - Vestdanmark'!I437+'Resultater - Østdanmark'!I437</f>
        <v>-116423.69132734301</v>
      </c>
      <c r="J437" s="294">
        <f>'Resultater - Vestdanmark'!J437+'Resultater - Østdanmark'!J437</f>
        <v>-111461.31186268541</v>
      </c>
    </row>
    <row r="438" spans="1:10" x14ac:dyDescent="0.55000000000000004">
      <c r="A438" s="99" t="str">
        <f>'Resultater - Vestdanmark'!A438</f>
        <v>Biogasanlæg</v>
      </c>
      <c r="B438" s="99" t="str">
        <f>'Resultater - Vestdanmark'!B438</f>
        <v/>
      </c>
      <c r="C438" s="99" t="str">
        <f>'Resultater - Vestdanmark'!C438</f>
        <v/>
      </c>
      <c r="D438" s="99" t="str">
        <f>'Resultater - Vestdanmark'!D438</f>
        <v>Kvæggylle</v>
      </c>
      <c r="E438" s="99" t="str">
        <f>'Resultater - Vestdanmark'!E438</f>
        <v>Ton</v>
      </c>
      <c r="F438" s="99" t="str">
        <f>'Resultater - Vestdanmark'!F438</f>
        <v>Biogas</v>
      </c>
      <c r="G438" s="99" t="str">
        <f>'Resultater - Vestdanmark'!G438</f>
        <v>Nm3 CH4</v>
      </c>
      <c r="H438" s="286">
        <f>'Resultater - Vestdanmark'!H438+'Resultater - Østdanmark'!H438</f>
        <v>61384486.300000004</v>
      </c>
      <c r="I438" s="287">
        <f>'Resultater - Vestdanmark'!I438+'Resultater - Østdanmark'!I438</f>
        <v>149019759.53296533</v>
      </c>
      <c r="J438" s="288">
        <f>'Resultater - Vestdanmark'!J438+'Resultater - Østdanmark'!J438</f>
        <v>146172272.13586926</v>
      </c>
    </row>
    <row r="439" spans="1:10" s="172" customFormat="1" x14ac:dyDescent="0.55000000000000004">
      <c r="A439" s="99" t="str">
        <f>'Resultater - Vestdanmark'!A439</f>
        <v>Biogasanlæg</v>
      </c>
      <c r="B439" s="99" t="str">
        <f>'Resultater - Vestdanmark'!B439</f>
        <v/>
      </c>
      <c r="C439" s="99" t="str">
        <f>'Resultater - Vestdanmark'!C439</f>
        <v/>
      </c>
      <c r="D439" s="99" t="str">
        <f>'Resultater - Vestdanmark'!D439</f>
        <v>Kvæggylle</v>
      </c>
      <c r="E439" s="99" t="str">
        <f>'Resultater - Vestdanmark'!E439</f>
        <v>Ton</v>
      </c>
      <c r="F439" s="99" t="str">
        <f>'Resultater - Vestdanmark'!F439</f>
        <v>CO2 - atmosfære</v>
      </c>
      <c r="G439" s="99" t="str">
        <f>'Resultater - Vestdanmark'!G439</f>
        <v>t CO2-ækvivalenter</v>
      </c>
      <c r="H439" s="292">
        <f>'Resultater - Vestdanmark'!H439+'Resultater - Østdanmark'!H439</f>
        <v>-128107.91983655478</v>
      </c>
      <c r="I439" s="293">
        <f>'Resultater - Vestdanmark'!I439+'Resultater - Østdanmark'!I439</f>
        <v>-311000.58922072942</v>
      </c>
      <c r="J439" s="294">
        <f>'Resultater - Vestdanmark'!J439+'Resultater - Østdanmark'!J439</f>
        <v>-305057.95274707722</v>
      </c>
    </row>
    <row r="440" spans="1:10" x14ac:dyDescent="0.55000000000000004">
      <c r="A440" s="99" t="str">
        <f>'Resultater - Vestdanmark'!A440</f>
        <v>Biogasanlæg</v>
      </c>
      <c r="B440" s="99" t="str">
        <f>'Resultater - Vestdanmark'!B440</f>
        <v/>
      </c>
      <c r="C440" s="99" t="str">
        <f>'Resultater - Vestdanmark'!C440</f>
        <v/>
      </c>
      <c r="D440" s="99" t="str">
        <f>'Resultater - Vestdanmark'!D440</f>
        <v>Fjerkrægylle</v>
      </c>
      <c r="E440" s="99" t="str">
        <f>'Resultater - Vestdanmark'!E440</f>
        <v>Ton</v>
      </c>
      <c r="F440" s="99" t="str">
        <f>'Resultater - Vestdanmark'!F440</f>
        <v>Biogas</v>
      </c>
      <c r="G440" s="99" t="str">
        <f>'Resultater - Vestdanmark'!G440</f>
        <v>Nm3 CH4</v>
      </c>
      <c r="H440" s="286">
        <f>'Resultater - Vestdanmark'!H440+'Resultater - Østdanmark'!H440</f>
        <v>58183.649999999994</v>
      </c>
      <c r="I440" s="287">
        <f>'Resultater - Vestdanmark'!I440+'Resultater - Østdanmark'!I440</f>
        <v>59231.178797574103</v>
      </c>
      <c r="J440" s="288">
        <f>'Resultater - Vestdanmark'!J440+'Resultater - Østdanmark'!J440</f>
        <v>61168.027285023883</v>
      </c>
    </row>
    <row r="441" spans="1:10" x14ac:dyDescent="0.55000000000000004">
      <c r="A441" s="99" t="str">
        <f>'Resultater - Vestdanmark'!A441</f>
        <v>Biogasanlæg</v>
      </c>
      <c r="B441" s="99" t="str">
        <f>'Resultater - Vestdanmark'!B441</f>
        <v/>
      </c>
      <c r="C441" s="99" t="str">
        <f>'Resultater - Vestdanmark'!C441</f>
        <v/>
      </c>
      <c r="D441" s="99" t="str">
        <f>'Resultater - Vestdanmark'!D441</f>
        <v>Dybstrøelse</v>
      </c>
      <c r="E441" s="99" t="str">
        <f>'Resultater - Vestdanmark'!E441</f>
        <v>Ton</v>
      </c>
      <c r="F441" s="99" t="str">
        <f>'Resultater - Vestdanmark'!F441</f>
        <v>Biogas</v>
      </c>
      <c r="G441" s="99" t="str">
        <f>'Resultater - Vestdanmark'!G441</f>
        <v>Nm3 CH4</v>
      </c>
      <c r="H441" s="286">
        <f>'Resultater - Vestdanmark'!H441+'Resultater - Østdanmark'!H441</f>
        <v>45425220.000000007</v>
      </c>
      <c r="I441" s="287">
        <f>'Resultater - Vestdanmark'!I441+'Resultater - Østdanmark'!I441</f>
        <v>90329427.84153083</v>
      </c>
      <c r="J441" s="288">
        <f>'Resultater - Vestdanmark'!J441+'Resultater - Østdanmark'!J441</f>
        <v>94651075.041137278</v>
      </c>
    </row>
    <row r="442" spans="1:10" x14ac:dyDescent="0.55000000000000004">
      <c r="A442" s="99" t="str">
        <f>'Resultater - Vestdanmark'!A442</f>
        <v>Biogasanlæg</v>
      </c>
      <c r="B442" s="99" t="str">
        <f>'Resultater - Vestdanmark'!B442</f>
        <v/>
      </c>
      <c r="C442" s="99" t="str">
        <f>'Resultater - Vestdanmark'!C442</f>
        <v/>
      </c>
      <c r="D442" s="99" t="str">
        <f>'Resultater - Vestdanmark'!D442</f>
        <v>Majs</v>
      </c>
      <c r="E442" s="99" t="str">
        <f>'Resultater - Vestdanmark'!E442</f>
        <v>Ton</v>
      </c>
      <c r="F442" s="99" t="str">
        <f>'Resultater - Vestdanmark'!F442</f>
        <v>Biogas</v>
      </c>
      <c r="G442" s="99" t="str">
        <f>'Resultater - Vestdanmark'!G442</f>
        <v>Nm3 CH4</v>
      </c>
      <c r="H442" s="286">
        <f>'Resultater - Vestdanmark'!H442+'Resultater - Østdanmark'!H442</f>
        <v>33002599.999999996</v>
      </c>
      <c r="I442" s="287">
        <f>'Resultater - Vestdanmark'!I442+'Resultater - Østdanmark'!I442</f>
        <v>33002600</v>
      </c>
      <c r="J442" s="288">
        <f>'Resultater - Vestdanmark'!J442+'Resultater - Østdanmark'!J442</f>
        <v>33002599.999999996</v>
      </c>
    </row>
    <row r="443" spans="1:10" x14ac:dyDescent="0.55000000000000004">
      <c r="A443" s="99" t="str">
        <f>'Resultater - Vestdanmark'!A443</f>
        <v>Biogasanlæg</v>
      </c>
      <c r="B443" s="99" t="str">
        <f>'Resultater - Vestdanmark'!B443</f>
        <v/>
      </c>
      <c r="C443" s="99" t="str">
        <f>'Resultater - Vestdanmark'!C443</f>
        <v/>
      </c>
      <c r="D443" s="99" t="str">
        <f>'Resultater - Vestdanmark'!D443</f>
        <v>Roer</v>
      </c>
      <c r="E443" s="99" t="str">
        <f>'Resultater - Vestdanmark'!E443</f>
        <v>Ton</v>
      </c>
      <c r="F443" s="99" t="str">
        <f>'Resultater - Vestdanmark'!F443</f>
        <v>Biogas</v>
      </c>
      <c r="G443" s="99" t="str">
        <f>'Resultater - Vestdanmark'!G443</f>
        <v>Nm3 CH4</v>
      </c>
      <c r="H443" s="286">
        <f>'Resultater - Vestdanmark'!H443+'Resultater - Østdanmark'!H443</f>
        <v>2165562</v>
      </c>
      <c r="I443" s="287">
        <f>'Resultater - Vestdanmark'!I443+'Resultater - Østdanmark'!I443</f>
        <v>2165561.9999999995</v>
      </c>
      <c r="J443" s="288">
        <f>'Resultater - Vestdanmark'!J443+'Resultater - Østdanmark'!J443</f>
        <v>2165561.9999999995</v>
      </c>
    </row>
    <row r="444" spans="1:10" x14ac:dyDescent="0.55000000000000004">
      <c r="A444" s="99" t="str">
        <f>'Resultater - Vestdanmark'!A444</f>
        <v>Biogasanlæg</v>
      </c>
      <c r="B444" s="99" t="str">
        <f>'Resultater - Vestdanmark'!B444</f>
        <v/>
      </c>
      <c r="C444" s="99" t="str">
        <f>'Resultater - Vestdanmark'!C444</f>
        <v/>
      </c>
      <c r="D444" s="99" t="str">
        <f>'Resultater - Vestdanmark'!D444</f>
        <v>Bioaffald</v>
      </c>
      <c r="E444" s="99" t="str">
        <f>'Resultater - Vestdanmark'!E444</f>
        <v>Ton</v>
      </c>
      <c r="F444" s="99" t="str">
        <f>'Resultater - Vestdanmark'!F444</f>
        <v>Biogas</v>
      </c>
      <c r="G444" s="99" t="str">
        <f>'Resultater - Vestdanmark'!G444</f>
        <v>Nm3 CH4</v>
      </c>
      <c r="H444" s="286">
        <f ca="1">'Resultater - Vestdanmark'!H444+'Resultater - Østdanmark'!H444</f>
        <v>62275334.940000013</v>
      </c>
      <c r="I444" s="287">
        <f ca="1">'Resultater - Vestdanmark'!I444+'Resultater - Østdanmark'!I444</f>
        <v>31088812.949999999</v>
      </c>
      <c r="J444" s="288">
        <f ca="1">'Resultater - Vestdanmark'!J444+'Resultater - Østdanmark'!J444</f>
        <v>31582653.570000008</v>
      </c>
    </row>
    <row r="445" spans="1:10" x14ac:dyDescent="0.55000000000000004">
      <c r="A445" s="99" t="str">
        <f>'Resultater - Vestdanmark'!A445</f>
        <v>Biogasanlæg</v>
      </c>
      <c r="B445" s="99" t="str">
        <f>'Resultater - Vestdanmark'!B445</f>
        <v/>
      </c>
      <c r="C445" s="99" t="str">
        <f>'Resultater - Vestdanmark'!C445</f>
        <v/>
      </c>
      <c r="D445" s="99" t="str">
        <f>'Resultater - Vestdanmark'!D445</f>
        <v>Industriaffald</v>
      </c>
      <c r="E445" s="99" t="str">
        <f>'Resultater - Vestdanmark'!E445</f>
        <v>Ton</v>
      </c>
      <c r="F445" s="99" t="str">
        <f>'Resultater - Vestdanmark'!F445</f>
        <v>Biogas</v>
      </c>
      <c r="G445" s="99" t="str">
        <f>'Resultater - Vestdanmark'!G445</f>
        <v>Nm3 CH4</v>
      </c>
      <c r="H445" s="286">
        <f>'Resultater - Vestdanmark'!H445+'Resultater - Østdanmark'!H445</f>
        <v>108157894.02000001</v>
      </c>
      <c r="I445" s="287">
        <f>'Resultater - Vestdanmark'!I445+'Resultater - Østdanmark'!I445</f>
        <v>78861903.839999989</v>
      </c>
      <c r="J445" s="288">
        <f>'Resultater - Vestdanmark'!J445+'Resultater - Østdanmark'!J445</f>
        <v>78542966.160000026</v>
      </c>
    </row>
    <row r="446" spans="1:10" x14ac:dyDescent="0.55000000000000004">
      <c r="A446" s="99" t="str">
        <f>'Resultater - Vestdanmark'!A446</f>
        <v>Biogasanlæg</v>
      </c>
      <c r="B446" s="99" t="str">
        <f>'Resultater - Vestdanmark'!B446</f>
        <v/>
      </c>
      <c r="C446" s="99" t="str">
        <f>'Resultater - Vestdanmark'!C446</f>
        <v/>
      </c>
      <c r="D446" s="99" t="str">
        <f>'Resultater - Vestdanmark'!D446</f>
        <v>Muslinger</v>
      </c>
      <c r="E446" s="99" t="str">
        <f>'Resultater - Vestdanmark'!E446</f>
        <v>Ton</v>
      </c>
      <c r="F446" s="99" t="str">
        <f>'Resultater - Vestdanmark'!F446</f>
        <v>Biogas</v>
      </c>
      <c r="G446" s="99" t="str">
        <f>'Resultater - Vestdanmark'!G446</f>
        <v>Nm3 CH4</v>
      </c>
      <c r="H446" s="286">
        <f>'Resultater - Vestdanmark'!H446+'Resultater - Østdanmark'!H446</f>
        <v>0</v>
      </c>
      <c r="I446" s="287">
        <f>'Resultater - Vestdanmark'!I446+'Resultater - Østdanmark'!I446</f>
        <v>0</v>
      </c>
      <c r="J446" s="288">
        <f>'Resultater - Vestdanmark'!J446+'Resultater - Østdanmark'!J446</f>
        <v>0</v>
      </c>
    </row>
    <row r="447" spans="1:10" x14ac:dyDescent="0.55000000000000004">
      <c r="A447" s="99" t="str">
        <f>'Resultater - Vestdanmark'!A447</f>
        <v>Biogasanlæg</v>
      </c>
      <c r="B447" s="99" t="str">
        <f>'Resultater - Vestdanmark'!B447</f>
        <v/>
      </c>
      <c r="C447" s="99" t="str">
        <f>'Resultater - Vestdanmark'!C447</f>
        <v/>
      </c>
      <c r="D447" s="99" t="str">
        <f>'Resultater - Vestdanmark'!D447</f>
        <v>Tang</v>
      </c>
      <c r="E447" s="99" t="str">
        <f>'Resultater - Vestdanmark'!E447</f>
        <v>Ton</v>
      </c>
      <c r="F447" s="99" t="str">
        <f>'Resultater - Vestdanmark'!F447</f>
        <v>Biogas</v>
      </c>
      <c r="G447" s="99" t="str">
        <f>'Resultater - Vestdanmark'!G447</f>
        <v>Nm3 CH4</v>
      </c>
      <c r="H447" s="286">
        <f>'Resultater - Vestdanmark'!H447+'Resultater - Østdanmark'!H447</f>
        <v>0</v>
      </c>
      <c r="I447" s="287">
        <f>'Resultater - Vestdanmark'!I447+'Resultater - Østdanmark'!I447</f>
        <v>0</v>
      </c>
      <c r="J447" s="288">
        <f>'Resultater - Vestdanmark'!J447+'Resultater - Østdanmark'!J447</f>
        <v>0</v>
      </c>
    </row>
    <row r="448" spans="1:10" x14ac:dyDescent="0.55000000000000004">
      <c r="A448" s="99" t="str">
        <f>'Resultater - Vestdanmark'!A448</f>
        <v>Biogasanlæg</v>
      </c>
      <c r="B448" s="99" t="str">
        <f>'Resultater - Vestdanmark'!B448</f>
        <v/>
      </c>
      <c r="C448" s="99" t="str">
        <f>'Resultater - Vestdanmark'!C448</f>
        <v/>
      </c>
      <c r="D448" s="99" t="str">
        <f>'Resultater - Vestdanmark'!D448</f>
        <v>Have/parkaffald</v>
      </c>
      <c r="E448" s="99" t="str">
        <f>'Resultater - Vestdanmark'!E448</f>
        <v>Ton</v>
      </c>
      <c r="F448" s="99" t="str">
        <f>'Resultater - Vestdanmark'!F448</f>
        <v>Biogas</v>
      </c>
      <c r="G448" s="99" t="str">
        <f>'Resultater - Vestdanmark'!G448</f>
        <v>Nm3 CH4</v>
      </c>
      <c r="H448" s="286">
        <f>'Resultater - Vestdanmark'!H448+'Resultater - Østdanmark'!H448</f>
        <v>3689.3999999999996</v>
      </c>
      <c r="I448" s="287">
        <f>'Resultater - Vestdanmark'!I448+'Resultater - Østdanmark'!I448</f>
        <v>3689.3999999999996</v>
      </c>
      <c r="J448" s="288">
        <f>'Resultater - Vestdanmark'!J448+'Resultater - Østdanmark'!J448</f>
        <v>3689.3999999999996</v>
      </c>
    </row>
    <row r="449" spans="1:13" x14ac:dyDescent="0.55000000000000004">
      <c r="A449" s="99" t="str">
        <f>'Resultater - Vestdanmark'!A449</f>
        <v>Biogasanlæg</v>
      </c>
      <c r="B449" s="99" t="str">
        <f>'Resultater - Vestdanmark'!B449</f>
        <v/>
      </c>
      <c r="C449" s="99" t="str">
        <f>'Resultater - Vestdanmark'!C449</f>
        <v/>
      </c>
      <c r="D449" s="99" t="str">
        <f>'Resultater - Vestdanmark'!D449</f>
        <v>Brun saft</v>
      </c>
      <c r="E449" s="99" t="str">
        <f>'Resultater - Vestdanmark'!E449</f>
        <v>PJ</v>
      </c>
      <c r="F449" s="99" t="str">
        <f>'Resultater - Vestdanmark'!F449</f>
        <v>Biogas</v>
      </c>
      <c r="G449" s="99" t="str">
        <f>'Resultater - Vestdanmark'!G449</f>
        <v>Nm3 CH4</v>
      </c>
      <c r="H449" s="286">
        <f>'Resultater - Vestdanmark'!H449+'Resultater - Østdanmark'!H449</f>
        <v>0</v>
      </c>
      <c r="I449" s="287">
        <f>'Resultater - Vestdanmark'!I449+'Resultater - Østdanmark'!I449</f>
        <v>0</v>
      </c>
      <c r="J449" s="288">
        <f>'Resultater - Vestdanmark'!J449+'Resultater - Østdanmark'!J449</f>
        <v>0</v>
      </c>
    </row>
    <row r="450" spans="1:13" x14ac:dyDescent="0.55000000000000004">
      <c r="A450" s="99" t="str">
        <f>'Resultater - Vestdanmark'!A450</f>
        <v>Biogasanlæg</v>
      </c>
      <c r="B450" s="99" t="str">
        <f>'Resultater - Vestdanmark'!B450</f>
        <v/>
      </c>
      <c r="C450" s="99" t="str">
        <f>'Resultater - Vestdanmark'!C450</f>
        <v/>
      </c>
      <c r="D450" s="99" t="str">
        <f>'Resultater - Vestdanmark'!D450</f>
        <v>Glycerin</v>
      </c>
      <c r="E450" s="99" t="str">
        <f>'Resultater - Vestdanmark'!E450</f>
        <v>Ton</v>
      </c>
      <c r="F450" s="99" t="str">
        <f>'Resultater - Vestdanmark'!F450</f>
        <v>Biogas</v>
      </c>
      <c r="G450" s="99" t="str">
        <f>'Resultater - Vestdanmark'!G450</f>
        <v>Nm3 CH4</v>
      </c>
      <c r="H450" s="286">
        <f>'Resultater - Vestdanmark'!H450+'Resultater - Østdanmark'!H450</f>
        <v>60431253.120000005</v>
      </c>
      <c r="I450" s="287">
        <f>'Resultater - Vestdanmark'!I450+'Resultater - Østdanmark'!I450</f>
        <v>60431253.120000005</v>
      </c>
      <c r="J450" s="288">
        <f>'Resultater - Vestdanmark'!J450+'Resultater - Østdanmark'!J450</f>
        <v>60431253.120000005</v>
      </c>
    </row>
    <row r="451" spans="1:13" x14ac:dyDescent="0.55000000000000004">
      <c r="A451" s="99" t="str">
        <f>'Resultater - Vestdanmark'!A451</f>
        <v>Biogasanlæg</v>
      </c>
      <c r="B451" s="99" t="str">
        <f>'Resultater - Vestdanmark'!B451</f>
        <v/>
      </c>
      <c r="C451" s="99" t="str">
        <f>'Resultater - Vestdanmark'!C451</f>
        <v/>
      </c>
      <c r="D451" s="99" t="str">
        <f>'Resultater - Vestdanmark'!D451</f>
        <v>Spildevandsslam</v>
      </c>
      <c r="E451" s="99" t="str">
        <f>'Resultater - Vestdanmark'!E451</f>
        <v>Ton</v>
      </c>
      <c r="F451" s="99" t="str">
        <f>'Resultater - Vestdanmark'!F451</f>
        <v>Biogas</v>
      </c>
      <c r="G451" s="99" t="str">
        <f>'Resultater - Vestdanmark'!G451</f>
        <v>Nm3 CH4</v>
      </c>
      <c r="H451" s="286">
        <f>'Resultater - Vestdanmark'!H451+'Resultater - Østdanmark'!H451</f>
        <v>37096792.599999994</v>
      </c>
      <c r="I451" s="287">
        <f>'Resultater - Vestdanmark'!I451+'Resultater - Østdanmark'!I451</f>
        <v>38577084.232939482</v>
      </c>
      <c r="J451" s="288">
        <f>'Resultater - Vestdanmark'!J451+'Resultater - Østdanmark'!J451</f>
        <v>40180423.618004136</v>
      </c>
      <c r="L451" s="99"/>
    </row>
    <row r="452" spans="1:13" x14ac:dyDescent="0.55000000000000004">
      <c r="A452" s="99" t="str">
        <f>'Resultater - Vestdanmark'!A452</f>
        <v>Biogasanlæg</v>
      </c>
      <c r="B452" s="99" t="str">
        <f>'Resultater - Vestdanmark'!B452</f>
        <v/>
      </c>
      <c r="C452" s="99" t="str">
        <f>'Resultater - Vestdanmark'!C452</f>
        <v/>
      </c>
      <c r="D452" s="99" t="str">
        <f>'Resultater - Vestdanmark'!D452</f>
        <v>Total til biogas</v>
      </c>
      <c r="E452" s="99" t="str">
        <f>'Resultater - Vestdanmark'!E452</f>
        <v>Ton</v>
      </c>
      <c r="F452" s="99" t="str">
        <f>'Resultater - Vestdanmark'!F452</f>
        <v>Biogasgylle</v>
      </c>
      <c r="G452" s="99" t="str">
        <f>'Resultater - Vestdanmark'!G452</f>
        <v>Ton</v>
      </c>
      <c r="H452" s="292">
        <f ca="1">'Resultater - Vestdanmark'!H452+'Resultater - Østdanmark'!H452</f>
        <v>12034020.807749998</v>
      </c>
      <c r="I452" s="293">
        <f ca="1">'Resultater - Vestdanmark'!I452+'Resultater - Østdanmark'!I452</f>
        <v>23679614.841002572</v>
      </c>
      <c r="J452" s="294">
        <f ca="1">'Resultater - Vestdanmark'!J452+'Resultater - Østdanmark'!J452</f>
        <v>23310542.352385234</v>
      </c>
    </row>
    <row r="453" spans="1:13" x14ac:dyDescent="0.55000000000000004">
      <c r="A453" s="99" t="str">
        <f>'Resultater - Vestdanmark'!A453</f>
        <v>Gødning</v>
      </c>
      <c r="B453" s="99" t="str">
        <f>'Resultater - Vestdanmark'!B453</f>
        <v/>
      </c>
      <c r="C453" s="99" t="str">
        <f>'Resultater - Vestdanmark'!C453</f>
        <v/>
      </c>
      <c r="D453" s="99" t="str">
        <f>'Resultater - Vestdanmark'!D453</f>
        <v>Svinegylle</v>
      </c>
      <c r="E453" s="99" t="str">
        <f>'Resultater - Vestdanmark'!E453</f>
        <v>Ton</v>
      </c>
      <c r="F453" s="99" t="str">
        <f>'Resultater - Vestdanmark'!F453</f>
        <v>Gødning</v>
      </c>
      <c r="G453" s="99" t="str">
        <f>'Resultater - Vestdanmark'!G453</f>
        <v>kg N</v>
      </c>
      <c r="H453" s="292">
        <f>'Resultater - Vestdanmark'!H453+'Resultater - Østdanmark'!H453</f>
        <v>78133292.533333316</v>
      </c>
      <c r="I453" s="293">
        <f>'Resultater - Vestdanmark'!I453+'Resultater - Østdanmark'!I453</f>
        <v>42992500.337684467</v>
      </c>
      <c r="J453" s="294">
        <f>'Resultater - Vestdanmark'!J453+'Resultater - Østdanmark'!J453</f>
        <v>41160011.620159127</v>
      </c>
    </row>
    <row r="454" spans="1:13" x14ac:dyDescent="0.55000000000000004">
      <c r="A454" s="99" t="str">
        <f>'Resultater - Vestdanmark'!A454</f>
        <v>Gødning</v>
      </c>
      <c r="B454" s="99" t="str">
        <f>'Resultater - Vestdanmark'!B454</f>
        <v/>
      </c>
      <c r="C454" s="99" t="str">
        <f>'Resultater - Vestdanmark'!C454</f>
        <v/>
      </c>
      <c r="D454" s="99" t="str">
        <f>'Resultater - Vestdanmark'!D454</f>
        <v>Kvæggylle</v>
      </c>
      <c r="E454" s="99" t="str">
        <f>'Resultater - Vestdanmark'!E454</f>
        <v>Ton</v>
      </c>
      <c r="F454" s="99" t="str">
        <f>'Resultater - Vestdanmark'!F454</f>
        <v>Gødning</v>
      </c>
      <c r="G454" s="99" t="str">
        <f>'Resultater - Vestdanmark'!G454</f>
        <v>kg N</v>
      </c>
      <c r="H454" s="292">
        <f>'Resultater - Vestdanmark'!H454+'Resultater - Østdanmark'!H454</f>
        <v>51391398.766666658</v>
      </c>
      <c r="I454" s="293">
        <f>'Resultater - Vestdanmark'!I454+'Resultater - Østdanmark'!I454</f>
        <v>17688795.64445053</v>
      </c>
      <c r="J454" s="294">
        <f>'Resultater - Vestdanmark'!J454+'Resultater - Østdanmark'!J454</f>
        <v>17350796.020607103</v>
      </c>
    </row>
    <row r="455" spans="1:13" x14ac:dyDescent="0.55000000000000004">
      <c r="A455" s="99" t="str">
        <f>'Resultater - Vestdanmark'!A455</f>
        <v>Gødning</v>
      </c>
      <c r="B455" s="99" t="str">
        <f>'Resultater - Vestdanmark'!B455</f>
        <v/>
      </c>
      <c r="C455" s="99" t="str">
        <f>'Resultater - Vestdanmark'!C455</f>
        <v/>
      </c>
      <c r="D455" s="99" t="str">
        <f>'Resultater - Vestdanmark'!D455</f>
        <v>Fjerkrægylle</v>
      </c>
      <c r="E455" s="99" t="str">
        <f>'Resultater - Vestdanmark'!E455</f>
        <v>Ton</v>
      </c>
      <c r="F455" s="99" t="str">
        <f>'Resultater - Vestdanmark'!F455</f>
        <v>Gødning</v>
      </c>
      <c r="G455" s="99" t="str">
        <f>'Resultater - Vestdanmark'!G455</f>
        <v>kg N</v>
      </c>
      <c r="H455" s="292">
        <f>'Resultater - Vestdanmark'!H455+'Resultater - Østdanmark'!H455</f>
        <v>23539.95</v>
      </c>
      <c r="I455" s="293">
        <f>'Resultater - Vestdanmark'!I455+'Resultater - Østdanmark'!I455</f>
        <v>23963.759360850592</v>
      </c>
      <c r="J455" s="294">
        <f>'Resultater - Vestdanmark'!J455+'Resultater - Østdanmark'!J455</f>
        <v>24747.369817605082</v>
      </c>
    </row>
    <row r="456" spans="1:13" x14ac:dyDescent="0.55000000000000004">
      <c r="A456" s="99" t="str">
        <f>'Resultater - Vestdanmark'!A456</f>
        <v>Gødning</v>
      </c>
      <c r="B456" s="99" t="str">
        <f>'Resultater - Vestdanmark'!B456</f>
        <v/>
      </c>
      <c r="C456" s="99" t="str">
        <f>'Resultater - Vestdanmark'!C456</f>
        <v/>
      </c>
      <c r="D456" s="99" t="str">
        <f>'Resultater - Vestdanmark'!D456</f>
        <v>Dybstrøelse</v>
      </c>
      <c r="E456" s="99" t="str">
        <f>'Resultater - Vestdanmark'!E456</f>
        <v>Ton</v>
      </c>
      <c r="F456" s="99" t="str">
        <f>'Resultater - Vestdanmark'!F456</f>
        <v>Gødning</v>
      </c>
      <c r="G456" s="99" t="str">
        <f>'Resultater - Vestdanmark'!G456</f>
        <v>kg N</v>
      </c>
      <c r="H456" s="292">
        <f>'Resultater - Vestdanmark'!H456+'Resultater - Østdanmark'!H456</f>
        <v>11532709.900000002</v>
      </c>
      <c r="I456" s="293">
        <f>'Resultater - Vestdanmark'!I456+'Resultater - Østdanmark'!I456</f>
        <v>7979099.4593352228</v>
      </c>
      <c r="J456" s="294">
        <f>'Resultater - Vestdanmark'!J456+'Resultater - Østdanmark'!J456</f>
        <v>8360844.9619671246</v>
      </c>
    </row>
    <row r="457" spans="1:13" x14ac:dyDescent="0.55000000000000004">
      <c r="A457" s="99" t="str">
        <f>'Resultater - Vestdanmark'!A457</f>
        <v>Gødning</v>
      </c>
      <c r="B457" s="99" t="str">
        <f>'Resultater - Vestdanmark'!B457</f>
        <v/>
      </c>
      <c r="C457" s="99" t="str">
        <f>'Resultater - Vestdanmark'!C457</f>
        <v/>
      </c>
      <c r="D457" s="99" t="str">
        <f>'Resultater - Vestdanmark'!D457</f>
        <v>Biogasgylle</v>
      </c>
      <c r="E457" s="99" t="str">
        <f>'Resultater - Vestdanmark'!E457</f>
        <v>Ton</v>
      </c>
      <c r="F457" s="99" t="str">
        <f>'Resultater - Vestdanmark'!F457</f>
        <v>Gødning</v>
      </c>
      <c r="G457" s="99" t="str">
        <f>'Resultater - Vestdanmark'!G457</f>
        <v>kg N</v>
      </c>
      <c r="H457" s="292">
        <f ca="1">'Resultater - Vestdanmark'!H457+'Resultater - Østdanmark'!H457</f>
        <v>61624442.148559391</v>
      </c>
      <c r="I457" s="293">
        <f ca="1">'Resultater - Vestdanmark'!I457+'Resultater - Østdanmark'!I457</f>
        <v>145307809.82430008</v>
      </c>
      <c r="J457" s="294">
        <f ca="1">'Resultater - Vestdanmark'!J457+'Resultater - Østdanmark'!J457</f>
        <v>141752772.7031121</v>
      </c>
    </row>
    <row r="458" spans="1:13" x14ac:dyDescent="0.55000000000000004">
      <c r="A458" s="99" t="str">
        <f>'Resultater - Vestdanmark'!A458</f>
        <v>Gødning</v>
      </c>
      <c r="B458" s="99" t="str">
        <f>'Resultater - Vestdanmark'!B458</f>
        <v/>
      </c>
      <c r="C458" s="99" t="str">
        <f>'Resultater - Vestdanmark'!C458</f>
        <v/>
      </c>
      <c r="D458" s="99" t="str">
        <f>'Resultater - Vestdanmark'!D458</f>
        <v>Kunstgødning</v>
      </c>
      <c r="E458" s="99" t="str">
        <f>'Resultater - Vestdanmark'!E458</f>
        <v>Ton</v>
      </c>
      <c r="F458" s="99" t="str">
        <f>'Resultater - Vestdanmark'!F458</f>
        <v>Gødning</v>
      </c>
      <c r="G458" s="99" t="str">
        <f>'Resultater - Vestdanmark'!G458</f>
        <v>kg N</v>
      </c>
      <c r="H458" s="292">
        <f ca="1">'Resultater - Vestdanmark'!H458+'Resultater - Østdanmark'!H458</f>
        <v>177358488.6388132</v>
      </c>
      <c r="I458" s="293">
        <f ca="1">'Resultater - Vestdanmark'!I458+'Resultater - Østdanmark'!I458</f>
        <v>169969910.55765352</v>
      </c>
      <c r="J458" s="294">
        <f ca="1">'Resultater - Vestdanmark'!J458+'Resultater - Østdanmark'!J458</f>
        <v>153499637.04575163</v>
      </c>
    </row>
    <row r="459" spans="1:13" x14ac:dyDescent="0.55000000000000004">
      <c r="A459" s="99" t="str">
        <f>'Resultater - Vestdanmark'!A459</f>
        <v>Til energi</v>
      </c>
      <c r="B459" s="99" t="str">
        <f>'Resultater - Vestdanmark'!B459</f>
        <v/>
      </c>
      <c r="C459" s="99" t="str">
        <f>'Resultater - Vestdanmark'!C459</f>
        <v/>
      </c>
      <c r="D459" s="99" t="str">
        <f>'Resultater - Vestdanmark'!D459</f>
        <v>Halm</v>
      </c>
      <c r="E459" s="99" t="str">
        <f>'Resultater - Vestdanmark'!E459</f>
        <v>Ton</v>
      </c>
      <c r="F459" s="99" t="str">
        <f>'Resultater - Vestdanmark'!F459</f>
        <v>Energi</v>
      </c>
      <c r="G459" s="99" t="str">
        <f>'Resultater - Vestdanmark'!G459</f>
        <v>PJ</v>
      </c>
      <c r="H459" s="296">
        <f>'Resultater - Vestdanmark'!H459+'Resultater - Østdanmark'!H459</f>
        <v>19.573590488557194</v>
      </c>
      <c r="I459" s="297">
        <f>'Resultater - Vestdanmark'!I459+'Resultater - Østdanmark'!I459</f>
        <v>20.273741807959127</v>
      </c>
      <c r="J459" s="298">
        <f>'Resultater - Vestdanmark'!J459+'Resultater - Østdanmark'!J459</f>
        <v>17.579309207559337</v>
      </c>
      <c r="L459" s="171" t="s">
        <v>218</v>
      </c>
      <c r="M459" s="169">
        <v>17963.28</v>
      </c>
    </row>
    <row r="460" spans="1:13" x14ac:dyDescent="0.55000000000000004">
      <c r="A460" s="99" t="str">
        <f>'Resultater - Vestdanmark'!A460</f>
        <v>Til energi</v>
      </c>
      <c r="B460" s="99" t="str">
        <f>'Resultater - Vestdanmark'!B460</f>
        <v/>
      </c>
      <c r="C460" s="99" t="str">
        <f>'Resultater - Vestdanmark'!C460</f>
        <v/>
      </c>
      <c r="D460" s="99" t="str">
        <f>'Resultater - Vestdanmark'!D460</f>
        <v>Rapsolie</v>
      </c>
      <c r="E460" s="99" t="str">
        <f>'Resultater - Vestdanmark'!E460</f>
        <v>Ton</v>
      </c>
      <c r="F460" s="99" t="str">
        <f>'Resultater - Vestdanmark'!F460</f>
        <v>Energi</v>
      </c>
      <c r="G460" s="99" t="str">
        <f>'Resultater - Vestdanmark'!G460</f>
        <v>PJ</v>
      </c>
      <c r="H460" s="296">
        <f>'Resultater - Vestdanmark'!H460+'Resultater - Østdanmark'!H460</f>
        <v>0.15196335107036851</v>
      </c>
      <c r="I460" s="297">
        <f>'Resultater - Vestdanmark'!I460+'Resultater - Østdanmark'!I460</f>
        <v>7.9766231601288453</v>
      </c>
      <c r="J460" s="298">
        <f>'Resultater - Vestdanmark'!J460+'Resultater - Østdanmark'!J460</f>
        <v>7.7078751185296177</v>
      </c>
      <c r="L460" s="171" t="s">
        <v>222</v>
      </c>
      <c r="M460" s="169">
        <v>14758.1</v>
      </c>
    </row>
    <row r="461" spans="1:13" x14ac:dyDescent="0.55000000000000004">
      <c r="A461" s="99" t="str">
        <f>'Resultater - Vestdanmark'!A461</f>
        <v>Til energi</v>
      </c>
      <c r="B461" s="99" t="str">
        <f>'Resultater - Vestdanmark'!B461</f>
        <v/>
      </c>
      <c r="C461" s="99" t="str">
        <f>'Resultater - Vestdanmark'!C461</f>
        <v/>
      </c>
      <c r="D461" s="99" t="str">
        <f>'Resultater - Vestdanmark'!D461</f>
        <v>Pil &amp; poppel</v>
      </c>
      <c r="E461" s="99" t="str">
        <f>'Resultater - Vestdanmark'!E461</f>
        <v>Ton</v>
      </c>
      <c r="F461" s="99" t="str">
        <f>'Resultater - Vestdanmark'!F461</f>
        <v>Energi</v>
      </c>
      <c r="G461" s="99" t="str">
        <f>'Resultater - Vestdanmark'!G461</f>
        <v>PJ</v>
      </c>
      <c r="H461" s="295">
        <f>'Resultater - Vestdanmark'!H461+'Resultater - Østdanmark'!H461</f>
        <v>3.8599959280679998</v>
      </c>
      <c r="I461" s="297">
        <f>'Resultater - Vestdanmark'!I461+'Resultater - Østdanmark'!I461</f>
        <v>3.9916250431283249</v>
      </c>
      <c r="J461" s="298">
        <f>'Resultater - Vestdanmark'!J461+'Resultater - Østdanmark'!J461</f>
        <v>3.8685108167589539</v>
      </c>
      <c r="L461" s="171" t="s">
        <v>219</v>
      </c>
      <c r="M461" s="169">
        <v>1988.19</v>
      </c>
    </row>
    <row r="462" spans="1:13" x14ac:dyDescent="0.55000000000000004">
      <c r="A462" s="99" t="str">
        <f>'Resultater - Vestdanmark'!A462</f>
        <v>Til energi</v>
      </c>
      <c r="B462" s="99" t="str">
        <f>'Resultater - Vestdanmark'!B462</f>
        <v/>
      </c>
      <c r="C462" s="99" t="str">
        <f>'Resultater - Vestdanmark'!C462</f>
        <v/>
      </c>
      <c r="D462" s="99" t="str">
        <f>'Resultater - Vestdanmark'!D462</f>
        <v>Træ til energi</v>
      </c>
      <c r="E462" s="99" t="str">
        <f>'Resultater - Vestdanmark'!E462</f>
        <v>m3</v>
      </c>
      <c r="F462" s="99" t="str">
        <f>'Resultater - Vestdanmark'!F462</f>
        <v>Energi</v>
      </c>
      <c r="G462" s="99" t="str">
        <f>'Resultater - Vestdanmark'!G462</f>
        <v>PJ</v>
      </c>
      <c r="H462" s="295">
        <f>'Resultater - Vestdanmark'!H462+'Resultater - Østdanmark'!H462</f>
        <v>43.629098996273854</v>
      </c>
      <c r="I462" s="297">
        <f>'Resultater - Vestdanmark'!I462+'Resultater - Østdanmark'!I462</f>
        <v>41.288597648257841</v>
      </c>
      <c r="J462" s="298">
        <f>'Resultater - Vestdanmark'!J462+'Resultater - Østdanmark'!J462</f>
        <v>37.483941353749458</v>
      </c>
      <c r="L462" s="171" t="s">
        <v>220</v>
      </c>
      <c r="M462" s="169">
        <v>8944.93</v>
      </c>
    </row>
    <row r="463" spans="1:13" x14ac:dyDescent="0.55000000000000004">
      <c r="A463" s="99" t="str">
        <f>'Resultater - Vestdanmark'!A463</f>
        <v>Til energi</v>
      </c>
      <c r="B463" s="99" t="str">
        <f>'Resultater - Vestdanmark'!B463</f>
        <v/>
      </c>
      <c r="C463" s="99" t="str">
        <f>'Resultater - Vestdanmark'!C463</f>
        <v/>
      </c>
      <c r="D463" s="99" t="str">
        <f>'Resultater - Vestdanmark'!D463</f>
        <v>Have/parkaffald</v>
      </c>
      <c r="E463" s="99" t="str">
        <f>'Resultater - Vestdanmark'!E463</f>
        <v>Ton</v>
      </c>
      <c r="F463" s="99" t="str">
        <f>'Resultater - Vestdanmark'!F463</f>
        <v>Energi</v>
      </c>
      <c r="G463" s="99" t="str">
        <f>'Resultater - Vestdanmark'!G463</f>
        <v>PJ</v>
      </c>
      <c r="H463" s="295">
        <f>'Resultater - Vestdanmark'!H463+'Resultater - Østdanmark'!H463</f>
        <v>17.543930524502301</v>
      </c>
      <c r="I463" s="297">
        <f>'Resultater - Vestdanmark'!I463+'Resultater - Østdanmark'!I463</f>
        <v>17.543930524502301</v>
      </c>
      <c r="J463" s="298">
        <f>'Resultater - Vestdanmark'!J463+'Resultater - Østdanmark'!J463</f>
        <v>17.543930524502301</v>
      </c>
      <c r="L463" s="171" t="s">
        <v>221</v>
      </c>
      <c r="M463" s="169">
        <v>18651.71</v>
      </c>
    </row>
    <row r="464" spans="1:13" x14ac:dyDescent="0.55000000000000004">
      <c r="A464" s="99" t="str">
        <f>'Resultater - Vestdanmark'!A464</f>
        <v>Til energi</v>
      </c>
      <c r="B464" s="99" t="str">
        <f>'Resultater - Vestdanmark'!B464</f>
        <v/>
      </c>
      <c r="C464" s="99" t="str">
        <f>'Resultater - Vestdanmark'!C464</f>
        <v/>
      </c>
      <c r="D464" s="99" t="str">
        <f>'Resultater - Vestdanmark'!D464</f>
        <v>Bioaffald</v>
      </c>
      <c r="E464" s="99" t="str">
        <f>'Resultater - Vestdanmark'!E464</f>
        <v>Ton</v>
      </c>
      <c r="F464" s="99" t="str">
        <f>'Resultater - Vestdanmark'!F464</f>
        <v>Energi</v>
      </c>
      <c r="G464" s="99" t="str">
        <f>'Resultater - Vestdanmark'!G464</f>
        <v>PJ</v>
      </c>
      <c r="H464" s="295">
        <f ca="1">'Resultater - Vestdanmark'!H464+'Resultater - Østdanmark'!H464</f>
        <v>0</v>
      </c>
      <c r="I464" s="297">
        <f ca="1">'Resultater - Vestdanmark'!I464+'Resultater - Østdanmark'!I464</f>
        <v>0</v>
      </c>
      <c r="J464" s="298">
        <f ca="1">'Resultater - Vestdanmark'!J464+'Resultater - Østdanmark'!J464</f>
        <v>0</v>
      </c>
      <c r="L464" s="170" t="s">
        <v>110</v>
      </c>
      <c r="M464" s="169">
        <v>16604.849999999999</v>
      </c>
    </row>
    <row r="465" spans="1:13" s="172" customFormat="1" x14ac:dyDescent="0.55000000000000004">
      <c r="A465" s="99" t="str">
        <f>'Resultater - Vestdanmark'!A465</f>
        <v>Til energi</v>
      </c>
      <c r="B465" s="99" t="str">
        <f>'Resultater - Vestdanmark'!B465</f>
        <v/>
      </c>
      <c r="C465" s="99" t="str">
        <f>'Resultater - Vestdanmark'!C465</f>
        <v/>
      </c>
      <c r="D465" s="99" t="str">
        <f>'Resultater - Vestdanmark'!D465</f>
        <v>Pyrolyseolie</v>
      </c>
      <c r="E465" s="99" t="str">
        <f>'Resultater - Vestdanmark'!E465</f>
        <v>Ton</v>
      </c>
      <c r="F465" s="99" t="str">
        <f>'Resultater - Vestdanmark'!F465</f>
        <v>Energi</v>
      </c>
      <c r="G465" s="99" t="str">
        <f>'Resultater - Vestdanmark'!G465</f>
        <v>PJ</v>
      </c>
      <c r="H465" s="295">
        <f>'Resultater - Vestdanmark'!H465+'Resultater - Østdanmark'!H465</f>
        <v>0</v>
      </c>
      <c r="I465" s="297">
        <f>'Resultater - Vestdanmark'!I465+'Resultater - Østdanmark'!I465</f>
        <v>0</v>
      </c>
      <c r="J465" s="298">
        <f>'Resultater - Vestdanmark'!J465+'Resultater - Østdanmark'!J465</f>
        <v>0</v>
      </c>
      <c r="L465" s="170"/>
      <c r="M465" s="169"/>
    </row>
    <row r="466" spans="1:13" s="172" customFormat="1" x14ac:dyDescent="0.55000000000000004">
      <c r="A466" s="99" t="str">
        <f>'Resultater - Vestdanmark'!A466</f>
        <v>Til energi</v>
      </c>
      <c r="B466" s="99" t="str">
        <f>'Resultater - Vestdanmark'!B466</f>
        <v/>
      </c>
      <c r="C466" s="99" t="str">
        <f>'Resultater - Vestdanmark'!C466</f>
        <v/>
      </c>
      <c r="D466" s="99" t="str">
        <f>'Resultater - Vestdanmark'!D466</f>
        <v>Pyrolysegas</v>
      </c>
      <c r="E466" s="99" t="str">
        <f>'Resultater - Vestdanmark'!E466</f>
        <v>Ton</v>
      </c>
      <c r="F466" s="99" t="str">
        <f>'Resultater - Vestdanmark'!F466</f>
        <v>Energi</v>
      </c>
      <c r="G466" s="99" t="str">
        <f>'Resultater - Vestdanmark'!G466</f>
        <v>PJ</v>
      </c>
      <c r="H466" s="295">
        <f>'Resultater - Vestdanmark'!H466+'Resultater - Østdanmark'!H466</f>
        <v>0</v>
      </c>
      <c r="I466" s="297">
        <f>'Resultater - Vestdanmark'!I466+'Resultater - Østdanmark'!I466</f>
        <v>0</v>
      </c>
      <c r="J466" s="298">
        <f>'Resultater - Vestdanmark'!J466+'Resultater - Østdanmark'!J466</f>
        <v>0</v>
      </c>
      <c r="L466" s="170"/>
      <c r="M466" s="169"/>
    </row>
    <row r="467" spans="1:13" x14ac:dyDescent="0.55000000000000004">
      <c r="A467" s="99" t="str">
        <f>'Resultater - Vestdanmark'!A467</f>
        <v>Til energi</v>
      </c>
      <c r="B467" s="99" t="str">
        <f>'Resultater - Vestdanmark'!B467</f>
        <v/>
      </c>
      <c r="C467" s="99" t="str">
        <f>'Resultater - Vestdanmark'!C467</f>
        <v/>
      </c>
      <c r="D467" s="99" t="str">
        <f>'Resultater - Vestdanmark'!D467</f>
        <v>Biogas</v>
      </c>
      <c r="E467" s="99" t="str">
        <f>'Resultater - Vestdanmark'!E467</f>
        <v>Nm3 CH4</v>
      </c>
      <c r="F467" s="99" t="str">
        <f>'Resultater - Vestdanmark'!F467</f>
        <v>Energi</v>
      </c>
      <c r="G467" s="99" t="str">
        <f>'Resultater - Vestdanmark'!G467</f>
        <v>PJ</v>
      </c>
      <c r="H467" s="299">
        <f ca="1">'Resultater - Vestdanmark'!H467+'Resultater - Østdanmark'!H467</f>
        <v>16.577233250100868</v>
      </c>
      <c r="I467" s="300">
        <f ca="1">'Resultater - Vestdanmark'!I467+'Resultater - Østdanmark'!I467</f>
        <v>21.892793494349263</v>
      </c>
      <c r="J467" s="301">
        <f ca="1">'Resultater - Vestdanmark'!J467+'Resultater - Østdanmark'!J467</f>
        <v>21.842050617596151</v>
      </c>
    </row>
    <row r="468" spans="1:13" x14ac:dyDescent="0.55000000000000004">
      <c r="A468" s="158" t="str">
        <f>'Resultater - Vestdanmark'!A468</f>
        <v>Proteinproces</v>
      </c>
      <c r="B468" s="158" t="str">
        <f>'Resultater - Vestdanmark'!B468</f>
        <v/>
      </c>
      <c r="C468" s="158" t="str">
        <f>'Resultater - Vestdanmark'!C468</f>
        <v/>
      </c>
      <c r="D468" s="158" t="str">
        <f>'Resultater - Vestdanmark'!D468</f>
        <v>Græs</v>
      </c>
      <c r="E468" s="158" t="str">
        <f>'Resultater - Vestdanmark'!E468</f>
        <v>Ton</v>
      </c>
      <c r="F468" s="158" t="str">
        <f>'Resultater - Vestdanmark'!F468</f>
        <v>Græsprotein</v>
      </c>
      <c r="G468" s="158" t="str">
        <f>'Resultater - Vestdanmark'!G468</f>
        <v>Ton</v>
      </c>
      <c r="H468" s="302">
        <f>'Resultater - Vestdanmark'!H468+'Resultater - Østdanmark'!H468</f>
        <v>0</v>
      </c>
      <c r="I468" s="303">
        <f>'Resultater - Vestdanmark'!I468+'Resultater - Østdanmark'!I468</f>
        <v>0</v>
      </c>
      <c r="J468" s="304">
        <f>'Resultater - Vestdanmark'!J468+'Resultater - Østdanmark'!J468</f>
        <v>0</v>
      </c>
    </row>
    <row r="469" spans="1:13" x14ac:dyDescent="0.55000000000000004">
      <c r="A469" s="158" t="str">
        <f>'Resultater - Vestdanmark'!A469</f>
        <v>Proteinproces</v>
      </c>
      <c r="B469" s="158" t="str">
        <f>'Resultater - Vestdanmark'!B469</f>
        <v/>
      </c>
      <c r="C469" s="158" t="str">
        <f>'Resultater - Vestdanmark'!C469</f>
        <v/>
      </c>
      <c r="D469" s="158" t="str">
        <f>'Resultater - Vestdanmark'!D469</f>
        <v>Græs</v>
      </c>
      <c r="E469" s="158" t="str">
        <f>'Resultater - Vestdanmark'!E469</f>
        <v>Ton</v>
      </c>
      <c r="F469" s="158" t="str">
        <f>'Resultater - Vestdanmark'!F469</f>
        <v>Fiberfraktion</v>
      </c>
      <c r="G469" s="158" t="str">
        <f>'Resultater - Vestdanmark'!G469</f>
        <v>Ton</v>
      </c>
      <c r="H469" s="302">
        <f>'Resultater - Vestdanmark'!H469+'Resultater - Østdanmark'!H469</f>
        <v>0</v>
      </c>
      <c r="I469" s="303">
        <f>'Resultater - Vestdanmark'!I469+'Resultater - Østdanmark'!I469</f>
        <v>0</v>
      </c>
      <c r="J469" s="304">
        <f>'Resultater - Vestdanmark'!J469+'Resultater - Østdanmark'!J469</f>
        <v>0</v>
      </c>
    </row>
    <row r="470" spans="1:13" x14ac:dyDescent="0.55000000000000004">
      <c r="A470" s="158" t="str">
        <f>'Resultater - Vestdanmark'!A470</f>
        <v>Proteinproces</v>
      </c>
      <c r="B470" s="158" t="str">
        <f>'Resultater - Vestdanmark'!B470</f>
        <v/>
      </c>
      <c r="C470" s="158" t="str">
        <f>'Resultater - Vestdanmark'!C470</f>
        <v/>
      </c>
      <c r="D470" s="158" t="str">
        <f>'Resultater - Vestdanmark'!D470</f>
        <v>Græs</v>
      </c>
      <c r="E470" s="158" t="str">
        <f>'Resultater - Vestdanmark'!E470</f>
        <v>Ton</v>
      </c>
      <c r="F470" s="158" t="str">
        <f>'Resultater - Vestdanmark'!F470</f>
        <v>Brun saft</v>
      </c>
      <c r="G470" s="158" t="str">
        <f>'Resultater - Vestdanmark'!G470</f>
        <v>PJ</v>
      </c>
      <c r="H470" s="302">
        <f>'Resultater - Vestdanmark'!H470+'Resultater - Østdanmark'!H470</f>
        <v>0</v>
      </c>
      <c r="I470" s="303">
        <f>'Resultater - Vestdanmark'!I470+'Resultater - Østdanmark'!I470</f>
        <v>0</v>
      </c>
      <c r="J470" s="304">
        <f>'Resultater - Vestdanmark'!J470+'Resultater - Østdanmark'!J470</f>
        <v>0</v>
      </c>
    </row>
    <row r="471" spans="1:13" x14ac:dyDescent="0.55000000000000004">
      <c r="A471" s="158" t="str">
        <f>'Resultater - Vestdanmark'!A471</f>
        <v>Rapskageproduktion</v>
      </c>
      <c r="B471" s="158" t="str">
        <f>'Resultater - Vestdanmark'!B471</f>
        <v/>
      </c>
      <c r="C471" s="158" t="str">
        <f>'Resultater - Vestdanmark'!C471</f>
        <v/>
      </c>
      <c r="D471" s="158" t="str">
        <f>'Resultater - Vestdanmark'!D471</f>
        <v>Raps</v>
      </c>
      <c r="E471" s="158" t="str">
        <f>'Resultater - Vestdanmark'!E471</f>
        <v>Ton</v>
      </c>
      <c r="F471" s="158" t="str">
        <f>'Resultater - Vestdanmark'!F471</f>
        <v>Rapskage</v>
      </c>
      <c r="G471" s="158" t="str">
        <f>'Resultater - Vestdanmark'!G471</f>
        <v>Ton</v>
      </c>
      <c r="H471" s="302">
        <f>'Resultater - Vestdanmark'!H471+'Resultater - Østdanmark'!H471</f>
        <v>339203.90863921517</v>
      </c>
      <c r="I471" s="303">
        <f>'Resultater - Vestdanmark'!I471+'Resultater - Østdanmark'!I471</f>
        <v>356099.24822003779</v>
      </c>
      <c r="J471" s="304">
        <f>'Resultater - Vestdanmark'!J471+'Resultater - Østdanmark'!J471</f>
        <v>344101.56779150077</v>
      </c>
    </row>
    <row r="472" spans="1:13" x14ac:dyDescent="0.55000000000000004">
      <c r="A472" s="158" t="str">
        <f>'Resultater - Vestdanmark'!A472</f>
        <v>Rapskageproduktion</v>
      </c>
      <c r="B472" s="158" t="str">
        <f>'Resultater - Vestdanmark'!B472</f>
        <v/>
      </c>
      <c r="C472" s="158" t="str">
        <f>'Resultater - Vestdanmark'!C472</f>
        <v/>
      </c>
      <c r="D472" s="158" t="str">
        <f>'Resultater - Vestdanmark'!D472</f>
        <v>Raps</v>
      </c>
      <c r="E472" s="158" t="str">
        <f>'Resultater - Vestdanmark'!E472</f>
        <v>Ton</v>
      </c>
      <c r="F472" s="158" t="str">
        <f>'Resultater - Vestdanmark'!F472</f>
        <v>Rapsolie</v>
      </c>
      <c r="G472" s="158" t="str">
        <f>'Resultater - Vestdanmark'!G472</f>
        <v>Ton</v>
      </c>
      <c r="H472" s="302">
        <f>'Resultater - Vestdanmark'!H472+'Resultater - Østdanmark'!H472</f>
        <v>217090.50152909773</v>
      </c>
      <c r="I472" s="303">
        <f>'Resultater - Vestdanmark'!I472+'Resultater - Østdanmark'!I472</f>
        <v>227903.51886082417</v>
      </c>
      <c r="J472" s="304">
        <f>'Resultater - Vestdanmark'!J472+'Resultater - Østdanmark'!J472</f>
        <v>220225.00338656051</v>
      </c>
    </row>
    <row r="473" spans="1:13" x14ac:dyDescent="0.55000000000000004">
      <c r="A473" s="158" t="str">
        <f>'Resultater - Vestdanmark'!A473</f>
        <v>Pyrolyseproces</v>
      </c>
      <c r="B473" s="158" t="str">
        <f>'Resultater - Vestdanmark'!B473</f>
        <v/>
      </c>
      <c r="C473" s="158" t="str">
        <f>'Resultater - Vestdanmark'!C473</f>
        <v/>
      </c>
      <c r="D473" s="158" t="str">
        <f>'Resultater - Vestdanmark'!D473</f>
        <v>Halm</v>
      </c>
      <c r="E473" s="158" t="str">
        <f>'Resultater - Vestdanmark'!E473</f>
        <v>Ton</v>
      </c>
      <c r="F473" s="158" t="str">
        <f>'Resultater - Vestdanmark'!F473</f>
        <v>CO2 - atmosfære</v>
      </c>
      <c r="G473" s="158" t="str">
        <f>'Resultater - Vestdanmark'!G473</f>
        <v>t CO2-ækvivalenter</v>
      </c>
      <c r="H473" s="302">
        <f>'Resultater - Vestdanmark'!H473+'Resultater - Østdanmark'!H473</f>
        <v>0</v>
      </c>
      <c r="I473" s="303">
        <f>'Resultater - Vestdanmark'!I473+'Resultater - Østdanmark'!I473</f>
        <v>0</v>
      </c>
      <c r="J473" s="304">
        <f>'Resultater - Vestdanmark'!J473+'Resultater - Østdanmark'!J473</f>
        <v>0</v>
      </c>
    </row>
    <row r="474" spans="1:13" x14ac:dyDescent="0.55000000000000004">
      <c r="A474" s="158" t="str">
        <f>'Resultater - Vestdanmark'!A474</f>
        <v>Pyrolyseproces</v>
      </c>
      <c r="B474" s="158" t="str">
        <f>'Resultater - Vestdanmark'!B474</f>
        <v/>
      </c>
      <c r="C474" s="158" t="str">
        <f>'Resultater - Vestdanmark'!C474</f>
        <v/>
      </c>
      <c r="D474" s="158" t="str">
        <f>'Resultater - Vestdanmark'!D474</f>
        <v>Halm</v>
      </c>
      <c r="E474" s="158" t="str">
        <f>'Resultater - Vestdanmark'!E474</f>
        <v>Ton</v>
      </c>
      <c r="F474" s="158" t="str">
        <f>'Resultater - Vestdanmark'!F474</f>
        <v>Pyrolyseolie</v>
      </c>
      <c r="G474" s="158" t="str">
        <f>'Resultater - Vestdanmark'!G474</f>
        <v>Ton</v>
      </c>
      <c r="H474" s="302">
        <f>'Resultater - Vestdanmark'!H474+'Resultater - Østdanmark'!H474</f>
        <v>0</v>
      </c>
      <c r="I474" s="303">
        <f>'Resultater - Vestdanmark'!I474+'Resultater - Østdanmark'!I474</f>
        <v>0</v>
      </c>
      <c r="J474" s="304">
        <f>'Resultater - Vestdanmark'!J474+'Resultater - Østdanmark'!J474</f>
        <v>0</v>
      </c>
    </row>
    <row r="475" spans="1:13" ht="14.7" thickBot="1" x14ac:dyDescent="0.6">
      <c r="A475" s="158" t="str">
        <f>'Resultater - Vestdanmark'!A475</f>
        <v>Pyrolyseproces</v>
      </c>
      <c r="B475" s="158" t="str">
        <f>'Resultater - Vestdanmark'!B475</f>
        <v/>
      </c>
      <c r="C475" s="158" t="str">
        <f>'Resultater - Vestdanmark'!C475</f>
        <v/>
      </c>
      <c r="D475" s="158" t="str">
        <f>'Resultater - Vestdanmark'!D475</f>
        <v>Halm</v>
      </c>
      <c r="E475" s="158" t="str">
        <f>'Resultater - Vestdanmark'!E475</f>
        <v>Ton</v>
      </c>
      <c r="F475" s="158" t="str">
        <f>'Resultater - Vestdanmark'!F475</f>
        <v>Pyrolysegas</v>
      </c>
      <c r="G475" s="158" t="str">
        <f>'Resultater - Vestdanmark'!G475</f>
        <v>Ton</v>
      </c>
      <c r="H475" s="305">
        <f>'Resultater - Vestdanmark'!H475+'Resultater - Østdanmark'!H475</f>
        <v>0</v>
      </c>
      <c r="I475" s="306">
        <f>'Resultater - Vestdanmark'!I475+'Resultater - Østdanmark'!I475</f>
        <v>0</v>
      </c>
      <c r="J475" s="307">
        <f>'Resultater - Vestdanmark'!J475+'Resultater - Østdanmark'!J475</f>
        <v>0</v>
      </c>
    </row>
    <row r="476" spans="1:13" x14ac:dyDescent="0.55000000000000004">
      <c r="A476" s="99"/>
      <c r="B476" s="99"/>
      <c r="C476" s="99"/>
      <c r="D476" s="99"/>
      <c r="E476" s="99"/>
      <c r="F476" s="99"/>
      <c r="G476" s="99"/>
      <c r="H476" s="98"/>
      <c r="I476" s="98"/>
      <c r="J476" s="98"/>
    </row>
    <row r="477" spans="1:13" x14ac:dyDescent="0.55000000000000004">
      <c r="A477" s="99"/>
      <c r="B477" s="99"/>
      <c r="C477" s="99"/>
      <c r="D477" s="99"/>
      <c r="E477" s="99"/>
      <c r="F477" s="99"/>
      <c r="G477" s="99"/>
      <c r="H477" s="98"/>
      <c r="I477" s="98"/>
      <c r="J477" s="98"/>
    </row>
    <row r="478" spans="1:13" x14ac:dyDescent="0.55000000000000004">
      <c r="A478" s="99"/>
      <c r="B478" s="99"/>
      <c r="C478" s="99"/>
      <c r="D478" s="99"/>
      <c r="E478" s="99"/>
      <c r="F478" s="99"/>
      <c r="G478" s="99"/>
      <c r="H478" s="98"/>
      <c r="I478" s="98"/>
      <c r="J478" s="98"/>
    </row>
    <row r="479" spans="1:13" x14ac:dyDescent="0.55000000000000004">
      <c r="A479" s="99"/>
      <c r="B479" s="99"/>
      <c r="C479" s="99"/>
      <c r="D479" s="99"/>
      <c r="E479" s="99"/>
      <c r="F479" s="99"/>
      <c r="G479" s="99"/>
      <c r="H479" s="98"/>
      <c r="I479" s="98"/>
      <c r="J479" s="98"/>
    </row>
    <row r="480" spans="1:13" x14ac:dyDescent="0.55000000000000004">
      <c r="A480" s="99"/>
      <c r="B480" s="99"/>
      <c r="C480" s="99"/>
      <c r="D480" s="99"/>
      <c r="E480" s="99"/>
      <c r="F480" s="99"/>
      <c r="G480" s="99"/>
      <c r="H480" s="98"/>
      <c r="I480" s="98"/>
      <c r="J480" s="98"/>
    </row>
    <row r="481" spans="1:10" x14ac:dyDescent="0.55000000000000004">
      <c r="A481" s="99"/>
      <c r="B481" s="99"/>
      <c r="C481" s="99"/>
      <c r="D481" s="99"/>
      <c r="E481" s="99"/>
      <c r="F481" s="99"/>
      <c r="G481" s="99"/>
      <c r="H481" s="98"/>
      <c r="I481" s="98"/>
      <c r="J481" s="98"/>
    </row>
    <row r="482" spans="1:10" x14ac:dyDescent="0.55000000000000004">
      <c r="A482" s="99"/>
      <c r="B482" s="99"/>
      <c r="C482" s="99"/>
      <c r="D482" s="99"/>
      <c r="E482" s="99"/>
      <c r="F482" s="99"/>
      <c r="G482" s="99"/>
      <c r="H482" s="98"/>
      <c r="I482" s="98"/>
      <c r="J482" s="98"/>
    </row>
    <row r="483" spans="1:10" x14ac:dyDescent="0.55000000000000004">
      <c r="A483" s="99"/>
      <c r="B483" s="99"/>
      <c r="C483" s="99"/>
      <c r="D483" s="99"/>
      <c r="E483" s="99"/>
      <c r="F483" s="99"/>
      <c r="G483" s="99"/>
      <c r="H483" s="98"/>
      <c r="I483" s="98"/>
      <c r="J483" s="98"/>
    </row>
    <row r="484" spans="1:10" x14ac:dyDescent="0.55000000000000004">
      <c r="A484" s="99"/>
      <c r="B484" s="99"/>
      <c r="C484" s="99"/>
      <c r="D484" s="99"/>
      <c r="E484" s="99"/>
      <c r="F484" s="99"/>
      <c r="G484" s="99"/>
      <c r="H484" s="98"/>
      <c r="I484" s="98"/>
      <c r="J484" s="98"/>
    </row>
    <row r="485" spans="1:10" x14ac:dyDescent="0.55000000000000004">
      <c r="A485" s="99"/>
      <c r="B485" s="99"/>
      <c r="C485" s="99"/>
      <c r="D485" s="99"/>
      <c r="E485" s="99"/>
      <c r="F485" s="99"/>
      <c r="G485" s="99"/>
      <c r="H485" s="98"/>
      <c r="I485" s="98"/>
      <c r="J485" s="98"/>
    </row>
    <row r="486" spans="1:10" x14ac:dyDescent="0.55000000000000004">
      <c r="A486" s="99"/>
      <c r="B486" s="99"/>
      <c r="C486" s="99"/>
      <c r="D486" s="99"/>
      <c r="E486" s="99"/>
      <c r="F486" s="99"/>
      <c r="G486" s="99"/>
      <c r="H486" s="98"/>
      <c r="I486" s="98"/>
      <c r="J486" s="98"/>
    </row>
    <row r="487" spans="1:10" x14ac:dyDescent="0.55000000000000004">
      <c r="A487" s="99"/>
      <c r="B487" s="99"/>
      <c r="C487" s="99"/>
      <c r="D487" s="99"/>
      <c r="E487" s="99"/>
      <c r="F487" s="99"/>
      <c r="G487" s="99"/>
      <c r="H487" s="98"/>
      <c r="I487" s="98"/>
      <c r="J487" s="98"/>
    </row>
    <row r="488" spans="1:10" x14ac:dyDescent="0.55000000000000004">
      <c r="H488" s="98"/>
      <c r="I488" s="98"/>
      <c r="J488" s="98"/>
    </row>
    <row r="489" spans="1:10" x14ac:dyDescent="0.55000000000000004">
      <c r="H489" s="98"/>
      <c r="I489" s="98"/>
      <c r="J489" s="98"/>
    </row>
  </sheetData>
  <autoFilter ref="A2:O475" xr:uid="{0BA69478-A184-4362-901E-6AC334CD2ACE}">
    <filterColumn colId="2">
      <filters blank="1"/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B0F6-BC35-420D-A381-2F9B028DCC93}">
  <sheetPr codeName="Sheet23" filterMode="1">
    <tabColor rgb="FFFF0000"/>
  </sheetPr>
  <dimension ref="A1:Z290"/>
  <sheetViews>
    <sheetView zoomScale="106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N196" activeCellId="1" sqref="N52 N196"/>
    </sheetView>
  </sheetViews>
  <sheetFormatPr defaultColWidth="18" defaultRowHeight="14.4" x14ac:dyDescent="0.55000000000000004"/>
  <cols>
    <col min="1" max="2" width="18.15625" style="193" bestFit="1" customWidth="1"/>
    <col min="3" max="3" width="8.15625" style="193" bestFit="1" customWidth="1"/>
    <col min="4" max="4" width="7.83984375" style="193" customWidth="1"/>
    <col min="5" max="5" width="11.15625" style="193" bestFit="1" customWidth="1"/>
    <col min="6" max="6" width="14.26171875" style="193" bestFit="1" customWidth="1"/>
    <col min="7" max="7" width="10.68359375" style="193" bestFit="1" customWidth="1"/>
    <col min="8" max="8" width="11.68359375" style="193" bestFit="1" customWidth="1"/>
    <col min="9" max="9" width="9" style="193" bestFit="1" customWidth="1"/>
    <col min="10" max="11" width="9.578125" style="193" bestFit="1" customWidth="1"/>
    <col min="12" max="12" width="10.578125" style="193" bestFit="1" customWidth="1"/>
    <col min="13" max="13" width="20" style="104" bestFit="1" customWidth="1"/>
    <col min="14" max="14" width="26.41796875" style="104" bestFit="1" customWidth="1"/>
    <col min="15" max="15" width="21.41796875" style="104" bestFit="1" customWidth="1"/>
    <col min="16" max="16" width="20.578125" style="104" bestFit="1" customWidth="1"/>
    <col min="17" max="17" width="20.26171875" style="104" bestFit="1" customWidth="1"/>
    <col min="18" max="18" width="19.83984375" style="104" bestFit="1" customWidth="1"/>
    <col min="19" max="19" width="18.578125" style="104" bestFit="1" customWidth="1"/>
    <col min="20" max="20" width="23.68359375" style="104" bestFit="1" customWidth="1"/>
    <col min="21" max="21" width="24" style="104" bestFit="1" customWidth="1"/>
    <col min="22" max="22" width="23.41796875" style="104" bestFit="1" customWidth="1"/>
    <col min="23" max="23" width="22.26171875" style="104" bestFit="1" customWidth="1"/>
    <col min="24" max="24" width="27.41796875" style="104" bestFit="1" customWidth="1"/>
    <col min="25" max="16384" width="18" style="104"/>
  </cols>
  <sheetData>
    <row r="1" spans="1:26" ht="14.7" thickTop="1" x14ac:dyDescent="0.55000000000000004">
      <c r="A1" s="338" t="s">
        <v>256</v>
      </c>
      <c r="B1" s="338"/>
      <c r="C1" s="338"/>
      <c r="F1" s="339" t="s">
        <v>258</v>
      </c>
      <c r="G1" s="339"/>
      <c r="H1" s="339"/>
      <c r="I1" s="339"/>
      <c r="J1" s="339"/>
      <c r="K1" s="339"/>
      <c r="L1" s="339"/>
      <c r="M1" s="340"/>
      <c r="N1" s="341" t="s">
        <v>259</v>
      </c>
      <c r="O1" s="342"/>
      <c r="P1" s="343"/>
      <c r="Q1" s="335" t="s">
        <v>123</v>
      </c>
      <c r="R1" s="335"/>
      <c r="S1" s="335"/>
      <c r="T1" s="336"/>
      <c r="U1" s="337" t="s">
        <v>232</v>
      </c>
      <c r="V1" s="335"/>
      <c r="W1" s="335"/>
      <c r="X1" s="336"/>
    </row>
    <row r="2" spans="1:26" x14ac:dyDescent="0.55000000000000004">
      <c r="A2" s="200" t="s">
        <v>129</v>
      </c>
      <c r="B2" s="200" t="s">
        <v>328</v>
      </c>
      <c r="C2" s="200" t="s">
        <v>130</v>
      </c>
      <c r="D2" s="200" t="s">
        <v>58</v>
      </c>
      <c r="E2" s="200" t="s">
        <v>64</v>
      </c>
      <c r="F2" s="200" t="s">
        <v>133</v>
      </c>
      <c r="G2" s="200" t="s">
        <v>113</v>
      </c>
      <c r="H2" s="200" t="s">
        <v>125</v>
      </c>
      <c r="I2" s="200" t="s">
        <v>128</v>
      </c>
      <c r="J2" s="200" t="s">
        <v>110</v>
      </c>
      <c r="K2" s="200" t="s">
        <v>115</v>
      </c>
      <c r="L2" s="200" t="s">
        <v>121</v>
      </c>
      <c r="M2" s="191" t="s">
        <v>226</v>
      </c>
      <c r="N2" s="203" t="s">
        <v>257</v>
      </c>
      <c r="O2" s="200" t="s">
        <v>131</v>
      </c>
      <c r="P2" s="204" t="s">
        <v>192</v>
      </c>
      <c r="Q2" s="200" t="s">
        <v>132</v>
      </c>
      <c r="R2" s="200" t="s">
        <v>235</v>
      </c>
      <c r="S2" s="200" t="s">
        <v>236</v>
      </c>
      <c r="T2" s="202" t="s">
        <v>298</v>
      </c>
      <c r="U2" s="201" t="s">
        <v>238</v>
      </c>
      <c r="V2" s="200" t="s">
        <v>237</v>
      </c>
      <c r="W2" s="200" t="s">
        <v>239</v>
      </c>
      <c r="X2" s="202" t="s">
        <v>297</v>
      </c>
      <c r="Y2" s="96" t="s">
        <v>292</v>
      </c>
      <c r="Z2" s="200" t="s">
        <v>316</v>
      </c>
    </row>
    <row r="3" spans="1:26" hidden="1" x14ac:dyDescent="0.55000000000000004">
      <c r="A3" s="195" t="s">
        <v>15</v>
      </c>
      <c r="B3" s="195"/>
      <c r="C3" s="195">
        <f>IF(COUNTIFS('Resultater - Danmark'!$D$3:$D$482,'Resultat-Produktion &amp; forbrug'!A3,'Resultater - Danmark'!$A$3:$A$482,"Til energi")+COUNTIFS('Resultater - Danmark'!$D$3:$D$482,'Resultat-Produktion &amp; forbrug'!A3,'Resultater - Danmark'!$A$3:$A$482,"Biogasanlæg")&gt;0,1,0)</f>
        <v>0</v>
      </c>
      <c r="D3" s="195">
        <f t="shared" ref="D3:D15" si="0">År1</f>
        <v>2019</v>
      </c>
      <c r="E3" s="193" t="s">
        <v>23</v>
      </c>
      <c r="F3" s="196">
        <f>IF(E3="Vestdanmark",SUMIFS(IF(D3=År1,'Resultater - Vestdanmark'!H$3:H$482,IF(D3=År2,'Resultater - Vestdanmark'!I$3:I$482,'Resultater - Vestdanmark'!J$3:J$482)),'Resultater - Vestdanmark'!$F$3:$F$482,$A3,IF(D3=År1,'Resultater - Vestdanmark'!H$3:H$482,IF(D3=År2,'Resultater - Vestdanmark'!I$3:I$482,'Resultater - Vestdanmark'!J$3:J$482)),"&gt;0"),SUMIFS(IF(D3=År1,'Resultater - Østdanmark'!H$3:H$482,IF(D3=År2,'Resultater - Østdanmark'!I$3:I$482,'Resultater - Østdanmark'!J$3:J$482)),'Resultater - Østdanmark'!$F$3:$F$482,$A3,IF(D3=År1,'Resultater - Østdanmark'!H$3:H$482,IF(D3=År2,'Resultater - Østdanmark'!I$3:I$482,'Resultater - Østdanmark'!J$3:J$482)),"&gt;0"))</f>
        <v>216549.9929685164</v>
      </c>
      <c r="G3" s="196">
        <f>SUMIFS('Forbrug af biomasse'!$E$2:$E$425,'Forbrug af biomasse'!$C$2:$C$425,'Resultat-Produktion &amp; forbrug'!$A3,'Forbrug af biomasse'!$D$2:$D$425,'Resultat-Produktion &amp; forbrug'!$D3,'Forbrug af biomasse'!$A$2:$A$425,'Resultat-Produktion &amp; forbrug'!G$2,'Forbrug af biomasse'!$B$2:$B$425,$E3)</f>
        <v>0</v>
      </c>
      <c r="H3" s="193">
        <f>IF(E3="Vestdanmark",-IF(A3="Halm",SUMIFS(IF(D3=År1,'Resultater - Vestdanmark'!H$3:H$482,IF(D3=År2,'Resultater - Vestdanmark'!I$3:I$482,'Resultater - Vestdanmark'!J$3:J$482)),'Resultater - Vestdanmark'!$F$3:$F$482,$A3,'Resultater - Vestdanmark'!H$3:H$482,"&lt;0"),0),-IF(A3="Halm",SUMIFS(IF(D3=År1,'Resultater - Østdanmark'!H$3:H$482,IF(D3=År2,'Resultater - Østdanmark'!I$3:I$482,'Resultater - Østdanmark'!J$3:J$482)),'Resultater - Østdanmark'!$F$3:$F$482,$A3,'Resultater - Østdanmark'!H$3:H$482,"&lt;0"),0))</f>
        <v>0</v>
      </c>
      <c r="I3" s="196">
        <f>SUMIFS('Forbrug af biomasse'!$E$2:$E$425,'Forbrug af biomasse'!$C$2:$C$425,'Resultat-Produktion &amp; forbrug'!$A3,'Forbrug af biomasse'!$D$2:$D$425,'Resultat-Produktion &amp; forbrug'!$D3,'Forbrug af biomasse'!$A$2:$A$425,'Resultat-Produktion &amp; forbrug'!I$2,'Forbrug af biomasse'!$B$2:$B$425,$E3)</f>
        <v>31522.55833067331</v>
      </c>
      <c r="J3" s="196">
        <f>SUMIFS('Forbrug af biomasse'!$E$2:$E$425,'Forbrug af biomasse'!$C$2:$C$425,'Resultat-Produktion &amp; forbrug'!$A3,'Forbrug af biomasse'!$D$2:$D$425,'Resultat-Produktion &amp; forbrug'!$D3,'Forbrug af biomasse'!$A$2:$A$425,'Resultat-Produktion &amp; forbrug'!J$2,'Forbrug af biomasse'!$B$2:$B$425,$E3)</f>
        <v>0</v>
      </c>
      <c r="K3" s="196">
        <f>SUMIFS('Forbrug af biomasse'!$E$2:$E$425,'Forbrug af biomasse'!$C$2:$C$425,'Resultat-Produktion &amp; forbrug'!$A3,'Forbrug af biomasse'!$D$2:$D$425,'Resultat-Produktion &amp; forbrug'!$D3,'Forbrug af biomasse'!$A$2:$A$425,'Resultat-Produktion &amp; forbrug'!K$2,'Forbrug af biomasse'!$B$2:$B$425,$E3)</f>
        <v>0</v>
      </c>
      <c r="L3" s="196">
        <f>IF(A3&lt;&gt;"Biogas",SUMIFS('Forbrug af biomasse'!$E$2:$E$425,'Forbrug af biomasse'!$C$2:$C$425,'Resultat-Produktion &amp; forbrug'!$A3,'Forbrug af biomasse'!$D$2:$D$425,'Resultat-Produktion &amp; forbrug'!$D3,'Forbrug af biomasse'!$A$2:$A$425,'Resultat-Produktion &amp; forbrug'!L$2,'Forbrug af biomasse'!$B$2:$B$425,$E3),F3)</f>
        <v>0</v>
      </c>
      <c r="M3" s="158">
        <f>SUMIFS('Forbrug af biomasse'!E:E,'Forbrug af biomasse'!C:C,'Resultat-Produktion &amp; forbrug'!$A3,'Forbrug af biomasse'!D:D,'Resultat-Produktion &amp; forbrug'!$D3,'Forbrug af biomasse'!G:G,1,'Forbrug af biomasse'!B:B,$E3)</f>
        <v>0</v>
      </c>
      <c r="N3" s="205">
        <f>F3-SUM(G3:M3)</f>
        <v>185027.43463784308</v>
      </c>
      <c r="O3" s="196">
        <f t="shared" ref="O3:O66" si="1">IF(C3=1,IF(N3+IF(SUMIFS($N$3:$N$290,$A$3:$A$290,A3,$D$3:$D$290,D3,$E$3:$E$290,"&lt;&gt;"&amp;E3)&lt;0,SUMIFS($N$3:$N$290,$A$3:$A$290,A3,$D$3:$D$290,D3,$E$3:$E$290,"&lt;&gt;"&amp;E3),0)&gt;0,N3+IF(SUMIFS($N$3:$N$290,$A$3:$A$290,A3,$D$3:$D$290,D3,$E$3:$E$290,"&lt;&gt;"&amp;E3)&lt;0,SUMIFS($N$3:$N$290,$A$3:$A$290,A3,$D$3:$D$290,D3,$E$3:$E$290,"&lt;&gt;"&amp;E3),0),0),0)</f>
        <v>0</v>
      </c>
      <c r="P3" s="206">
        <f>SUM(J3,L3)</f>
        <v>0</v>
      </c>
      <c r="Q3" s="193">
        <f>IFERROR(VLOOKUP(A3,[1]Energiindhold!$A$2:$C$11,3,FALSE),IFERROR(VLOOKUP(A3,[1]Biogasudbytte!$A$2:$B$18,2,FALSE)*[1]Energiindhold!$C$10,0))*O3</f>
        <v>0</v>
      </c>
      <c r="R3" s="193">
        <f>IF(A3&lt;&gt;"Biogas",IFERROR(VLOOKUP(A3,[1]Biogasudbytte!$A$2:$B$18,2,FALSE)*[1]Energiindhold!$C$10,0)*J3*IFERROR(VLOOKUP(A3,Biogasanlæg!$F$3:$G$8,2,FALSE),1)+IFERROR(VLOOKUP(A3,[1]Energiindhold!$A$2:$C$11,3,FALSE),0)*L3+IF(D3&lt;&gt;År1,Q3,0),0)</f>
        <v>0</v>
      </c>
      <c r="S3" s="193">
        <f>IFERROR(VLOOKUP(A3,[1]Biogasudbytte!$A$2:$B$18,2,FALSE)*[1]Energiindhold!$C$10,0)*J3*IFERROR(VLOOKUP(A3,Biogasanlæg!$F$3:$G$8,2,FALSE),1)</f>
        <v>0</v>
      </c>
      <c r="T3" s="194">
        <f>R3-S3</f>
        <v>0</v>
      </c>
      <c r="U3" s="192">
        <f>O3*IFERROR(VLOOKUP(A3,[1]Tørstofindhold!A$2:B$25,2,FALSE),0)</f>
        <v>0</v>
      </c>
      <c r="V3" s="193">
        <f>IF(D3=År1,P3,SUM(O3,P3))*IFERROR(VLOOKUP(A3,[1]Tørstofindhold!A$2:B$25,2,FALSE),0)</f>
        <v>0</v>
      </c>
      <c r="W3" s="193">
        <f>J3*IFERROR(VLOOKUP(A3,[1]Tørstofindhold!A$2:B$25,2,FALSE),0)</f>
        <v>0</v>
      </c>
      <c r="X3" s="194">
        <f>V3-W3</f>
        <v>0</v>
      </c>
      <c r="Y3" s="172">
        <f t="shared" ref="Y3:Y66" si="2">IF(SUMIFS($N$3:$N$290,$A$3:$A$290,A3,$D$3:$D$290,D3)&lt;0,1,0)</f>
        <v>0</v>
      </c>
      <c r="Z3" s="104">
        <f t="shared" ref="Z3:Z66" si="3">IF(SUMIFS($N$3:$N$290,$A$3:$A$290,A3,$D$3:$D$290,D3)&gt;0,1,0)</f>
        <v>1</v>
      </c>
    </row>
    <row r="4" spans="1:26" x14ac:dyDescent="0.55000000000000004">
      <c r="A4" s="195" t="s">
        <v>49</v>
      </c>
      <c r="B4" s="195"/>
      <c r="C4" s="195">
        <f>IF(COUNTIFS('Resultater - Danmark'!$D$3:$D$482,'Resultat-Produktion &amp; forbrug'!A4,'Resultater - Danmark'!$A$3:$A$482,"Til energi")+COUNTIFS('Resultater - Danmark'!$D$3:$D$482,'Resultat-Produktion &amp; forbrug'!A4,'Resultater - Danmark'!$A$3:$A$482,"Biogasanlæg")&gt;0,1,0)</f>
        <v>0</v>
      </c>
      <c r="D4" s="195">
        <f t="shared" si="0"/>
        <v>2019</v>
      </c>
      <c r="E4" s="193" t="s">
        <v>23</v>
      </c>
      <c r="F4" s="196">
        <f>IF(E4="Vestdanmark",SUMIFS(IF(D4=År1,'Resultater - Vestdanmark'!H$3:H$482,IF(D4=År2,'Resultater - Vestdanmark'!I$3:I$482,'Resultater - Vestdanmark'!J$3:J$482)),'Resultater - Vestdanmark'!$F$3:$F$482,$A4,IF(D4=År1,'Resultater - Vestdanmark'!H$3:H$482,IF(D4=År2,'Resultater - Vestdanmark'!I$3:I$482,'Resultater - Vestdanmark'!J$3:J$482)),"&gt;0"),SUMIFS(IF(D4=År1,'Resultater - Østdanmark'!H$3:H$482,IF(D4=År2,'Resultater - Østdanmark'!I$3:I$482,'Resultater - Østdanmark'!J$3:J$482)),'Resultater - Østdanmark'!$F$3:$F$482,$A4,IF(D4=År1,'Resultater - Østdanmark'!H$3:H$482,IF(D4=År2,'Resultater - Østdanmark'!I$3:I$482,'Resultater - Østdanmark'!J$3:J$482)),"&gt;0"))</f>
        <v>258086.32953598633</v>
      </c>
      <c r="G4" s="196">
        <f>SUMIFS('Forbrug af biomasse'!$E$2:$E$425,'Forbrug af biomasse'!$C$2:$C$425,'Resultat-Produktion &amp; forbrug'!$A4,'Forbrug af biomasse'!$D$2:$D$425,'Resultat-Produktion &amp; forbrug'!$D4,'Forbrug af biomasse'!$A$2:$A$425,'Resultat-Produktion &amp; forbrug'!G$2,'Forbrug af biomasse'!$B$2:$B$425,$E4)</f>
        <v>64498.47547519199</v>
      </c>
      <c r="H4" s="193">
        <f>IF(E4="Vestdanmark",-IF(A4="Halm",SUMIFS(IF(D4=År1,'Resultater - Vestdanmark'!H$3:H$482,IF(D4=År2,'Resultater - Vestdanmark'!I$3:I$482,'Resultater - Vestdanmark'!J$3:J$482)),'Resultater - Vestdanmark'!$F$3:$F$482,$A4,'Resultater - Vestdanmark'!H$3:H$482,"&lt;0"),0),-IF(A4="Halm",SUMIFS(IF(D4=År1,'Resultater - Østdanmark'!H$3:H$482,IF(D4=År2,'Resultater - Østdanmark'!I$3:I$482,'Resultater - Østdanmark'!J$3:J$482)),'Resultater - Østdanmark'!$F$3:$F$482,$A4,'Resultater - Østdanmark'!H$3:H$482,"&lt;0"),0))</f>
        <v>0</v>
      </c>
      <c r="I4" s="196">
        <f>SUMIFS('Forbrug af biomasse'!$E$2:$E$425,'Forbrug af biomasse'!$C$2:$C$425,'Resultat-Produktion &amp; forbrug'!$A4,'Forbrug af biomasse'!$D$2:$D$425,'Resultat-Produktion &amp; forbrug'!$D4,'Forbrug af biomasse'!$A$2:$A$425,'Resultat-Produktion &amp; forbrug'!I$2,'Forbrug af biomasse'!$B$2:$B$425,$E4)</f>
        <v>0</v>
      </c>
      <c r="J4" s="196">
        <f>SUMIFS('Forbrug af biomasse'!$E$2:$E$425,'Forbrug af biomasse'!$C$2:$C$425,'Resultat-Produktion &amp; forbrug'!$A4,'Forbrug af biomasse'!$D$2:$D$425,'Resultat-Produktion &amp; forbrug'!$D4,'Forbrug af biomasse'!$A$2:$A$425,'Resultat-Produktion &amp; forbrug'!J$2,'Forbrug af biomasse'!$B$2:$B$425,$E4)</f>
        <v>0</v>
      </c>
      <c r="K4" s="196">
        <f>SUMIFS('Forbrug af biomasse'!$E$2:$E$425,'Forbrug af biomasse'!$C$2:$C$425,'Resultat-Produktion &amp; forbrug'!$A4,'Forbrug af biomasse'!$D$2:$D$425,'Resultat-Produktion &amp; forbrug'!$D4,'Forbrug af biomasse'!$A$2:$A$425,'Resultat-Produktion &amp; forbrug'!K$2,'Forbrug af biomasse'!$B$2:$B$425,$E4)</f>
        <v>0</v>
      </c>
      <c r="L4" s="196">
        <f>IF(A4&lt;&gt;"Biogas",SUMIFS('Forbrug af biomasse'!$E$2:$E$425,'Forbrug af biomasse'!$C$2:$C$425,'Resultat-Produktion &amp; forbrug'!$A4,'Forbrug af biomasse'!$D$2:$D$425,'Resultat-Produktion &amp; forbrug'!$D4,'Forbrug af biomasse'!$A$2:$A$425,'Resultat-Produktion &amp; forbrug'!L$2,'Forbrug af biomasse'!$B$2:$B$425,$E4),F4)</f>
        <v>0</v>
      </c>
      <c r="M4" s="158">
        <f>SUMIFS('Forbrug af biomasse'!E:E,'Forbrug af biomasse'!C:C,'Resultat-Produktion &amp; forbrug'!$A4,'Forbrug af biomasse'!D:D,'Resultat-Produktion &amp; forbrug'!$D4,'Forbrug af biomasse'!G:G,1,'Forbrug af biomasse'!B:B,$E4)</f>
        <v>0</v>
      </c>
      <c r="N4" s="205">
        <f t="shared" ref="N4:N15" si="4">F4-SUM(G4:M4)</f>
        <v>193587.85406079434</v>
      </c>
      <c r="O4" s="196">
        <f t="shared" si="1"/>
        <v>0</v>
      </c>
      <c r="P4" s="206">
        <f t="shared" ref="P4:P15" si="5">SUM(J4,L4)</f>
        <v>0</v>
      </c>
      <c r="Q4" s="193">
        <f>IFERROR(VLOOKUP(A4,[1]Energiindhold!$A$2:$C$11,3,FALSE),IFERROR(VLOOKUP(A4,[1]Biogasudbytte!$A$2:$B$18,2,FALSE)*[1]Energiindhold!$C$10,0))*O4</f>
        <v>0</v>
      </c>
      <c r="R4" s="193">
        <f>IF(A4&lt;&gt;"Biogas",IFERROR(VLOOKUP(A4,[1]Biogasudbytte!$A$2:$B$18,2,FALSE)*[1]Energiindhold!$C$10,0)*J4*IFERROR(VLOOKUP(A4,Biogasanlæg!$F$3:$G$8,2,FALSE),1)+IFERROR(VLOOKUP(A4,[1]Energiindhold!$A$2:$C$11,3,FALSE),0)*L4+IF(D4&lt;&gt;År1,Q4,0),0)</f>
        <v>0</v>
      </c>
      <c r="S4" s="193">
        <f>IFERROR(VLOOKUP(A4,[1]Biogasudbytte!$A$2:$B$18,2,FALSE)*[1]Energiindhold!$C$10,0)*J4*IFERROR(VLOOKUP(A4,Biogasanlæg!$F$3:$G$8,2,FALSE),1)</f>
        <v>0</v>
      </c>
      <c r="T4" s="194">
        <f t="shared" ref="T4:T15" si="6">R4-S4</f>
        <v>0</v>
      </c>
      <c r="U4" s="192">
        <f>O4*IFERROR(VLOOKUP(A4,[1]Tørstofindhold!A$2:B$25,2,FALSE),0)</f>
        <v>0</v>
      </c>
      <c r="V4" s="193">
        <f>IF(D4=År1,P4,SUM(O4,P4))*IFERROR(VLOOKUP(A4,[1]Tørstofindhold!A$2:B$25,2,FALSE),0)</f>
        <v>0</v>
      </c>
      <c r="W4" s="193">
        <f>J4*IFERROR(VLOOKUP(A4,[1]Tørstofindhold!A$2:B$25,2,FALSE),0)</f>
        <v>0</v>
      </c>
      <c r="X4" s="194">
        <f t="shared" ref="X4:X15" si="7">V4-W4</f>
        <v>0</v>
      </c>
      <c r="Y4" s="172">
        <f t="shared" si="2"/>
        <v>0</v>
      </c>
      <c r="Z4" s="104">
        <f t="shared" si="3"/>
        <v>1</v>
      </c>
    </row>
    <row r="5" spans="1:26" hidden="1" x14ac:dyDescent="0.55000000000000004">
      <c r="A5" s="195" t="s">
        <v>103</v>
      </c>
      <c r="B5" s="195" t="s">
        <v>233</v>
      </c>
      <c r="C5" s="195">
        <f>IF(COUNTIFS('Resultater - Danmark'!$D$3:$D$482,'Resultat-Produktion &amp; forbrug'!A5,'Resultater - Danmark'!$A$3:$A$482,"Til energi")+COUNTIFS('Resultater - Danmark'!$D$3:$D$482,'Resultat-Produktion &amp; forbrug'!A5,'Resultater - Danmark'!$A$3:$A$482,"Biogasanlæg")&gt;0,1,0)</f>
        <v>1</v>
      </c>
      <c r="D5" s="195">
        <f t="shared" si="0"/>
        <v>2019</v>
      </c>
      <c r="E5" s="193" t="s">
        <v>23</v>
      </c>
      <c r="F5" s="196">
        <f ca="1">IF(E5="Vestdanmark",SUMIFS(IF(D5=År1,'Resultater - Vestdanmark'!H$3:H$482,IF(D5=År2,'Resultater - Vestdanmark'!I$3:I$482,'Resultater - Vestdanmark'!J$3:J$482)),'Resultater - Vestdanmark'!$F$3:$F$482,$A5,IF(D5=År1,'Resultater - Vestdanmark'!H$3:H$482,IF(D5=År2,'Resultater - Vestdanmark'!I$3:I$482,'Resultater - Vestdanmark'!J$3:J$482)),"&gt;0"),SUMIFS(IF(D5=År1,'Resultater - Østdanmark'!H$3:H$482,IF(D5=År2,'Resultater - Østdanmark'!I$3:I$482,'Resultater - Østdanmark'!J$3:J$482)),'Resultater - Østdanmark'!$F$3:$F$482,$A5,IF(D5=År1,'Resultater - Østdanmark'!H$3:H$482,IF(D5=År2,'Resultater - Østdanmark'!I$3:I$482,'Resultater - Østdanmark'!J$3:J$482)),"&gt;0"))</f>
        <v>193591.30306616417</v>
      </c>
      <c r="G5" s="196">
        <f>SUMIFS('Forbrug af biomasse'!$E$2:$E$425,'Forbrug af biomasse'!$C$2:$C$425,'Resultat-Produktion &amp; forbrug'!$A5,'Forbrug af biomasse'!$D$2:$D$425,'Resultat-Produktion &amp; forbrug'!$D5,'Forbrug af biomasse'!$A$2:$A$425,'Resultat-Produktion &amp; forbrug'!G$2,'Forbrug af biomasse'!$B$2:$B$425,$E5)</f>
        <v>0</v>
      </c>
      <c r="H5" s="193">
        <f>IF(E5="Vestdanmark",-IF(A5="Halm",SUMIFS(IF(D5=År1,'Resultater - Vestdanmark'!H$3:H$482,IF(D5=År2,'Resultater - Vestdanmark'!I$3:I$482,'Resultater - Vestdanmark'!J$3:J$482)),'Resultater - Vestdanmark'!$F$3:$F$482,$A5,'Resultater - Vestdanmark'!H$3:H$482,"&lt;0"),0),-IF(A5="Halm",SUMIFS(IF(D5=År1,'Resultater - Østdanmark'!H$3:H$482,IF(D5=År2,'Resultater - Østdanmark'!I$3:I$482,'Resultater - Østdanmark'!J$3:J$482)),'Resultater - Østdanmark'!$F$3:$F$482,$A5,'Resultater - Østdanmark'!H$3:H$482,"&lt;0"),0))</f>
        <v>0</v>
      </c>
      <c r="I5" s="196">
        <f>SUMIFS('Forbrug af biomasse'!$E$2:$E$425,'Forbrug af biomasse'!$C$2:$C$425,'Resultat-Produktion &amp; forbrug'!$A5,'Forbrug af biomasse'!$D$2:$D$425,'Resultat-Produktion &amp; forbrug'!$D5,'Forbrug af biomasse'!$A$2:$A$425,'Resultat-Produktion &amp; forbrug'!I$2,'Forbrug af biomasse'!$B$2:$B$425,$E5)</f>
        <v>0</v>
      </c>
      <c r="J5" s="196">
        <f ca="1">SUMIFS('Forbrug af biomasse'!$E$2:$E$425,'Forbrug af biomasse'!$C$2:$C$425,'Resultat-Produktion &amp; forbrug'!$A5,'Forbrug af biomasse'!$D$2:$D$425,'Resultat-Produktion &amp; forbrug'!$D5,'Forbrug af biomasse'!$A$2:$A$425,'Resultat-Produktion &amp; forbrug'!J$2,'Forbrug af biomasse'!$B$2:$B$425,$E5)</f>
        <v>393543.64426779439</v>
      </c>
      <c r="K5" s="196">
        <f>SUMIFS('Forbrug af biomasse'!$E$2:$E$425,'Forbrug af biomasse'!$C$2:$C$425,'Resultat-Produktion &amp; forbrug'!$A5,'Forbrug af biomasse'!$D$2:$D$425,'Resultat-Produktion &amp; forbrug'!$D5,'Forbrug af biomasse'!$A$2:$A$425,'Resultat-Produktion &amp; forbrug'!K$2,'Forbrug af biomasse'!$B$2:$B$425,$E5)</f>
        <v>0</v>
      </c>
      <c r="L5" s="196">
        <f ca="1">IF(A5&lt;&gt;"Biogas",SUMIFS('Forbrug af biomasse'!$E$2:$E$425,'Forbrug af biomasse'!$C$2:$C$425,'Resultat-Produktion &amp; forbrug'!$A5,'Forbrug af biomasse'!$D$2:$D$425,'Resultat-Produktion &amp; forbrug'!$D5,'Forbrug af biomasse'!$A$2:$A$425,'Resultat-Produktion &amp; forbrug'!L$2,'Forbrug af biomasse'!$B$2:$B$425,$E5),F5)</f>
        <v>0</v>
      </c>
      <c r="M5" s="158">
        <f ca="1">SUMIFS('Forbrug af biomasse'!E:E,'Forbrug af biomasse'!C:C,'Resultat-Produktion &amp; forbrug'!$A5,'Forbrug af biomasse'!D:D,'Resultat-Produktion &amp; forbrug'!$D5,'Forbrug af biomasse'!G:G,1,'Forbrug af biomasse'!B:B,$E5)</f>
        <v>0</v>
      </c>
      <c r="N5" s="205">
        <f t="shared" ca="1" si="4"/>
        <v>-199952.34120163022</v>
      </c>
      <c r="O5" s="196">
        <f t="shared" ca="1" si="1"/>
        <v>0</v>
      </c>
      <c r="P5" s="206">
        <f t="shared" ca="1" si="5"/>
        <v>393543.64426779439</v>
      </c>
      <c r="Q5" s="193">
        <f ca="1">IFERROR(VLOOKUP(A5,[1]Energiindhold!$A$2:$C$11,3,FALSE),IFERROR(VLOOKUP(A5,[1]Biogasudbytte!$A$2:$B$18,2,FALSE)*[1]Energiindhold!$C$10,0))*O5</f>
        <v>0</v>
      </c>
      <c r="R5" s="193">
        <f ca="1">IF(A5&lt;&gt;"Biogas",IFERROR(VLOOKUP(A5,[1]Biogasudbytte!$A$2:$B$18,2,FALSE)*[1]Energiindhold!$C$10,0)*J5*IFERROR(VLOOKUP(A5,Biogasanlæg!$F$3:$G$8,2,FALSE),1)+IFERROR(VLOOKUP(A5,[1]Energiindhold!$A$2:$C$11,3,FALSE),0)*L5+IF(D5&lt;&gt;År1,Q5,0),0)</f>
        <v>1.2066909993831525</v>
      </c>
      <c r="S5" s="193">
        <f ca="1">IFERROR(VLOOKUP(A5,[1]Biogasudbytte!$A$2:$B$18,2,FALSE)*[1]Energiindhold!$C$10,0)*J5*IFERROR(VLOOKUP(A5,Biogasanlæg!$F$3:$G$8,2,FALSE),1)</f>
        <v>1.2066909993831525</v>
      </c>
      <c r="T5" s="194">
        <f t="shared" ca="1" si="6"/>
        <v>0</v>
      </c>
      <c r="U5" s="192">
        <f ca="1">O5*IFERROR(VLOOKUP(A5,[1]Tørstofindhold!A$2:B$25,2,FALSE),0)</f>
        <v>0</v>
      </c>
      <c r="V5" s="193">
        <f ca="1">IF(D5=År1,P5,SUM(O5,P5))*IFERROR(VLOOKUP(A5,[1]Tørstofindhold!A$2:B$25,2,FALSE),0)</f>
        <v>110192.22039498243</v>
      </c>
      <c r="W5" s="193">
        <f ca="1">J5*IFERROR(VLOOKUP(A5,[1]Tørstofindhold!A$2:B$25,2,FALSE),0)</f>
        <v>110192.22039498243</v>
      </c>
      <c r="X5" s="194">
        <f t="shared" ca="1" si="7"/>
        <v>0</v>
      </c>
      <c r="Y5" s="172">
        <f t="shared" ca="1" si="2"/>
        <v>1</v>
      </c>
      <c r="Z5" s="104">
        <f t="shared" ca="1" si="3"/>
        <v>0</v>
      </c>
    </row>
    <row r="6" spans="1:26" hidden="1" x14ac:dyDescent="0.55000000000000004">
      <c r="A6" s="195" t="s">
        <v>110</v>
      </c>
      <c r="B6" s="195"/>
      <c r="C6" s="195">
        <f>IF(COUNTIFS('Resultater - Danmark'!$D$3:$D$482,'Resultat-Produktion &amp; forbrug'!A6,'Resultater - Danmark'!$A$3:$A$482,"Til energi")+COUNTIFS('Resultater - Danmark'!$D$3:$D$482,'Resultat-Produktion &amp; forbrug'!A6,'Resultater - Danmark'!$A$3:$A$482,"Biogasanlæg")&gt;0,1,0)</f>
        <v>1</v>
      </c>
      <c r="D6" s="195">
        <f t="shared" si="0"/>
        <v>2019</v>
      </c>
      <c r="E6" s="193" t="s">
        <v>23</v>
      </c>
      <c r="F6" s="196">
        <f ca="1">IF(E6="Vestdanmark",SUMIFS(IF(D6=År1,'Resultater - Vestdanmark'!H$3:H$482,IF(D6=År2,'Resultater - Vestdanmark'!I$3:I$482,'Resultater - Vestdanmark'!J$3:J$482)),'Resultater - Vestdanmark'!$F$3:$F$482,$A6,IF(D6=År1,'Resultater - Vestdanmark'!H$3:H$482,IF(D6=År2,'Resultater - Vestdanmark'!I$3:I$482,'Resultater - Vestdanmark'!J$3:J$482)),"&gt;0"),SUMIFS(IF(D6=År1,'Resultater - Østdanmark'!H$3:H$482,IF(D6=År2,'Resultater - Østdanmark'!I$3:I$482,'Resultater - Østdanmark'!J$3:J$482)),'Resultater - Østdanmark'!$F$3:$F$482,$A6,IF(D6=År1,'Resultater - Østdanmark'!H$3:H$482,IF(D6=År2,'Resultater - Østdanmark'!I$3:I$482,'Resultater - Østdanmark'!J$3:J$482)),"&gt;0"))</f>
        <v>352607214.55648875</v>
      </c>
      <c r="G6" s="196">
        <f>SUMIFS('Forbrug af biomasse'!$E$2:$E$425,'Forbrug af biomasse'!$C$2:$C$425,'Resultat-Produktion &amp; forbrug'!$A6,'Forbrug af biomasse'!$D$2:$D$425,'Resultat-Produktion &amp; forbrug'!$D6,'Forbrug af biomasse'!$A$2:$A$425,'Resultat-Produktion &amp; forbrug'!G$2,'Forbrug af biomasse'!$B$2:$B$425,$E6)</f>
        <v>0</v>
      </c>
      <c r="H6" s="193">
        <f>IF(E6="Vestdanmark",-IF(A6="Halm",SUMIFS(IF(D6=År1,'Resultater - Vestdanmark'!H$3:H$482,IF(D6=År2,'Resultater - Vestdanmark'!I$3:I$482,'Resultater - Vestdanmark'!J$3:J$482)),'Resultater - Vestdanmark'!$F$3:$F$482,$A6,'Resultater - Vestdanmark'!H$3:H$482,"&lt;0"),0),-IF(A6="Halm",SUMIFS(IF(D6=År1,'Resultater - Østdanmark'!H$3:H$482,IF(D6=År2,'Resultater - Østdanmark'!I$3:I$482,'Resultater - Østdanmark'!J$3:J$482)),'Resultater - Østdanmark'!$F$3:$F$482,$A6,'Resultater - Østdanmark'!H$3:H$482,"&lt;0"),0))</f>
        <v>0</v>
      </c>
      <c r="I6" s="196">
        <f>SUMIFS('Forbrug af biomasse'!$E$2:$E$425,'Forbrug af biomasse'!$C$2:$C$425,'Resultat-Produktion &amp; forbrug'!$A6,'Forbrug af biomasse'!$D$2:$D$425,'Resultat-Produktion &amp; forbrug'!$D6,'Forbrug af biomasse'!$A$2:$A$425,'Resultat-Produktion &amp; forbrug'!I$2,'Forbrug af biomasse'!$B$2:$B$425,$E6)</f>
        <v>0</v>
      </c>
      <c r="J6" s="196">
        <f>SUMIFS('Forbrug af biomasse'!$E$2:$E$425,'Forbrug af biomasse'!$C$2:$C$425,'Resultat-Produktion &amp; forbrug'!$A6,'Forbrug af biomasse'!$D$2:$D$425,'Resultat-Produktion &amp; forbrug'!$D6,'Forbrug af biomasse'!$A$2:$A$425,'Resultat-Produktion &amp; forbrug'!J$2,'Forbrug af biomasse'!$B$2:$B$425,$E6)</f>
        <v>0</v>
      </c>
      <c r="K6" s="196">
        <f>SUMIFS('Forbrug af biomasse'!$E$2:$E$425,'Forbrug af biomasse'!$C$2:$C$425,'Resultat-Produktion &amp; forbrug'!$A6,'Forbrug af biomasse'!$D$2:$D$425,'Resultat-Produktion &amp; forbrug'!$D6,'Forbrug af biomasse'!$A$2:$A$425,'Resultat-Produktion &amp; forbrug'!K$2,'Forbrug af biomasse'!$B$2:$B$425,$E6)</f>
        <v>0</v>
      </c>
      <c r="L6" s="196">
        <f ca="1">IF(A6&lt;&gt;"Biogas",SUMIFS('Forbrug af biomasse'!$E$2:$E$425,'Forbrug af biomasse'!$C$2:$C$425,'Resultat-Produktion &amp; forbrug'!$A6,'Forbrug af biomasse'!$D$2:$D$425,'Resultat-Produktion &amp; forbrug'!$D6,'Forbrug af biomasse'!$A$2:$A$425,'Resultat-Produktion &amp; forbrug'!L$2,'Forbrug af biomasse'!$B$2:$B$425,$E6),F6)</f>
        <v>352607214.55648875</v>
      </c>
      <c r="M6" s="158">
        <f>SUMIFS('Forbrug af biomasse'!E:E,'Forbrug af biomasse'!C:C,'Resultat-Produktion &amp; forbrug'!$A6,'Forbrug af biomasse'!D:D,'Resultat-Produktion &amp; forbrug'!$D6,'Forbrug af biomasse'!G:G,1,'Forbrug af biomasse'!B:B,$E6)</f>
        <v>0</v>
      </c>
      <c r="N6" s="205">
        <f t="shared" ca="1" si="4"/>
        <v>0</v>
      </c>
      <c r="O6" s="196">
        <f t="shared" ca="1" si="1"/>
        <v>0</v>
      </c>
      <c r="P6" s="206">
        <f t="shared" ca="1" si="5"/>
        <v>352607214.55648875</v>
      </c>
      <c r="Q6" s="193">
        <f ca="1">IFERROR(VLOOKUP(A6,[1]Energiindhold!$A$2:$C$11,3,FALSE),IFERROR(VLOOKUP(A6,[1]Biogasudbytte!$A$2:$B$18,2,FALSE)*[1]Energiindhold!$C$10,0))*O6</f>
        <v>0</v>
      </c>
      <c r="R6" s="193">
        <f>IF(A6&lt;&gt;"Biogas",IFERROR(VLOOKUP(A6,[1]Biogasudbytte!$A$2:$B$18,2,FALSE)*[1]Energiindhold!$C$10,0)*J6*IFERROR(VLOOKUP(A6,Biogasanlæg!$F$3:$G$8,2,FALSE),1)+IFERROR(VLOOKUP(A6,[1]Energiindhold!$A$2:$C$11,3,FALSE),0)*L6+IF(D6&lt;&gt;År1,Q6,0),0)</f>
        <v>0</v>
      </c>
      <c r="S6" s="193">
        <f>IFERROR(VLOOKUP(A6,[1]Biogasudbytte!$A$2:$B$18,2,FALSE)*[1]Energiindhold!$C$10,0)*J6*IFERROR(VLOOKUP(A6,Biogasanlæg!$F$3:$G$8,2,FALSE),1)</f>
        <v>0</v>
      </c>
      <c r="T6" s="194">
        <f t="shared" si="6"/>
        <v>0</v>
      </c>
      <c r="U6" s="192">
        <f ca="1">O6*IFERROR(VLOOKUP(A6,[1]Tørstofindhold!A$2:B$25,2,FALSE),0)</f>
        <v>0</v>
      </c>
      <c r="V6" s="193">
        <f ca="1">IF(D6=År1,P6,SUM(O6,P6))*IFERROR(VLOOKUP(A6,[1]Tørstofindhold!A$2:B$25,2,FALSE),0)</f>
        <v>0</v>
      </c>
      <c r="W6" s="193">
        <f>J6*IFERROR(VLOOKUP(A6,[1]Tørstofindhold!A$2:B$25,2,FALSE),0)</f>
        <v>0</v>
      </c>
      <c r="X6" s="194">
        <f t="shared" ca="1" si="7"/>
        <v>0</v>
      </c>
      <c r="Y6" s="172">
        <f t="shared" ca="1" si="2"/>
        <v>0</v>
      </c>
      <c r="Z6" s="104">
        <f t="shared" ca="1" si="3"/>
        <v>0</v>
      </c>
    </row>
    <row r="7" spans="1:26" hidden="1" x14ac:dyDescent="0.55000000000000004">
      <c r="A7" s="195" t="s">
        <v>111</v>
      </c>
      <c r="B7" s="195"/>
      <c r="C7" s="195">
        <f>IF(COUNTIFS('Resultater - Danmark'!$D$3:$D$482,'Resultat-Produktion &amp; forbrug'!A7,'Resultater - Danmark'!$A$3:$A$482,"Til energi")+COUNTIFS('Resultater - Danmark'!$D$3:$D$482,'Resultat-Produktion &amp; forbrug'!A7,'Resultater - Danmark'!$A$3:$A$482,"Biogasanlæg")&gt;0,1,0)</f>
        <v>0</v>
      </c>
      <c r="D7" s="195">
        <f t="shared" si="0"/>
        <v>2019</v>
      </c>
      <c r="E7" s="193" t="s">
        <v>23</v>
      </c>
      <c r="F7" s="196">
        <f ca="1">IF(E7="Vestdanmark",SUMIFS(IF(D7=År1,'Resultater - Vestdanmark'!H$3:H$482,IF(D7=År2,'Resultater - Vestdanmark'!I$3:I$482,'Resultater - Vestdanmark'!J$3:J$482)),'Resultater - Vestdanmark'!$F$3:$F$482,$A7,IF(D7=År1,'Resultater - Vestdanmark'!H$3:H$482,IF(D7=År2,'Resultater - Vestdanmark'!I$3:I$482,'Resultater - Vestdanmark'!J$3:J$482)),"&gt;0"),SUMIFS(IF(D7=År1,'Resultater - Østdanmark'!H$3:H$482,IF(D7=År2,'Resultater - Østdanmark'!I$3:I$482,'Resultater - Østdanmark'!J$3:J$482)),'Resultater - Østdanmark'!$F$3:$F$482,$A7,IF(D7=År1,'Resultater - Østdanmark'!H$3:H$482,IF(D7=År2,'Resultater - Østdanmark'!I$3:I$482,'Resultater - Østdanmark'!J$3:J$482)),"&gt;0"))</f>
        <v>9571125.1585832145</v>
      </c>
      <c r="G7" s="196">
        <f>SUMIFS('Forbrug af biomasse'!$E$2:$E$425,'Forbrug af biomasse'!$C$2:$C$425,'Resultat-Produktion &amp; forbrug'!$A7,'Forbrug af biomasse'!$D$2:$D$425,'Resultat-Produktion &amp; forbrug'!$D7,'Forbrug af biomasse'!$A$2:$A$425,'Resultat-Produktion &amp; forbrug'!G$2,'Forbrug af biomasse'!$B$2:$B$425,$E7)</f>
        <v>0</v>
      </c>
      <c r="H7" s="193">
        <f>IF(E7="Vestdanmark",-IF(A7="Halm",SUMIFS(IF(D7=År1,'Resultater - Vestdanmark'!H$3:H$482,IF(D7=År2,'Resultater - Vestdanmark'!I$3:I$482,'Resultater - Vestdanmark'!J$3:J$482)),'Resultater - Vestdanmark'!$F$3:$F$482,$A7,'Resultater - Vestdanmark'!H$3:H$482,"&lt;0"),0),-IF(A7="Halm",SUMIFS(IF(D7=År1,'Resultater - Østdanmark'!H$3:H$482,IF(D7=År2,'Resultater - Østdanmark'!I$3:I$482,'Resultater - Østdanmark'!J$3:J$482)),'Resultater - Østdanmark'!$F$3:$F$482,$A7,'Resultater - Østdanmark'!H$3:H$482,"&lt;0"),0))</f>
        <v>0</v>
      </c>
      <c r="I7" s="196">
        <f>SUMIFS('Forbrug af biomasse'!$E$2:$E$425,'Forbrug af biomasse'!$C$2:$C$425,'Resultat-Produktion &amp; forbrug'!$A7,'Forbrug af biomasse'!$D$2:$D$425,'Resultat-Produktion &amp; forbrug'!$D7,'Forbrug af biomasse'!$A$2:$A$425,'Resultat-Produktion &amp; forbrug'!I$2,'Forbrug af biomasse'!$B$2:$B$425,$E7)</f>
        <v>0</v>
      </c>
      <c r="J7" s="196">
        <f>SUMIFS('Forbrug af biomasse'!$E$2:$E$425,'Forbrug af biomasse'!$C$2:$C$425,'Resultat-Produktion &amp; forbrug'!$A7,'Forbrug af biomasse'!$D$2:$D$425,'Resultat-Produktion &amp; forbrug'!$D7,'Forbrug af biomasse'!$A$2:$A$425,'Resultat-Produktion &amp; forbrug'!J$2,'Forbrug af biomasse'!$B$2:$B$425,$E7)</f>
        <v>0</v>
      </c>
      <c r="K7" s="196">
        <f ca="1">SUMIFS('Forbrug af biomasse'!$E$2:$E$425,'Forbrug af biomasse'!$C$2:$C$425,'Resultat-Produktion &amp; forbrug'!$A7,'Forbrug af biomasse'!$D$2:$D$425,'Resultat-Produktion &amp; forbrug'!$D7,'Forbrug af biomasse'!$A$2:$A$425,'Resultat-Produktion &amp; forbrug'!K$2,'Forbrug af biomasse'!$B$2:$B$425,$E7)</f>
        <v>7001759.6428652545</v>
      </c>
      <c r="L7" s="196">
        <f>IF(A7&lt;&gt;"Biogas",SUMIFS('Forbrug af biomasse'!$E$2:$E$425,'Forbrug af biomasse'!$C$2:$C$425,'Resultat-Produktion &amp; forbrug'!$A7,'Forbrug af biomasse'!$D$2:$D$425,'Resultat-Produktion &amp; forbrug'!$D7,'Forbrug af biomasse'!$A$2:$A$425,'Resultat-Produktion &amp; forbrug'!L$2,'Forbrug af biomasse'!$B$2:$B$425,$E7),F7)</f>
        <v>0</v>
      </c>
      <c r="M7" s="158">
        <f>SUMIFS('Forbrug af biomasse'!E:E,'Forbrug af biomasse'!C:C,'Resultat-Produktion &amp; forbrug'!$A7,'Forbrug af biomasse'!D:D,'Resultat-Produktion &amp; forbrug'!$D7,'Forbrug af biomasse'!G:G,1,'Forbrug af biomasse'!B:B,$E7)</f>
        <v>0</v>
      </c>
      <c r="N7" s="205">
        <f t="shared" ca="1" si="4"/>
        <v>2569365.51571796</v>
      </c>
      <c r="O7" s="196">
        <f t="shared" si="1"/>
        <v>0</v>
      </c>
      <c r="P7" s="206">
        <f t="shared" si="5"/>
        <v>0</v>
      </c>
      <c r="Q7" s="193">
        <f>IFERROR(VLOOKUP(A7,[1]Energiindhold!$A$2:$C$11,3,FALSE),IFERROR(VLOOKUP(A7,[1]Biogasudbytte!$A$2:$B$18,2,FALSE)*[1]Energiindhold!$C$10,0))*O7</f>
        <v>0</v>
      </c>
      <c r="R7" s="193">
        <f>IF(A7&lt;&gt;"Biogas",IFERROR(VLOOKUP(A7,[1]Biogasudbytte!$A$2:$B$18,2,FALSE)*[1]Energiindhold!$C$10,0)*J7*IFERROR(VLOOKUP(A7,Biogasanlæg!$F$3:$G$8,2,FALSE),1)+IFERROR(VLOOKUP(A7,[1]Energiindhold!$A$2:$C$11,3,FALSE),0)*L7+IF(D7&lt;&gt;År1,Q7,0),0)</f>
        <v>0</v>
      </c>
      <c r="S7" s="193">
        <f>IFERROR(VLOOKUP(A7,[1]Biogasudbytte!$A$2:$B$18,2,FALSE)*[1]Energiindhold!$C$10,0)*J7*IFERROR(VLOOKUP(A7,Biogasanlæg!$F$3:$G$8,2,FALSE),1)</f>
        <v>0</v>
      </c>
      <c r="T7" s="194">
        <f t="shared" si="6"/>
        <v>0</v>
      </c>
      <c r="U7" s="192">
        <f>O7*IFERROR(VLOOKUP(A7,[1]Tørstofindhold!A$2:B$25,2,FALSE),0)</f>
        <v>0</v>
      </c>
      <c r="V7" s="193">
        <f>IF(D7=År1,P7,SUM(O7,P7))*IFERROR(VLOOKUP(A7,[1]Tørstofindhold!A$2:B$25,2,FALSE),0)</f>
        <v>0</v>
      </c>
      <c r="W7" s="193">
        <f>J7*IFERROR(VLOOKUP(A7,[1]Tørstofindhold!A$2:B$25,2,FALSE),0)</f>
        <v>0</v>
      </c>
      <c r="X7" s="194">
        <f t="shared" si="7"/>
        <v>0</v>
      </c>
      <c r="Y7" s="172">
        <f t="shared" ca="1" si="2"/>
        <v>0</v>
      </c>
      <c r="Z7" s="104">
        <f t="shared" ca="1" si="3"/>
        <v>1</v>
      </c>
    </row>
    <row r="8" spans="1:26" hidden="1" x14ac:dyDescent="0.55000000000000004">
      <c r="A8" s="195" t="s">
        <v>210</v>
      </c>
      <c r="B8" s="195" t="s">
        <v>233</v>
      </c>
      <c r="C8" s="195">
        <f>IF(COUNTIFS('Resultater - Danmark'!$D$3:$D$482,'Resultat-Produktion &amp; forbrug'!A8,'Resultater - Danmark'!$A$3:$A$482,"Til energi")+COUNTIFS('Resultater - Danmark'!$D$3:$D$482,'Resultat-Produktion &amp; forbrug'!A8,'Resultater - Danmark'!$A$3:$A$482,"Biogasanlæg")&gt;0,1,0)</f>
        <v>1</v>
      </c>
      <c r="D8" s="195">
        <f t="shared" si="0"/>
        <v>2019</v>
      </c>
      <c r="E8" s="193" t="s">
        <v>23</v>
      </c>
      <c r="F8" s="196">
        <f>IF(E8="Vestdanmark",SUMIFS(IF(D8=År1,'Resultater - Vestdanmark'!H$3:H$482,IF(D8=År2,'Resultater - Vestdanmark'!I$3:I$482,'Resultater - Vestdanmark'!J$3:J$482)),'Resultater - Vestdanmark'!$F$3:$F$482,$A8,IF(D8=År1,'Resultater - Vestdanmark'!H$3:H$482,IF(D8=År2,'Resultater - Vestdanmark'!I$3:I$482,'Resultater - Vestdanmark'!J$3:J$482)),"&gt;0"),SUMIFS(IF(D8=År1,'Resultater - Østdanmark'!H$3:H$482,IF(D8=År2,'Resultater - Østdanmark'!I$3:I$482,'Resultater - Østdanmark'!J$3:J$482)),'Resultater - Østdanmark'!$F$3:$F$482,$A8,IF(D8=År1,'Resultater - Østdanmark'!H$3:H$482,IF(D8=År2,'Resultater - Østdanmark'!I$3:I$482,'Resultater - Østdanmark'!J$3:J$482)),"&gt;0"))</f>
        <v>0</v>
      </c>
      <c r="G8" s="196">
        <f>SUMIFS('Forbrug af biomasse'!$E$2:$E$425,'Forbrug af biomasse'!$C$2:$C$425,'Resultat-Produktion &amp; forbrug'!$A8,'Forbrug af biomasse'!$D$2:$D$425,'Resultat-Produktion &amp; forbrug'!$D8,'Forbrug af biomasse'!$A$2:$A$425,'Resultat-Produktion &amp; forbrug'!G$2,'Forbrug af biomasse'!$B$2:$B$425,$E8)</f>
        <v>0</v>
      </c>
      <c r="H8" s="193">
        <f>IF(E8="Vestdanmark",-IF(A8="Halm",SUMIFS(IF(D8=År1,'Resultater - Vestdanmark'!H$3:H$482,IF(D8=År2,'Resultater - Vestdanmark'!I$3:I$482,'Resultater - Vestdanmark'!J$3:J$482)),'Resultater - Vestdanmark'!$F$3:$F$482,$A8,'Resultater - Vestdanmark'!H$3:H$482,"&lt;0"),0),-IF(A8="Halm",SUMIFS(IF(D8=År1,'Resultater - Østdanmark'!H$3:H$482,IF(D8=År2,'Resultater - Østdanmark'!I$3:I$482,'Resultater - Østdanmark'!J$3:J$482)),'Resultater - Østdanmark'!$F$3:$F$482,$A8,'Resultater - Østdanmark'!H$3:H$482,"&lt;0"),0))</f>
        <v>0</v>
      </c>
      <c r="I8" s="196">
        <f>SUMIFS('Forbrug af biomasse'!$E$2:$E$425,'Forbrug af biomasse'!$C$2:$C$425,'Resultat-Produktion &amp; forbrug'!$A8,'Forbrug af biomasse'!$D$2:$D$425,'Resultat-Produktion &amp; forbrug'!$D8,'Forbrug af biomasse'!$A$2:$A$425,'Resultat-Produktion &amp; forbrug'!I$2,'Forbrug af biomasse'!$B$2:$B$425,$E8)</f>
        <v>0</v>
      </c>
      <c r="J8" s="196">
        <f>SUMIFS('Forbrug af biomasse'!$E$2:$E$425,'Forbrug af biomasse'!$C$2:$C$425,'Resultat-Produktion &amp; forbrug'!$A8,'Forbrug af biomasse'!$D$2:$D$425,'Resultat-Produktion &amp; forbrug'!$D8,'Forbrug af biomasse'!$A$2:$A$425,'Resultat-Produktion &amp; forbrug'!J$2,'Forbrug af biomasse'!$B$2:$B$425,$E8)</f>
        <v>0</v>
      </c>
      <c r="K8" s="196">
        <f>SUMIFS('Forbrug af biomasse'!$E$2:$E$425,'Forbrug af biomasse'!$C$2:$C$425,'Resultat-Produktion &amp; forbrug'!$A8,'Forbrug af biomasse'!$D$2:$D$425,'Resultat-Produktion &amp; forbrug'!$D8,'Forbrug af biomasse'!$A$2:$A$425,'Resultat-Produktion &amp; forbrug'!K$2,'Forbrug af biomasse'!$B$2:$B$425,$E8)</f>
        <v>0</v>
      </c>
      <c r="L8" s="196">
        <f>IF(A8&lt;&gt;"Biogas",SUMIFS('Forbrug af biomasse'!$E$2:$E$425,'Forbrug af biomasse'!$C$2:$C$425,'Resultat-Produktion &amp; forbrug'!$A8,'Forbrug af biomasse'!$D$2:$D$425,'Resultat-Produktion &amp; forbrug'!$D8,'Forbrug af biomasse'!$A$2:$A$425,'Resultat-Produktion &amp; forbrug'!L$2,'Forbrug af biomasse'!$B$2:$B$425,$E8),F8)</f>
        <v>0</v>
      </c>
      <c r="M8" s="158">
        <f>SUMIFS('Forbrug af biomasse'!E:E,'Forbrug af biomasse'!C:C,'Resultat-Produktion &amp; forbrug'!$A8,'Forbrug af biomasse'!D:D,'Resultat-Produktion &amp; forbrug'!$D8,'Forbrug af biomasse'!G:G,1,'Forbrug af biomasse'!B:B,$E8)</f>
        <v>0</v>
      </c>
      <c r="N8" s="205">
        <f t="shared" si="4"/>
        <v>0</v>
      </c>
      <c r="O8" s="196">
        <f t="shared" si="1"/>
        <v>0</v>
      </c>
      <c r="P8" s="206">
        <f t="shared" si="5"/>
        <v>0</v>
      </c>
      <c r="Q8" s="193">
        <f>IFERROR(VLOOKUP(A8,[1]Energiindhold!$A$2:$C$11,3,FALSE),IFERROR(VLOOKUP(A8,[1]Biogasudbytte!$A$2:$B$18,2,FALSE)*[1]Energiindhold!$C$10,0))*O8</f>
        <v>0</v>
      </c>
      <c r="R8" s="193">
        <f>IF(A8&lt;&gt;"Biogas",IFERROR(VLOOKUP(A8,[1]Biogasudbytte!$A$2:$B$18,2,FALSE)*[1]Energiindhold!$C$10,0)*J8*IFERROR(VLOOKUP(A8,Biogasanlæg!$F$3:$G$8,2,FALSE),1)+IFERROR(VLOOKUP(A8,[1]Energiindhold!$A$2:$C$11,3,FALSE),0)*L8+IF(D8&lt;&gt;År1,Q8,0),0)</f>
        <v>0</v>
      </c>
      <c r="S8" s="193">
        <f>IFERROR(VLOOKUP(A8,[1]Biogasudbytte!$A$2:$B$18,2,FALSE)*[1]Energiindhold!$C$10,0)*J8*IFERROR(VLOOKUP(A8,Biogasanlæg!$F$3:$G$8,2,FALSE),1)</f>
        <v>0</v>
      </c>
      <c r="T8" s="194">
        <f t="shared" si="6"/>
        <v>0</v>
      </c>
      <c r="U8" s="192">
        <f>O8*IFERROR(VLOOKUP(A8,[1]Tørstofindhold!A$2:B$25,2,FALSE),0)</f>
        <v>0</v>
      </c>
      <c r="V8" s="193">
        <f>IF(D8=År1,P8,SUM(O8,P8))*IFERROR(VLOOKUP(A8,[1]Tørstofindhold!A$2:B$25,2,FALSE),0)</f>
        <v>0</v>
      </c>
      <c r="W8" s="193">
        <f>J8*IFERROR(VLOOKUP(A8,[1]Tørstofindhold!A$2:B$25,2,FALSE),0)</f>
        <v>0</v>
      </c>
      <c r="X8" s="194">
        <f t="shared" si="7"/>
        <v>0</v>
      </c>
      <c r="Y8" s="172">
        <f t="shared" si="2"/>
        <v>0</v>
      </c>
      <c r="Z8" s="104">
        <f t="shared" si="3"/>
        <v>0</v>
      </c>
    </row>
    <row r="9" spans="1:26" hidden="1" x14ac:dyDescent="0.55000000000000004">
      <c r="A9" s="193" t="s">
        <v>102</v>
      </c>
      <c r="B9" s="195" t="s">
        <v>225</v>
      </c>
      <c r="C9" s="195">
        <f>IF(COUNTIFS('Resultater - Danmark'!$D$3:$D$482,'Resultat-Produktion &amp; forbrug'!A9,'Resultater - Danmark'!$A$3:$A$482,"Til energi")+COUNTIFS('Resultater - Danmark'!$D$3:$D$482,'Resultat-Produktion &amp; forbrug'!A9,'Resultater - Danmark'!$A$3:$A$482,"Biogasanlæg")&gt;0,1,0)</f>
        <v>1</v>
      </c>
      <c r="D9" s="195">
        <f t="shared" si="0"/>
        <v>2019</v>
      </c>
      <c r="E9" s="193" t="s">
        <v>23</v>
      </c>
      <c r="F9" s="196">
        <f>IF(E9="Vestdanmark",SUMIFS(IF(D9=År1,'Resultater - Vestdanmark'!H$3:H$482,IF(D9=År2,'Resultater - Vestdanmark'!I$3:I$482,'Resultater - Vestdanmark'!J$3:J$482)),'Resultater - Vestdanmark'!$F$3:$F$482,$A9,IF(D9=År1,'Resultater - Vestdanmark'!H$3:H$482,IF(D9=År2,'Resultater - Vestdanmark'!I$3:I$482,'Resultater - Vestdanmark'!J$3:J$482)),"&gt;0"),SUMIFS(IF(D9=År1,'Resultater - Østdanmark'!H$3:H$482,IF(D9=År2,'Resultater - Østdanmark'!I$3:I$482,'Resultater - Østdanmark'!J$3:J$482)),'Resultater - Østdanmark'!$F$3:$F$482,$A9,IF(D9=År1,'Resultater - Østdanmark'!H$3:H$482,IF(D9=År2,'Resultater - Østdanmark'!I$3:I$482,'Resultater - Østdanmark'!J$3:J$482)),"&gt;0"))</f>
        <v>2600310.0770241949</v>
      </c>
      <c r="G9" s="196">
        <f>SUMIFS('Forbrug af biomasse'!$E$2:$E$425,'Forbrug af biomasse'!$C$2:$C$425,'Resultat-Produktion &amp; forbrug'!$A9,'Forbrug af biomasse'!$D$2:$D$425,'Resultat-Produktion &amp; forbrug'!$D9,'Forbrug af biomasse'!$A$2:$A$425,'Resultat-Produktion &amp; forbrug'!G$2,'Forbrug af biomasse'!$B$2:$B$425,$E9)</f>
        <v>0</v>
      </c>
      <c r="H9" s="193">
        <f>IF(E9="Vestdanmark",-IF(A9="Halm",SUMIFS(IF(D9=År1,'Resultater - Vestdanmark'!H$3:H$482,IF(D9=År2,'Resultater - Vestdanmark'!I$3:I$482,'Resultater - Vestdanmark'!J$3:J$482)),'Resultater - Vestdanmark'!$F$3:$F$482,$A9,'Resultater - Vestdanmark'!H$3:H$482,"&lt;0"),0),-IF(A9="Halm",SUMIFS(IF(D9=År1,'Resultater - Østdanmark'!H$3:H$482,IF(D9=År2,'Resultater - Østdanmark'!I$3:I$482,'Resultater - Østdanmark'!J$3:J$482)),'Resultater - Østdanmark'!$F$3:$F$482,$A9,'Resultater - Østdanmark'!H$3:H$482,"&lt;0"),0))</f>
        <v>0</v>
      </c>
      <c r="I9" s="196">
        <f>SUMIFS('Forbrug af biomasse'!$E$2:$E$425,'Forbrug af biomasse'!$C$2:$C$425,'Resultat-Produktion &amp; forbrug'!$A9,'Forbrug af biomasse'!$D$2:$D$425,'Resultat-Produktion &amp; forbrug'!$D9,'Forbrug af biomasse'!$A$2:$A$425,'Resultat-Produktion &amp; forbrug'!I$2,'Forbrug af biomasse'!$B$2:$B$425,$E9)</f>
        <v>0</v>
      </c>
      <c r="J9" s="196">
        <f>SUMIFS('Forbrug af biomasse'!$E$2:$E$425,'Forbrug af biomasse'!$C$2:$C$425,'Resultat-Produktion &amp; forbrug'!$A9,'Forbrug af biomasse'!$D$2:$D$425,'Resultat-Produktion &amp; forbrug'!$D9,'Forbrug af biomasse'!$A$2:$A$425,'Resultat-Produktion &amp; forbrug'!J$2,'Forbrug af biomasse'!$B$2:$B$425,$E9)</f>
        <v>671194.67155029252</v>
      </c>
      <c r="K9" s="196">
        <f>SUMIFS('Forbrug af biomasse'!$E$2:$E$425,'Forbrug af biomasse'!$C$2:$C$425,'Resultat-Produktion &amp; forbrug'!$A9,'Forbrug af biomasse'!$D$2:$D$425,'Resultat-Produktion &amp; forbrug'!$D9,'Forbrug af biomasse'!$A$2:$A$425,'Resultat-Produktion &amp; forbrug'!K$2,'Forbrug af biomasse'!$B$2:$B$425,$E9)</f>
        <v>730307.97492940596</v>
      </c>
      <c r="L9" s="196">
        <f>IF(A9&lt;&gt;"Biogas",SUMIFS('Forbrug af biomasse'!$E$2:$E$425,'Forbrug af biomasse'!$C$2:$C$425,'Resultat-Produktion &amp; forbrug'!$A9,'Forbrug af biomasse'!$D$2:$D$425,'Resultat-Produktion &amp; forbrug'!$D9,'Forbrug af biomasse'!$A$2:$A$425,'Resultat-Produktion &amp; forbrug'!L$2,'Forbrug af biomasse'!$B$2:$B$425,$E9),F9)</f>
        <v>0</v>
      </c>
      <c r="M9" s="158">
        <f>SUMIFS('Forbrug af biomasse'!E:E,'Forbrug af biomasse'!C:C,'Resultat-Produktion &amp; forbrug'!$A9,'Forbrug af biomasse'!D:D,'Resultat-Produktion &amp; forbrug'!$D9,'Forbrug af biomasse'!G:G,1,'Forbrug af biomasse'!B:B,$E9)</f>
        <v>0</v>
      </c>
      <c r="N9" s="205">
        <f t="shared" si="4"/>
        <v>1198807.4305444965</v>
      </c>
      <c r="O9" s="196">
        <f t="shared" si="1"/>
        <v>1198807.4305444965</v>
      </c>
      <c r="P9" s="206">
        <f>SUM(J9,L9)</f>
        <v>671194.67155029252</v>
      </c>
      <c r="Q9" s="193">
        <f>IFERROR(VLOOKUP(A9,[1]Energiindhold!$A$2:$C$11,3,FALSE),IFERROR(VLOOKUP(A9,[1]Biogasudbytte!$A$2:$B$18,2,FALSE)*[1]Energiindhold!$C$10,0))*O9</f>
        <v>2.5822312053928456</v>
      </c>
      <c r="R9" s="193">
        <f>IF(A9&lt;&gt;"Biogas",IFERROR(VLOOKUP(A9,[1]Biogasudbytte!$A$2:$B$18,2,FALSE)*[1]Energiindhold!$C$10,0)*J9*IFERROR(VLOOKUP(A9,Biogasanlæg!$F$3:$G$8,2,FALSE),1)+IFERROR(VLOOKUP(A9,[1]Energiindhold!$A$2:$C$11,3,FALSE),0)*L9+IF(D9&lt;&gt;År1,Q9,0),0)</f>
        <v>1.4457533225193302</v>
      </c>
      <c r="S9" s="193">
        <f>IFERROR(VLOOKUP(A9,[1]Biogasudbytte!$A$2:$B$18,2,FALSE)*[1]Energiindhold!$C$10,0)*J9*IFERROR(VLOOKUP(A9,Biogasanlæg!$F$3:$G$8,2,FALSE),1)</f>
        <v>1.4457533225193302</v>
      </c>
      <c r="T9" s="194">
        <f t="shared" si="6"/>
        <v>0</v>
      </c>
      <c r="U9" s="192">
        <f>O9*IFERROR(VLOOKUP(A9,[1]Tørstofindhold!A$2:B$25,2,FALSE),0)</f>
        <v>359642.22916334897</v>
      </c>
      <c r="V9" s="193">
        <f>IF(D9=År1,P9,SUM(O9,P9))*IFERROR(VLOOKUP(A9,[1]Tørstofindhold!A$2:B$25,2,FALSE),0)</f>
        <v>201358.40146508775</v>
      </c>
      <c r="W9" s="193">
        <f>J9*IFERROR(VLOOKUP(A9,[1]Tørstofindhold!A$2:B$25,2,FALSE),0)</f>
        <v>201358.40146508775</v>
      </c>
      <c r="X9" s="194">
        <f t="shared" si="7"/>
        <v>0</v>
      </c>
      <c r="Y9" s="172">
        <f t="shared" si="2"/>
        <v>0</v>
      </c>
      <c r="Z9" s="104">
        <f t="shared" si="3"/>
        <v>1</v>
      </c>
    </row>
    <row r="10" spans="1:26" hidden="1" x14ac:dyDescent="0.55000000000000004">
      <c r="A10" s="193" t="s">
        <v>206</v>
      </c>
      <c r="B10" s="195"/>
      <c r="C10" s="195">
        <f>IF(COUNTIFS('Resultater - Danmark'!$D$3:$D$482,'Resultat-Produktion &amp; forbrug'!A10,'Resultater - Danmark'!$A$3:$A$482,"Til energi")+COUNTIFS('Resultater - Danmark'!$D$3:$D$482,'Resultat-Produktion &amp; forbrug'!A10,'Resultater - Danmark'!$A$3:$A$482,"Biogasanlæg")&gt;0,1,0)</f>
        <v>0</v>
      </c>
      <c r="D10" s="195">
        <f t="shared" si="0"/>
        <v>2019</v>
      </c>
      <c r="E10" s="193" t="s">
        <v>23</v>
      </c>
      <c r="F10" s="196">
        <f>IF(E10="Vestdanmark",SUMIFS(IF(D10=År1,'Resultater - Vestdanmark'!H$3:H$482,IF(D10=År2,'Resultater - Vestdanmark'!I$3:I$482,'Resultater - Vestdanmark'!J$3:J$482)),'Resultater - Vestdanmark'!$F$3:$F$482,$A10,IF(D10=År1,'Resultater - Vestdanmark'!H$3:H$482,IF(D10=År2,'Resultater - Vestdanmark'!I$3:I$482,'Resultater - Vestdanmark'!J$3:J$482)),"&gt;0"),SUMIFS(IF(D10=År1,'Resultater - Østdanmark'!H$3:H$482,IF(D10=År2,'Resultater - Østdanmark'!I$3:I$482,'Resultater - Østdanmark'!J$3:J$482)),'Resultater - Østdanmark'!$F$3:$F$482,$A10,IF(D10=År1,'Resultater - Østdanmark'!H$3:H$482,IF(D10=År2,'Resultater - Østdanmark'!I$3:I$482,'Resultater - Østdanmark'!J$3:J$482)),"&gt;0"))</f>
        <v>0</v>
      </c>
      <c r="G10" s="196">
        <f>SUMIFS('Forbrug af biomasse'!$E$2:$E$425,'Forbrug af biomasse'!$C$2:$C$425,'Resultat-Produktion &amp; forbrug'!$A10,'Forbrug af biomasse'!$D$2:$D$425,'Resultat-Produktion &amp; forbrug'!$D10,'Forbrug af biomasse'!$A$2:$A$425,'Resultat-Produktion &amp; forbrug'!G$2,'Forbrug af biomasse'!$B$2:$B$425,$E10)</f>
        <v>0</v>
      </c>
      <c r="H10" s="193">
        <f>IF(E10="Vestdanmark",-IF(A10="Halm",SUMIFS(IF(D10=År1,'Resultater - Vestdanmark'!H$3:H$482,IF(D10=År2,'Resultater - Vestdanmark'!I$3:I$482,'Resultater - Vestdanmark'!J$3:J$482)),'Resultater - Vestdanmark'!$F$3:$F$482,$A10,'Resultater - Vestdanmark'!H$3:H$482,"&lt;0"),0),-IF(A10="Halm",SUMIFS(IF(D10=År1,'Resultater - Østdanmark'!H$3:H$482,IF(D10=År2,'Resultater - Østdanmark'!I$3:I$482,'Resultater - Østdanmark'!J$3:J$482)),'Resultater - Østdanmark'!$F$3:$F$482,$A10,'Resultater - Østdanmark'!H$3:H$482,"&lt;0"),0))</f>
        <v>0</v>
      </c>
      <c r="I10" s="196">
        <f>SUMIFS('Forbrug af biomasse'!$E$2:$E$425,'Forbrug af biomasse'!$C$2:$C$425,'Resultat-Produktion &amp; forbrug'!$A10,'Forbrug af biomasse'!$D$2:$D$425,'Resultat-Produktion &amp; forbrug'!$D10,'Forbrug af biomasse'!$A$2:$A$425,'Resultat-Produktion &amp; forbrug'!I$2,'Forbrug af biomasse'!$B$2:$B$425,$E10)</f>
        <v>0</v>
      </c>
      <c r="J10" s="196">
        <f>SUMIFS('Forbrug af biomasse'!$E$2:$E$425,'Forbrug af biomasse'!$C$2:$C$425,'Resultat-Produktion &amp; forbrug'!$A10,'Forbrug af biomasse'!$D$2:$D$425,'Resultat-Produktion &amp; forbrug'!$D10,'Forbrug af biomasse'!$A$2:$A$425,'Resultat-Produktion &amp; forbrug'!J$2,'Forbrug af biomasse'!$B$2:$B$425,$E10)</f>
        <v>0</v>
      </c>
      <c r="K10" s="196">
        <f>SUMIFS('Forbrug af biomasse'!$E$2:$E$425,'Forbrug af biomasse'!$C$2:$C$425,'Resultat-Produktion &amp; forbrug'!$A10,'Forbrug af biomasse'!$D$2:$D$425,'Resultat-Produktion &amp; forbrug'!$D10,'Forbrug af biomasse'!$A$2:$A$425,'Resultat-Produktion &amp; forbrug'!K$2,'Forbrug af biomasse'!$B$2:$B$425,$E10)</f>
        <v>0</v>
      </c>
      <c r="L10" s="196">
        <f>IF(A10&lt;&gt;"Biogas",SUMIFS('Forbrug af biomasse'!$E$2:$E$425,'Forbrug af biomasse'!$C$2:$C$425,'Resultat-Produktion &amp; forbrug'!$A10,'Forbrug af biomasse'!$D$2:$D$425,'Resultat-Produktion &amp; forbrug'!$D10,'Forbrug af biomasse'!$A$2:$A$425,'Resultat-Produktion &amp; forbrug'!L$2,'Forbrug af biomasse'!$B$2:$B$425,$E10),F10)</f>
        <v>0</v>
      </c>
      <c r="M10" s="158">
        <f>SUMIFS('Forbrug af biomasse'!E:E,'Forbrug af biomasse'!C:C,'Resultat-Produktion &amp; forbrug'!$A10,'Forbrug af biomasse'!D:D,'Resultat-Produktion &amp; forbrug'!$D10,'Forbrug af biomasse'!G:G,1,'Forbrug af biomasse'!B:B,$E10)</f>
        <v>0</v>
      </c>
      <c r="N10" s="205">
        <f t="shared" si="4"/>
        <v>0</v>
      </c>
      <c r="O10" s="196">
        <f t="shared" si="1"/>
        <v>0</v>
      </c>
      <c r="P10" s="206">
        <f t="shared" si="5"/>
        <v>0</v>
      </c>
      <c r="Q10" s="193">
        <f>IFERROR(VLOOKUP(A10,[1]Energiindhold!$A$2:$C$11,3,FALSE),IFERROR(VLOOKUP(A10,[1]Biogasudbytte!$A$2:$B$18,2,FALSE)*[1]Energiindhold!$C$10,0))*O10</f>
        <v>0</v>
      </c>
      <c r="R10" s="193">
        <f>IF(A10&lt;&gt;"Biogas",IFERROR(VLOOKUP(A10,[1]Biogasudbytte!$A$2:$B$18,2,FALSE)*[1]Energiindhold!$C$10,0)*J10*IFERROR(VLOOKUP(A10,Biogasanlæg!$F$3:$G$8,2,FALSE),1)+IFERROR(VLOOKUP(A10,[1]Energiindhold!$A$2:$C$11,3,FALSE),0)*L10+IF(D10&lt;&gt;År1,Q10,0),0)</f>
        <v>0</v>
      </c>
      <c r="S10" s="193">
        <f>IFERROR(VLOOKUP(A10,[1]Biogasudbytte!$A$2:$B$18,2,FALSE)*[1]Energiindhold!$C$10,0)*J10*IFERROR(VLOOKUP(A10,Biogasanlæg!$F$3:$G$8,2,FALSE),1)</f>
        <v>0</v>
      </c>
      <c r="T10" s="194">
        <f t="shared" si="6"/>
        <v>0</v>
      </c>
      <c r="U10" s="192">
        <f>O10*IFERROR(VLOOKUP(A10,[1]Tørstofindhold!A$2:B$25,2,FALSE),0)</f>
        <v>0</v>
      </c>
      <c r="V10" s="193">
        <f>IF(D10=År1,P10,SUM(O10,P10))*IFERROR(VLOOKUP(A10,[1]Tørstofindhold!A$2:B$25,2,FALSE),0)</f>
        <v>0</v>
      </c>
      <c r="W10" s="193">
        <f>J10*IFERROR(VLOOKUP(A10,[1]Tørstofindhold!A$2:B$25,2,FALSE),0)</f>
        <v>0</v>
      </c>
      <c r="X10" s="194">
        <f t="shared" si="7"/>
        <v>0</v>
      </c>
      <c r="Y10" s="172">
        <f t="shared" si="2"/>
        <v>0</v>
      </c>
      <c r="Z10" s="104">
        <f t="shared" si="3"/>
        <v>0</v>
      </c>
    </row>
    <row r="11" spans="1:26" hidden="1" x14ac:dyDescent="0.55000000000000004">
      <c r="A11" s="193" t="s">
        <v>138</v>
      </c>
      <c r="B11" s="195" t="s">
        <v>225</v>
      </c>
      <c r="C11" s="195">
        <f>IF(COUNTIFS('Resultater - Danmark'!$D$3:$D$482,'Resultat-Produktion &amp; forbrug'!A11,'Resultater - Danmark'!$A$3:$A$482,"Til energi")+COUNTIFS('Resultater - Danmark'!$D$3:$D$482,'Resultat-Produktion &amp; forbrug'!A11,'Resultater - Danmark'!$A$3:$A$482,"Biogasanlæg")&gt;0,1,0)</f>
        <v>1</v>
      </c>
      <c r="D11" s="195">
        <f t="shared" si="0"/>
        <v>2019</v>
      </c>
      <c r="E11" s="193" t="s">
        <v>23</v>
      </c>
      <c r="F11" s="196">
        <f>IF(E11="Vestdanmark",SUMIFS(IF(D11=År1,'Resultater - Vestdanmark'!H$3:H$482,IF(D11=År2,'Resultater - Vestdanmark'!I$3:I$482,'Resultater - Vestdanmark'!J$3:J$482)),'Resultater - Vestdanmark'!$F$3:$F$482,$A11,IF(D11=År1,'Resultater - Vestdanmark'!H$3:H$482,IF(D11=År2,'Resultater - Vestdanmark'!I$3:I$482,'Resultater - Vestdanmark'!J$3:J$482)),"&gt;0"),SUMIFS(IF(D11=År1,'Resultater - Østdanmark'!H$3:H$482,IF(D11=År2,'Resultater - Østdanmark'!I$3:I$482,'Resultater - Østdanmark'!J$3:J$482)),'Resultater - Østdanmark'!$F$3:$F$482,$A11,IF(D11=År1,'Resultater - Østdanmark'!H$3:H$482,IF(D11=År2,'Resultater - Østdanmark'!I$3:I$482,'Resultater - Østdanmark'!J$3:J$482)),"&gt;0"))</f>
        <v>8207.6123560951182</v>
      </c>
      <c r="G11" s="196">
        <f>SUMIFS('Forbrug af biomasse'!$E$2:$E$425,'Forbrug af biomasse'!$C$2:$C$425,'Resultat-Produktion &amp; forbrug'!$A11,'Forbrug af biomasse'!$D$2:$D$425,'Resultat-Produktion &amp; forbrug'!$D11,'Forbrug af biomasse'!$A$2:$A$425,'Resultat-Produktion &amp; forbrug'!G$2,'Forbrug af biomasse'!$B$2:$B$425,$E11)</f>
        <v>0</v>
      </c>
      <c r="H11" s="193">
        <f>IF(E11="Vestdanmark",-IF(A11="Halm",SUMIFS(IF(D11=År1,'Resultater - Vestdanmark'!H$3:H$482,IF(D11=År2,'Resultater - Vestdanmark'!I$3:I$482,'Resultater - Vestdanmark'!J$3:J$482)),'Resultater - Vestdanmark'!$F$3:$F$482,$A11,'Resultater - Vestdanmark'!H$3:H$482,"&lt;0"),0),-IF(A11="Halm",SUMIFS(IF(D11=År1,'Resultater - Østdanmark'!H$3:H$482,IF(D11=År2,'Resultater - Østdanmark'!I$3:I$482,'Resultater - Østdanmark'!J$3:J$482)),'Resultater - Østdanmark'!$F$3:$F$482,$A11,'Resultater - Østdanmark'!H$3:H$482,"&lt;0"),0))</f>
        <v>0</v>
      </c>
      <c r="I11" s="196">
        <f>SUMIFS('Forbrug af biomasse'!$E$2:$E$425,'Forbrug af biomasse'!$C$2:$C$425,'Resultat-Produktion &amp; forbrug'!$A11,'Forbrug af biomasse'!$D$2:$D$425,'Resultat-Produktion &amp; forbrug'!$D11,'Forbrug af biomasse'!$A$2:$A$425,'Resultat-Produktion &amp; forbrug'!I$2,'Forbrug af biomasse'!$B$2:$B$425,$E11)</f>
        <v>0</v>
      </c>
      <c r="J11" s="196">
        <f>SUMIFS('Forbrug af biomasse'!$E$2:$E$425,'Forbrug af biomasse'!$C$2:$C$425,'Resultat-Produktion &amp; forbrug'!$A11,'Forbrug af biomasse'!$D$2:$D$425,'Resultat-Produktion &amp; forbrug'!$D11,'Forbrug af biomasse'!$A$2:$A$425,'Resultat-Produktion &amp; forbrug'!J$2,'Forbrug af biomasse'!$B$2:$B$425,$E11)</f>
        <v>4103.8061780475591</v>
      </c>
      <c r="K11" s="196">
        <f>SUMIFS('Forbrug af biomasse'!$E$2:$E$425,'Forbrug af biomasse'!$C$2:$C$425,'Resultat-Produktion &amp; forbrug'!$A11,'Forbrug af biomasse'!$D$2:$D$425,'Resultat-Produktion &amp; forbrug'!$D11,'Forbrug af biomasse'!$A$2:$A$425,'Resultat-Produktion &amp; forbrug'!K$2,'Forbrug af biomasse'!$B$2:$B$425,$E11)</f>
        <v>3107.1675348074377</v>
      </c>
      <c r="L11" s="196">
        <f>IF(A11&lt;&gt;"Biogas",SUMIFS('Forbrug af biomasse'!$E$2:$E$425,'Forbrug af biomasse'!$C$2:$C$425,'Resultat-Produktion &amp; forbrug'!$A11,'Forbrug af biomasse'!$D$2:$D$425,'Resultat-Produktion &amp; forbrug'!$D11,'Forbrug af biomasse'!$A$2:$A$425,'Resultat-Produktion &amp; forbrug'!L$2,'Forbrug af biomasse'!$B$2:$B$425,$E11),F11)</f>
        <v>0</v>
      </c>
      <c r="M11" s="158">
        <f>SUMIFS('Forbrug af biomasse'!E:E,'Forbrug af biomasse'!C:C,'Resultat-Produktion &amp; forbrug'!$A11,'Forbrug af biomasse'!D:D,'Resultat-Produktion &amp; forbrug'!$D11,'Forbrug af biomasse'!G:G,1,'Forbrug af biomasse'!B:B,$E11)</f>
        <v>0</v>
      </c>
      <c r="N11" s="205">
        <f t="shared" si="4"/>
        <v>996.63864324012138</v>
      </c>
      <c r="O11" s="196">
        <f t="shared" si="1"/>
        <v>996.63864324012138</v>
      </c>
      <c r="P11" s="206">
        <f t="shared" si="5"/>
        <v>4103.8061780475591</v>
      </c>
      <c r="Q11" s="193">
        <f>IFERROR(VLOOKUP(A11,[1]Energiindhold!$A$2:$C$11,3,FALSE),IFERROR(VLOOKUP(A11,[1]Biogasudbytte!$A$2:$B$18,2,FALSE)*[1]Energiindhold!$C$10,0))*O11</f>
        <v>4.6870918752939668E-4</v>
      </c>
      <c r="R11" s="193">
        <f>IF(A11&lt;&gt;"Biogas",IFERROR(VLOOKUP(A11,[1]Biogasudbytte!$A$2:$B$18,2,FALSE)*[1]Energiindhold!$C$10,0)*J11*IFERROR(VLOOKUP(A11,Biogasanlæg!$F$3:$G$8,2,FALSE),1)+IFERROR(VLOOKUP(A11,[1]Energiindhold!$A$2:$C$11,3,FALSE),0)*L11+IF(D11&lt;&gt;År1,Q11,0),0)</f>
        <v>1.9299790074739866E-3</v>
      </c>
      <c r="S11" s="193">
        <f>IFERROR(VLOOKUP(A11,[1]Biogasudbytte!$A$2:$B$18,2,FALSE)*[1]Energiindhold!$C$10,0)*J11*IFERROR(VLOOKUP(A11,Biogasanlæg!$F$3:$G$8,2,FALSE),1)</f>
        <v>1.9299790074739866E-3</v>
      </c>
      <c r="T11" s="194">
        <f t="shared" si="6"/>
        <v>0</v>
      </c>
      <c r="U11" s="192">
        <f>O11*IFERROR(VLOOKUP(A11,[1]Tørstofindhold!A$2:B$25,2,FALSE),0)</f>
        <v>62.788234524127645</v>
      </c>
      <c r="V11" s="193">
        <f>IF(D11=År1,P11,SUM(O11,P11))*IFERROR(VLOOKUP(A11,[1]Tørstofindhold!A$2:B$25,2,FALSE),0)</f>
        <v>258.53978921699621</v>
      </c>
      <c r="W11" s="193">
        <f>J11*IFERROR(VLOOKUP(A11,[1]Tørstofindhold!A$2:B$25,2,FALSE),0)</f>
        <v>258.53978921699621</v>
      </c>
      <c r="X11" s="194">
        <f t="shared" si="7"/>
        <v>0</v>
      </c>
      <c r="Y11" s="172">
        <f t="shared" si="2"/>
        <v>0</v>
      </c>
      <c r="Z11" s="104">
        <f t="shared" si="3"/>
        <v>1</v>
      </c>
    </row>
    <row r="12" spans="1:26" hidden="1" x14ac:dyDescent="0.55000000000000004">
      <c r="A12" s="193" t="s">
        <v>97</v>
      </c>
      <c r="B12" s="195"/>
      <c r="C12" s="195">
        <f>IF(COUNTIFS('Resultater - Danmark'!$D$3:$D$482,'Resultat-Produktion &amp; forbrug'!A12,'Resultater - Danmark'!$A$3:$A$482,"Til energi")+COUNTIFS('Resultater - Danmark'!$D$3:$D$482,'Resultat-Produktion &amp; forbrug'!A12,'Resultater - Danmark'!$A$3:$A$482,"Biogasanlæg")&gt;0,1,0)</f>
        <v>0</v>
      </c>
      <c r="D12" s="195">
        <f t="shared" si="0"/>
        <v>2019</v>
      </c>
      <c r="E12" s="193" t="s">
        <v>23</v>
      </c>
      <c r="F12" s="196">
        <f>IF(E12="Vestdanmark",SUMIFS(IF(D12=År1,'Resultater - Vestdanmark'!H$3:H$482,IF(D12=År2,'Resultater - Vestdanmark'!I$3:I$482,'Resultater - Vestdanmark'!J$3:J$482)),'Resultater - Vestdanmark'!$F$3:$F$482,$A12,IF(D12=År1,'Resultater - Vestdanmark'!H$3:H$482,IF(D12=År2,'Resultater - Vestdanmark'!I$3:I$482,'Resultater - Vestdanmark'!J$3:J$482)),"&gt;0"),SUMIFS(IF(D12=År1,'Resultater - Østdanmark'!H$3:H$482,IF(D12=År2,'Resultater - Østdanmark'!I$3:I$482,'Resultater - Østdanmark'!J$3:J$482)),'Resultater - Østdanmark'!$F$3:$F$482,$A12,IF(D12=År1,'Resultater - Østdanmark'!H$3:H$482,IF(D12=År2,'Resultater - Østdanmark'!I$3:I$482,'Resultater - Østdanmark'!J$3:J$482)),"&gt;0"))</f>
        <v>185576.29959415729</v>
      </c>
      <c r="G12" s="196">
        <f>SUMIFS('Forbrug af biomasse'!$E$2:$E$425,'Forbrug af biomasse'!$C$2:$C$425,'Resultat-Produktion &amp; forbrug'!$A12,'Forbrug af biomasse'!$D$2:$D$425,'Resultat-Produktion &amp; forbrug'!$D12,'Forbrug af biomasse'!$A$2:$A$425,'Resultat-Produktion &amp; forbrug'!G$2,'Forbrug af biomasse'!$B$2:$B$425,$E12)</f>
        <v>0</v>
      </c>
      <c r="H12" s="193">
        <f>IF(E12="Vestdanmark",-IF(A12="Halm",SUMIFS(IF(D12=År1,'Resultater - Vestdanmark'!H$3:H$482,IF(D12=År2,'Resultater - Vestdanmark'!I$3:I$482,'Resultater - Vestdanmark'!J$3:J$482)),'Resultater - Vestdanmark'!$F$3:$F$482,$A12,'Resultater - Vestdanmark'!H$3:H$482,"&lt;0"),0),-IF(A12="Halm",SUMIFS(IF(D12=År1,'Resultater - Østdanmark'!H$3:H$482,IF(D12=År2,'Resultater - Østdanmark'!I$3:I$482,'Resultater - Østdanmark'!J$3:J$482)),'Resultater - Østdanmark'!$F$3:$F$482,$A12,'Resultater - Østdanmark'!H$3:H$482,"&lt;0"),0))</f>
        <v>0</v>
      </c>
      <c r="I12" s="196">
        <f>SUMIFS('Forbrug af biomasse'!$E$2:$E$425,'Forbrug af biomasse'!$C$2:$C$425,'Resultat-Produktion &amp; forbrug'!$A12,'Forbrug af biomasse'!$D$2:$D$425,'Resultat-Produktion &amp; forbrug'!$D12,'Forbrug af biomasse'!$A$2:$A$425,'Resultat-Produktion &amp; forbrug'!I$2,'Forbrug af biomasse'!$B$2:$B$425,$E12)</f>
        <v>34149.438191562753</v>
      </c>
      <c r="J12" s="196">
        <f>SUMIFS('Forbrug af biomasse'!$E$2:$E$425,'Forbrug af biomasse'!$C$2:$C$425,'Resultat-Produktion &amp; forbrug'!$A12,'Forbrug af biomasse'!$D$2:$D$425,'Resultat-Produktion &amp; forbrug'!$D12,'Forbrug af biomasse'!$A$2:$A$425,'Resultat-Produktion &amp; forbrug'!J$2,'Forbrug af biomasse'!$B$2:$B$425,$E12)</f>
        <v>0</v>
      </c>
      <c r="K12" s="196">
        <f>SUMIFS('Forbrug af biomasse'!$E$2:$E$425,'Forbrug af biomasse'!$C$2:$C$425,'Resultat-Produktion &amp; forbrug'!$A12,'Forbrug af biomasse'!$D$2:$D$425,'Resultat-Produktion &amp; forbrug'!$D12,'Forbrug af biomasse'!$A$2:$A$425,'Resultat-Produktion &amp; forbrug'!K$2,'Forbrug af biomasse'!$B$2:$B$425,$E12)</f>
        <v>0</v>
      </c>
      <c r="L12" s="196">
        <f>IF(A12&lt;&gt;"Biogas",SUMIFS('Forbrug af biomasse'!$E$2:$E$425,'Forbrug af biomasse'!$C$2:$C$425,'Resultat-Produktion &amp; forbrug'!$A12,'Forbrug af biomasse'!$D$2:$D$425,'Resultat-Produktion &amp; forbrug'!$D12,'Forbrug af biomasse'!$A$2:$A$425,'Resultat-Produktion &amp; forbrug'!L$2,'Forbrug af biomasse'!$B$2:$B$425,$E12),F12)</f>
        <v>0</v>
      </c>
      <c r="M12" s="158">
        <f>SUMIFS('Forbrug af biomasse'!E:E,'Forbrug af biomasse'!C:C,'Resultat-Produktion &amp; forbrug'!$A12,'Forbrug af biomasse'!D:D,'Resultat-Produktion &amp; forbrug'!$D12,'Forbrug af biomasse'!G:G,1,'Forbrug af biomasse'!B:B,$E12)</f>
        <v>0</v>
      </c>
      <c r="N12" s="205">
        <f t="shared" si="4"/>
        <v>151426.86140259454</v>
      </c>
      <c r="O12" s="196">
        <f t="shared" si="1"/>
        <v>0</v>
      </c>
      <c r="P12" s="206">
        <f t="shared" si="5"/>
        <v>0</v>
      </c>
      <c r="Q12" s="193">
        <f>IFERROR(VLOOKUP(A12,[1]Energiindhold!$A$2:$C$11,3,FALSE),IFERROR(VLOOKUP(A12,[1]Biogasudbytte!$A$2:$B$18,2,FALSE)*[1]Energiindhold!$C$10,0))*O12</f>
        <v>0</v>
      </c>
      <c r="R12" s="193">
        <f>IF(A12&lt;&gt;"Biogas",IFERROR(VLOOKUP(A12,[1]Biogasudbytte!$A$2:$B$18,2,FALSE)*[1]Energiindhold!$C$10,0)*J12*IFERROR(VLOOKUP(A12,Biogasanlæg!$F$3:$G$8,2,FALSE),1)+IFERROR(VLOOKUP(A12,[1]Energiindhold!$A$2:$C$11,3,FALSE),0)*L12+IF(D12&lt;&gt;År1,Q12,0),0)</f>
        <v>0</v>
      </c>
      <c r="S12" s="193">
        <f>IFERROR(VLOOKUP(A12,[1]Biogasudbytte!$A$2:$B$18,2,FALSE)*[1]Energiindhold!$C$10,0)*J12*IFERROR(VLOOKUP(A12,Biogasanlæg!$F$3:$G$8,2,FALSE),1)</f>
        <v>0</v>
      </c>
      <c r="T12" s="194">
        <f t="shared" si="6"/>
        <v>0</v>
      </c>
      <c r="U12" s="192">
        <f>O12*IFERROR(VLOOKUP(A12,[1]Tørstofindhold!A$2:B$25,2,FALSE),0)</f>
        <v>0</v>
      </c>
      <c r="V12" s="193">
        <f>IF(D12=År1,P12,SUM(O12,P12))*IFERROR(VLOOKUP(A12,[1]Tørstofindhold!A$2:B$25,2,FALSE),0)</f>
        <v>0</v>
      </c>
      <c r="W12" s="193">
        <f>J12*IFERROR(VLOOKUP(A12,[1]Tørstofindhold!A$2:B$25,2,FALSE),0)</f>
        <v>0</v>
      </c>
      <c r="X12" s="194">
        <f t="shared" si="7"/>
        <v>0</v>
      </c>
      <c r="Y12" s="172">
        <f t="shared" si="2"/>
        <v>0</v>
      </c>
      <c r="Z12" s="104">
        <f t="shared" si="3"/>
        <v>1</v>
      </c>
    </row>
    <row r="13" spans="1:26" hidden="1" x14ac:dyDescent="0.55000000000000004">
      <c r="A13" s="193" t="s">
        <v>114</v>
      </c>
      <c r="B13" s="195"/>
      <c r="C13" s="195">
        <f>IF(COUNTIFS('Resultater - Danmark'!$D$3:$D$482,'Resultat-Produktion &amp; forbrug'!A13,'Resultater - Danmark'!$A$3:$A$482,"Til energi")+COUNTIFS('Resultater - Danmark'!$D$3:$D$482,'Resultat-Produktion &amp; forbrug'!A13,'Resultater - Danmark'!$A$3:$A$482,"Biogasanlæg")&gt;0,1,0)</f>
        <v>0</v>
      </c>
      <c r="D13" s="195">
        <f t="shared" si="0"/>
        <v>2019</v>
      </c>
      <c r="E13" s="193" t="s">
        <v>23</v>
      </c>
      <c r="F13" s="196">
        <f>IF(E13="Vestdanmark",SUMIFS(IF(D13=År1,'Resultater - Vestdanmark'!H$3:H$482,IF(D13=År2,'Resultater - Vestdanmark'!I$3:I$482,'Resultater - Vestdanmark'!J$3:J$482)),'Resultater - Vestdanmark'!$F$3:$F$482,$A13,IF(D13=År1,'Resultater - Vestdanmark'!H$3:H$482,IF(D13=År2,'Resultater - Vestdanmark'!I$3:I$482,'Resultater - Vestdanmark'!J$3:J$482)),"&gt;0"),SUMIFS(IF(D13=År1,'Resultater - Østdanmark'!H$3:H$482,IF(D13=År2,'Resultater - Østdanmark'!I$3:I$482,'Resultater - Østdanmark'!J$3:J$482)),'Resultater - Østdanmark'!$F$3:$F$482,$A13,IF(D13=År1,'Resultater - Østdanmark'!H$3:H$482,IF(D13=År2,'Resultater - Østdanmark'!I$3:I$482,'Resultater - Østdanmark'!J$3:J$482)),"&gt;0"))</f>
        <v>890042.58416558511</v>
      </c>
      <c r="G13" s="196">
        <f>SUMIFS('Forbrug af biomasse'!$E$2:$E$425,'Forbrug af biomasse'!$C$2:$C$425,'Resultat-Produktion &amp; forbrug'!$A13,'Forbrug af biomasse'!$D$2:$D$425,'Resultat-Produktion &amp; forbrug'!$D13,'Forbrug af biomasse'!$A$2:$A$425,'Resultat-Produktion &amp; forbrug'!G$2,'Forbrug af biomasse'!$B$2:$B$425,$E13)</f>
        <v>0</v>
      </c>
      <c r="H13" s="193">
        <f>IF(E13="Vestdanmark",-IF(A13="Halm",SUMIFS(IF(D13=År1,'Resultater - Vestdanmark'!H$3:H$482,IF(D13=År2,'Resultater - Vestdanmark'!I$3:I$482,'Resultater - Vestdanmark'!J$3:J$482)),'Resultater - Vestdanmark'!$F$3:$F$482,$A13,'Resultater - Vestdanmark'!H$3:H$482,"&lt;0"),0),-IF(A13="Halm",SUMIFS(IF(D13=År1,'Resultater - Østdanmark'!H$3:H$482,IF(D13=År2,'Resultater - Østdanmark'!I$3:I$482,'Resultater - Østdanmark'!J$3:J$482)),'Resultater - Østdanmark'!$F$3:$F$482,$A13,'Resultater - Østdanmark'!H$3:H$482,"&lt;0"),0))</f>
        <v>0</v>
      </c>
      <c r="I13" s="196">
        <f>SUMIFS('Forbrug af biomasse'!$E$2:$E$425,'Forbrug af biomasse'!$C$2:$C$425,'Resultat-Produktion &amp; forbrug'!$A13,'Forbrug af biomasse'!$D$2:$D$425,'Resultat-Produktion &amp; forbrug'!$D13,'Forbrug af biomasse'!$A$2:$A$425,'Resultat-Produktion &amp; forbrug'!I$2,'Forbrug af biomasse'!$B$2:$B$425,$E13)</f>
        <v>0</v>
      </c>
      <c r="J13" s="196">
        <f>SUMIFS('Forbrug af biomasse'!$E$2:$E$425,'Forbrug af biomasse'!$C$2:$C$425,'Resultat-Produktion &amp; forbrug'!$A13,'Forbrug af biomasse'!$D$2:$D$425,'Resultat-Produktion &amp; forbrug'!$D13,'Forbrug af biomasse'!$A$2:$A$425,'Resultat-Produktion &amp; forbrug'!J$2,'Forbrug af biomasse'!$B$2:$B$425,$E13)</f>
        <v>0</v>
      </c>
      <c r="K13" s="196">
        <f>SUMIFS('Forbrug af biomasse'!$E$2:$E$425,'Forbrug af biomasse'!$C$2:$C$425,'Resultat-Produktion &amp; forbrug'!$A13,'Forbrug af biomasse'!$D$2:$D$425,'Resultat-Produktion &amp; forbrug'!$D13,'Forbrug af biomasse'!$A$2:$A$425,'Resultat-Produktion &amp; forbrug'!K$2,'Forbrug af biomasse'!$B$2:$B$425,$E13)</f>
        <v>0</v>
      </c>
      <c r="L13" s="196">
        <f>IF(A13&lt;&gt;"Biogas",SUMIFS('Forbrug af biomasse'!$E$2:$E$425,'Forbrug af biomasse'!$C$2:$C$425,'Resultat-Produktion &amp; forbrug'!$A13,'Forbrug af biomasse'!$D$2:$D$425,'Resultat-Produktion &amp; forbrug'!$D13,'Forbrug af biomasse'!$A$2:$A$425,'Resultat-Produktion &amp; forbrug'!L$2,'Forbrug af biomasse'!$B$2:$B$425,$E13),F13)</f>
        <v>0</v>
      </c>
      <c r="M13" s="158">
        <f>SUMIFS('Forbrug af biomasse'!E:E,'Forbrug af biomasse'!C:C,'Resultat-Produktion &amp; forbrug'!$A13,'Forbrug af biomasse'!D:D,'Resultat-Produktion &amp; forbrug'!$D13,'Forbrug af biomasse'!G:G,1,'Forbrug af biomasse'!B:B,$E13)</f>
        <v>0</v>
      </c>
      <c r="N13" s="205">
        <f t="shared" si="4"/>
        <v>890042.58416558511</v>
      </c>
      <c r="O13" s="196">
        <f t="shared" si="1"/>
        <v>0</v>
      </c>
      <c r="P13" s="206">
        <f t="shared" si="5"/>
        <v>0</v>
      </c>
      <c r="Q13" s="193">
        <f>IFERROR(VLOOKUP(A13,[1]Energiindhold!$A$2:$C$11,3,FALSE),IFERROR(VLOOKUP(A13,[1]Biogasudbytte!$A$2:$B$18,2,FALSE)*[1]Energiindhold!$C$10,0))*O13</f>
        <v>0</v>
      </c>
      <c r="R13" s="193">
        <f>IF(A13&lt;&gt;"Biogas",IFERROR(VLOOKUP(A13,[1]Biogasudbytte!$A$2:$B$18,2,FALSE)*[1]Energiindhold!$C$10,0)*J13*IFERROR(VLOOKUP(A13,Biogasanlæg!$F$3:$G$8,2,FALSE),1)+IFERROR(VLOOKUP(A13,[1]Energiindhold!$A$2:$C$11,3,FALSE),0)*L13+IF(D13&lt;&gt;År1,Q13,0),0)</f>
        <v>0</v>
      </c>
      <c r="S13" s="193">
        <f>IFERROR(VLOOKUP(A13,[1]Biogasudbytte!$A$2:$B$18,2,FALSE)*[1]Energiindhold!$C$10,0)*J13*IFERROR(VLOOKUP(A13,Biogasanlæg!$F$3:$G$8,2,FALSE),1)</f>
        <v>0</v>
      </c>
      <c r="T13" s="194">
        <f t="shared" si="6"/>
        <v>0</v>
      </c>
      <c r="U13" s="192">
        <f>O13*IFERROR(VLOOKUP(A13,[1]Tørstofindhold!A$2:B$25,2,FALSE),0)</f>
        <v>0</v>
      </c>
      <c r="V13" s="193">
        <f>IF(D13=År1,P13,SUM(O13,P13))*IFERROR(VLOOKUP(A13,[1]Tørstofindhold!A$2:B$25,2,FALSE),0)</f>
        <v>0</v>
      </c>
      <c r="W13" s="193">
        <f>J13*IFERROR(VLOOKUP(A13,[1]Tørstofindhold!A$2:B$25,2,FALSE),0)</f>
        <v>0</v>
      </c>
      <c r="X13" s="194">
        <f t="shared" si="7"/>
        <v>0</v>
      </c>
      <c r="Y13" s="172">
        <f t="shared" si="2"/>
        <v>0</v>
      </c>
      <c r="Z13" s="104">
        <f t="shared" si="3"/>
        <v>1</v>
      </c>
    </row>
    <row r="14" spans="1:26" hidden="1" x14ac:dyDescent="0.55000000000000004">
      <c r="A14" s="193" t="s">
        <v>54</v>
      </c>
      <c r="B14" s="195"/>
      <c r="C14" s="195">
        <f>IF(COUNTIFS('Resultater - Danmark'!$D$3:$D$482,'Resultat-Produktion &amp; forbrug'!A14,'Resultater - Danmark'!$A$3:$A$482,"Til energi")+COUNTIFS('Resultater - Danmark'!$D$3:$D$482,'Resultat-Produktion &amp; forbrug'!A14,'Resultater - Danmark'!$A$3:$A$482,"Biogasanlæg")&gt;0,1,0)</f>
        <v>0</v>
      </c>
      <c r="D14" s="195">
        <f t="shared" si="0"/>
        <v>2019</v>
      </c>
      <c r="E14" s="193" t="s">
        <v>23</v>
      </c>
      <c r="F14" s="196">
        <f>IF(E14="Vestdanmark",SUMIFS(IF(D14=År1,'Resultater - Vestdanmark'!H$3:H$482,IF(D14=År2,'Resultater - Vestdanmark'!I$3:I$482,'Resultater - Vestdanmark'!J$3:J$482)),'Resultater - Vestdanmark'!$F$3:$F$482,$A14,IF(D14=År1,'Resultater - Vestdanmark'!H$3:H$482,IF(D14=År2,'Resultater - Vestdanmark'!I$3:I$482,'Resultater - Vestdanmark'!J$3:J$482)),"&gt;0"),SUMIFS(IF(D14=År1,'Resultater - Østdanmark'!H$3:H$482,IF(D14=År2,'Resultater - Østdanmark'!I$3:I$482,'Resultater - Østdanmark'!J$3:J$482)),'Resultater - Østdanmark'!$F$3:$F$482,$A14,IF(D14=År1,'Resultater - Østdanmark'!H$3:H$482,IF(D14=År2,'Resultater - Østdanmark'!I$3:I$482,'Resultater - Østdanmark'!J$3:J$482)),"&gt;0"))</f>
        <v>25923.363510878662</v>
      </c>
      <c r="G14" s="196">
        <f>SUMIFS('Forbrug af biomasse'!$E$2:$E$425,'Forbrug af biomasse'!$C$2:$C$425,'Resultat-Produktion &amp; forbrug'!$A14,'Forbrug af biomasse'!$D$2:$D$425,'Resultat-Produktion &amp; forbrug'!$D14,'Forbrug af biomasse'!$A$2:$A$425,'Resultat-Produktion &amp; forbrug'!G$2,'Forbrug af biomasse'!$B$2:$B$425,$E14)</f>
        <v>0</v>
      </c>
      <c r="H14" s="193">
        <f>IF(E14="Vestdanmark",-IF(A14="Halm",SUMIFS(IF(D14=År1,'Resultater - Vestdanmark'!H$3:H$482,IF(D14=År2,'Resultater - Vestdanmark'!I$3:I$482,'Resultater - Vestdanmark'!J$3:J$482)),'Resultater - Vestdanmark'!$F$3:$F$482,$A14,'Resultater - Vestdanmark'!H$3:H$482,"&lt;0"),0),-IF(A14="Halm",SUMIFS(IF(D14=År1,'Resultater - Østdanmark'!H$3:H$482,IF(D14=År2,'Resultater - Østdanmark'!I$3:I$482,'Resultater - Østdanmark'!J$3:J$482)),'Resultater - Østdanmark'!$F$3:$F$482,$A14,'Resultater - Østdanmark'!H$3:H$482,"&lt;0"),0))</f>
        <v>0</v>
      </c>
      <c r="I14" s="196">
        <f>SUMIFS('Forbrug af biomasse'!$E$2:$E$425,'Forbrug af biomasse'!$C$2:$C$425,'Resultat-Produktion &amp; forbrug'!$A14,'Forbrug af biomasse'!$D$2:$D$425,'Resultat-Produktion &amp; forbrug'!$D14,'Forbrug af biomasse'!$A$2:$A$425,'Resultat-Produktion &amp; forbrug'!I$2,'Forbrug af biomasse'!$B$2:$B$425,$E14)</f>
        <v>249553.58678449702</v>
      </c>
      <c r="J14" s="196">
        <f>SUMIFS('Forbrug af biomasse'!$E$2:$E$425,'Forbrug af biomasse'!$C$2:$C$425,'Resultat-Produktion &amp; forbrug'!$A14,'Forbrug af biomasse'!$D$2:$D$425,'Resultat-Produktion &amp; forbrug'!$D14,'Forbrug af biomasse'!$A$2:$A$425,'Resultat-Produktion &amp; forbrug'!J$2,'Forbrug af biomasse'!$B$2:$B$425,$E14)</f>
        <v>0</v>
      </c>
      <c r="K14" s="196">
        <f>SUMIFS('Forbrug af biomasse'!$E$2:$E$425,'Forbrug af biomasse'!$C$2:$C$425,'Resultat-Produktion &amp; forbrug'!$A14,'Forbrug af biomasse'!$D$2:$D$425,'Resultat-Produktion &amp; forbrug'!$D14,'Forbrug af biomasse'!$A$2:$A$425,'Resultat-Produktion &amp; forbrug'!K$2,'Forbrug af biomasse'!$B$2:$B$425,$E14)</f>
        <v>0</v>
      </c>
      <c r="L14" s="196">
        <f>IF(A14&lt;&gt;"Biogas",SUMIFS('Forbrug af biomasse'!$E$2:$E$425,'Forbrug af biomasse'!$C$2:$C$425,'Resultat-Produktion &amp; forbrug'!$A14,'Forbrug af biomasse'!$D$2:$D$425,'Resultat-Produktion &amp; forbrug'!$D14,'Forbrug af biomasse'!$A$2:$A$425,'Resultat-Produktion &amp; forbrug'!L$2,'Forbrug af biomasse'!$B$2:$B$425,$E14),F14)</f>
        <v>0</v>
      </c>
      <c r="M14" s="158">
        <f>SUMIFS('Forbrug af biomasse'!E:E,'Forbrug af biomasse'!C:C,'Resultat-Produktion &amp; forbrug'!$A14,'Forbrug af biomasse'!D:D,'Resultat-Produktion &amp; forbrug'!$D14,'Forbrug af biomasse'!G:G,1,'Forbrug af biomasse'!B:B,$E14)</f>
        <v>0</v>
      </c>
      <c r="N14" s="205">
        <f t="shared" si="4"/>
        <v>-223630.22327361835</v>
      </c>
      <c r="O14" s="196">
        <f t="shared" si="1"/>
        <v>0</v>
      </c>
      <c r="P14" s="206">
        <f t="shared" si="5"/>
        <v>0</v>
      </c>
      <c r="Q14" s="193">
        <f>IFERROR(VLOOKUP(A14,[1]Energiindhold!$A$2:$C$11,3,FALSE),IFERROR(VLOOKUP(A14,[1]Biogasudbytte!$A$2:$B$18,2,FALSE)*[1]Energiindhold!$C$10,0))*O14</f>
        <v>0</v>
      </c>
      <c r="R14" s="193">
        <f>IF(A14&lt;&gt;"Biogas",IFERROR(VLOOKUP(A14,[1]Biogasudbytte!$A$2:$B$18,2,FALSE)*[1]Energiindhold!$C$10,0)*J14*IFERROR(VLOOKUP(A14,Biogasanlæg!$F$3:$G$8,2,FALSE),1)+IFERROR(VLOOKUP(A14,[1]Energiindhold!$A$2:$C$11,3,FALSE),0)*L14+IF(D14&lt;&gt;År1,Q14,0),0)</f>
        <v>0</v>
      </c>
      <c r="S14" s="193">
        <f>IFERROR(VLOOKUP(A14,[1]Biogasudbytte!$A$2:$B$18,2,FALSE)*[1]Energiindhold!$C$10,0)*J14*IFERROR(VLOOKUP(A14,Biogasanlæg!$F$3:$G$8,2,FALSE),1)</f>
        <v>0</v>
      </c>
      <c r="T14" s="194">
        <f t="shared" si="6"/>
        <v>0</v>
      </c>
      <c r="U14" s="192">
        <f>O14*IFERROR(VLOOKUP(A14,[1]Tørstofindhold!A$2:B$25,2,FALSE),0)</f>
        <v>0</v>
      </c>
      <c r="V14" s="193">
        <f>IF(D14=År1,P14,SUM(O14,P14))*IFERROR(VLOOKUP(A14,[1]Tørstofindhold!A$2:B$25,2,FALSE),0)</f>
        <v>0</v>
      </c>
      <c r="W14" s="193">
        <f>J14*IFERROR(VLOOKUP(A14,[1]Tørstofindhold!A$2:B$25,2,FALSE),0)</f>
        <v>0</v>
      </c>
      <c r="X14" s="194">
        <f t="shared" si="7"/>
        <v>0</v>
      </c>
      <c r="Y14" s="172">
        <f t="shared" si="2"/>
        <v>1</v>
      </c>
      <c r="Z14" s="104">
        <f t="shared" si="3"/>
        <v>0</v>
      </c>
    </row>
    <row r="15" spans="1:26" hidden="1" x14ac:dyDescent="0.55000000000000004">
      <c r="A15" s="195" t="s">
        <v>159</v>
      </c>
      <c r="B15" s="195" t="s">
        <v>159</v>
      </c>
      <c r="C15" s="195">
        <f>IF(COUNTIFS('Resultater - Danmark'!$D$3:$D$482,'Resultat-Produktion &amp; forbrug'!A15,'Resultater - Danmark'!$A$3:$A$482,"Til energi")+COUNTIFS('Resultater - Danmark'!$D$3:$D$482,'Resultat-Produktion &amp; forbrug'!A15,'Resultater - Danmark'!$A$3:$A$482,"Biogasanlæg")&gt;0,1,0)</f>
        <v>1</v>
      </c>
      <c r="D15" s="195">
        <f t="shared" si="0"/>
        <v>2019</v>
      </c>
      <c r="E15" s="193" t="s">
        <v>23</v>
      </c>
      <c r="F15" s="196">
        <f>IF(E15="Vestdanmark",SUMIFS(IF(D15=År1,'Resultater - Vestdanmark'!H$3:H$482,IF(D15=År2,'Resultater - Vestdanmark'!I$3:I$482,'Resultater - Vestdanmark'!J$3:J$482)),'Resultater - Vestdanmark'!$F$3:$F$482,$A15,IF(D15=År1,'Resultater - Vestdanmark'!H$3:H$482,IF(D15=År2,'Resultater - Vestdanmark'!I$3:I$482,'Resultater - Vestdanmark'!J$3:J$482)),"&gt;0"),SUMIFS(IF(D15=År1,'Resultater - Østdanmark'!H$3:H$482,IF(D15=År2,'Resultater - Østdanmark'!I$3:I$482,'Resultater - Østdanmark'!J$3:J$482)),'Resultater - Østdanmark'!$F$3:$F$482,$A15,IF(D15=År1,'Resultater - Østdanmark'!H$3:H$482,IF(D15=År2,'Resultater - Østdanmark'!I$3:I$482,'Resultater - Østdanmark'!J$3:J$482)),"&gt;0"))</f>
        <v>0</v>
      </c>
      <c r="G15" s="196">
        <f>SUMIFS('Forbrug af biomasse'!$E$2:$E$425,'Forbrug af biomasse'!$C$2:$C$425,'Resultat-Produktion &amp; forbrug'!$A15,'Forbrug af biomasse'!$D$2:$D$425,'Resultat-Produktion &amp; forbrug'!$D15,'Forbrug af biomasse'!$A$2:$A$425,'Resultat-Produktion &amp; forbrug'!G$2,'Forbrug af biomasse'!$B$2:$B$425,$E15)</f>
        <v>0</v>
      </c>
      <c r="H15" s="193">
        <f>IF(E15="Vestdanmark",-IF(A15="Halm",SUMIFS(IF(D15=År1,'Resultater - Vestdanmark'!H$3:H$482,IF(D15=År2,'Resultater - Vestdanmark'!I$3:I$482,'Resultater - Vestdanmark'!J$3:J$482)),'Resultater - Vestdanmark'!$F$3:$F$482,$A15,'Resultater - Vestdanmark'!H$3:H$482,"&lt;0"),0),-IF(A15="Halm",SUMIFS(IF(D15=År1,'Resultater - Østdanmark'!H$3:H$482,IF(D15=År2,'Resultater - Østdanmark'!I$3:I$482,'Resultater - Østdanmark'!J$3:J$482)),'Resultater - Østdanmark'!$F$3:$F$482,$A15,'Resultater - Østdanmark'!H$3:H$482,"&lt;0"),0))</f>
        <v>0</v>
      </c>
      <c r="I15" s="196">
        <f>SUMIFS('Forbrug af biomasse'!$E$2:$E$425,'Forbrug af biomasse'!$C$2:$C$425,'Resultat-Produktion &amp; forbrug'!$A15,'Forbrug af biomasse'!$D$2:$D$425,'Resultat-Produktion &amp; forbrug'!$D15,'Forbrug af biomasse'!$A$2:$A$425,'Resultat-Produktion &amp; forbrug'!I$2,'Forbrug af biomasse'!$B$2:$B$425,$E15)</f>
        <v>0</v>
      </c>
      <c r="J15" s="196">
        <f>SUMIFS('Forbrug af biomasse'!$E$2:$E$425,'Forbrug af biomasse'!$C$2:$C$425,'Resultat-Produktion &amp; forbrug'!$A15,'Forbrug af biomasse'!$D$2:$D$425,'Resultat-Produktion &amp; forbrug'!$D15,'Forbrug af biomasse'!$A$2:$A$425,'Resultat-Produktion &amp; forbrug'!J$2,'Forbrug af biomasse'!$B$2:$B$425,$E15)</f>
        <v>114193.60000000001</v>
      </c>
      <c r="K15" s="196">
        <f>SUMIFS('Forbrug af biomasse'!$E$2:$E$425,'Forbrug af biomasse'!$C$2:$C$425,'Resultat-Produktion &amp; forbrug'!$A15,'Forbrug af biomasse'!$D$2:$D$425,'Resultat-Produktion &amp; forbrug'!$D15,'Forbrug af biomasse'!$A$2:$A$425,'Resultat-Produktion &amp; forbrug'!K$2,'Forbrug af biomasse'!$B$2:$B$425,$E15)</f>
        <v>0</v>
      </c>
      <c r="L15" s="196">
        <f>IF(A15&lt;&gt;"Biogas",SUMIFS('Forbrug af biomasse'!$E$2:$E$425,'Forbrug af biomasse'!$C$2:$C$425,'Resultat-Produktion &amp; forbrug'!$A15,'Forbrug af biomasse'!$D$2:$D$425,'Resultat-Produktion &amp; forbrug'!$D15,'Forbrug af biomasse'!$A$2:$A$425,'Resultat-Produktion &amp; forbrug'!L$2,'Forbrug af biomasse'!$B$2:$B$425,$E15),F15)</f>
        <v>0</v>
      </c>
      <c r="M15" s="158">
        <f>SUMIFS('Forbrug af biomasse'!E:E,'Forbrug af biomasse'!C:C,'Resultat-Produktion &amp; forbrug'!$A15,'Forbrug af biomasse'!D:D,'Resultat-Produktion &amp; forbrug'!$D15,'Forbrug af biomasse'!G:G,1,'Forbrug af biomasse'!B:B,$E15)</f>
        <v>0</v>
      </c>
      <c r="N15" s="205">
        <f t="shared" si="4"/>
        <v>-114193.60000000001</v>
      </c>
      <c r="O15" s="196">
        <f t="shared" si="1"/>
        <v>0</v>
      </c>
      <c r="P15" s="206">
        <f t="shared" si="5"/>
        <v>114193.60000000001</v>
      </c>
      <c r="Q15" s="193">
        <f>IFERROR(VLOOKUP(A15,[1]Energiindhold!$A$2:$C$11,3,FALSE),IFERROR(VLOOKUP(A15,[1]Biogasudbytte!$A$2:$B$18,2,FALSE)*[1]Energiindhold!$C$10,0))*O15</f>
        <v>0</v>
      </c>
      <c r="R15" s="193">
        <f>IF(A15&lt;&gt;"Biogas",IFERROR(VLOOKUP(A15,[1]Biogasudbytte!$A$2:$B$18,2,FALSE)*[1]Energiindhold!$C$10,0)*J15*IFERROR(VLOOKUP(A15,Biogasanlæg!$F$3:$G$8,2,FALSE),1)+IFERROR(VLOOKUP(A15,[1]Energiindhold!$A$2:$C$11,3,FALSE),0)*L15+IF(D15&lt;&gt;År1,Q15,0),0)</f>
        <v>1.7355855896064003</v>
      </c>
      <c r="S15" s="193">
        <f>IFERROR(VLOOKUP(A15,[1]Biogasudbytte!$A$2:$B$18,2,FALSE)*[1]Energiindhold!$C$10,0)*J15*IFERROR(VLOOKUP(A15,Biogasanlæg!$F$3:$G$8,2,FALSE),1)</f>
        <v>1.7355855896064003</v>
      </c>
      <c r="T15" s="194">
        <f t="shared" si="6"/>
        <v>0</v>
      </c>
      <c r="U15" s="192">
        <f>O15*IFERROR(VLOOKUP(A15,[1]Tørstofindhold!A$2:B$25,2,FALSE),0)</f>
        <v>0</v>
      </c>
      <c r="V15" s="193">
        <f>IF(D15=År1,P15,SUM(O15,P15))*IFERROR(VLOOKUP(A15,[1]Tørstofindhold!A$2:B$25,2,FALSE),0)</f>
        <v>102774.24</v>
      </c>
      <c r="W15" s="193">
        <f>J15*IFERROR(VLOOKUP(A15,[1]Tørstofindhold!A$2:B$25,2,FALSE),0)</f>
        <v>102774.24</v>
      </c>
      <c r="X15" s="194">
        <f t="shared" si="7"/>
        <v>0</v>
      </c>
      <c r="Y15" s="172">
        <f t="shared" si="2"/>
        <v>1</v>
      </c>
      <c r="Z15" s="104">
        <f t="shared" si="3"/>
        <v>0</v>
      </c>
    </row>
    <row r="16" spans="1:26" hidden="1" x14ac:dyDescent="0.55000000000000004">
      <c r="A16" s="195" t="s">
        <v>51</v>
      </c>
      <c r="B16" s="195" t="s">
        <v>227</v>
      </c>
      <c r="C16" s="195">
        <f>IF(COUNTIFS('Resultater - Danmark'!$D$3:$D$482,'Resultat-Produktion &amp; forbrug'!A16,'Resultater - Danmark'!$A$3:$A$482,"Til energi")+COUNTIFS('Resultater - Danmark'!$D$3:$D$482,'Resultat-Produktion &amp; forbrug'!A16,'Resultater - Danmark'!$A$3:$A$482,"Biogasanlæg")&gt;0,1,0)</f>
        <v>1</v>
      </c>
      <c r="D16" s="195">
        <f t="shared" ref="D16:D50" si="8">År1</f>
        <v>2019</v>
      </c>
      <c r="E16" s="193" t="s">
        <v>23</v>
      </c>
      <c r="F16" s="196">
        <f>IF(E16="Vestdanmark",SUMIFS(IF(D16=År1,'Resultater - Vestdanmark'!H$3:H$482,IF(D16=År2,'Resultater - Vestdanmark'!I$3:I$482,'Resultater - Vestdanmark'!J$3:J$482)),'Resultater - Vestdanmark'!$F$3:$F$482,$A16,IF(D16=År1,'Resultater - Vestdanmark'!H$3:H$482,IF(D16=År2,'Resultater - Vestdanmark'!I$3:I$482,'Resultater - Vestdanmark'!J$3:J$482)),"&gt;0"),SUMIFS(IF(D16=År1,'Resultater - Østdanmark'!H$3:H$482,IF(D16=År2,'Resultater - Østdanmark'!I$3:I$482,'Resultater - Østdanmark'!J$3:J$482)),'Resultater - Østdanmark'!$F$3:$F$482,$A16,IF(D16=År1,'Resultater - Østdanmark'!H$3:H$482,IF(D16=År2,'Resultater - Østdanmark'!I$3:I$482,'Resultater - Østdanmark'!J$3:J$482)),"&gt;0"))</f>
        <v>15863611.568544758</v>
      </c>
      <c r="G16" s="196">
        <f>SUMIFS('Forbrug af biomasse'!$E$2:$E$425,'Forbrug af biomasse'!$C$2:$C$425,'Resultat-Produktion &amp; forbrug'!$A16,'Forbrug af biomasse'!$D$2:$D$425,'Resultat-Produktion &amp; forbrug'!$D16,'Forbrug af biomasse'!$A$2:$A$425,'Resultat-Produktion &amp; forbrug'!G$2,'Forbrug af biomasse'!$B$2:$B$425,$E16)</f>
        <v>12237689.9092583</v>
      </c>
      <c r="H16" s="193">
        <f>IF(E16="Vestdanmark",-IF(A16="Halm",SUMIFS(IF(D16=År1,'Resultater - Vestdanmark'!H$3:H$482,IF(D16=År2,'Resultater - Vestdanmark'!I$3:I$482,'Resultater - Vestdanmark'!J$3:J$482)),'Resultater - Vestdanmark'!$F$3:$F$482,$A16,'Resultater - Vestdanmark'!H$3:H$482,"&lt;0"),0),-IF(A16="Halm",SUMIFS(IF(D16=År1,'Resultater - Østdanmark'!H$3:H$482,IF(D16=År2,'Resultater - Østdanmark'!I$3:I$482,'Resultater - Østdanmark'!J$3:J$482)),'Resultater - Østdanmark'!$F$3:$F$482,$A16,'Resultater - Østdanmark'!H$3:H$482,"&lt;0"),0))</f>
        <v>0</v>
      </c>
      <c r="I16" s="196">
        <f>SUMIFS('Forbrug af biomasse'!$E$2:$E$425,'Forbrug af biomasse'!$C$2:$C$425,'Resultat-Produktion &amp; forbrug'!$A16,'Forbrug af biomasse'!$D$2:$D$425,'Resultat-Produktion &amp; forbrug'!$D16,'Forbrug af biomasse'!$A$2:$A$425,'Resultat-Produktion &amp; forbrug'!I$2,'Forbrug af biomasse'!$B$2:$B$425,$E16)</f>
        <v>0</v>
      </c>
      <c r="J16" s="196">
        <f>SUMIFS('Forbrug af biomasse'!$E$2:$E$425,'Forbrug af biomasse'!$C$2:$C$425,'Resultat-Produktion &amp; forbrug'!$A16,'Forbrug af biomasse'!$D$2:$D$425,'Resultat-Produktion &amp; forbrug'!$D16,'Forbrug af biomasse'!$A$2:$A$425,'Resultat-Produktion &amp; forbrug'!J$2,'Forbrug af biomasse'!$B$2:$B$425,$E16)</f>
        <v>75746.163899662715</v>
      </c>
      <c r="K16" s="196">
        <f>SUMIFS('Forbrug af biomasse'!$E$2:$E$425,'Forbrug af biomasse'!$C$2:$C$425,'Resultat-Produktion &amp; forbrug'!$A16,'Forbrug af biomasse'!$D$2:$D$425,'Resultat-Produktion &amp; forbrug'!$D16,'Forbrug af biomasse'!$A$2:$A$425,'Resultat-Produktion &amp; forbrug'!K$2,'Forbrug af biomasse'!$B$2:$B$425,$E16)</f>
        <v>0</v>
      </c>
      <c r="L16" s="196">
        <f>IF(A16&lt;&gt;"Biogas",SUMIFS('Forbrug af biomasse'!$E$2:$E$425,'Forbrug af biomasse'!$C$2:$C$425,'Resultat-Produktion &amp; forbrug'!$A16,'Forbrug af biomasse'!$D$2:$D$425,'Resultat-Produktion &amp; forbrug'!$D16,'Forbrug af biomasse'!$A$2:$A$425,'Resultat-Produktion &amp; forbrug'!L$2,'Forbrug af biomasse'!$B$2:$B$425,$E16),F16)</f>
        <v>0</v>
      </c>
      <c r="M16" s="158">
        <f>SUMIFS('Forbrug af biomasse'!E:E,'Forbrug af biomasse'!C:C,'Resultat-Produktion &amp; forbrug'!$A16,'Forbrug af biomasse'!D:D,'Resultat-Produktion &amp; forbrug'!$D16,'Forbrug af biomasse'!G:G,1,'Forbrug af biomasse'!B:B,$E16)</f>
        <v>0</v>
      </c>
      <c r="N16" s="205">
        <f t="shared" ref="N16:N81" si="9">F16-SUM(G16:M16)</f>
        <v>3550175.4953867961</v>
      </c>
      <c r="O16" s="196">
        <f t="shared" si="1"/>
        <v>3550175.4953867961</v>
      </c>
      <c r="P16" s="206">
        <f t="shared" ref="P16:P81" si="10">SUM(J16,L16)</f>
        <v>75746.163899662715</v>
      </c>
      <c r="Q16" s="193">
        <f>IFERROR(VLOOKUP(A16,[1]Energiindhold!$A$2:$C$11,3,FALSE),IFERROR(VLOOKUP(A16,[1]Biogasudbytte!$A$2:$B$18,2,FALSE)*[1]Energiindhold!$C$10,0))*O16</f>
        <v>6.5318791395747819</v>
      </c>
      <c r="R16" s="193">
        <f>IF(A16&lt;&gt;"Biogas",IFERROR(VLOOKUP(A16,[1]Biogasudbytte!$A$2:$B$18,2,FALSE)*[1]Energiindhold!$C$10,0)*J16*IFERROR(VLOOKUP(A16,Biogasanlæg!$F$3:$G$8,2,FALSE),1)+IFERROR(VLOOKUP(A16,[1]Energiindhold!$A$2:$C$11,3,FALSE),0)*L16+IF(D16&lt;&gt;År1,Q16,0),0)</f>
        <v>0.13936347330489193</v>
      </c>
      <c r="S16" s="193">
        <f>IFERROR(VLOOKUP(A16,[1]Biogasudbytte!$A$2:$B$18,2,FALSE)*[1]Energiindhold!$C$10,0)*J16*IFERROR(VLOOKUP(A16,Biogasanlæg!$F$3:$G$8,2,FALSE),1)</f>
        <v>0.13936347330489193</v>
      </c>
      <c r="T16" s="194">
        <f t="shared" ref="T16:T81" si="11">R16-S16</f>
        <v>0</v>
      </c>
      <c r="U16" s="192">
        <f>O16*IFERROR(VLOOKUP(A16,[1]Tørstofindhold!A$2:B$25,2,FALSE),0)</f>
        <v>994049.13870830298</v>
      </c>
      <c r="V16" s="193">
        <f>IF(D16=År1,P16,SUM(O16,P16))*IFERROR(VLOOKUP(A16,[1]Tørstofindhold!A$2:B$25,2,FALSE),0)</f>
        <v>21208.925891905561</v>
      </c>
      <c r="W16" s="193">
        <f>J16*IFERROR(VLOOKUP(A16,[1]Tørstofindhold!A$2:B$25,2,FALSE),0)</f>
        <v>21208.925891905561</v>
      </c>
      <c r="X16" s="194">
        <f t="shared" ref="X16:X81" si="12">V16-W16</f>
        <v>0</v>
      </c>
      <c r="Y16" s="172">
        <f t="shared" si="2"/>
        <v>0</v>
      </c>
      <c r="Z16" s="104">
        <f t="shared" si="3"/>
        <v>1</v>
      </c>
    </row>
    <row r="17" spans="1:26" hidden="1" x14ac:dyDescent="0.55000000000000004">
      <c r="A17" s="195" t="s">
        <v>205</v>
      </c>
      <c r="B17" s="195"/>
      <c r="C17" s="195">
        <f>IF(COUNTIFS('Resultater - Danmark'!$D$3:$D$482,'Resultat-Produktion &amp; forbrug'!A17,'Resultater - Danmark'!$A$3:$A$482,"Til energi")+COUNTIFS('Resultater - Danmark'!$D$3:$D$482,'Resultat-Produktion &amp; forbrug'!A17,'Resultater - Danmark'!$A$3:$A$482,"Biogasanlæg")&gt;0,1,0)</f>
        <v>0</v>
      </c>
      <c r="D17" s="195">
        <f t="shared" si="8"/>
        <v>2019</v>
      </c>
      <c r="E17" s="193" t="s">
        <v>23</v>
      </c>
      <c r="F17" s="196">
        <f>IF(E17="Vestdanmark",SUMIFS(IF(D17=År1,'Resultater - Vestdanmark'!H$3:H$482,IF(D17=År2,'Resultater - Vestdanmark'!I$3:I$482,'Resultater - Vestdanmark'!J$3:J$482)),'Resultater - Vestdanmark'!$F$3:$F$482,$A17,IF(D17=År1,'Resultater - Vestdanmark'!H$3:H$482,IF(D17=År2,'Resultater - Vestdanmark'!I$3:I$482,'Resultater - Vestdanmark'!J$3:J$482)),"&gt;0"),SUMIFS(IF(D17=År1,'Resultater - Østdanmark'!H$3:H$482,IF(D17=År2,'Resultater - Østdanmark'!I$3:I$482,'Resultater - Østdanmark'!J$3:J$482)),'Resultater - Østdanmark'!$F$3:$F$482,$A17,IF(D17=År1,'Resultater - Østdanmark'!H$3:H$482,IF(D17=År2,'Resultater - Østdanmark'!I$3:I$482,'Resultater - Østdanmark'!J$3:J$482)),"&gt;0"))</f>
        <v>0</v>
      </c>
      <c r="G17" s="196">
        <f>SUMIFS('Forbrug af biomasse'!$E$2:$E$425,'Forbrug af biomasse'!$C$2:$C$425,'Resultat-Produktion &amp; forbrug'!$A17,'Forbrug af biomasse'!$D$2:$D$425,'Resultat-Produktion &amp; forbrug'!$D17,'Forbrug af biomasse'!$A$2:$A$425,'Resultat-Produktion &amp; forbrug'!G$2,'Forbrug af biomasse'!$B$2:$B$425,$E17)</f>
        <v>0</v>
      </c>
      <c r="H17" s="193">
        <f>IF(E17="Vestdanmark",-IF(A17="Halm",SUMIFS(IF(D17=År1,'Resultater - Vestdanmark'!H$3:H$482,IF(D17=År2,'Resultater - Vestdanmark'!I$3:I$482,'Resultater - Vestdanmark'!J$3:J$482)),'Resultater - Vestdanmark'!$F$3:$F$482,$A17,'Resultater - Vestdanmark'!H$3:H$482,"&lt;0"),0),-IF(A17="Halm",SUMIFS(IF(D17=År1,'Resultater - Østdanmark'!H$3:H$482,IF(D17=År2,'Resultater - Østdanmark'!I$3:I$482,'Resultater - Østdanmark'!J$3:J$482)),'Resultater - Østdanmark'!$F$3:$F$482,$A17,'Resultater - Østdanmark'!H$3:H$482,"&lt;0"),0))</f>
        <v>0</v>
      </c>
      <c r="I17" s="196">
        <f>SUMIFS('Forbrug af biomasse'!$E$2:$E$425,'Forbrug af biomasse'!$C$2:$C$425,'Resultat-Produktion &amp; forbrug'!$A17,'Forbrug af biomasse'!$D$2:$D$425,'Resultat-Produktion &amp; forbrug'!$D17,'Forbrug af biomasse'!$A$2:$A$425,'Resultat-Produktion &amp; forbrug'!I$2,'Forbrug af biomasse'!$B$2:$B$425,$E17)</f>
        <v>0</v>
      </c>
      <c r="J17" s="196">
        <f>SUMIFS('Forbrug af biomasse'!$E$2:$E$425,'Forbrug af biomasse'!$C$2:$C$425,'Resultat-Produktion &amp; forbrug'!$A17,'Forbrug af biomasse'!$D$2:$D$425,'Resultat-Produktion &amp; forbrug'!$D17,'Forbrug af biomasse'!$A$2:$A$425,'Resultat-Produktion &amp; forbrug'!J$2,'Forbrug af biomasse'!$B$2:$B$425,$E17)</f>
        <v>0</v>
      </c>
      <c r="K17" s="196">
        <f>SUMIFS('Forbrug af biomasse'!$E$2:$E$425,'Forbrug af biomasse'!$C$2:$C$425,'Resultat-Produktion &amp; forbrug'!$A17,'Forbrug af biomasse'!$D$2:$D$425,'Resultat-Produktion &amp; forbrug'!$D17,'Forbrug af biomasse'!$A$2:$A$425,'Resultat-Produktion &amp; forbrug'!K$2,'Forbrug af biomasse'!$B$2:$B$425,$E17)</f>
        <v>0</v>
      </c>
      <c r="L17" s="196">
        <f>IF(A17&lt;&gt;"Biogas",SUMIFS('Forbrug af biomasse'!$E$2:$E$425,'Forbrug af biomasse'!$C$2:$C$425,'Resultat-Produktion &amp; forbrug'!$A17,'Forbrug af biomasse'!$D$2:$D$425,'Resultat-Produktion &amp; forbrug'!$D17,'Forbrug af biomasse'!$A$2:$A$425,'Resultat-Produktion &amp; forbrug'!L$2,'Forbrug af biomasse'!$B$2:$B$425,$E17),F17)</f>
        <v>0</v>
      </c>
      <c r="M17" s="158">
        <f>SUMIFS('Forbrug af biomasse'!E:E,'Forbrug af biomasse'!C:C,'Resultat-Produktion &amp; forbrug'!$A17,'Forbrug af biomasse'!D:D,'Resultat-Produktion &amp; forbrug'!$D17,'Forbrug af biomasse'!G:G,1,'Forbrug af biomasse'!B:B,$E17)</f>
        <v>0</v>
      </c>
      <c r="N17" s="205">
        <f t="shared" si="9"/>
        <v>0</v>
      </c>
      <c r="O17" s="196">
        <f t="shared" si="1"/>
        <v>0</v>
      </c>
      <c r="P17" s="206">
        <f t="shared" si="10"/>
        <v>0</v>
      </c>
      <c r="Q17" s="193">
        <f>IFERROR(VLOOKUP(A17,[1]Energiindhold!$A$2:$C$11,3,FALSE),IFERROR(VLOOKUP(A17,[1]Biogasudbytte!$A$2:$B$18,2,FALSE)*[1]Energiindhold!$C$10,0))*O17</f>
        <v>0</v>
      </c>
      <c r="R17" s="193">
        <f>IF(A17&lt;&gt;"Biogas",IFERROR(VLOOKUP(A17,[1]Biogasudbytte!$A$2:$B$18,2,FALSE)*[1]Energiindhold!$C$10,0)*J17*IFERROR(VLOOKUP(A17,Biogasanlæg!$F$3:$G$8,2,FALSE),1)+IFERROR(VLOOKUP(A17,[1]Energiindhold!$A$2:$C$11,3,FALSE),0)*L17+IF(D17&lt;&gt;År1,Q17,0),0)</f>
        <v>0</v>
      </c>
      <c r="S17" s="193">
        <f>IFERROR(VLOOKUP(A17,[1]Biogasudbytte!$A$2:$B$18,2,FALSE)*[1]Energiindhold!$C$10,0)*J17*IFERROR(VLOOKUP(A17,Biogasanlæg!$F$3:$G$8,2,FALSE),1)</f>
        <v>0</v>
      </c>
      <c r="T17" s="194">
        <f t="shared" si="11"/>
        <v>0</v>
      </c>
      <c r="U17" s="192">
        <f>O17*IFERROR(VLOOKUP(A17,[1]Tørstofindhold!A$2:B$25,2,FALSE),0)</f>
        <v>0</v>
      </c>
      <c r="V17" s="193">
        <f>IF(D17=År1,P17,SUM(O17,P17))*IFERROR(VLOOKUP(A17,[1]Tørstofindhold!A$2:B$25,2,FALSE),0)</f>
        <v>0</v>
      </c>
      <c r="W17" s="193">
        <f>J17*IFERROR(VLOOKUP(A17,[1]Tørstofindhold!A$2:B$25,2,FALSE),0)</f>
        <v>0</v>
      </c>
      <c r="X17" s="194">
        <f t="shared" si="12"/>
        <v>0</v>
      </c>
      <c r="Y17" s="172">
        <f t="shared" si="2"/>
        <v>0</v>
      </c>
      <c r="Z17" s="104">
        <f t="shared" si="3"/>
        <v>0</v>
      </c>
    </row>
    <row r="18" spans="1:26" hidden="1" x14ac:dyDescent="0.55000000000000004">
      <c r="A18" s="195" t="s">
        <v>6</v>
      </c>
      <c r="B18" s="195"/>
      <c r="C18" s="195">
        <f>IF(COUNTIFS('Resultater - Danmark'!$D$3:$D$482,'Resultat-Produktion &amp; forbrug'!A18,'Resultater - Danmark'!$A$3:$A$482,"Til energi")+COUNTIFS('Resultater - Danmark'!$D$3:$D$482,'Resultat-Produktion &amp; forbrug'!A18,'Resultater - Danmark'!$A$3:$A$482,"Biogasanlæg")&gt;0,1,0)</f>
        <v>0</v>
      </c>
      <c r="D18" s="195">
        <f t="shared" si="8"/>
        <v>2019</v>
      </c>
      <c r="E18" s="193" t="s">
        <v>23</v>
      </c>
      <c r="F18" s="196">
        <f>IF(E18="Vestdanmark",SUMIFS(IF(D18=År1,'Resultater - Vestdanmark'!H$3:H$482,IF(D18=År2,'Resultater - Vestdanmark'!I$3:I$482,'Resultater - Vestdanmark'!J$3:J$482)),'Resultater - Vestdanmark'!$F$3:$F$482,$A18,IF(D18=År1,'Resultater - Vestdanmark'!H$3:H$482,IF(D18=År2,'Resultater - Vestdanmark'!I$3:I$482,'Resultater - Vestdanmark'!J$3:J$482)),"&gt;0"),SUMIFS(IF(D18=År1,'Resultater - Østdanmark'!H$3:H$482,IF(D18=År2,'Resultater - Østdanmark'!I$3:I$482,'Resultater - Østdanmark'!J$3:J$482)),'Resultater - Østdanmark'!$F$3:$F$482,$A18,IF(D18=År1,'Resultater - Østdanmark'!H$3:H$482,IF(D18=År2,'Resultater - Østdanmark'!I$3:I$482,'Resultater - Østdanmark'!J$3:J$482)),"&gt;0"))</f>
        <v>184529.62070571107</v>
      </c>
      <c r="G18" s="196">
        <f>SUMIFS('Forbrug af biomasse'!$E$2:$E$425,'Forbrug af biomasse'!$C$2:$C$425,'Resultat-Produktion &amp; forbrug'!$A18,'Forbrug af biomasse'!$D$2:$D$425,'Resultat-Produktion &amp; forbrug'!$D18,'Forbrug af biomasse'!$A$2:$A$425,'Resultat-Produktion &amp; forbrug'!G$2,'Forbrug af biomasse'!$B$2:$B$425,$E18)</f>
        <v>0</v>
      </c>
      <c r="H18" s="193">
        <f>IF(E18="Vestdanmark",-IF(A18="Halm",SUMIFS(IF(D18=År1,'Resultater - Vestdanmark'!H$3:H$482,IF(D18=År2,'Resultater - Vestdanmark'!I$3:I$482,'Resultater - Vestdanmark'!J$3:J$482)),'Resultater - Vestdanmark'!$F$3:$F$482,$A18,'Resultater - Vestdanmark'!H$3:H$482,"&lt;0"),0),-IF(A18="Halm",SUMIFS(IF(D18=År1,'Resultater - Østdanmark'!H$3:H$482,IF(D18=År2,'Resultater - Østdanmark'!I$3:I$482,'Resultater - Østdanmark'!J$3:J$482)),'Resultater - Østdanmark'!$F$3:$F$482,$A18,'Resultater - Østdanmark'!H$3:H$482,"&lt;0"),0))</f>
        <v>0</v>
      </c>
      <c r="I18" s="196">
        <f>SUMIFS('Forbrug af biomasse'!$E$2:$E$425,'Forbrug af biomasse'!$C$2:$C$425,'Resultat-Produktion &amp; forbrug'!$A18,'Forbrug af biomasse'!$D$2:$D$425,'Resultat-Produktion &amp; forbrug'!$D18,'Forbrug af biomasse'!$A$2:$A$425,'Resultat-Produktion &amp; forbrug'!I$2,'Forbrug af biomasse'!$B$2:$B$425,$E18)</f>
        <v>261374.54615849949</v>
      </c>
      <c r="J18" s="196">
        <f>SUMIFS('Forbrug af biomasse'!$E$2:$E$425,'Forbrug af biomasse'!$C$2:$C$425,'Resultat-Produktion &amp; forbrug'!$A18,'Forbrug af biomasse'!$D$2:$D$425,'Resultat-Produktion &amp; forbrug'!$D18,'Forbrug af biomasse'!$A$2:$A$425,'Resultat-Produktion &amp; forbrug'!J$2,'Forbrug af biomasse'!$B$2:$B$425,$E18)</f>
        <v>0</v>
      </c>
      <c r="K18" s="196">
        <f>SUMIFS('Forbrug af biomasse'!$E$2:$E$425,'Forbrug af biomasse'!$C$2:$C$425,'Resultat-Produktion &amp; forbrug'!$A18,'Forbrug af biomasse'!$D$2:$D$425,'Resultat-Produktion &amp; forbrug'!$D18,'Forbrug af biomasse'!$A$2:$A$425,'Resultat-Produktion &amp; forbrug'!K$2,'Forbrug af biomasse'!$B$2:$B$425,$E18)</f>
        <v>0</v>
      </c>
      <c r="L18" s="196">
        <f>IF(A18&lt;&gt;"Biogas",SUMIFS('Forbrug af biomasse'!$E$2:$E$425,'Forbrug af biomasse'!$C$2:$C$425,'Resultat-Produktion &amp; forbrug'!$A18,'Forbrug af biomasse'!$D$2:$D$425,'Resultat-Produktion &amp; forbrug'!$D18,'Forbrug af biomasse'!$A$2:$A$425,'Resultat-Produktion &amp; forbrug'!L$2,'Forbrug af biomasse'!$B$2:$B$425,$E18),F18)</f>
        <v>0</v>
      </c>
      <c r="M18" s="158">
        <f>SUMIFS('Forbrug af biomasse'!E:E,'Forbrug af biomasse'!C:C,'Resultat-Produktion &amp; forbrug'!$A18,'Forbrug af biomasse'!D:D,'Resultat-Produktion &amp; forbrug'!$D18,'Forbrug af biomasse'!G:G,1,'Forbrug af biomasse'!B:B,$E18)</f>
        <v>0</v>
      </c>
      <c r="N18" s="205">
        <f t="shared" si="9"/>
        <v>-76844.925452788419</v>
      </c>
      <c r="O18" s="196">
        <f t="shared" si="1"/>
        <v>0</v>
      </c>
      <c r="P18" s="206">
        <f t="shared" si="10"/>
        <v>0</v>
      </c>
      <c r="Q18" s="193">
        <f>IFERROR(VLOOKUP(A18,[1]Energiindhold!$A$2:$C$11,3,FALSE),IFERROR(VLOOKUP(A18,[1]Biogasudbytte!$A$2:$B$18,2,FALSE)*[1]Energiindhold!$C$10,0))*O18</f>
        <v>0</v>
      </c>
      <c r="R18" s="193">
        <f>IF(A18&lt;&gt;"Biogas",IFERROR(VLOOKUP(A18,[1]Biogasudbytte!$A$2:$B$18,2,FALSE)*[1]Energiindhold!$C$10,0)*J18*IFERROR(VLOOKUP(A18,Biogasanlæg!$F$3:$G$8,2,FALSE),1)+IFERROR(VLOOKUP(A18,[1]Energiindhold!$A$2:$C$11,3,FALSE),0)*L18+IF(D18&lt;&gt;År1,Q18,0),0)</f>
        <v>0</v>
      </c>
      <c r="S18" s="193">
        <f>IFERROR(VLOOKUP(A18,[1]Biogasudbytte!$A$2:$B$18,2,FALSE)*[1]Energiindhold!$C$10,0)*J18*IFERROR(VLOOKUP(A18,Biogasanlæg!$F$3:$G$8,2,FALSE),1)</f>
        <v>0</v>
      </c>
      <c r="T18" s="194">
        <f t="shared" si="11"/>
        <v>0</v>
      </c>
      <c r="U18" s="192">
        <f>O18*IFERROR(VLOOKUP(A18,[1]Tørstofindhold!A$2:B$25,2,FALSE),0)</f>
        <v>0</v>
      </c>
      <c r="V18" s="193">
        <f>IF(D18=År1,P18,SUM(O18,P18))*IFERROR(VLOOKUP(A18,[1]Tørstofindhold!A$2:B$25,2,FALSE),0)</f>
        <v>0</v>
      </c>
      <c r="W18" s="193">
        <f>J18*IFERROR(VLOOKUP(A18,[1]Tørstofindhold!A$2:B$25,2,FALSE),0)</f>
        <v>0</v>
      </c>
      <c r="X18" s="194">
        <f t="shared" si="12"/>
        <v>0</v>
      </c>
      <c r="Y18" s="172">
        <f t="shared" si="2"/>
        <v>1</v>
      </c>
      <c r="Z18" s="104">
        <f t="shared" si="3"/>
        <v>0</v>
      </c>
    </row>
    <row r="19" spans="1:26" hidden="1" x14ac:dyDescent="0.55000000000000004">
      <c r="A19" s="195" t="s">
        <v>68</v>
      </c>
      <c r="B19" s="195" t="s">
        <v>230</v>
      </c>
      <c r="C19" s="195">
        <f>IF(COUNTIFS('Resultater - Danmark'!$D$3:$D$482,'Resultat-Produktion &amp; forbrug'!A19,'Resultater - Danmark'!$A$3:$A$482,"Til energi")+COUNTIFS('Resultater - Danmark'!$D$3:$D$482,'Resultat-Produktion &amp; forbrug'!A19,'Resultater - Danmark'!$A$3:$A$482,"Biogasanlæg")&gt;0,1,0)</f>
        <v>1</v>
      </c>
      <c r="D19" s="195">
        <f t="shared" si="8"/>
        <v>2019</v>
      </c>
      <c r="E19" s="193" t="s">
        <v>23</v>
      </c>
      <c r="F19" s="196">
        <f>IF(E19="Vestdanmark",SUMIFS(IF(D19=År1,'Resultater - Vestdanmark'!H$3:H$482,IF(D19=År2,'Resultater - Vestdanmark'!I$3:I$482,'Resultater - Vestdanmark'!J$3:J$482)),'Resultater - Vestdanmark'!$F$3:$F$482,$A19,IF(D19=År1,'Resultater - Vestdanmark'!H$3:H$482,IF(D19=År2,'Resultater - Vestdanmark'!I$3:I$482,'Resultater - Vestdanmark'!J$3:J$482)),"&gt;0"),SUMIFS(IF(D19=År1,'Resultater - Østdanmark'!H$3:H$482,IF(D19=År2,'Resultater - Østdanmark'!I$3:I$482,'Resultater - Østdanmark'!J$3:J$482)),'Resultater - Østdanmark'!$F$3:$F$482,$A19,IF(D19=År1,'Resultater - Østdanmark'!H$3:H$482,IF(D19=År2,'Resultater - Østdanmark'!I$3:I$482,'Resultater - Østdanmark'!J$3:J$482)),"&gt;0"))</f>
        <v>2714031.9406148358</v>
      </c>
      <c r="G19" s="196">
        <f>SUMIFS('Forbrug af biomasse'!$E$2:$E$425,'Forbrug af biomasse'!$C$2:$C$425,'Resultat-Produktion &amp; forbrug'!$A19,'Forbrug af biomasse'!$D$2:$D$425,'Resultat-Produktion &amp; forbrug'!$D19,'Forbrug af biomasse'!$A$2:$A$425,'Resultat-Produktion &amp; forbrug'!G$2,'Forbrug af biomasse'!$B$2:$B$425,$E19)</f>
        <v>773085.89354292618</v>
      </c>
      <c r="H19" s="193">
        <f>IF(E19="Vestdanmark",-IF(A19="Halm",SUMIFS(IF(D19=År1,'Resultater - Vestdanmark'!H$3:H$482,IF(D19=År2,'Resultater - Vestdanmark'!I$3:I$482,'Resultater - Vestdanmark'!J$3:J$482)),'Resultater - Vestdanmark'!$F$3:$F$482,$A19,'Resultater - Vestdanmark'!H$3:H$482,"&lt;0"),0),-IF(A19="Halm",SUMIFS(IF(D19=År1,'Resultater - Østdanmark'!H$3:H$482,IF(D19=År2,'Resultater - Østdanmark'!I$3:I$482,'Resultater - Østdanmark'!J$3:J$482)),'Resultater - Østdanmark'!$F$3:$F$482,$A19,'Resultater - Østdanmark'!H$3:H$482,"&lt;0"),0))</f>
        <v>728216.84089200001</v>
      </c>
      <c r="I19" s="196">
        <f>SUMIFS('Forbrug af biomasse'!$E$2:$E$425,'Forbrug af biomasse'!$C$2:$C$425,'Resultat-Produktion &amp; forbrug'!$A19,'Forbrug af biomasse'!$D$2:$D$425,'Resultat-Produktion &amp; forbrug'!$D19,'Forbrug af biomasse'!$A$2:$A$425,'Resultat-Produktion &amp; forbrug'!I$2,'Forbrug af biomasse'!$B$2:$B$425,$E19)</f>
        <v>0</v>
      </c>
      <c r="J19" s="196">
        <f>SUMIFS('Forbrug af biomasse'!$E$2:$E$425,'Forbrug af biomasse'!$C$2:$C$425,'Resultat-Produktion &amp; forbrug'!$A19,'Forbrug af biomasse'!$D$2:$D$425,'Resultat-Produktion &amp; forbrug'!$D19,'Forbrug af biomasse'!$A$2:$A$425,'Resultat-Produktion &amp; forbrug'!J$2,'Forbrug af biomasse'!$B$2:$B$425,$E19)</f>
        <v>53138.892747161146</v>
      </c>
      <c r="K19" s="196">
        <f>SUMIFS('Forbrug af biomasse'!$E$2:$E$425,'Forbrug af biomasse'!$C$2:$C$425,'Resultat-Produktion &amp; forbrug'!$A19,'Forbrug af biomasse'!$D$2:$D$425,'Resultat-Produktion &amp; forbrug'!$D19,'Forbrug af biomasse'!$A$2:$A$425,'Resultat-Produktion &amp; forbrug'!K$2,'Forbrug af biomasse'!$B$2:$B$425,$E19)</f>
        <v>0</v>
      </c>
      <c r="L19" s="196">
        <f>IF(A19&lt;&gt;"Biogas",SUMIFS('Forbrug af biomasse'!$E$2:$E$425,'Forbrug af biomasse'!$C$2:$C$425,'Resultat-Produktion &amp; forbrug'!$A19,'Forbrug af biomasse'!$D$2:$D$425,'Resultat-Produktion &amp; forbrug'!$D19,'Forbrug af biomasse'!$A$2:$A$425,'Resultat-Produktion &amp; forbrug'!L$2,'Forbrug af biomasse'!$B$2:$B$425,$E19),F19)</f>
        <v>1159590.3134327475</v>
      </c>
      <c r="M19" s="158">
        <f>SUMIFS('Forbrug af biomasse'!E:E,'Forbrug af biomasse'!C:C,'Resultat-Produktion &amp; forbrug'!$A19,'Forbrug af biomasse'!D:D,'Resultat-Produktion &amp; forbrug'!$D19,'Forbrug af biomasse'!G:G,1,'Forbrug af biomasse'!B:B,$E19)</f>
        <v>0</v>
      </c>
      <c r="N19" s="205">
        <f t="shared" si="9"/>
        <v>0</v>
      </c>
      <c r="O19" s="196">
        <f t="shared" si="1"/>
        <v>0</v>
      </c>
      <c r="P19" s="206">
        <f t="shared" si="10"/>
        <v>1212729.2061799087</v>
      </c>
      <c r="Q19" s="193">
        <f>IFERROR(VLOOKUP(A19,[1]Energiindhold!$A$2:$C$11,3,FALSE),IFERROR(VLOOKUP(A19,[1]Biogasudbytte!$A$2:$B$18,2,FALSE)*[1]Energiindhold!$C$10,0))*O19</f>
        <v>0</v>
      </c>
      <c r="R19" s="193">
        <f>IF(A19&lt;&gt;"Biogas",IFERROR(VLOOKUP(A19,[1]Biogasudbytte!$A$2:$B$18,2,FALSE)*[1]Energiindhold!$C$10,0)*J19*IFERROR(VLOOKUP(A19,Biogasanlæg!$F$3:$G$8,2,FALSE),1)+IFERROR(VLOOKUP(A19,[1]Energiindhold!$A$2:$C$11,3,FALSE),0)*L19+IF(D19&lt;&gt;År1,Q19,0),0)</f>
        <v>12.291675324066466</v>
      </c>
      <c r="S19" s="193">
        <f>IFERROR(VLOOKUP(A19,[1]Biogasudbytte!$A$2:$B$18,2,FALSE)*[1]Energiindhold!$C$10,0)*J19*IFERROR(VLOOKUP(A19,Biogasanlæg!$F$3:$G$8,2,FALSE),1)</f>
        <v>0.3063744116894675</v>
      </c>
      <c r="T19" s="194">
        <f t="shared" si="11"/>
        <v>11.985300912376998</v>
      </c>
      <c r="U19" s="192">
        <f>O19*IFERROR(VLOOKUP(A19,[1]Tørstofindhold!A$2:B$25,2,FALSE),0)</f>
        <v>0</v>
      </c>
      <c r="V19" s="193">
        <f>IF(D19=År1,P19,SUM(O19,P19))*IFERROR(VLOOKUP(A19,[1]Tørstofindhold!A$2:B$25,2,FALSE),0)</f>
        <v>1030819.8252529224</v>
      </c>
      <c r="W19" s="193">
        <f>J19*IFERROR(VLOOKUP(A19,[1]Tørstofindhold!A$2:B$25,2,FALSE),0)</f>
        <v>45168.058835086973</v>
      </c>
      <c r="X19" s="194">
        <f t="shared" si="12"/>
        <v>985651.76641783537</v>
      </c>
      <c r="Y19" s="172">
        <f t="shared" si="2"/>
        <v>0</v>
      </c>
      <c r="Z19" s="104">
        <f t="shared" si="3"/>
        <v>0</v>
      </c>
    </row>
    <row r="20" spans="1:26" hidden="1" x14ac:dyDescent="0.55000000000000004">
      <c r="A20" s="195" t="s">
        <v>163</v>
      </c>
      <c r="B20" s="195" t="s">
        <v>233</v>
      </c>
      <c r="C20" s="195">
        <f>IF(COUNTIFS('Resultater - Danmark'!$D$3:$D$482,'Resultat-Produktion &amp; forbrug'!A20,'Resultater - Danmark'!$A$3:$A$482,"Til energi")+COUNTIFS('Resultater - Danmark'!$D$3:$D$482,'Resultat-Produktion &amp; forbrug'!A20,'Resultater - Danmark'!$A$3:$A$482,"Biogasanlæg")&gt;0,1,0)</f>
        <v>1</v>
      </c>
      <c r="D20" s="195">
        <f t="shared" si="8"/>
        <v>2019</v>
      </c>
      <c r="E20" s="193" t="s">
        <v>23</v>
      </c>
      <c r="F20" s="196">
        <f>IF(E20="Vestdanmark",SUMIFS(IF(D20=År1,'Resultater - Vestdanmark'!H$3:H$482,IF(D20=År2,'Resultater - Vestdanmark'!I$3:I$482,'Resultater - Vestdanmark'!J$3:J$482)),'Resultater - Vestdanmark'!$F$3:$F$482,$A20,IF(D20=År1,'Resultater - Vestdanmark'!H$3:H$482,IF(D20=År2,'Resultater - Vestdanmark'!I$3:I$482,'Resultater - Vestdanmark'!J$3:J$482)),"&gt;0"),SUMIFS(IF(D20=År1,'Resultater - Østdanmark'!H$3:H$482,IF(D20=År2,'Resultater - Østdanmark'!I$3:I$482,'Resultater - Østdanmark'!J$3:J$482)),'Resultater - Østdanmark'!$F$3:$F$482,$A20,IF(D20=År1,'Resultater - Østdanmark'!H$3:H$482,IF(D20=År2,'Resultater - Østdanmark'!I$3:I$482,'Resultater - Østdanmark'!J$3:J$482)),"&gt;0"))</f>
        <v>530462.48766233202</v>
      </c>
      <c r="G20" s="196">
        <f>SUMIFS('Forbrug af biomasse'!$E$2:$E$425,'Forbrug af biomasse'!$C$2:$C$425,'Resultat-Produktion &amp; forbrug'!$A20,'Forbrug af biomasse'!$D$2:$D$425,'Resultat-Produktion &amp; forbrug'!$D20,'Forbrug af biomasse'!$A$2:$A$425,'Resultat-Produktion &amp; forbrug'!G$2,'Forbrug af biomasse'!$B$2:$B$425,$E20)</f>
        <v>0</v>
      </c>
      <c r="H20" s="193">
        <f>IF(E20="Vestdanmark",-IF(A20="Halm",SUMIFS(IF(D20=År1,'Resultater - Vestdanmark'!H$3:H$482,IF(D20=År2,'Resultater - Vestdanmark'!I$3:I$482,'Resultater - Vestdanmark'!J$3:J$482)),'Resultater - Vestdanmark'!$F$3:$F$482,$A20,'Resultater - Vestdanmark'!H$3:H$482,"&lt;0"),0),-IF(A20="Halm",SUMIFS(IF(D20=År1,'Resultater - Østdanmark'!H$3:H$482,IF(D20=År2,'Resultater - Østdanmark'!I$3:I$482,'Resultater - Østdanmark'!J$3:J$482)),'Resultater - Østdanmark'!$F$3:$F$482,$A20,'Resultater - Østdanmark'!H$3:H$482,"&lt;0"),0))</f>
        <v>0</v>
      </c>
      <c r="I20" s="196">
        <f>SUMIFS('Forbrug af biomasse'!$E$2:$E$425,'Forbrug af biomasse'!$C$2:$C$425,'Resultat-Produktion &amp; forbrug'!$A20,'Forbrug af biomasse'!$D$2:$D$425,'Resultat-Produktion &amp; forbrug'!$D20,'Forbrug af biomasse'!$A$2:$A$425,'Resultat-Produktion &amp; forbrug'!I$2,'Forbrug af biomasse'!$B$2:$B$425,$E20)</f>
        <v>0</v>
      </c>
      <c r="J20" s="196">
        <f>SUMIFS('Forbrug af biomasse'!$E$2:$E$425,'Forbrug af biomasse'!$C$2:$C$425,'Resultat-Produktion &amp; forbrug'!$A20,'Forbrug af biomasse'!$D$2:$D$425,'Resultat-Produktion &amp; forbrug'!$D20,'Forbrug af biomasse'!$A$2:$A$425,'Resultat-Produktion &amp; forbrug'!J$2,'Forbrug af biomasse'!$B$2:$B$425,$E20)</f>
        <v>42.099811904105366</v>
      </c>
      <c r="K20" s="196">
        <f>SUMIFS('Forbrug af biomasse'!$E$2:$E$425,'Forbrug af biomasse'!$C$2:$C$425,'Resultat-Produktion &amp; forbrug'!$A20,'Forbrug af biomasse'!$D$2:$D$425,'Resultat-Produktion &amp; forbrug'!$D20,'Forbrug af biomasse'!$A$2:$A$425,'Resultat-Produktion &amp; forbrug'!K$2,'Forbrug af biomasse'!$B$2:$B$425,$E20)</f>
        <v>0</v>
      </c>
      <c r="L20" s="196">
        <f>IF(A20&lt;&gt;"Biogas",SUMIFS('Forbrug af biomasse'!$E$2:$E$425,'Forbrug af biomasse'!$C$2:$C$425,'Resultat-Produktion &amp; forbrug'!$A20,'Forbrug af biomasse'!$D$2:$D$425,'Resultat-Produktion &amp; forbrug'!$D20,'Forbrug af biomasse'!$A$2:$A$425,'Resultat-Produktion &amp; forbrug'!L$2,'Forbrug af biomasse'!$B$2:$B$425,$E20),F20)</f>
        <v>530420.38785042788</v>
      </c>
      <c r="M20" s="158">
        <f>SUMIFS('Forbrug af biomasse'!E:E,'Forbrug af biomasse'!C:C,'Resultat-Produktion &amp; forbrug'!$A20,'Forbrug af biomasse'!D:D,'Resultat-Produktion &amp; forbrug'!$D20,'Forbrug af biomasse'!G:G,1,'Forbrug af biomasse'!B:B,$E20)</f>
        <v>0</v>
      </c>
      <c r="N20" s="205">
        <f t="shared" si="9"/>
        <v>0</v>
      </c>
      <c r="O20" s="196">
        <f t="shared" si="1"/>
        <v>0</v>
      </c>
      <c r="P20" s="206">
        <f t="shared" si="10"/>
        <v>530462.48766233202</v>
      </c>
      <c r="Q20" s="193">
        <f>IFERROR(VLOOKUP(A20,[1]Energiindhold!$A$2:$C$11,3,FALSE),IFERROR(VLOOKUP(A20,[1]Biogasudbytte!$A$2:$B$18,2,FALSE)*[1]Energiindhold!$C$10,0))*O20</f>
        <v>0</v>
      </c>
      <c r="R20" s="193">
        <f>IF(A20&lt;&gt;"Biogas",IFERROR(VLOOKUP(A20,[1]Biogasudbytte!$A$2:$B$18,2,FALSE)*[1]Energiindhold!$C$10,0)*J20*IFERROR(VLOOKUP(A20,Biogasanlæg!$F$3:$G$8,2,FALSE),1)+IFERROR(VLOOKUP(A20,[1]Energiindhold!$A$2:$C$11,3,FALSE),0)*L20+IF(D20&lt;&gt;År1,Q20,0),0)</f>
        <v>9.4692532209947728</v>
      </c>
      <c r="S20" s="193">
        <f>IFERROR(VLOOKUP(A20,[1]Biogasudbytte!$A$2:$B$18,2,FALSE)*[1]Energiindhold!$C$10,0)*J20*IFERROR(VLOOKUP(A20,Biogasanlæg!$F$3:$G$8,2,FALSE),1)</f>
        <v>7.148842760000421E-5</v>
      </c>
      <c r="T20" s="194">
        <f t="shared" si="11"/>
        <v>9.4691817325671721</v>
      </c>
      <c r="U20" s="192">
        <f>O20*IFERROR(VLOOKUP(A20,[1]Tørstofindhold!A$2:B$25,2,FALSE),0)</f>
        <v>0</v>
      </c>
      <c r="V20" s="193">
        <f>IF(D20=År1,P20,SUM(O20,P20))*IFERROR(VLOOKUP(A20,[1]Tørstofindhold!A$2:B$25,2,FALSE),0)</f>
        <v>159138.74629869961</v>
      </c>
      <c r="W20" s="193">
        <f>J20*IFERROR(VLOOKUP(A20,[1]Tørstofindhold!A$2:B$25,2,FALSE),0)</f>
        <v>12.629943571231609</v>
      </c>
      <c r="X20" s="194">
        <f t="shared" si="12"/>
        <v>159126.11635512838</v>
      </c>
      <c r="Y20" s="172">
        <f t="shared" si="2"/>
        <v>0</v>
      </c>
      <c r="Z20" s="104">
        <f t="shared" si="3"/>
        <v>0</v>
      </c>
    </row>
    <row r="21" spans="1:26" hidden="1" x14ac:dyDescent="0.55000000000000004">
      <c r="A21" s="193" t="s">
        <v>160</v>
      </c>
      <c r="B21" s="195"/>
      <c r="C21" s="195">
        <f>IF(COUNTIFS('Resultater - Danmark'!$D$3:$D$482,'Resultat-Produktion &amp; forbrug'!A21,'Resultater - Danmark'!$A$3:$A$482,"Til energi")+COUNTIFS('Resultater - Danmark'!$D$3:$D$482,'Resultat-Produktion &amp; forbrug'!A21,'Resultater - Danmark'!$A$3:$A$482,"Biogasanlæg")&gt;0,1,0)</f>
        <v>0</v>
      </c>
      <c r="D21" s="195">
        <f t="shared" si="8"/>
        <v>2019</v>
      </c>
      <c r="E21" s="193" t="s">
        <v>23</v>
      </c>
      <c r="F21" s="196">
        <f>IF(E21="Vestdanmark",SUMIFS(IF(D21=År1,'Resultater - Vestdanmark'!H$3:H$482,IF(D21=År2,'Resultater - Vestdanmark'!I$3:I$482,'Resultater - Vestdanmark'!J$3:J$482)),'Resultater - Vestdanmark'!$F$3:$F$482,$A21,IF(D21=År1,'Resultater - Vestdanmark'!H$3:H$482,IF(D21=År2,'Resultater - Vestdanmark'!I$3:I$482,'Resultater - Vestdanmark'!J$3:J$482)),"&gt;0"),SUMIFS(IF(D21=År1,'Resultater - Østdanmark'!H$3:H$482,IF(D21=År2,'Resultater - Østdanmark'!I$3:I$482,'Resultater - Østdanmark'!J$3:J$482)),'Resultater - Østdanmark'!$F$3:$F$482,$A21,IF(D21=År1,'Resultater - Østdanmark'!H$3:H$482,IF(D21=År2,'Resultater - Østdanmark'!I$3:I$482,'Resultater - Østdanmark'!J$3:J$482)),"&gt;0"))</f>
        <v>0</v>
      </c>
      <c r="G21" s="196">
        <f>SUMIFS('Forbrug af biomasse'!$E$2:$E$425,'Forbrug af biomasse'!$C$2:$C$425,'Resultat-Produktion &amp; forbrug'!$A21,'Forbrug af biomasse'!$D$2:$D$425,'Resultat-Produktion &amp; forbrug'!$D21,'Forbrug af biomasse'!$A$2:$A$425,'Resultat-Produktion &amp; forbrug'!G$2,'Forbrug af biomasse'!$B$2:$B$425,$E21)</f>
        <v>4828427.5390456235</v>
      </c>
      <c r="H21" s="193">
        <f>IF(E21="Vestdanmark",-IF(A21="Halm",SUMIFS(IF(D21=År1,'Resultater - Vestdanmark'!H$3:H$482,IF(D21=År2,'Resultater - Vestdanmark'!I$3:I$482,'Resultater - Vestdanmark'!J$3:J$482)),'Resultater - Vestdanmark'!$F$3:$F$482,$A21,'Resultater - Vestdanmark'!H$3:H$482,"&lt;0"),0),-IF(A21="Halm",SUMIFS(IF(D21=År1,'Resultater - Østdanmark'!H$3:H$482,IF(D21=År2,'Resultater - Østdanmark'!I$3:I$482,'Resultater - Østdanmark'!J$3:J$482)),'Resultater - Østdanmark'!$F$3:$F$482,$A21,'Resultater - Østdanmark'!H$3:H$482,"&lt;0"),0))</f>
        <v>0</v>
      </c>
      <c r="I21" s="196">
        <f>SUMIFS('Forbrug af biomasse'!$E$2:$E$425,'Forbrug af biomasse'!$C$2:$C$425,'Resultat-Produktion &amp; forbrug'!$A21,'Forbrug af biomasse'!$D$2:$D$425,'Resultat-Produktion &amp; forbrug'!$D21,'Forbrug af biomasse'!$A$2:$A$425,'Resultat-Produktion &amp; forbrug'!I$2,'Forbrug af biomasse'!$B$2:$B$425,$E21)</f>
        <v>0</v>
      </c>
      <c r="J21" s="196">
        <f>SUMIFS('Forbrug af biomasse'!$E$2:$E$425,'Forbrug af biomasse'!$C$2:$C$425,'Resultat-Produktion &amp; forbrug'!$A21,'Forbrug af biomasse'!$D$2:$D$425,'Resultat-Produktion &amp; forbrug'!$D21,'Forbrug af biomasse'!$A$2:$A$425,'Resultat-Produktion &amp; forbrug'!J$2,'Forbrug af biomasse'!$B$2:$B$425,$E21)</f>
        <v>0</v>
      </c>
      <c r="K21" s="196">
        <f>SUMIFS('Forbrug af biomasse'!$E$2:$E$425,'Forbrug af biomasse'!$C$2:$C$425,'Resultat-Produktion &amp; forbrug'!$A21,'Forbrug af biomasse'!$D$2:$D$425,'Resultat-Produktion &amp; forbrug'!$D21,'Forbrug af biomasse'!$A$2:$A$425,'Resultat-Produktion &amp; forbrug'!K$2,'Forbrug af biomasse'!$B$2:$B$425,$E21)</f>
        <v>0</v>
      </c>
      <c r="L21" s="196">
        <f>IF(A21&lt;&gt;"Biogas",SUMIFS('Forbrug af biomasse'!$E$2:$E$425,'Forbrug af biomasse'!$C$2:$C$425,'Resultat-Produktion &amp; forbrug'!$A21,'Forbrug af biomasse'!$D$2:$D$425,'Resultat-Produktion &amp; forbrug'!$D21,'Forbrug af biomasse'!$A$2:$A$425,'Resultat-Produktion &amp; forbrug'!L$2,'Forbrug af biomasse'!$B$2:$B$425,$E21),F21)</f>
        <v>0</v>
      </c>
      <c r="M21" s="158">
        <f>SUMIFS('Forbrug af biomasse'!E:E,'Forbrug af biomasse'!C:C,'Resultat-Produktion &amp; forbrug'!$A21,'Forbrug af biomasse'!D:D,'Resultat-Produktion &amp; forbrug'!$D21,'Forbrug af biomasse'!G:G,1,'Forbrug af biomasse'!B:B,$E21)</f>
        <v>0</v>
      </c>
      <c r="N21" s="205">
        <f t="shared" si="9"/>
        <v>-4828427.5390456235</v>
      </c>
      <c r="O21" s="196">
        <f t="shared" si="1"/>
        <v>0</v>
      </c>
      <c r="P21" s="206">
        <f t="shared" si="10"/>
        <v>0</v>
      </c>
      <c r="Q21" s="193">
        <f>IFERROR(VLOOKUP(A21,[1]Energiindhold!$A$2:$C$11,3,FALSE),IFERROR(VLOOKUP(A21,[1]Biogasudbytte!$A$2:$B$18,2,FALSE)*[1]Energiindhold!$C$10,0))*O21</f>
        <v>0</v>
      </c>
      <c r="R21" s="193">
        <f>IF(A21&lt;&gt;"Biogas",IFERROR(VLOOKUP(A21,[1]Biogasudbytte!$A$2:$B$18,2,FALSE)*[1]Energiindhold!$C$10,0)*J21*IFERROR(VLOOKUP(A21,Biogasanlæg!$F$3:$G$8,2,FALSE),1)+IFERROR(VLOOKUP(A21,[1]Energiindhold!$A$2:$C$11,3,FALSE),0)*L21+IF(D21&lt;&gt;År1,Q21,0),0)</f>
        <v>0</v>
      </c>
      <c r="S21" s="193">
        <f>IFERROR(VLOOKUP(A21,[1]Biogasudbytte!$A$2:$B$18,2,FALSE)*[1]Energiindhold!$C$10,0)*J21*IFERROR(VLOOKUP(A21,Biogasanlæg!$F$3:$G$8,2,FALSE),1)</f>
        <v>0</v>
      </c>
      <c r="T21" s="194">
        <f t="shared" si="11"/>
        <v>0</v>
      </c>
      <c r="U21" s="192">
        <f>O21*IFERROR(VLOOKUP(A21,[1]Tørstofindhold!A$2:B$25,2,FALSE),0)</f>
        <v>0</v>
      </c>
      <c r="V21" s="193">
        <f>IF(D21=År1,P21,SUM(O21,P21))*IFERROR(VLOOKUP(A21,[1]Tørstofindhold!A$2:B$25,2,FALSE),0)</f>
        <v>0</v>
      </c>
      <c r="W21" s="193">
        <f>J21*IFERROR(VLOOKUP(A21,[1]Tørstofindhold!A$2:B$25,2,FALSE),0)</f>
        <v>0</v>
      </c>
      <c r="X21" s="194">
        <f t="shared" si="12"/>
        <v>0</v>
      </c>
      <c r="Y21" s="172">
        <f t="shared" si="2"/>
        <v>1</v>
      </c>
      <c r="Z21" s="104">
        <f t="shared" si="3"/>
        <v>0</v>
      </c>
    </row>
    <row r="22" spans="1:26" hidden="1" x14ac:dyDescent="0.55000000000000004">
      <c r="A22" s="195" t="s">
        <v>104</v>
      </c>
      <c r="B22" s="195" t="s">
        <v>233</v>
      </c>
      <c r="C22" s="195">
        <f>IF(COUNTIFS('Resultater - Danmark'!$D$3:$D$482,'Resultat-Produktion &amp; forbrug'!A22,'Resultater - Danmark'!$A$3:$A$482,"Til energi")+COUNTIFS('Resultater - Danmark'!$D$3:$D$482,'Resultat-Produktion &amp; forbrug'!A22,'Resultater - Danmark'!$A$3:$A$482,"Biogasanlæg")&gt;0,1,0)</f>
        <v>1</v>
      </c>
      <c r="D22" s="195">
        <f t="shared" si="8"/>
        <v>2019</v>
      </c>
      <c r="E22" s="193" t="s">
        <v>23</v>
      </c>
      <c r="F22" s="196">
        <f>IF(E22="Vestdanmark",SUMIFS(IF(D22=År1,'Resultater - Vestdanmark'!H$3:H$482,IF(D22=År2,'Resultater - Vestdanmark'!I$3:I$482,'Resultater - Vestdanmark'!J$3:J$482)),'Resultater - Vestdanmark'!$F$3:$F$482,$A22,IF(D22=År1,'Resultater - Vestdanmark'!H$3:H$482,IF(D22=År2,'Resultater - Vestdanmark'!I$3:I$482,'Resultater - Vestdanmark'!J$3:J$482)),"&gt;0"),SUMIFS(IF(D22=År1,'Resultater - Østdanmark'!H$3:H$482,IF(D22=År2,'Resultater - Østdanmark'!I$3:I$482,'Resultater - Østdanmark'!J$3:J$482)),'Resultater - Østdanmark'!$F$3:$F$482,$A22,IF(D22=År1,'Resultater - Østdanmark'!H$3:H$482,IF(D22=År2,'Resultater - Østdanmark'!I$3:I$482,'Resultater - Østdanmark'!J$3:J$482)),"&gt;0"))</f>
        <v>513042.22037196398</v>
      </c>
      <c r="G22" s="196">
        <f>SUMIFS('Forbrug af biomasse'!$E$2:$E$425,'Forbrug af biomasse'!$C$2:$C$425,'Resultat-Produktion &amp; forbrug'!$A22,'Forbrug af biomasse'!$D$2:$D$425,'Resultat-Produktion &amp; forbrug'!$D22,'Forbrug af biomasse'!$A$2:$A$425,'Resultat-Produktion &amp; forbrug'!G$2,'Forbrug af biomasse'!$B$2:$B$425,$E22)</f>
        <v>0</v>
      </c>
      <c r="H22" s="193">
        <f>IF(E22="Vestdanmark",-IF(A22="Halm",SUMIFS(IF(D22=År1,'Resultater - Vestdanmark'!H$3:H$482,IF(D22=År2,'Resultater - Vestdanmark'!I$3:I$482,'Resultater - Vestdanmark'!J$3:J$482)),'Resultater - Vestdanmark'!$F$3:$F$482,$A22,'Resultater - Vestdanmark'!H$3:H$482,"&lt;0"),0),-IF(A22="Halm",SUMIFS(IF(D22=År1,'Resultater - Østdanmark'!H$3:H$482,IF(D22=År2,'Resultater - Østdanmark'!I$3:I$482,'Resultater - Østdanmark'!J$3:J$482)),'Resultater - Østdanmark'!$F$3:$F$482,$A22,'Resultater - Østdanmark'!H$3:H$482,"&lt;0"),0))</f>
        <v>0</v>
      </c>
      <c r="I22" s="196">
        <f>SUMIFS('Forbrug af biomasse'!$E$2:$E$425,'Forbrug af biomasse'!$C$2:$C$425,'Resultat-Produktion &amp; forbrug'!$A22,'Forbrug af biomasse'!$D$2:$D$425,'Resultat-Produktion &amp; forbrug'!$D22,'Forbrug af biomasse'!$A$2:$A$425,'Resultat-Produktion &amp; forbrug'!I$2,'Forbrug af biomasse'!$B$2:$B$425,$E22)</f>
        <v>0</v>
      </c>
      <c r="J22" s="196">
        <f>SUMIFS('Forbrug af biomasse'!$E$2:$E$425,'Forbrug af biomasse'!$C$2:$C$425,'Resultat-Produktion &amp; forbrug'!$A22,'Forbrug af biomasse'!$D$2:$D$425,'Resultat-Produktion &amp; forbrug'!$D22,'Forbrug af biomasse'!$A$2:$A$425,'Resultat-Produktion &amp; forbrug'!J$2,'Forbrug af biomasse'!$B$2:$B$425,$E22)</f>
        <v>716103.75203569303</v>
      </c>
      <c r="K22" s="196">
        <f>SUMIFS('Forbrug af biomasse'!$E$2:$E$425,'Forbrug af biomasse'!$C$2:$C$425,'Resultat-Produktion &amp; forbrug'!$A22,'Forbrug af biomasse'!$D$2:$D$425,'Resultat-Produktion &amp; forbrug'!$D22,'Forbrug af biomasse'!$A$2:$A$425,'Resultat-Produktion &amp; forbrug'!K$2,'Forbrug af biomasse'!$B$2:$B$425,$E22)</f>
        <v>0</v>
      </c>
      <c r="L22" s="196">
        <f>IF(A22&lt;&gt;"Biogas",SUMIFS('Forbrug af biomasse'!$E$2:$E$425,'Forbrug af biomasse'!$C$2:$C$425,'Resultat-Produktion &amp; forbrug'!$A22,'Forbrug af biomasse'!$D$2:$D$425,'Resultat-Produktion &amp; forbrug'!$D22,'Forbrug af biomasse'!$A$2:$A$425,'Resultat-Produktion &amp; forbrug'!L$2,'Forbrug af biomasse'!$B$2:$B$425,$E22),F22)</f>
        <v>0</v>
      </c>
      <c r="M22" s="158">
        <f>SUMIFS('Forbrug af biomasse'!E:E,'Forbrug af biomasse'!C:C,'Resultat-Produktion &amp; forbrug'!$A22,'Forbrug af biomasse'!D:D,'Resultat-Produktion &amp; forbrug'!$D22,'Forbrug af biomasse'!G:G,1,'Forbrug af biomasse'!B:B,$E22)</f>
        <v>0</v>
      </c>
      <c r="N22" s="205">
        <f t="shared" si="9"/>
        <v>-203061.53166372905</v>
      </c>
      <c r="O22" s="196">
        <f t="shared" si="1"/>
        <v>0</v>
      </c>
      <c r="P22" s="206">
        <f t="shared" si="10"/>
        <v>716103.75203569303</v>
      </c>
      <c r="Q22" s="193">
        <f>IFERROR(VLOOKUP(A22,[1]Energiindhold!$A$2:$C$11,3,FALSE),IFERROR(VLOOKUP(A22,[1]Biogasudbytte!$A$2:$B$18,2,FALSE)*[1]Energiindhold!$C$10,0))*O22</f>
        <v>0</v>
      </c>
      <c r="R22" s="193">
        <f>IF(A22&lt;&gt;"Biogas",IFERROR(VLOOKUP(A22,[1]Biogasudbytte!$A$2:$B$18,2,FALSE)*[1]Energiindhold!$C$10,0)*J22*IFERROR(VLOOKUP(A22,Biogasanlæg!$F$3:$G$8,2,FALSE),1)+IFERROR(VLOOKUP(A22,[1]Energiindhold!$A$2:$C$11,3,FALSE),0)*L22+IF(D22&lt;&gt;År1,Q22,0),0)</f>
        <v>2.7926735859525804</v>
      </c>
      <c r="S22" s="193">
        <f>IFERROR(VLOOKUP(A22,[1]Biogasudbytte!$A$2:$B$18,2,FALSE)*[1]Energiindhold!$C$10,0)*J22*IFERROR(VLOOKUP(A22,Biogasanlæg!$F$3:$G$8,2,FALSE),1)</f>
        <v>2.7926735859525804</v>
      </c>
      <c r="T22" s="194">
        <f t="shared" si="11"/>
        <v>0</v>
      </c>
      <c r="U22" s="192">
        <f>O22*IFERROR(VLOOKUP(A22,[1]Tørstofindhold!A$2:B$25,2,FALSE),0)</f>
        <v>0</v>
      </c>
      <c r="V22" s="193">
        <f>IF(D22=År1,P22,SUM(O22,P22))*IFERROR(VLOOKUP(A22,[1]Tørstofindhold!A$2:B$25,2,FALSE),0)</f>
        <v>300763.57585499104</v>
      </c>
      <c r="W22" s="193">
        <f>J22*IFERROR(VLOOKUP(A22,[1]Tørstofindhold!A$2:B$25,2,FALSE),0)</f>
        <v>300763.57585499104</v>
      </c>
      <c r="X22" s="194">
        <f t="shared" si="12"/>
        <v>0</v>
      </c>
      <c r="Y22" s="172">
        <f t="shared" si="2"/>
        <v>1</v>
      </c>
      <c r="Z22" s="104">
        <f t="shared" si="3"/>
        <v>0</v>
      </c>
    </row>
    <row r="23" spans="1:26" hidden="1" x14ac:dyDescent="0.55000000000000004">
      <c r="A23" s="195" t="s">
        <v>56</v>
      </c>
      <c r="B23" s="195"/>
      <c r="C23" s="195">
        <f>IF(COUNTIFS('Resultater - Danmark'!$D$3:$D$482,'Resultat-Produktion &amp; forbrug'!A23,'Resultater - Danmark'!$A$3:$A$482,"Til energi")+COUNTIFS('Resultater - Danmark'!$D$3:$D$482,'Resultat-Produktion &amp; forbrug'!A23,'Resultater - Danmark'!$A$3:$A$482,"Biogasanlæg")&gt;0,1,0)</f>
        <v>0</v>
      </c>
      <c r="D23" s="195">
        <f t="shared" si="8"/>
        <v>2019</v>
      </c>
      <c r="E23" s="193" t="s">
        <v>23</v>
      </c>
      <c r="F23" s="196">
        <f>IF(E23="Vestdanmark",SUMIFS(IF(D23=År1,'Resultater - Vestdanmark'!H$3:H$482,IF(D23=År2,'Resultater - Vestdanmark'!I$3:I$482,'Resultater - Vestdanmark'!J$3:J$482)),'Resultater - Vestdanmark'!$F$3:$F$482,$A23,IF(D23=År1,'Resultater - Vestdanmark'!H$3:H$482,IF(D23=År2,'Resultater - Vestdanmark'!I$3:I$482,'Resultater - Vestdanmark'!J$3:J$482)),"&gt;0"),SUMIFS(IF(D23=År1,'Resultater - Østdanmark'!H$3:H$482,IF(D23=År2,'Resultater - Østdanmark'!I$3:I$482,'Resultater - Østdanmark'!J$3:J$482)),'Resultater - Østdanmark'!$F$3:$F$482,$A23,IF(D23=År1,'Resultater - Østdanmark'!H$3:H$482,IF(D23=År2,'Resultater - Østdanmark'!I$3:I$482,'Resultater - Østdanmark'!J$3:J$482)),"&gt;0"))</f>
        <v>765723.03528474667</v>
      </c>
      <c r="G23" s="196">
        <f>SUMIFS('Forbrug af biomasse'!$E$2:$E$425,'Forbrug af biomasse'!$C$2:$C$425,'Resultat-Produktion &amp; forbrug'!$A23,'Forbrug af biomasse'!$D$2:$D$425,'Resultat-Produktion &amp; forbrug'!$D23,'Forbrug af biomasse'!$A$2:$A$425,'Resultat-Produktion &amp; forbrug'!G$2,'Forbrug af biomasse'!$B$2:$B$425,$E23)</f>
        <v>0</v>
      </c>
      <c r="H23" s="193">
        <f>IF(E23="Vestdanmark",-IF(A23="Halm",SUMIFS(IF(D23=År1,'Resultater - Vestdanmark'!H$3:H$482,IF(D23=År2,'Resultater - Vestdanmark'!I$3:I$482,'Resultater - Vestdanmark'!J$3:J$482)),'Resultater - Vestdanmark'!$F$3:$F$482,$A23,'Resultater - Vestdanmark'!H$3:H$482,"&lt;0"),0),-IF(A23="Halm",SUMIFS(IF(D23=År1,'Resultater - Østdanmark'!H$3:H$482,IF(D23=År2,'Resultater - Østdanmark'!I$3:I$482,'Resultater - Østdanmark'!J$3:J$482)),'Resultater - Østdanmark'!$F$3:$F$482,$A23,'Resultater - Østdanmark'!H$3:H$482,"&lt;0"),0))</f>
        <v>0</v>
      </c>
      <c r="I23" s="196">
        <f>SUMIFS('Forbrug af biomasse'!$E$2:$E$425,'Forbrug af biomasse'!$C$2:$C$425,'Resultat-Produktion &amp; forbrug'!$A23,'Forbrug af biomasse'!$D$2:$D$425,'Resultat-Produktion &amp; forbrug'!$D23,'Forbrug af biomasse'!$A$2:$A$425,'Resultat-Produktion &amp; forbrug'!I$2,'Forbrug af biomasse'!$B$2:$B$425,$E23)</f>
        <v>0</v>
      </c>
      <c r="J23" s="196">
        <f>SUMIFS('Forbrug af biomasse'!$E$2:$E$425,'Forbrug af biomasse'!$C$2:$C$425,'Resultat-Produktion &amp; forbrug'!$A23,'Forbrug af biomasse'!$D$2:$D$425,'Resultat-Produktion &amp; forbrug'!$D23,'Forbrug af biomasse'!$A$2:$A$425,'Resultat-Produktion &amp; forbrug'!J$2,'Forbrug af biomasse'!$B$2:$B$425,$E23)</f>
        <v>0</v>
      </c>
      <c r="K23" s="196">
        <f>SUMIFS('Forbrug af biomasse'!$E$2:$E$425,'Forbrug af biomasse'!$C$2:$C$425,'Resultat-Produktion &amp; forbrug'!$A23,'Forbrug af biomasse'!$D$2:$D$425,'Resultat-Produktion &amp; forbrug'!$D23,'Forbrug af biomasse'!$A$2:$A$425,'Resultat-Produktion &amp; forbrug'!K$2,'Forbrug af biomasse'!$B$2:$B$425,$E23)</f>
        <v>0</v>
      </c>
      <c r="L23" s="196">
        <f>IF(A23&lt;&gt;"Biogas",SUMIFS('Forbrug af biomasse'!$E$2:$E$425,'Forbrug af biomasse'!$C$2:$C$425,'Resultat-Produktion &amp; forbrug'!$A23,'Forbrug af biomasse'!$D$2:$D$425,'Resultat-Produktion &amp; forbrug'!$D23,'Forbrug af biomasse'!$A$2:$A$425,'Resultat-Produktion &amp; forbrug'!L$2,'Forbrug af biomasse'!$B$2:$B$425,$E23),F23)</f>
        <v>0</v>
      </c>
      <c r="M23" s="158">
        <f>SUMIFS('Forbrug af biomasse'!E:E,'Forbrug af biomasse'!C:C,'Resultat-Produktion &amp; forbrug'!$A23,'Forbrug af biomasse'!D:D,'Resultat-Produktion &amp; forbrug'!$D23,'Forbrug af biomasse'!G:G,1,'Forbrug af biomasse'!B:B,$E23)</f>
        <v>0</v>
      </c>
      <c r="N23" s="205">
        <f t="shared" si="9"/>
        <v>765723.03528474667</v>
      </c>
      <c r="O23" s="196">
        <f t="shared" si="1"/>
        <v>0</v>
      </c>
      <c r="P23" s="206">
        <f t="shared" si="10"/>
        <v>0</v>
      </c>
      <c r="Q23" s="193">
        <f>IFERROR(VLOOKUP(A23,[1]Energiindhold!$A$2:$C$11,3,FALSE),IFERROR(VLOOKUP(A23,[1]Biogasudbytte!$A$2:$B$18,2,FALSE)*[1]Energiindhold!$C$10,0))*O23</f>
        <v>0</v>
      </c>
      <c r="R23" s="193">
        <f>IF(A23&lt;&gt;"Biogas",IFERROR(VLOOKUP(A23,[1]Biogasudbytte!$A$2:$B$18,2,FALSE)*[1]Energiindhold!$C$10,0)*J23*IFERROR(VLOOKUP(A23,Biogasanlæg!$F$3:$G$8,2,FALSE),1)+IFERROR(VLOOKUP(A23,[1]Energiindhold!$A$2:$C$11,3,FALSE),0)*L23+IF(D23&lt;&gt;År1,Q23,0),0)</f>
        <v>0</v>
      </c>
      <c r="S23" s="193">
        <f>IFERROR(VLOOKUP(A23,[1]Biogasudbytte!$A$2:$B$18,2,FALSE)*[1]Energiindhold!$C$10,0)*J23*IFERROR(VLOOKUP(A23,Biogasanlæg!$F$3:$G$8,2,FALSE),1)</f>
        <v>0</v>
      </c>
      <c r="T23" s="194">
        <f t="shared" si="11"/>
        <v>0</v>
      </c>
      <c r="U23" s="192">
        <f>O23*IFERROR(VLOOKUP(A23,[1]Tørstofindhold!A$2:B$25,2,FALSE),0)</f>
        <v>0</v>
      </c>
      <c r="V23" s="193">
        <f>IF(D23=År1,P23,SUM(O23,P23))*IFERROR(VLOOKUP(A23,[1]Tørstofindhold!A$2:B$25,2,FALSE),0)</f>
        <v>0</v>
      </c>
      <c r="W23" s="193">
        <f>J23*IFERROR(VLOOKUP(A23,[1]Tørstofindhold!A$2:B$25,2,FALSE),0)</f>
        <v>0</v>
      </c>
      <c r="X23" s="194">
        <f t="shared" si="12"/>
        <v>0</v>
      </c>
      <c r="Y23" s="172">
        <f t="shared" si="2"/>
        <v>0</v>
      </c>
      <c r="Z23" s="104">
        <f t="shared" si="3"/>
        <v>1</v>
      </c>
    </row>
    <row r="24" spans="1:26" hidden="1" x14ac:dyDescent="0.55000000000000004">
      <c r="A24" s="195" t="s">
        <v>12</v>
      </c>
      <c r="B24" s="195"/>
      <c r="C24" s="195">
        <f>IF(COUNTIFS('Resultater - Danmark'!$D$3:$D$482,'Resultat-Produktion &amp; forbrug'!A24,'Resultater - Danmark'!$A$3:$A$482,"Til energi")+COUNTIFS('Resultater - Danmark'!$D$3:$D$482,'Resultat-Produktion &amp; forbrug'!A24,'Resultater - Danmark'!$A$3:$A$482,"Biogasanlæg")&gt;0,1,0)</f>
        <v>0</v>
      </c>
      <c r="D24" s="195">
        <f t="shared" si="8"/>
        <v>2019</v>
      </c>
      <c r="E24" s="193" t="s">
        <v>23</v>
      </c>
      <c r="F24" s="196">
        <f>IF(E24="Vestdanmark",SUMIFS(IF(D24=År1,'Resultater - Vestdanmark'!H$3:H$482,IF(D24=År2,'Resultater - Vestdanmark'!I$3:I$482,'Resultater - Vestdanmark'!J$3:J$482)),'Resultater - Vestdanmark'!$F$3:$F$482,$A24,IF(D24=År1,'Resultater - Vestdanmark'!H$3:H$482,IF(D24=År2,'Resultater - Vestdanmark'!I$3:I$482,'Resultater - Vestdanmark'!J$3:J$482)),"&gt;0"),SUMIFS(IF(D24=År1,'Resultater - Østdanmark'!H$3:H$482,IF(D24=År2,'Resultater - Østdanmark'!I$3:I$482,'Resultater - Østdanmark'!J$3:J$482)),'Resultater - Østdanmark'!$F$3:$F$482,$A24,IF(D24=År1,'Resultater - Østdanmark'!H$3:H$482,IF(D24=År2,'Resultater - Østdanmark'!I$3:I$482,'Resultater - Østdanmark'!J$3:J$482)),"&gt;0"))</f>
        <v>2145904.0489790672</v>
      </c>
      <c r="G24" s="196">
        <f>SUMIFS('Forbrug af biomasse'!$E$2:$E$425,'Forbrug af biomasse'!$C$2:$C$425,'Resultat-Produktion &amp; forbrug'!$A24,'Forbrug af biomasse'!$D$2:$D$425,'Resultat-Produktion &amp; forbrug'!$D24,'Forbrug af biomasse'!$A$2:$A$425,'Resultat-Produktion &amp; forbrug'!G$2,'Forbrug af biomasse'!$B$2:$B$425,$E24)</f>
        <v>0</v>
      </c>
      <c r="H24" s="193">
        <f>IF(E24="Vestdanmark",-IF(A24="Halm",SUMIFS(IF(D24=År1,'Resultater - Vestdanmark'!H$3:H$482,IF(D24=År2,'Resultater - Vestdanmark'!I$3:I$482,'Resultater - Vestdanmark'!J$3:J$482)),'Resultater - Vestdanmark'!$F$3:$F$482,$A24,'Resultater - Vestdanmark'!H$3:H$482,"&lt;0"),0),-IF(A24="Halm",SUMIFS(IF(D24=År1,'Resultater - Østdanmark'!H$3:H$482,IF(D24=År2,'Resultater - Østdanmark'!I$3:I$482,'Resultater - Østdanmark'!J$3:J$482)),'Resultater - Østdanmark'!$F$3:$F$482,$A24,'Resultater - Østdanmark'!H$3:H$482,"&lt;0"),0))</f>
        <v>0</v>
      </c>
      <c r="I24" s="196">
        <f>SUMIFS('Forbrug af biomasse'!$E$2:$E$425,'Forbrug af biomasse'!$C$2:$C$425,'Resultat-Produktion &amp; forbrug'!$A24,'Forbrug af biomasse'!$D$2:$D$425,'Resultat-Produktion &amp; forbrug'!$D24,'Forbrug af biomasse'!$A$2:$A$425,'Resultat-Produktion &amp; forbrug'!I$2,'Forbrug af biomasse'!$B$2:$B$425,$E24)</f>
        <v>119523.03367046962</v>
      </c>
      <c r="J24" s="196">
        <f>SUMIFS('Forbrug af biomasse'!$E$2:$E$425,'Forbrug af biomasse'!$C$2:$C$425,'Resultat-Produktion &amp; forbrug'!$A24,'Forbrug af biomasse'!$D$2:$D$425,'Resultat-Produktion &amp; forbrug'!$D24,'Forbrug af biomasse'!$A$2:$A$425,'Resultat-Produktion &amp; forbrug'!J$2,'Forbrug af biomasse'!$B$2:$B$425,$E24)</f>
        <v>0</v>
      </c>
      <c r="K24" s="196">
        <f>SUMIFS('Forbrug af biomasse'!$E$2:$E$425,'Forbrug af biomasse'!$C$2:$C$425,'Resultat-Produktion &amp; forbrug'!$A24,'Forbrug af biomasse'!$D$2:$D$425,'Resultat-Produktion &amp; forbrug'!$D24,'Forbrug af biomasse'!$A$2:$A$425,'Resultat-Produktion &amp; forbrug'!K$2,'Forbrug af biomasse'!$B$2:$B$425,$E24)</f>
        <v>0</v>
      </c>
      <c r="L24" s="196">
        <f>IF(A24&lt;&gt;"Biogas",SUMIFS('Forbrug af biomasse'!$E$2:$E$425,'Forbrug af biomasse'!$C$2:$C$425,'Resultat-Produktion &amp; forbrug'!$A24,'Forbrug af biomasse'!$D$2:$D$425,'Resultat-Produktion &amp; forbrug'!$D24,'Forbrug af biomasse'!$A$2:$A$425,'Resultat-Produktion &amp; forbrug'!L$2,'Forbrug af biomasse'!$B$2:$B$425,$E24),F24)</f>
        <v>0</v>
      </c>
      <c r="M24" s="158">
        <f>SUMIFS('Forbrug af biomasse'!E:E,'Forbrug af biomasse'!C:C,'Resultat-Produktion &amp; forbrug'!$A24,'Forbrug af biomasse'!D:D,'Resultat-Produktion &amp; forbrug'!$D24,'Forbrug af biomasse'!G:G,1,'Forbrug af biomasse'!B:B,$E24)</f>
        <v>0</v>
      </c>
      <c r="N24" s="205">
        <f t="shared" si="9"/>
        <v>2026381.0153085976</v>
      </c>
      <c r="O24" s="196">
        <f t="shared" si="1"/>
        <v>0</v>
      </c>
      <c r="P24" s="206">
        <f t="shared" si="10"/>
        <v>0</v>
      </c>
      <c r="Q24" s="193">
        <f>IFERROR(VLOOKUP(A24,[1]Energiindhold!$A$2:$C$11,3,FALSE),IFERROR(VLOOKUP(A24,[1]Biogasudbytte!$A$2:$B$18,2,FALSE)*[1]Energiindhold!$C$10,0))*O24</f>
        <v>0</v>
      </c>
      <c r="R24" s="193">
        <f>IF(A24&lt;&gt;"Biogas",IFERROR(VLOOKUP(A24,[1]Biogasudbytte!$A$2:$B$18,2,FALSE)*[1]Energiindhold!$C$10,0)*J24*IFERROR(VLOOKUP(A24,Biogasanlæg!$F$3:$G$8,2,FALSE),1)+IFERROR(VLOOKUP(A24,[1]Energiindhold!$A$2:$C$11,3,FALSE),0)*L24+IF(D24&lt;&gt;År1,Q24,0),0)</f>
        <v>0</v>
      </c>
      <c r="S24" s="193">
        <f>IFERROR(VLOOKUP(A24,[1]Biogasudbytte!$A$2:$B$18,2,FALSE)*[1]Energiindhold!$C$10,0)*J24*IFERROR(VLOOKUP(A24,Biogasanlæg!$F$3:$G$8,2,FALSE),1)</f>
        <v>0</v>
      </c>
      <c r="T24" s="194">
        <f t="shared" si="11"/>
        <v>0</v>
      </c>
      <c r="U24" s="192">
        <f>O24*IFERROR(VLOOKUP(A24,[1]Tørstofindhold!A$2:B$25,2,FALSE),0)</f>
        <v>0</v>
      </c>
      <c r="V24" s="193">
        <f>IF(D24=År1,P24,SUM(O24,P24))*IFERROR(VLOOKUP(A24,[1]Tørstofindhold!A$2:B$25,2,FALSE),0)</f>
        <v>0</v>
      </c>
      <c r="W24" s="193">
        <f>J24*IFERROR(VLOOKUP(A24,[1]Tørstofindhold!A$2:B$25,2,FALSE),0)</f>
        <v>0</v>
      </c>
      <c r="X24" s="194">
        <f t="shared" si="12"/>
        <v>0</v>
      </c>
      <c r="Y24" s="172">
        <f t="shared" si="2"/>
        <v>0</v>
      </c>
      <c r="Z24" s="104">
        <f t="shared" si="3"/>
        <v>1</v>
      </c>
    </row>
    <row r="25" spans="1:26" hidden="1" x14ac:dyDescent="0.55000000000000004">
      <c r="A25" s="195" t="s">
        <v>48</v>
      </c>
      <c r="B25" s="195" t="s">
        <v>230</v>
      </c>
      <c r="C25" s="195">
        <f>IF(COUNTIFS('Resultater - Danmark'!$D$3:$D$482,'Resultat-Produktion &amp; forbrug'!A25,'Resultater - Danmark'!$A$3:$A$482,"Til energi")+COUNTIFS('Resultater - Danmark'!$D$3:$D$482,'Resultat-Produktion &amp; forbrug'!A25,'Resultater - Danmark'!$A$3:$A$482,"Biogasanlæg")&gt;0,1,0)</f>
        <v>1</v>
      </c>
      <c r="D25" s="195">
        <f t="shared" si="8"/>
        <v>2019</v>
      </c>
      <c r="E25" s="193" t="s">
        <v>23</v>
      </c>
      <c r="F25" s="196">
        <f>IF(E25="Vestdanmark",SUMIFS(IF(D25=År1,'Resultater - Vestdanmark'!H$3:H$482,IF(D25=År2,'Resultater - Vestdanmark'!I$3:I$482,'Resultater - Vestdanmark'!J$3:J$482)),'Resultater - Vestdanmark'!$F$3:$F$482,$A25,IF(D25=År1,'Resultater - Vestdanmark'!H$3:H$482,IF(D25=År2,'Resultater - Vestdanmark'!I$3:I$482,'Resultater - Vestdanmark'!J$3:J$482)),"&gt;0"),SUMIFS(IF(D25=År1,'Resultater - Østdanmark'!H$3:H$482,IF(D25=År2,'Resultater - Østdanmark'!I$3:I$482,'Resultater - Østdanmark'!J$3:J$482)),'Resultater - Østdanmark'!$F$3:$F$482,$A25,IF(D25=År1,'Resultater - Østdanmark'!H$3:H$482,IF(D25=År2,'Resultater - Østdanmark'!I$3:I$482,'Resultater - Østdanmark'!J$3:J$482)),"&gt;0"))</f>
        <v>6833990.0005322779</v>
      </c>
      <c r="G25" s="196">
        <f>SUMIFS('Forbrug af biomasse'!$E$2:$E$425,'Forbrug af biomasse'!$C$2:$C$425,'Resultat-Produktion &amp; forbrug'!$A25,'Forbrug af biomasse'!$D$2:$D$425,'Resultat-Produktion &amp; forbrug'!$D25,'Forbrug af biomasse'!$A$2:$A$425,'Resultat-Produktion &amp; forbrug'!G$2,'Forbrug af biomasse'!$B$2:$B$425,$E25)</f>
        <v>5879215.2019956242</v>
      </c>
      <c r="H25" s="193">
        <f>IF(E25="Vestdanmark",-IF(A25="Halm",SUMIFS(IF(D25=År1,'Resultater - Vestdanmark'!H$3:H$482,IF(D25=År2,'Resultater - Vestdanmark'!I$3:I$482,'Resultater - Vestdanmark'!J$3:J$482)),'Resultater - Vestdanmark'!$F$3:$F$482,$A25,'Resultater - Vestdanmark'!H$3:H$482,"&lt;0"),0),-IF(A25="Halm",SUMIFS(IF(D25=År1,'Resultater - Østdanmark'!H$3:H$482,IF(D25=År2,'Resultater - Østdanmark'!I$3:I$482,'Resultater - Østdanmark'!J$3:J$482)),'Resultater - Østdanmark'!$F$3:$F$482,$A25,'Resultater - Østdanmark'!H$3:H$482,"&lt;0"),0))</f>
        <v>0</v>
      </c>
      <c r="I25" s="196">
        <f>SUMIFS('Forbrug af biomasse'!$E$2:$E$425,'Forbrug af biomasse'!$C$2:$C$425,'Resultat-Produktion &amp; forbrug'!$A25,'Forbrug af biomasse'!$D$2:$D$425,'Resultat-Produktion &amp; forbrug'!$D25,'Forbrug af biomasse'!$A$2:$A$425,'Resultat-Produktion &amp; forbrug'!I$2,'Forbrug af biomasse'!$B$2:$B$425,$E25)</f>
        <v>286329.90483694919</v>
      </c>
      <c r="J25" s="196">
        <f>SUMIFS('Forbrug af biomasse'!$E$2:$E$425,'Forbrug af biomasse'!$C$2:$C$425,'Resultat-Produktion &amp; forbrug'!$A25,'Forbrug af biomasse'!$D$2:$D$425,'Resultat-Produktion &amp; forbrug'!$D25,'Forbrug af biomasse'!$A$2:$A$425,'Resultat-Produktion &amp; forbrug'!J$2,'Forbrug af biomasse'!$B$2:$B$425,$E25)</f>
        <v>2840.1853290986264</v>
      </c>
      <c r="K25" s="196">
        <f>SUMIFS('Forbrug af biomasse'!$E$2:$E$425,'Forbrug af biomasse'!$C$2:$C$425,'Resultat-Produktion &amp; forbrug'!$A25,'Forbrug af biomasse'!$D$2:$D$425,'Resultat-Produktion &amp; forbrug'!$D25,'Forbrug af biomasse'!$A$2:$A$425,'Resultat-Produktion &amp; forbrug'!K$2,'Forbrug af biomasse'!$B$2:$B$425,$E25)</f>
        <v>0</v>
      </c>
      <c r="L25" s="196">
        <f>IF(A25&lt;&gt;"Biogas",SUMIFS('Forbrug af biomasse'!$E$2:$E$425,'Forbrug af biomasse'!$C$2:$C$425,'Resultat-Produktion &amp; forbrug'!$A25,'Forbrug af biomasse'!$D$2:$D$425,'Resultat-Produktion &amp; forbrug'!$D25,'Forbrug af biomasse'!$A$2:$A$425,'Resultat-Produktion &amp; forbrug'!L$2,'Forbrug af biomasse'!$B$2:$B$425,$E25),F25)</f>
        <v>0</v>
      </c>
      <c r="M25" s="158">
        <f>SUMIFS('Forbrug af biomasse'!E:E,'Forbrug af biomasse'!C:C,'Resultat-Produktion &amp; forbrug'!$A25,'Forbrug af biomasse'!D:D,'Resultat-Produktion &amp; forbrug'!$D25,'Forbrug af biomasse'!G:G,1,'Forbrug af biomasse'!B:B,$E25)</f>
        <v>0</v>
      </c>
      <c r="N25" s="205">
        <f t="shared" si="9"/>
        <v>665604.70837060641</v>
      </c>
      <c r="O25" s="196">
        <f t="shared" si="1"/>
        <v>665604.70837060641</v>
      </c>
      <c r="P25" s="206">
        <f t="shared" si="10"/>
        <v>2840.1853290986264</v>
      </c>
      <c r="Q25" s="193">
        <f>IFERROR(VLOOKUP(A25,[1]Energiindhold!$A$2:$C$11,3,FALSE),IFERROR(VLOOKUP(A25,[1]Biogasudbytte!$A$2:$B$18,2,FALSE)*[1]Energiindhold!$C$10,0))*O25</f>
        <v>2.2796029415101553</v>
      </c>
      <c r="R25" s="193">
        <f>IF(A25&lt;&gt;"Biogas",IFERROR(VLOOKUP(A25,[1]Biogasudbytte!$A$2:$B$18,2,FALSE)*[1]Energiindhold!$C$10,0)*J25*IFERROR(VLOOKUP(A25,Biogasanlæg!$F$3:$G$8,2,FALSE),1)+IFERROR(VLOOKUP(A25,[1]Energiindhold!$A$2:$C$11,3,FALSE),0)*L25+IF(D25&lt;&gt;År1,Q25,0),0)</f>
        <v>9.7272371262167243E-3</v>
      </c>
      <c r="S25" s="193">
        <f>IFERROR(VLOOKUP(A25,[1]Biogasudbytte!$A$2:$B$18,2,FALSE)*[1]Energiindhold!$C$10,0)*J25*IFERROR(VLOOKUP(A25,Biogasanlæg!$F$3:$G$8,2,FALSE),1)</f>
        <v>9.7272371262167243E-3</v>
      </c>
      <c r="T25" s="194">
        <f t="shared" si="11"/>
        <v>0</v>
      </c>
      <c r="U25" s="192">
        <f>O25*IFERROR(VLOOKUP(A25,[1]Tørstofindhold!A$2:B$25,2,FALSE),0)</f>
        <v>206337.459594888</v>
      </c>
      <c r="V25" s="193">
        <f>IF(D25=År1,P25,SUM(O25,P25))*IFERROR(VLOOKUP(A25,[1]Tørstofindhold!A$2:B$25,2,FALSE),0)</f>
        <v>880.45745202057424</v>
      </c>
      <c r="W25" s="193">
        <f>J25*IFERROR(VLOOKUP(A25,[1]Tørstofindhold!A$2:B$25,2,FALSE),0)</f>
        <v>880.45745202057424</v>
      </c>
      <c r="X25" s="194">
        <f t="shared" si="12"/>
        <v>0</v>
      </c>
      <c r="Y25" s="172">
        <f t="shared" si="2"/>
        <v>0</v>
      </c>
      <c r="Z25" s="104">
        <f t="shared" si="3"/>
        <v>1</v>
      </c>
    </row>
    <row r="26" spans="1:26" hidden="1" x14ac:dyDescent="0.55000000000000004">
      <c r="A26" s="195" t="s">
        <v>116</v>
      </c>
      <c r="B26" s="195"/>
      <c r="C26" s="195">
        <f>IF(COUNTIFS('Resultater - Danmark'!$D$3:$D$482,'Resultat-Produktion &amp; forbrug'!A26,'Resultater - Danmark'!$A$3:$A$482,"Til energi")+COUNTIFS('Resultater - Danmark'!$D$3:$D$482,'Resultat-Produktion &amp; forbrug'!A26,'Resultater - Danmark'!$A$3:$A$482,"Biogasanlæg")&gt;0,1,0)</f>
        <v>0</v>
      </c>
      <c r="D26" s="195">
        <f t="shared" si="8"/>
        <v>2019</v>
      </c>
      <c r="E26" s="193" t="s">
        <v>23</v>
      </c>
      <c r="F26" s="196">
        <f>IF(E26="Vestdanmark",SUMIFS(IF(D26=År1,'Resultater - Vestdanmark'!H$3:H$482,IF(D26=År2,'Resultater - Vestdanmark'!I$3:I$482,'Resultater - Vestdanmark'!J$3:J$482)),'Resultater - Vestdanmark'!$F$3:$F$482,$A26,IF(D26=År1,'Resultater - Vestdanmark'!H$3:H$482,IF(D26=År2,'Resultater - Vestdanmark'!I$3:I$482,'Resultater - Vestdanmark'!J$3:J$482)),"&gt;0"),SUMIFS(IF(D26=År1,'Resultater - Østdanmark'!H$3:H$482,IF(D26=År2,'Resultater - Østdanmark'!I$3:I$482,'Resultater - Østdanmark'!J$3:J$482)),'Resultater - Østdanmark'!$F$3:$F$482,$A26,IF(D26=År1,'Resultater - Østdanmark'!H$3:H$482,IF(D26=År2,'Resultater - Østdanmark'!I$3:I$482,'Resultater - Østdanmark'!J$3:J$482)),"&gt;0"))</f>
        <v>0</v>
      </c>
      <c r="G26" s="196">
        <f>SUMIFS('Forbrug af biomasse'!$E$2:$E$425,'Forbrug af biomasse'!$C$2:$C$425,'Resultat-Produktion &amp; forbrug'!$A26,'Forbrug af biomasse'!$D$2:$D$425,'Resultat-Produktion &amp; forbrug'!$D26,'Forbrug af biomasse'!$A$2:$A$425,'Resultat-Produktion &amp; forbrug'!G$2,'Forbrug af biomasse'!$B$2:$B$425,$E26)</f>
        <v>0</v>
      </c>
      <c r="H26" s="193">
        <f>IF(E26="Vestdanmark",-IF(A26="Halm",SUMIFS(IF(D26=År1,'Resultater - Vestdanmark'!H$3:H$482,IF(D26=År2,'Resultater - Vestdanmark'!I$3:I$482,'Resultater - Vestdanmark'!J$3:J$482)),'Resultater - Vestdanmark'!$F$3:$F$482,$A26,'Resultater - Vestdanmark'!H$3:H$482,"&lt;0"),0),-IF(A26="Halm",SUMIFS(IF(D26=År1,'Resultater - Østdanmark'!H$3:H$482,IF(D26=År2,'Resultater - Østdanmark'!I$3:I$482,'Resultater - Østdanmark'!J$3:J$482)),'Resultater - Østdanmark'!$F$3:$F$482,$A26,'Resultater - Østdanmark'!H$3:H$482,"&lt;0"),0))</f>
        <v>0</v>
      </c>
      <c r="I26" s="196">
        <f>SUMIFS('Forbrug af biomasse'!$E$2:$E$425,'Forbrug af biomasse'!$C$2:$C$425,'Resultat-Produktion &amp; forbrug'!$A26,'Forbrug af biomasse'!$D$2:$D$425,'Resultat-Produktion &amp; forbrug'!$D26,'Forbrug af biomasse'!$A$2:$A$425,'Resultat-Produktion &amp; forbrug'!I$2,'Forbrug af biomasse'!$B$2:$B$425,$E26)</f>
        <v>0</v>
      </c>
      <c r="J26" s="196">
        <f>SUMIFS('Forbrug af biomasse'!$E$2:$E$425,'Forbrug af biomasse'!$C$2:$C$425,'Resultat-Produktion &amp; forbrug'!$A26,'Forbrug af biomasse'!$D$2:$D$425,'Resultat-Produktion &amp; forbrug'!$D26,'Forbrug af biomasse'!$A$2:$A$425,'Resultat-Produktion &amp; forbrug'!J$2,'Forbrug af biomasse'!$B$2:$B$425,$E26)</f>
        <v>0</v>
      </c>
      <c r="K26" s="196">
        <f ca="1">SUMIFS('Forbrug af biomasse'!$E$2:$E$425,'Forbrug af biomasse'!$C$2:$C$425,'Resultat-Produktion &amp; forbrug'!$A26,'Forbrug af biomasse'!$D$2:$D$425,'Resultat-Produktion &amp; forbrug'!$D26,'Forbrug af biomasse'!$A$2:$A$425,'Resultat-Produktion &amp; forbrug'!K$2,'Forbrug af biomasse'!$B$2:$B$425,$E26)</f>
        <v>720643.40546424</v>
      </c>
      <c r="L26" s="196">
        <f>IF(A26&lt;&gt;"Biogas",SUMIFS('Forbrug af biomasse'!$E$2:$E$425,'Forbrug af biomasse'!$C$2:$C$425,'Resultat-Produktion &amp; forbrug'!$A26,'Forbrug af biomasse'!$D$2:$D$425,'Resultat-Produktion &amp; forbrug'!$D26,'Forbrug af biomasse'!$A$2:$A$425,'Resultat-Produktion &amp; forbrug'!L$2,'Forbrug af biomasse'!$B$2:$B$425,$E26),F26)</f>
        <v>0</v>
      </c>
      <c r="M26" s="158">
        <f>SUMIFS('Forbrug af biomasse'!E:E,'Forbrug af biomasse'!C:C,'Resultat-Produktion &amp; forbrug'!$A26,'Forbrug af biomasse'!D:D,'Resultat-Produktion &amp; forbrug'!$D26,'Forbrug af biomasse'!G:G,1,'Forbrug af biomasse'!B:B,$E26)</f>
        <v>0</v>
      </c>
      <c r="N26" s="205">
        <f t="shared" ca="1" si="9"/>
        <v>-720643.40546424</v>
      </c>
      <c r="O26" s="196">
        <f t="shared" si="1"/>
        <v>0</v>
      </c>
      <c r="P26" s="206">
        <f t="shared" si="10"/>
        <v>0</v>
      </c>
      <c r="Q26" s="193">
        <f>IFERROR(VLOOKUP(A26,[1]Energiindhold!$A$2:$C$11,3,FALSE),IFERROR(VLOOKUP(A26,[1]Biogasudbytte!$A$2:$B$18,2,FALSE)*[1]Energiindhold!$C$10,0))*O26</f>
        <v>0</v>
      </c>
      <c r="R26" s="193">
        <f>IF(A26&lt;&gt;"Biogas",IFERROR(VLOOKUP(A26,[1]Biogasudbytte!$A$2:$B$18,2,FALSE)*[1]Energiindhold!$C$10,0)*J26*IFERROR(VLOOKUP(A26,Biogasanlæg!$F$3:$G$8,2,FALSE),1)+IFERROR(VLOOKUP(A26,[1]Energiindhold!$A$2:$C$11,3,FALSE),0)*L26+IF(D26&lt;&gt;År1,Q26,0),0)</f>
        <v>0</v>
      </c>
      <c r="S26" s="193">
        <f>IFERROR(VLOOKUP(A26,[1]Biogasudbytte!$A$2:$B$18,2,FALSE)*[1]Energiindhold!$C$10,0)*J26*IFERROR(VLOOKUP(A26,Biogasanlæg!$F$3:$G$8,2,FALSE),1)</f>
        <v>0</v>
      </c>
      <c r="T26" s="194">
        <f t="shared" si="11"/>
        <v>0</v>
      </c>
      <c r="U26" s="192">
        <f>O26*IFERROR(VLOOKUP(A26,[1]Tørstofindhold!A$2:B$25,2,FALSE),0)</f>
        <v>0</v>
      </c>
      <c r="V26" s="193">
        <f>IF(D26=År1,P26,SUM(O26,P26))*IFERROR(VLOOKUP(A26,[1]Tørstofindhold!A$2:B$25,2,FALSE),0)</f>
        <v>0</v>
      </c>
      <c r="W26" s="193">
        <f>J26*IFERROR(VLOOKUP(A26,[1]Tørstofindhold!A$2:B$25,2,FALSE),0)</f>
        <v>0</v>
      </c>
      <c r="X26" s="194">
        <f t="shared" si="12"/>
        <v>0</v>
      </c>
      <c r="Y26" s="172">
        <f t="shared" ca="1" si="2"/>
        <v>1</v>
      </c>
      <c r="Z26" s="104">
        <f t="shared" ca="1" si="3"/>
        <v>0</v>
      </c>
    </row>
    <row r="27" spans="1:26" hidden="1" x14ac:dyDescent="0.55000000000000004">
      <c r="A27" s="195" t="s">
        <v>137</v>
      </c>
      <c r="B27" s="195" t="s">
        <v>225</v>
      </c>
      <c r="C27" s="195">
        <f>IF(COUNTIFS('Resultater - Danmark'!$D$3:$D$482,'Resultat-Produktion &amp; forbrug'!A27,'Resultater - Danmark'!$A$3:$A$482,"Til energi")+COUNTIFS('Resultater - Danmark'!$D$3:$D$482,'Resultat-Produktion &amp; forbrug'!A27,'Resultater - Danmark'!$A$3:$A$482,"Biogasanlæg")&gt;0,1,0)</f>
        <v>1</v>
      </c>
      <c r="D27" s="195">
        <f t="shared" si="8"/>
        <v>2019</v>
      </c>
      <c r="E27" s="193" t="s">
        <v>23</v>
      </c>
      <c r="F27" s="196">
        <f>IF(E27="Vestdanmark",SUMIFS(IF(D27=År1,'Resultater - Vestdanmark'!H$3:H$482,IF(D27=År2,'Resultater - Vestdanmark'!I$3:I$482,'Resultater - Vestdanmark'!J$3:J$482)),'Resultater - Vestdanmark'!$F$3:$F$482,$A27,IF(D27=År1,'Resultater - Vestdanmark'!H$3:H$482,IF(D27=År2,'Resultater - Vestdanmark'!I$3:I$482,'Resultater - Vestdanmark'!J$3:J$482)),"&gt;0"),SUMIFS(IF(D27=År1,'Resultater - Østdanmark'!H$3:H$482,IF(D27=År2,'Resultater - Østdanmark'!I$3:I$482,'Resultater - Østdanmark'!J$3:J$482)),'Resultater - Østdanmark'!$F$3:$F$482,$A27,IF(D27=År1,'Resultater - Østdanmark'!H$3:H$482,IF(D27=År2,'Resultater - Østdanmark'!I$3:I$482,'Resultater - Østdanmark'!J$3:J$482)),"&gt;0"))</f>
        <v>13124915.780770566</v>
      </c>
      <c r="G27" s="196">
        <f>SUMIFS('Forbrug af biomasse'!$E$2:$E$425,'Forbrug af biomasse'!$C$2:$C$425,'Resultat-Produktion &amp; forbrug'!$A27,'Forbrug af biomasse'!$D$2:$D$425,'Resultat-Produktion &amp; forbrug'!$D27,'Forbrug af biomasse'!$A$2:$A$425,'Resultat-Produktion &amp; forbrug'!G$2,'Forbrug af biomasse'!$B$2:$B$425,$E27)</f>
        <v>0</v>
      </c>
      <c r="H27" s="193">
        <f>IF(E27="Vestdanmark",-IF(A27="Halm",SUMIFS(IF(D27=År1,'Resultater - Vestdanmark'!H$3:H$482,IF(D27=År2,'Resultater - Vestdanmark'!I$3:I$482,'Resultater - Vestdanmark'!J$3:J$482)),'Resultater - Vestdanmark'!$F$3:$F$482,$A27,'Resultater - Vestdanmark'!H$3:H$482,"&lt;0"),0),-IF(A27="Halm",SUMIFS(IF(D27=År1,'Resultater - Østdanmark'!H$3:H$482,IF(D27=År2,'Resultater - Østdanmark'!I$3:I$482,'Resultater - Østdanmark'!J$3:J$482)),'Resultater - Østdanmark'!$F$3:$F$482,$A27,'Resultater - Østdanmark'!H$3:H$482,"&lt;0"),0))</f>
        <v>0</v>
      </c>
      <c r="I27" s="196">
        <f>SUMIFS('Forbrug af biomasse'!$E$2:$E$425,'Forbrug af biomasse'!$C$2:$C$425,'Resultat-Produktion &amp; forbrug'!$A27,'Forbrug af biomasse'!$D$2:$D$425,'Resultat-Produktion &amp; forbrug'!$D27,'Forbrug af biomasse'!$A$2:$A$425,'Resultat-Produktion &amp; forbrug'!I$2,'Forbrug af biomasse'!$B$2:$B$425,$E27)</f>
        <v>0</v>
      </c>
      <c r="J27" s="196">
        <f>SUMIFS('Forbrug af biomasse'!$E$2:$E$425,'Forbrug af biomasse'!$C$2:$C$425,'Resultat-Produktion &amp; forbrug'!$A27,'Forbrug af biomasse'!$D$2:$D$425,'Resultat-Produktion &amp; forbrug'!$D27,'Forbrug af biomasse'!$A$2:$A$425,'Resultat-Produktion &amp; forbrug'!J$2,'Forbrug af biomasse'!$B$2:$B$425,$E27)</f>
        <v>4066864.6068164087</v>
      </c>
      <c r="K27" s="196">
        <f>SUMIFS('Forbrug af biomasse'!$E$2:$E$425,'Forbrug af biomasse'!$C$2:$C$425,'Resultat-Produktion &amp; forbrug'!$A27,'Forbrug af biomasse'!$D$2:$D$425,'Resultat-Produktion &amp; forbrug'!$D27,'Forbrug af biomasse'!$A$2:$A$425,'Resultat-Produktion &amp; forbrug'!K$2,'Forbrug af biomasse'!$B$2:$B$425,$E27)</f>
        <v>6000958.9027446285</v>
      </c>
      <c r="L27" s="196">
        <f>IF(A27&lt;&gt;"Biogas",SUMIFS('Forbrug af biomasse'!$E$2:$E$425,'Forbrug af biomasse'!$C$2:$C$425,'Resultat-Produktion &amp; forbrug'!$A27,'Forbrug af biomasse'!$D$2:$D$425,'Resultat-Produktion &amp; forbrug'!$D27,'Forbrug af biomasse'!$A$2:$A$425,'Resultat-Produktion &amp; forbrug'!L$2,'Forbrug af biomasse'!$B$2:$B$425,$E27),F27)</f>
        <v>0</v>
      </c>
      <c r="M27" s="158">
        <f>SUMIFS('Forbrug af biomasse'!E:E,'Forbrug af biomasse'!C:C,'Resultat-Produktion &amp; forbrug'!$A27,'Forbrug af biomasse'!D:D,'Resultat-Produktion &amp; forbrug'!$D27,'Forbrug af biomasse'!G:G,1,'Forbrug af biomasse'!B:B,$E27)</f>
        <v>0</v>
      </c>
      <c r="N27" s="205">
        <f t="shared" si="9"/>
        <v>3057092.2712095287</v>
      </c>
      <c r="O27" s="196">
        <f t="shared" si="1"/>
        <v>3057092.2712095287</v>
      </c>
      <c r="P27" s="206">
        <f t="shared" si="10"/>
        <v>4066864.6068164087</v>
      </c>
      <c r="Q27" s="193">
        <f>IFERROR(VLOOKUP(A27,[1]Energiindhold!$A$2:$C$11,3,FALSE),IFERROR(VLOOKUP(A27,[1]Biogasudbytte!$A$2:$B$18,2,FALSE)*[1]Energiindhold!$C$10,0))*O27</f>
        <v>1.5474695367635516</v>
      </c>
      <c r="R27" s="193">
        <f>IF(A27&lt;&gt;"Biogas",IFERROR(VLOOKUP(A27,[1]Biogasudbytte!$A$2:$B$18,2,FALSE)*[1]Energiindhold!$C$10,0)*J27*IFERROR(VLOOKUP(A27,Biogasanlæg!$F$3:$G$8,2,FALSE),1)+IFERROR(VLOOKUP(A27,[1]Energiindhold!$A$2:$C$11,3,FALSE),0)*L27+IF(D27&lt;&gt;År1,Q27,0),0)</f>
        <v>2.0586061953243981</v>
      </c>
      <c r="S27" s="193">
        <f>IFERROR(VLOOKUP(A27,[1]Biogasudbytte!$A$2:$B$18,2,FALSE)*[1]Energiindhold!$C$10,0)*J27*IFERROR(VLOOKUP(A27,Biogasanlæg!$F$3:$G$8,2,FALSE),1)</f>
        <v>2.0586061953243981</v>
      </c>
      <c r="T27" s="194">
        <f t="shared" si="11"/>
        <v>0</v>
      </c>
      <c r="U27" s="192">
        <f>O27*IFERROR(VLOOKUP(A27,[1]Tørstofindhold!A$2:B$25,2,FALSE),0)</f>
        <v>232339.01261192418</v>
      </c>
      <c r="V27" s="193">
        <f>IF(D27=År1,P27,SUM(O27,P27))*IFERROR(VLOOKUP(A27,[1]Tørstofindhold!A$2:B$25,2,FALSE),0)</f>
        <v>309081.71011804708</v>
      </c>
      <c r="W27" s="193">
        <f>J27*IFERROR(VLOOKUP(A27,[1]Tørstofindhold!A$2:B$25,2,FALSE),0)</f>
        <v>309081.71011804708</v>
      </c>
      <c r="X27" s="194">
        <f t="shared" si="12"/>
        <v>0</v>
      </c>
      <c r="Y27" s="172">
        <f t="shared" si="2"/>
        <v>0</v>
      </c>
      <c r="Z27" s="104">
        <f t="shared" si="3"/>
        <v>1</v>
      </c>
    </row>
    <row r="28" spans="1:26" hidden="1" x14ac:dyDescent="0.55000000000000004">
      <c r="A28" s="195" t="s">
        <v>109</v>
      </c>
      <c r="B28" s="195"/>
      <c r="C28" s="195">
        <f>IF(COUNTIFS('Resultater - Danmark'!$D$3:$D$482,'Resultat-Produktion &amp; forbrug'!A28,'Resultater - Danmark'!$A$3:$A$482,"Til energi")+COUNTIFS('Resultater - Danmark'!$D$3:$D$482,'Resultat-Produktion &amp; forbrug'!A28,'Resultater - Danmark'!$A$3:$A$482,"Biogasanlæg")&gt;0,1,0)</f>
        <v>0</v>
      </c>
      <c r="D28" s="195">
        <f t="shared" si="8"/>
        <v>2019</v>
      </c>
      <c r="E28" s="193" t="s">
        <v>23</v>
      </c>
      <c r="F28" s="196">
        <f>IF(E28="Vestdanmark",SUMIFS(IF(D28=År1,'Resultater - Vestdanmark'!H$3:H$482,IF(D28=År2,'Resultater - Vestdanmark'!I$3:I$482,'Resultater - Vestdanmark'!J$3:J$482)),'Resultater - Vestdanmark'!$F$3:$F$482,$A28,IF(D28=År1,'Resultater - Vestdanmark'!H$3:H$482,IF(D28=År2,'Resultater - Vestdanmark'!I$3:I$482,'Resultater - Vestdanmark'!J$3:J$482)),"&gt;0"),SUMIFS(IF(D28=År1,'Resultater - Østdanmark'!H$3:H$482,IF(D28=År2,'Resultater - Østdanmark'!I$3:I$482,'Resultater - Østdanmark'!J$3:J$482)),'Resultater - Østdanmark'!$F$3:$F$482,$A28,IF(D28=År1,'Resultater - Østdanmark'!H$3:H$482,IF(D28=År2,'Resultater - Østdanmark'!I$3:I$482,'Resultater - Østdanmark'!J$3:J$482)),"&gt;0"))</f>
        <v>1638157.7192038004</v>
      </c>
      <c r="G28" s="196">
        <f>SUMIFS('Forbrug af biomasse'!$E$2:$E$425,'Forbrug af biomasse'!$C$2:$C$425,'Resultat-Produktion &amp; forbrug'!$A28,'Forbrug af biomasse'!$D$2:$D$425,'Resultat-Produktion &amp; forbrug'!$D28,'Forbrug af biomasse'!$A$2:$A$425,'Resultat-Produktion &amp; forbrug'!G$2,'Forbrug af biomasse'!$B$2:$B$425,$E28)</f>
        <v>1515714.1736670118</v>
      </c>
      <c r="H28" s="193">
        <f>IF(E28="Vestdanmark",-IF(A28="Halm",SUMIFS(IF(D28=År1,'Resultater - Vestdanmark'!H$3:H$482,IF(D28=År2,'Resultater - Vestdanmark'!I$3:I$482,'Resultater - Vestdanmark'!J$3:J$482)),'Resultater - Vestdanmark'!$F$3:$F$482,$A28,'Resultater - Vestdanmark'!H$3:H$482,"&lt;0"),0),-IF(A28="Halm",SUMIFS(IF(D28=År1,'Resultater - Østdanmark'!H$3:H$482,IF(D28=År2,'Resultater - Østdanmark'!I$3:I$482,'Resultater - Østdanmark'!J$3:J$482)),'Resultater - Østdanmark'!$F$3:$F$482,$A28,'Resultater - Østdanmark'!H$3:H$482,"&lt;0"),0))</f>
        <v>0</v>
      </c>
      <c r="I28" s="196">
        <f>SUMIFS('Forbrug af biomasse'!$E$2:$E$425,'Forbrug af biomasse'!$C$2:$C$425,'Resultat-Produktion &amp; forbrug'!$A28,'Forbrug af biomasse'!$D$2:$D$425,'Resultat-Produktion &amp; forbrug'!$D28,'Forbrug af biomasse'!$A$2:$A$425,'Resultat-Produktion &amp; forbrug'!I$2,'Forbrug af biomasse'!$B$2:$B$425,$E28)</f>
        <v>0</v>
      </c>
      <c r="J28" s="196">
        <f>SUMIFS('Forbrug af biomasse'!$E$2:$E$425,'Forbrug af biomasse'!$C$2:$C$425,'Resultat-Produktion &amp; forbrug'!$A28,'Forbrug af biomasse'!$D$2:$D$425,'Resultat-Produktion &amp; forbrug'!$D28,'Forbrug af biomasse'!$A$2:$A$425,'Resultat-Produktion &amp; forbrug'!J$2,'Forbrug af biomasse'!$B$2:$B$425,$E28)</f>
        <v>0</v>
      </c>
      <c r="K28" s="196">
        <f>SUMIFS('Forbrug af biomasse'!$E$2:$E$425,'Forbrug af biomasse'!$C$2:$C$425,'Resultat-Produktion &amp; forbrug'!$A28,'Forbrug af biomasse'!$D$2:$D$425,'Resultat-Produktion &amp; forbrug'!$D28,'Forbrug af biomasse'!$A$2:$A$425,'Resultat-Produktion &amp; forbrug'!K$2,'Forbrug af biomasse'!$B$2:$B$425,$E28)</f>
        <v>0</v>
      </c>
      <c r="L28" s="196">
        <f>IF(A28&lt;&gt;"Biogas",SUMIFS('Forbrug af biomasse'!$E$2:$E$425,'Forbrug af biomasse'!$C$2:$C$425,'Resultat-Produktion &amp; forbrug'!$A28,'Forbrug af biomasse'!$D$2:$D$425,'Resultat-Produktion &amp; forbrug'!$D28,'Forbrug af biomasse'!$A$2:$A$425,'Resultat-Produktion &amp; forbrug'!L$2,'Forbrug af biomasse'!$B$2:$B$425,$E28),F28)</f>
        <v>0</v>
      </c>
      <c r="M28" s="158">
        <f>SUMIFS('Forbrug af biomasse'!E:E,'Forbrug af biomasse'!C:C,'Resultat-Produktion &amp; forbrug'!$A28,'Forbrug af biomasse'!D:D,'Resultat-Produktion &amp; forbrug'!$D28,'Forbrug af biomasse'!G:G,1,'Forbrug af biomasse'!B:B,$E28)</f>
        <v>0</v>
      </c>
      <c r="N28" s="205">
        <f t="shared" si="9"/>
        <v>122443.54553678865</v>
      </c>
      <c r="O28" s="196">
        <f t="shared" si="1"/>
        <v>0</v>
      </c>
      <c r="P28" s="206">
        <f t="shared" si="10"/>
        <v>0</v>
      </c>
      <c r="Q28" s="193">
        <f>IFERROR(VLOOKUP(A28,[1]Energiindhold!$A$2:$C$11,3,FALSE),IFERROR(VLOOKUP(A28,[1]Biogasudbytte!$A$2:$B$18,2,FALSE)*[1]Energiindhold!$C$10,0))*O28</f>
        <v>0</v>
      </c>
      <c r="R28" s="193">
        <f>IF(A28&lt;&gt;"Biogas",IFERROR(VLOOKUP(A28,[1]Biogasudbytte!$A$2:$B$18,2,FALSE)*[1]Energiindhold!$C$10,0)*J28*IFERROR(VLOOKUP(A28,Biogasanlæg!$F$3:$G$8,2,FALSE),1)+IFERROR(VLOOKUP(A28,[1]Energiindhold!$A$2:$C$11,3,FALSE),0)*L28+IF(D28&lt;&gt;År1,Q28,0),0)</f>
        <v>0</v>
      </c>
      <c r="S28" s="193">
        <f>IFERROR(VLOOKUP(A28,[1]Biogasudbytte!$A$2:$B$18,2,FALSE)*[1]Energiindhold!$C$10,0)*J28*IFERROR(VLOOKUP(A28,Biogasanlæg!$F$3:$G$8,2,FALSE),1)</f>
        <v>0</v>
      </c>
      <c r="T28" s="194">
        <f t="shared" si="11"/>
        <v>0</v>
      </c>
      <c r="U28" s="192">
        <f>O28*IFERROR(VLOOKUP(A28,[1]Tørstofindhold!A$2:B$25,2,FALSE),0)</f>
        <v>0</v>
      </c>
      <c r="V28" s="193">
        <f>IF(D28=År1,P28,SUM(O28,P28))*IFERROR(VLOOKUP(A28,[1]Tørstofindhold!A$2:B$25,2,FALSE),0)</f>
        <v>0</v>
      </c>
      <c r="W28" s="193">
        <f>J28*IFERROR(VLOOKUP(A28,[1]Tørstofindhold!A$2:B$25,2,FALSE),0)</f>
        <v>0</v>
      </c>
      <c r="X28" s="194">
        <f t="shared" si="12"/>
        <v>0</v>
      </c>
      <c r="Y28" s="172">
        <f t="shared" si="2"/>
        <v>0</v>
      </c>
      <c r="Z28" s="104">
        <f t="shared" si="3"/>
        <v>1</v>
      </c>
    </row>
    <row r="29" spans="1:26" hidden="1" x14ac:dyDescent="0.55000000000000004">
      <c r="A29" s="193" t="s">
        <v>53</v>
      </c>
      <c r="B29" s="195" t="s">
        <v>227</v>
      </c>
      <c r="C29" s="195">
        <f>IF(COUNTIFS('Resultater - Danmark'!$D$3:$D$482,'Resultat-Produktion &amp; forbrug'!A29,'Resultater - Danmark'!$A$3:$A$482,"Til energi")+COUNTIFS('Resultater - Danmark'!$D$3:$D$482,'Resultat-Produktion &amp; forbrug'!A29,'Resultater - Danmark'!$A$3:$A$482,"Biogasanlæg")&gt;0,1,0)</f>
        <v>1</v>
      </c>
      <c r="D29" s="195">
        <f t="shared" si="8"/>
        <v>2019</v>
      </c>
      <c r="E29" s="193" t="s">
        <v>23</v>
      </c>
      <c r="F29" s="196">
        <f>IF(E29="Vestdanmark",SUMIFS(IF(D29=År1,'Resultater - Vestdanmark'!H$3:H$482,IF(D29=År2,'Resultater - Vestdanmark'!I$3:I$482,'Resultater - Vestdanmark'!J$3:J$482)),'Resultater - Vestdanmark'!$F$3:$F$482,$A29,IF(D29=År1,'Resultater - Vestdanmark'!H$3:H$482,IF(D29=År2,'Resultater - Vestdanmark'!I$3:I$482,'Resultater - Vestdanmark'!J$3:J$482)),"&gt;0"),SUMIFS(IF(D29=År1,'Resultater - Østdanmark'!H$3:H$482,IF(D29=År2,'Resultater - Østdanmark'!I$3:I$482,'Resultater - Østdanmark'!J$3:J$482)),'Resultater - Østdanmark'!$F$3:$F$482,$A29,IF(D29=År1,'Resultater - Østdanmark'!H$3:H$482,IF(D29=År2,'Resultater - Østdanmark'!I$3:I$482,'Resultater - Østdanmark'!J$3:J$482)),"&gt;0"))</f>
        <v>7581538.5357748987</v>
      </c>
      <c r="G29" s="196">
        <f>SUMIFS('Forbrug af biomasse'!$E$2:$E$425,'Forbrug af biomasse'!$C$2:$C$425,'Resultat-Produktion &amp; forbrug'!$A29,'Forbrug af biomasse'!$D$2:$D$425,'Resultat-Produktion &amp; forbrug'!$D29,'Forbrug af biomasse'!$A$2:$A$425,'Resultat-Produktion &amp; forbrug'!G$2,'Forbrug af biomasse'!$B$2:$B$425,$E29)</f>
        <v>5657053.7864699634</v>
      </c>
      <c r="H29" s="193">
        <f>IF(E29="Vestdanmark",-IF(A29="Halm",SUMIFS(IF(D29=År1,'Resultater - Vestdanmark'!H$3:H$482,IF(D29=År2,'Resultater - Vestdanmark'!I$3:I$482,'Resultater - Vestdanmark'!J$3:J$482)),'Resultater - Vestdanmark'!$F$3:$F$482,$A29,'Resultater - Vestdanmark'!H$3:H$482,"&lt;0"),0),-IF(A29="Halm",SUMIFS(IF(D29=År1,'Resultater - Østdanmark'!H$3:H$482,IF(D29=År2,'Resultater - Østdanmark'!I$3:I$482,'Resultater - Østdanmark'!J$3:J$482)),'Resultater - Østdanmark'!$F$3:$F$482,$A29,'Resultater - Østdanmark'!H$3:H$482,"&lt;0"),0))</f>
        <v>0</v>
      </c>
      <c r="I29" s="196">
        <f>SUMIFS('Forbrug af biomasse'!$E$2:$E$425,'Forbrug af biomasse'!$C$2:$C$425,'Resultat-Produktion &amp; forbrug'!$A29,'Forbrug af biomasse'!$D$2:$D$425,'Resultat-Produktion &amp; forbrug'!$D29,'Forbrug af biomasse'!$A$2:$A$425,'Resultat-Produktion &amp; forbrug'!I$2,'Forbrug af biomasse'!$B$2:$B$425,$E29)</f>
        <v>0</v>
      </c>
      <c r="J29" s="196">
        <f>SUMIFS('Forbrug af biomasse'!$E$2:$E$425,'Forbrug af biomasse'!$C$2:$C$425,'Resultat-Produktion &amp; forbrug'!$A29,'Forbrug af biomasse'!$D$2:$D$425,'Resultat-Produktion &amp; forbrug'!$D29,'Forbrug af biomasse'!$A$2:$A$425,'Resultat-Produktion &amp; forbrug'!J$2,'Forbrug af biomasse'!$B$2:$B$425,$E29)</f>
        <v>314821.43493156106</v>
      </c>
      <c r="K29" s="196">
        <f>SUMIFS('Forbrug af biomasse'!$E$2:$E$425,'Forbrug af biomasse'!$C$2:$C$425,'Resultat-Produktion &amp; forbrug'!$A29,'Forbrug af biomasse'!$D$2:$D$425,'Resultat-Produktion &amp; forbrug'!$D29,'Forbrug af biomasse'!$A$2:$A$425,'Resultat-Produktion &amp; forbrug'!K$2,'Forbrug af biomasse'!$B$2:$B$425,$E29)</f>
        <v>0</v>
      </c>
      <c r="L29" s="196">
        <f>IF(A29&lt;&gt;"Biogas",SUMIFS('Forbrug af biomasse'!$E$2:$E$425,'Forbrug af biomasse'!$C$2:$C$425,'Resultat-Produktion &amp; forbrug'!$A29,'Forbrug af biomasse'!$D$2:$D$425,'Resultat-Produktion &amp; forbrug'!$D29,'Forbrug af biomasse'!$A$2:$A$425,'Resultat-Produktion &amp; forbrug'!L$2,'Forbrug af biomasse'!$B$2:$B$425,$E29),F29)</f>
        <v>0</v>
      </c>
      <c r="M29" s="158">
        <f>SUMIFS('Forbrug af biomasse'!E:E,'Forbrug af biomasse'!C:C,'Resultat-Produktion &amp; forbrug'!$A29,'Forbrug af biomasse'!D:D,'Resultat-Produktion &amp; forbrug'!$D29,'Forbrug af biomasse'!G:G,1,'Forbrug af biomasse'!B:B,$E29)</f>
        <v>0</v>
      </c>
      <c r="N29" s="205">
        <f t="shared" si="9"/>
        <v>1609663.314373374</v>
      </c>
      <c r="O29" s="196">
        <f t="shared" si="1"/>
        <v>1266262.2462674922</v>
      </c>
      <c r="P29" s="206">
        <f t="shared" si="10"/>
        <v>314821.43493156106</v>
      </c>
      <c r="Q29" s="193">
        <f>IFERROR(VLOOKUP(A29,[1]Energiindhold!$A$2:$C$11,3,FALSE),IFERROR(VLOOKUP(A29,[1]Biogasudbytte!$A$2:$B$18,2,FALSE)*[1]Energiindhold!$C$10,0))*O29</f>
        <v>4.5458814641002974</v>
      </c>
      <c r="R29" s="193">
        <f>IF(A29&lt;&gt;"Biogas",IFERROR(VLOOKUP(A29,[1]Biogasudbytte!$A$2:$B$18,2,FALSE)*[1]Energiindhold!$C$10,0)*J29*IFERROR(VLOOKUP(A29,Biogasanlæg!$F$3:$G$8,2,FALSE),1)+IFERROR(VLOOKUP(A29,[1]Energiindhold!$A$2:$C$11,3,FALSE),0)*L29+IF(D29&lt;&gt;År1,Q29,0),0)</f>
        <v>1.1302089514043043</v>
      </c>
      <c r="S29" s="193">
        <f>IFERROR(VLOOKUP(A29,[1]Biogasudbytte!$A$2:$B$18,2,FALSE)*[1]Energiindhold!$C$10,0)*J29*IFERROR(VLOOKUP(A29,Biogasanlæg!$F$3:$G$8,2,FALSE),1)</f>
        <v>1.1302089514043043</v>
      </c>
      <c r="T29" s="194">
        <f t="shared" si="11"/>
        <v>0</v>
      </c>
      <c r="U29" s="192">
        <f>O29*IFERROR(VLOOKUP(A29,[1]Tørstofindhold!A$2:B$25,2,FALSE),0)</f>
        <v>379878.67388024763</v>
      </c>
      <c r="V29" s="193">
        <f>IF(D29=År1,P29,SUM(O29,P29))*IFERROR(VLOOKUP(A29,[1]Tørstofindhold!A$2:B$25,2,FALSE),0)</f>
        <v>94446.430479468312</v>
      </c>
      <c r="W29" s="193">
        <f>J29*IFERROR(VLOOKUP(A29,[1]Tørstofindhold!A$2:B$25,2,FALSE),0)</f>
        <v>94446.430479468312</v>
      </c>
      <c r="X29" s="194">
        <f t="shared" si="12"/>
        <v>0</v>
      </c>
      <c r="Y29" s="172">
        <f t="shared" si="2"/>
        <v>0</v>
      </c>
      <c r="Z29" s="104">
        <f t="shared" si="3"/>
        <v>1</v>
      </c>
    </row>
    <row r="30" spans="1:26" hidden="1" x14ac:dyDescent="0.55000000000000004">
      <c r="A30" s="195" t="s">
        <v>117</v>
      </c>
      <c r="B30" s="195"/>
      <c r="C30" s="195">
        <f>IF(COUNTIFS('Resultater - Danmark'!$D$3:$D$482,'Resultat-Produktion &amp; forbrug'!A30,'Resultater - Danmark'!$A$3:$A$482,"Til energi")+COUNTIFS('Resultater - Danmark'!$D$3:$D$482,'Resultat-Produktion &amp; forbrug'!A30,'Resultater - Danmark'!$A$3:$A$482,"Biogasanlæg")&gt;0,1,0)</f>
        <v>0</v>
      </c>
      <c r="D30" s="195">
        <f t="shared" si="8"/>
        <v>2019</v>
      </c>
      <c r="E30" s="193" t="s">
        <v>23</v>
      </c>
      <c r="F30" s="196">
        <f>IF(E30="Vestdanmark",SUMIFS(IF(D30=År1,'Resultater - Vestdanmark'!H$3:H$482,IF(D30=År2,'Resultater - Vestdanmark'!I$3:I$482,'Resultater - Vestdanmark'!J$3:J$482)),'Resultater - Vestdanmark'!$F$3:$F$482,$A30,IF(D30=År1,'Resultater - Vestdanmark'!H$3:H$482,IF(D30=År2,'Resultater - Vestdanmark'!I$3:I$482,'Resultater - Vestdanmark'!J$3:J$482)),"&gt;0"),SUMIFS(IF(D30=År1,'Resultater - Østdanmark'!H$3:H$482,IF(D30=År2,'Resultater - Østdanmark'!I$3:I$482,'Resultater - Østdanmark'!J$3:J$482)),'Resultater - Østdanmark'!$F$3:$F$482,$A30,IF(D30=År1,'Resultater - Østdanmark'!H$3:H$482,IF(D30=År2,'Resultater - Østdanmark'!I$3:I$482,'Resultater - Østdanmark'!J$3:J$482)),"&gt;0"))</f>
        <v>3160794.2116654618</v>
      </c>
      <c r="G30" s="196">
        <f>SUMIFS('Forbrug af biomasse'!$E$2:$E$425,'Forbrug af biomasse'!$C$2:$C$425,'Resultat-Produktion &amp; forbrug'!$A30,'Forbrug af biomasse'!$D$2:$D$425,'Resultat-Produktion &amp; forbrug'!$D30,'Forbrug af biomasse'!$A$2:$A$425,'Resultat-Produktion &amp; forbrug'!G$2,'Forbrug af biomasse'!$B$2:$B$425,$E30)</f>
        <v>0</v>
      </c>
      <c r="H30" s="193">
        <f>IF(E30="Vestdanmark",-IF(A30="Halm",SUMIFS(IF(D30=År1,'Resultater - Vestdanmark'!H$3:H$482,IF(D30=År2,'Resultater - Vestdanmark'!I$3:I$482,'Resultater - Vestdanmark'!J$3:J$482)),'Resultater - Vestdanmark'!$F$3:$F$482,$A30,'Resultater - Vestdanmark'!H$3:H$482,"&lt;0"),0),-IF(A30="Halm",SUMIFS(IF(D30=År1,'Resultater - Østdanmark'!H$3:H$482,IF(D30=År2,'Resultater - Østdanmark'!I$3:I$482,'Resultater - Østdanmark'!J$3:J$482)),'Resultater - Østdanmark'!$F$3:$F$482,$A30,'Resultater - Østdanmark'!H$3:H$482,"&lt;0"),0))</f>
        <v>0</v>
      </c>
      <c r="I30" s="196">
        <f>SUMIFS('Forbrug af biomasse'!$E$2:$E$425,'Forbrug af biomasse'!$C$2:$C$425,'Resultat-Produktion &amp; forbrug'!$A30,'Forbrug af biomasse'!$D$2:$D$425,'Resultat-Produktion &amp; forbrug'!$D30,'Forbrug af biomasse'!$A$2:$A$425,'Resultat-Produktion &amp; forbrug'!I$2,'Forbrug af biomasse'!$B$2:$B$425,$E30)</f>
        <v>457077.09579476295</v>
      </c>
      <c r="J30" s="196">
        <f>SUMIFS('Forbrug af biomasse'!$E$2:$E$425,'Forbrug af biomasse'!$C$2:$C$425,'Resultat-Produktion &amp; forbrug'!$A30,'Forbrug af biomasse'!$D$2:$D$425,'Resultat-Produktion &amp; forbrug'!$D30,'Forbrug af biomasse'!$A$2:$A$425,'Resultat-Produktion &amp; forbrug'!J$2,'Forbrug af biomasse'!$B$2:$B$425,$E30)</f>
        <v>0</v>
      </c>
      <c r="K30" s="196">
        <f>SUMIFS('Forbrug af biomasse'!$E$2:$E$425,'Forbrug af biomasse'!$C$2:$C$425,'Resultat-Produktion &amp; forbrug'!$A30,'Forbrug af biomasse'!$D$2:$D$425,'Resultat-Produktion &amp; forbrug'!$D30,'Forbrug af biomasse'!$A$2:$A$425,'Resultat-Produktion &amp; forbrug'!K$2,'Forbrug af biomasse'!$B$2:$B$425,$E30)</f>
        <v>0</v>
      </c>
      <c r="L30" s="196">
        <f>IF(A30&lt;&gt;"Biogas",SUMIFS('Forbrug af biomasse'!$E$2:$E$425,'Forbrug af biomasse'!$C$2:$C$425,'Resultat-Produktion &amp; forbrug'!$A30,'Forbrug af biomasse'!$D$2:$D$425,'Resultat-Produktion &amp; forbrug'!$D30,'Forbrug af biomasse'!$A$2:$A$425,'Resultat-Produktion &amp; forbrug'!L$2,'Forbrug af biomasse'!$B$2:$B$425,$E30),F30)</f>
        <v>0</v>
      </c>
      <c r="M30" s="158">
        <f>SUMIFS('Forbrug af biomasse'!E:E,'Forbrug af biomasse'!C:C,'Resultat-Produktion &amp; forbrug'!$A30,'Forbrug af biomasse'!D:D,'Resultat-Produktion &amp; forbrug'!$D30,'Forbrug af biomasse'!G:G,1,'Forbrug af biomasse'!B:B,$E30)</f>
        <v>0</v>
      </c>
      <c r="N30" s="205">
        <f t="shared" si="9"/>
        <v>2703717.1158706988</v>
      </c>
      <c r="O30" s="196">
        <f t="shared" si="1"/>
        <v>0</v>
      </c>
      <c r="P30" s="206">
        <f t="shared" si="10"/>
        <v>0</v>
      </c>
      <c r="Q30" s="193">
        <f>IFERROR(VLOOKUP(A30,[1]Energiindhold!$A$2:$C$11,3,FALSE),IFERROR(VLOOKUP(A30,[1]Biogasudbytte!$A$2:$B$18,2,FALSE)*[1]Energiindhold!$C$10,0))*O30</f>
        <v>0</v>
      </c>
      <c r="R30" s="193">
        <f>IF(A30&lt;&gt;"Biogas",IFERROR(VLOOKUP(A30,[1]Biogasudbytte!$A$2:$B$18,2,FALSE)*[1]Energiindhold!$C$10,0)*J30*IFERROR(VLOOKUP(A30,Biogasanlæg!$F$3:$G$8,2,FALSE),1)+IFERROR(VLOOKUP(A30,[1]Energiindhold!$A$2:$C$11,3,FALSE),0)*L30+IF(D30&lt;&gt;År1,Q30,0),0)</f>
        <v>0</v>
      </c>
      <c r="S30" s="193">
        <f>IFERROR(VLOOKUP(A30,[1]Biogasudbytte!$A$2:$B$18,2,FALSE)*[1]Energiindhold!$C$10,0)*J30*IFERROR(VLOOKUP(A30,Biogasanlæg!$F$3:$G$8,2,FALSE),1)</f>
        <v>0</v>
      </c>
      <c r="T30" s="194">
        <f t="shared" si="11"/>
        <v>0</v>
      </c>
      <c r="U30" s="192">
        <f>O30*IFERROR(VLOOKUP(A30,[1]Tørstofindhold!A$2:B$25,2,FALSE),0)</f>
        <v>0</v>
      </c>
      <c r="V30" s="193">
        <f>IF(D30=År1,P30,SUM(O30,P30))*IFERROR(VLOOKUP(A30,[1]Tørstofindhold!A$2:B$25,2,FALSE),0)</f>
        <v>0</v>
      </c>
      <c r="W30" s="193">
        <f>J30*IFERROR(VLOOKUP(A30,[1]Tørstofindhold!A$2:B$25,2,FALSE),0)</f>
        <v>0</v>
      </c>
      <c r="X30" s="194">
        <f t="shared" si="12"/>
        <v>0</v>
      </c>
      <c r="Y30" s="172">
        <f t="shared" si="2"/>
        <v>0</v>
      </c>
      <c r="Z30" s="104">
        <f t="shared" si="3"/>
        <v>1</v>
      </c>
    </row>
    <row r="31" spans="1:26" x14ac:dyDescent="0.55000000000000004">
      <c r="A31" s="195" t="s">
        <v>107</v>
      </c>
      <c r="B31" s="195" t="s">
        <v>229</v>
      </c>
      <c r="C31" s="195">
        <f>IF(COUNTIFS('Resultater - Danmark'!$D$3:$D$482,'Resultat-Produktion &amp; forbrug'!A31,'Resultater - Danmark'!$A$3:$A$482,"Til energi")+COUNTIFS('Resultater - Danmark'!$D$3:$D$482,'Resultat-Produktion &amp; forbrug'!A31,'Resultater - Danmark'!$A$3:$A$482,"Biogasanlæg")&gt;0,1,0)</f>
        <v>1</v>
      </c>
      <c r="D31" s="195">
        <f t="shared" si="8"/>
        <v>2019</v>
      </c>
      <c r="E31" s="193" t="s">
        <v>23</v>
      </c>
      <c r="F31" s="196">
        <f>IF(E31="Vestdanmark",SUMIFS(IF(D31=År1,'Resultater - Vestdanmark'!H$3:H$482,IF(D31=År2,'Resultater - Vestdanmark'!I$3:I$482,'Resultater - Vestdanmark'!J$3:J$482)),'Resultater - Vestdanmark'!$F$3:$F$482,$A31,IF(D31=År1,'Resultater - Vestdanmark'!H$3:H$482,IF(D31=År2,'Resultater - Vestdanmark'!I$3:I$482,'Resultater - Vestdanmark'!J$3:J$482)),"&gt;0"),SUMIFS(IF(D31=År1,'Resultater - Østdanmark'!H$3:H$482,IF(D31=År2,'Resultater - Østdanmark'!I$3:I$482,'Resultater - Østdanmark'!J$3:J$482)),'Resultater - Østdanmark'!$F$3:$F$482,$A31,IF(D31=År1,'Resultater - Østdanmark'!H$3:H$482,IF(D31=År2,'Resultater - Østdanmark'!I$3:I$482,'Resultater - Østdanmark'!J$3:J$482)),"&gt;0"))</f>
        <v>878.90231344976178</v>
      </c>
      <c r="G31" s="196">
        <f>SUMIFS('Forbrug af biomasse'!$E$2:$E$425,'Forbrug af biomasse'!$C$2:$C$425,'Resultat-Produktion &amp; forbrug'!$A31,'Forbrug af biomasse'!$D$2:$D$425,'Resultat-Produktion &amp; forbrug'!$D31,'Forbrug af biomasse'!$A$2:$A$425,'Resultat-Produktion &amp; forbrug'!G$2,'Forbrug af biomasse'!$B$2:$B$425,$E31)</f>
        <v>0</v>
      </c>
      <c r="H31" s="193">
        <f>IF(E31="Vestdanmark",-IF(A31="Halm",SUMIFS(IF(D31=År1,'Resultater - Vestdanmark'!H$3:H$482,IF(D31=År2,'Resultater - Vestdanmark'!I$3:I$482,'Resultater - Vestdanmark'!J$3:J$482)),'Resultater - Vestdanmark'!$F$3:$F$482,$A31,'Resultater - Vestdanmark'!H$3:H$482,"&lt;0"),0),-IF(A31="Halm",SUMIFS(IF(D31=År1,'Resultater - Østdanmark'!H$3:H$482,IF(D31=År2,'Resultater - Østdanmark'!I$3:I$482,'Resultater - Østdanmark'!J$3:J$482)),'Resultater - Østdanmark'!$F$3:$F$482,$A31,'Resultater - Østdanmark'!H$3:H$482,"&lt;0"),0))</f>
        <v>0</v>
      </c>
      <c r="I31" s="196">
        <f>SUMIFS('Forbrug af biomasse'!$E$2:$E$425,'Forbrug af biomasse'!$C$2:$C$425,'Resultat-Produktion &amp; forbrug'!$A31,'Forbrug af biomasse'!$D$2:$D$425,'Resultat-Produktion &amp; forbrug'!$D31,'Forbrug af biomasse'!$A$2:$A$425,'Resultat-Produktion &amp; forbrug'!I$2,'Forbrug af biomasse'!$B$2:$B$425,$E31)</f>
        <v>0</v>
      </c>
      <c r="J31" s="196">
        <f>SUMIFS('Forbrug af biomasse'!$E$2:$E$425,'Forbrug af biomasse'!$C$2:$C$425,'Resultat-Produktion &amp; forbrug'!$A31,'Forbrug af biomasse'!$D$2:$D$425,'Resultat-Produktion &amp; forbrug'!$D31,'Forbrug af biomasse'!$A$2:$A$425,'Resultat-Produktion &amp; forbrug'!J$2,'Forbrug af biomasse'!$B$2:$B$425,$E31)</f>
        <v>0</v>
      </c>
      <c r="K31" s="196">
        <f>SUMIFS('Forbrug af biomasse'!$E$2:$E$425,'Forbrug af biomasse'!$C$2:$C$425,'Resultat-Produktion &amp; forbrug'!$A31,'Forbrug af biomasse'!$D$2:$D$425,'Resultat-Produktion &amp; forbrug'!$D31,'Forbrug af biomasse'!$A$2:$A$425,'Resultat-Produktion &amp; forbrug'!K$2,'Forbrug af biomasse'!$B$2:$B$425,$E31)</f>
        <v>0</v>
      </c>
      <c r="L31" s="196">
        <f>IF(A31&lt;&gt;"Biogas",SUMIFS('Forbrug af biomasse'!$E$2:$E$425,'Forbrug af biomasse'!$C$2:$C$425,'Resultat-Produktion &amp; forbrug'!$A31,'Forbrug af biomasse'!$D$2:$D$425,'Resultat-Produktion &amp; forbrug'!$D31,'Forbrug af biomasse'!$A$2:$A$425,'Resultat-Produktion &amp; forbrug'!L$2,'Forbrug af biomasse'!$B$2:$B$425,$E31),F31)</f>
        <v>0</v>
      </c>
      <c r="M31" s="158">
        <f>SUMIFS('Forbrug af biomasse'!E:E,'Forbrug af biomasse'!C:C,'Resultat-Produktion &amp; forbrug'!$A31,'Forbrug af biomasse'!D:D,'Resultat-Produktion &amp; forbrug'!$D31,'Forbrug af biomasse'!G:G,1,'Forbrug af biomasse'!B:B,$E31)</f>
        <v>0</v>
      </c>
      <c r="N31" s="205">
        <f t="shared" si="9"/>
        <v>878.90231344976178</v>
      </c>
      <c r="O31" s="196">
        <f t="shared" si="1"/>
        <v>878.90231344976178</v>
      </c>
      <c r="P31" s="206">
        <f t="shared" si="10"/>
        <v>0</v>
      </c>
      <c r="Q31" s="193">
        <f>IFERROR(VLOOKUP(A31,[1]Energiindhold!$A$2:$C$11,3,FALSE),IFERROR(VLOOKUP(A31,[1]Biogasudbytte!$A$2:$B$18,2,FALSE)*[1]Energiindhold!$C$10,0))*O31</f>
        <v>7.8881482632116122E-4</v>
      </c>
      <c r="R31" s="193">
        <f>IF(A31&lt;&gt;"Biogas",IFERROR(VLOOKUP(A31,[1]Biogasudbytte!$A$2:$B$18,2,FALSE)*[1]Energiindhold!$C$10,0)*J31*IFERROR(VLOOKUP(A31,Biogasanlæg!$F$3:$G$8,2,FALSE),1)+IFERROR(VLOOKUP(A31,[1]Energiindhold!$A$2:$C$11,3,FALSE),0)*L31+IF(D31&lt;&gt;År1,Q31,0),0)</f>
        <v>0</v>
      </c>
      <c r="S31" s="193">
        <f>IFERROR(VLOOKUP(A31,[1]Biogasudbytte!$A$2:$B$18,2,FALSE)*[1]Energiindhold!$C$10,0)*J31*IFERROR(VLOOKUP(A31,Biogasanlæg!$F$3:$G$8,2,FALSE),1)</f>
        <v>0</v>
      </c>
      <c r="T31" s="194">
        <f t="shared" si="11"/>
        <v>0</v>
      </c>
      <c r="U31" s="192">
        <f>O31*IFERROR(VLOOKUP(A31,[1]Tørstofindhold!A$2:B$25,2,FALSE),0)</f>
        <v>131.83534701746427</v>
      </c>
      <c r="V31" s="193">
        <f>IF(D31=År1,P31,SUM(O31,P31))*IFERROR(VLOOKUP(A31,[1]Tørstofindhold!A$2:B$25,2,FALSE),0)</f>
        <v>0</v>
      </c>
      <c r="W31" s="193">
        <f>J31*IFERROR(VLOOKUP(A31,[1]Tørstofindhold!A$2:B$25,2,FALSE),0)</f>
        <v>0</v>
      </c>
      <c r="X31" s="194">
        <f t="shared" si="12"/>
        <v>0</v>
      </c>
      <c r="Y31" s="172">
        <f t="shared" si="2"/>
        <v>0</v>
      </c>
      <c r="Z31" s="104">
        <f t="shared" si="3"/>
        <v>1</v>
      </c>
    </row>
    <row r="32" spans="1:26" hidden="1" x14ac:dyDescent="0.55000000000000004">
      <c r="A32" s="195" t="s">
        <v>14</v>
      </c>
      <c r="B32" s="195"/>
      <c r="C32" s="195">
        <f>IF(COUNTIFS('Resultater - Danmark'!$D$3:$D$482,'Resultat-Produktion &amp; forbrug'!A32,'Resultater - Danmark'!$A$3:$A$482,"Til energi")+COUNTIFS('Resultater - Danmark'!$D$3:$D$482,'Resultat-Produktion &amp; forbrug'!A32,'Resultater - Danmark'!$A$3:$A$482,"Biogasanlæg")&gt;0,1,0)</f>
        <v>0</v>
      </c>
      <c r="D32" s="195">
        <f t="shared" si="8"/>
        <v>2019</v>
      </c>
      <c r="E32" s="193" t="s">
        <v>23</v>
      </c>
      <c r="F32" s="196">
        <f>IF(E32="Vestdanmark",SUMIFS(IF(D32=År1,'Resultater - Vestdanmark'!H$3:H$482,IF(D32=År2,'Resultater - Vestdanmark'!I$3:I$482,'Resultater - Vestdanmark'!J$3:J$482)),'Resultater - Vestdanmark'!$F$3:$F$482,$A32,IF(D32=År1,'Resultater - Vestdanmark'!H$3:H$482,IF(D32=År2,'Resultater - Vestdanmark'!I$3:I$482,'Resultater - Vestdanmark'!J$3:J$482)),"&gt;0"),SUMIFS(IF(D32=År1,'Resultater - Østdanmark'!H$3:H$482,IF(D32=År2,'Resultater - Østdanmark'!I$3:I$482,'Resultater - Østdanmark'!J$3:J$482)),'Resultater - Østdanmark'!$F$3:$F$482,$A32,IF(D32=År1,'Resultater - Østdanmark'!H$3:H$482,IF(D32=År2,'Resultater - Østdanmark'!I$3:I$482,'Resultater - Østdanmark'!J$3:J$482)),"&gt;0"))</f>
        <v>108094.85577035608</v>
      </c>
      <c r="G32" s="196">
        <f>SUMIFS('Forbrug af biomasse'!$E$2:$E$425,'Forbrug af biomasse'!$C$2:$C$425,'Resultat-Produktion &amp; forbrug'!$A32,'Forbrug af biomasse'!$D$2:$D$425,'Resultat-Produktion &amp; forbrug'!$D32,'Forbrug af biomasse'!$A$2:$A$425,'Resultat-Produktion &amp; forbrug'!G$2,'Forbrug af biomasse'!$B$2:$B$425,$E32)</f>
        <v>0</v>
      </c>
      <c r="H32" s="193">
        <f>IF(E32="Vestdanmark",-IF(A32="Halm",SUMIFS(IF(D32=År1,'Resultater - Vestdanmark'!H$3:H$482,IF(D32=År2,'Resultater - Vestdanmark'!I$3:I$482,'Resultater - Vestdanmark'!J$3:J$482)),'Resultater - Vestdanmark'!$F$3:$F$482,$A32,'Resultater - Vestdanmark'!H$3:H$482,"&lt;0"),0),-IF(A32="Halm",SUMIFS(IF(D32=År1,'Resultater - Østdanmark'!H$3:H$482,IF(D32=År2,'Resultater - Østdanmark'!I$3:I$482,'Resultater - Østdanmark'!J$3:J$482)),'Resultater - Østdanmark'!$F$3:$F$482,$A32,'Resultater - Østdanmark'!H$3:H$482,"&lt;0"),0))</f>
        <v>0</v>
      </c>
      <c r="I32" s="196">
        <f>SUMIFS('Forbrug af biomasse'!$E$2:$E$425,'Forbrug af biomasse'!$C$2:$C$425,'Resultat-Produktion &amp; forbrug'!$A32,'Forbrug af biomasse'!$D$2:$D$425,'Resultat-Produktion &amp; forbrug'!$D32,'Forbrug af biomasse'!$A$2:$A$425,'Resultat-Produktion &amp; forbrug'!I$2,'Forbrug af biomasse'!$B$2:$B$425,$E32)</f>
        <v>58080.313724265572</v>
      </c>
      <c r="J32" s="196">
        <f>SUMIFS('Forbrug af biomasse'!$E$2:$E$425,'Forbrug af biomasse'!$C$2:$C$425,'Resultat-Produktion &amp; forbrug'!$A32,'Forbrug af biomasse'!$D$2:$D$425,'Resultat-Produktion &amp; forbrug'!$D32,'Forbrug af biomasse'!$A$2:$A$425,'Resultat-Produktion &amp; forbrug'!J$2,'Forbrug af biomasse'!$B$2:$B$425,$E32)</f>
        <v>0</v>
      </c>
      <c r="K32" s="196">
        <f>SUMIFS('Forbrug af biomasse'!$E$2:$E$425,'Forbrug af biomasse'!$C$2:$C$425,'Resultat-Produktion &amp; forbrug'!$A32,'Forbrug af biomasse'!$D$2:$D$425,'Resultat-Produktion &amp; forbrug'!$D32,'Forbrug af biomasse'!$A$2:$A$425,'Resultat-Produktion &amp; forbrug'!K$2,'Forbrug af biomasse'!$B$2:$B$425,$E32)</f>
        <v>0</v>
      </c>
      <c r="L32" s="196">
        <f>IF(A32&lt;&gt;"Biogas",SUMIFS('Forbrug af biomasse'!$E$2:$E$425,'Forbrug af biomasse'!$C$2:$C$425,'Resultat-Produktion &amp; forbrug'!$A32,'Forbrug af biomasse'!$D$2:$D$425,'Resultat-Produktion &amp; forbrug'!$D32,'Forbrug af biomasse'!$A$2:$A$425,'Resultat-Produktion &amp; forbrug'!L$2,'Forbrug af biomasse'!$B$2:$B$425,$E32),F32)</f>
        <v>0</v>
      </c>
      <c r="M32" s="158">
        <f>SUMIFS('Forbrug af biomasse'!E:E,'Forbrug af biomasse'!C:C,'Resultat-Produktion &amp; forbrug'!$A32,'Forbrug af biomasse'!D:D,'Resultat-Produktion &amp; forbrug'!$D32,'Forbrug af biomasse'!G:G,1,'Forbrug af biomasse'!B:B,$E32)</f>
        <v>0</v>
      </c>
      <c r="N32" s="205">
        <f t="shared" si="9"/>
        <v>50014.542046090508</v>
      </c>
      <c r="O32" s="196">
        <f t="shared" si="1"/>
        <v>0</v>
      </c>
      <c r="P32" s="206">
        <f t="shared" si="10"/>
        <v>0</v>
      </c>
      <c r="Q32" s="193">
        <f>IFERROR(VLOOKUP(A32,[1]Energiindhold!$A$2:$C$11,3,FALSE),IFERROR(VLOOKUP(A32,[1]Biogasudbytte!$A$2:$B$18,2,FALSE)*[1]Energiindhold!$C$10,0))*O32</f>
        <v>0</v>
      </c>
      <c r="R32" s="193">
        <f>IF(A32&lt;&gt;"Biogas",IFERROR(VLOOKUP(A32,[1]Biogasudbytte!$A$2:$B$18,2,FALSE)*[1]Energiindhold!$C$10,0)*J32*IFERROR(VLOOKUP(A32,Biogasanlæg!$F$3:$G$8,2,FALSE),1)+IFERROR(VLOOKUP(A32,[1]Energiindhold!$A$2:$C$11,3,FALSE),0)*L32+IF(D32&lt;&gt;År1,Q32,0),0)</f>
        <v>0</v>
      </c>
      <c r="S32" s="193">
        <f>IFERROR(VLOOKUP(A32,[1]Biogasudbytte!$A$2:$B$18,2,FALSE)*[1]Energiindhold!$C$10,0)*J32*IFERROR(VLOOKUP(A32,Biogasanlæg!$F$3:$G$8,2,FALSE),1)</f>
        <v>0</v>
      </c>
      <c r="T32" s="194">
        <f t="shared" si="11"/>
        <v>0</v>
      </c>
      <c r="U32" s="192">
        <f>O32*IFERROR(VLOOKUP(A32,[1]Tørstofindhold!A$2:B$25,2,FALSE),0)</f>
        <v>0</v>
      </c>
      <c r="V32" s="193">
        <f>IF(D32=År1,P32,SUM(O32,P32))*IFERROR(VLOOKUP(A32,[1]Tørstofindhold!A$2:B$25,2,FALSE),0)</f>
        <v>0</v>
      </c>
      <c r="W32" s="193">
        <f>J32*IFERROR(VLOOKUP(A32,[1]Tørstofindhold!A$2:B$25,2,FALSE),0)</f>
        <v>0</v>
      </c>
      <c r="X32" s="194">
        <f t="shared" si="12"/>
        <v>0</v>
      </c>
      <c r="Y32" s="172">
        <f t="shared" si="2"/>
        <v>0</v>
      </c>
      <c r="Z32" s="104">
        <f t="shared" si="3"/>
        <v>1</v>
      </c>
    </row>
    <row r="33" spans="1:26" hidden="1" x14ac:dyDescent="0.55000000000000004">
      <c r="A33" s="195" t="s">
        <v>55</v>
      </c>
      <c r="B33" s="195"/>
      <c r="C33" s="195">
        <f>IF(COUNTIFS('Resultater - Danmark'!$D$3:$D$482,'Resultat-Produktion &amp; forbrug'!A33,'Resultater - Danmark'!$A$3:$A$482,"Til energi")+COUNTIFS('Resultater - Danmark'!$D$3:$D$482,'Resultat-Produktion &amp; forbrug'!A33,'Resultater - Danmark'!$A$3:$A$482,"Biogasanlæg")&gt;0,1,0)</f>
        <v>0</v>
      </c>
      <c r="D33" s="195">
        <f t="shared" si="8"/>
        <v>2019</v>
      </c>
      <c r="E33" s="193" t="s">
        <v>23</v>
      </c>
      <c r="F33" s="196">
        <f>IF(E33="Vestdanmark",SUMIFS(IF(D33=År1,'Resultater - Vestdanmark'!H$3:H$482,IF(D33=År2,'Resultater - Vestdanmark'!I$3:I$482,'Resultater - Vestdanmark'!J$3:J$482)),'Resultater - Vestdanmark'!$F$3:$F$482,$A33,IF(D33=År1,'Resultater - Vestdanmark'!H$3:H$482,IF(D33=År2,'Resultater - Vestdanmark'!I$3:I$482,'Resultater - Vestdanmark'!J$3:J$482)),"&gt;0"),SUMIFS(IF(D33=År1,'Resultater - Østdanmark'!H$3:H$482,IF(D33=År2,'Resultater - Østdanmark'!I$3:I$482,'Resultater - Østdanmark'!J$3:J$482)),'Resultater - Østdanmark'!$F$3:$F$482,$A33,IF(D33=År1,'Resultater - Østdanmark'!H$3:H$482,IF(D33=År2,'Resultater - Østdanmark'!I$3:I$482,'Resultater - Østdanmark'!J$3:J$482)),"&gt;0"))</f>
        <v>1609044.2994914718</v>
      </c>
      <c r="G33" s="196">
        <f>SUMIFS('Forbrug af biomasse'!$E$2:$E$425,'Forbrug af biomasse'!$C$2:$C$425,'Resultat-Produktion &amp; forbrug'!$A33,'Forbrug af biomasse'!$D$2:$D$425,'Resultat-Produktion &amp; forbrug'!$D33,'Forbrug af biomasse'!$A$2:$A$425,'Resultat-Produktion &amp; forbrug'!G$2,'Forbrug af biomasse'!$B$2:$B$425,$E33)</f>
        <v>0</v>
      </c>
      <c r="H33" s="193">
        <f>IF(E33="Vestdanmark",-IF(A33="Halm",SUMIFS(IF(D33=År1,'Resultater - Vestdanmark'!H$3:H$482,IF(D33=År2,'Resultater - Vestdanmark'!I$3:I$482,'Resultater - Vestdanmark'!J$3:J$482)),'Resultater - Vestdanmark'!$F$3:$F$482,$A33,'Resultater - Vestdanmark'!H$3:H$482,"&lt;0"),0),-IF(A33="Halm",SUMIFS(IF(D33=År1,'Resultater - Østdanmark'!H$3:H$482,IF(D33=År2,'Resultater - Østdanmark'!I$3:I$482,'Resultater - Østdanmark'!J$3:J$482)),'Resultater - Østdanmark'!$F$3:$F$482,$A33,'Resultater - Østdanmark'!H$3:H$482,"&lt;0"),0))</f>
        <v>0</v>
      </c>
      <c r="I33" s="196">
        <f>SUMIFS('Forbrug af biomasse'!$E$2:$E$425,'Forbrug af biomasse'!$C$2:$C$425,'Resultat-Produktion &amp; forbrug'!$A33,'Forbrug af biomasse'!$D$2:$D$425,'Resultat-Produktion &amp; forbrug'!$D33,'Forbrug af biomasse'!$A$2:$A$425,'Resultat-Produktion &amp; forbrug'!I$2,'Forbrug af biomasse'!$B$2:$B$425,$E33)</f>
        <v>0</v>
      </c>
      <c r="J33" s="196">
        <f>SUMIFS('Forbrug af biomasse'!$E$2:$E$425,'Forbrug af biomasse'!$C$2:$C$425,'Resultat-Produktion &amp; forbrug'!$A33,'Forbrug af biomasse'!$D$2:$D$425,'Resultat-Produktion &amp; forbrug'!$D33,'Forbrug af biomasse'!$A$2:$A$425,'Resultat-Produktion &amp; forbrug'!J$2,'Forbrug af biomasse'!$B$2:$B$425,$E33)</f>
        <v>0</v>
      </c>
      <c r="K33" s="196">
        <f>SUMIFS('Forbrug af biomasse'!$E$2:$E$425,'Forbrug af biomasse'!$C$2:$C$425,'Resultat-Produktion &amp; forbrug'!$A33,'Forbrug af biomasse'!$D$2:$D$425,'Resultat-Produktion &amp; forbrug'!$D33,'Forbrug af biomasse'!$A$2:$A$425,'Resultat-Produktion &amp; forbrug'!K$2,'Forbrug af biomasse'!$B$2:$B$425,$E33)</f>
        <v>0</v>
      </c>
      <c r="L33" s="196">
        <f>IF(A33&lt;&gt;"Biogas",SUMIFS('Forbrug af biomasse'!$E$2:$E$425,'Forbrug af biomasse'!$C$2:$C$425,'Resultat-Produktion &amp; forbrug'!$A33,'Forbrug af biomasse'!$D$2:$D$425,'Resultat-Produktion &amp; forbrug'!$D33,'Forbrug af biomasse'!$A$2:$A$425,'Resultat-Produktion &amp; forbrug'!L$2,'Forbrug af biomasse'!$B$2:$B$425,$E33),F33)</f>
        <v>0</v>
      </c>
      <c r="M33" s="158">
        <f>SUMIFS('Forbrug af biomasse'!E:E,'Forbrug af biomasse'!C:C,'Resultat-Produktion &amp; forbrug'!$A33,'Forbrug af biomasse'!D:D,'Resultat-Produktion &amp; forbrug'!$D33,'Forbrug af biomasse'!G:G,1,'Forbrug af biomasse'!B:B,$E33)</f>
        <v>0</v>
      </c>
      <c r="N33" s="205">
        <f t="shared" si="9"/>
        <v>1609044.2994914718</v>
      </c>
      <c r="O33" s="196">
        <f t="shared" si="1"/>
        <v>0</v>
      </c>
      <c r="P33" s="206">
        <f t="shared" si="10"/>
        <v>0</v>
      </c>
      <c r="Q33" s="193">
        <f>IFERROR(VLOOKUP(A33,[1]Energiindhold!$A$2:$C$11,3,FALSE),IFERROR(VLOOKUP(A33,[1]Biogasudbytte!$A$2:$B$18,2,FALSE)*[1]Energiindhold!$C$10,0))*O33</f>
        <v>0</v>
      </c>
      <c r="R33" s="193">
        <f>IF(A33&lt;&gt;"Biogas",IFERROR(VLOOKUP(A33,[1]Biogasudbytte!$A$2:$B$18,2,FALSE)*[1]Energiindhold!$C$10,0)*J33*IFERROR(VLOOKUP(A33,Biogasanlæg!$F$3:$G$8,2,FALSE),1)+IFERROR(VLOOKUP(A33,[1]Energiindhold!$A$2:$C$11,3,FALSE),0)*L33+IF(D33&lt;&gt;År1,Q33,0),0)</f>
        <v>0</v>
      </c>
      <c r="S33" s="193">
        <f>IFERROR(VLOOKUP(A33,[1]Biogasudbytte!$A$2:$B$18,2,FALSE)*[1]Energiindhold!$C$10,0)*J33*IFERROR(VLOOKUP(A33,Biogasanlæg!$F$3:$G$8,2,FALSE),1)</f>
        <v>0</v>
      </c>
      <c r="T33" s="194">
        <f t="shared" si="11"/>
        <v>0</v>
      </c>
      <c r="U33" s="192">
        <f>O33*IFERROR(VLOOKUP(A33,[1]Tørstofindhold!A$2:B$25,2,FALSE),0)</f>
        <v>0</v>
      </c>
      <c r="V33" s="193">
        <f>IF(D33=År1,P33,SUM(O33,P33))*IFERROR(VLOOKUP(A33,[1]Tørstofindhold!A$2:B$25,2,FALSE),0)</f>
        <v>0</v>
      </c>
      <c r="W33" s="193">
        <f>J33*IFERROR(VLOOKUP(A33,[1]Tørstofindhold!A$2:B$25,2,FALSE),0)</f>
        <v>0</v>
      </c>
      <c r="X33" s="194">
        <f t="shared" si="12"/>
        <v>0</v>
      </c>
      <c r="Y33" s="172">
        <f t="shared" si="2"/>
        <v>0</v>
      </c>
      <c r="Z33" s="104">
        <f t="shared" si="3"/>
        <v>1</v>
      </c>
    </row>
    <row r="34" spans="1:26" hidden="1" x14ac:dyDescent="0.55000000000000004">
      <c r="A34" s="195" t="s">
        <v>96</v>
      </c>
      <c r="B34" s="195" t="s">
        <v>228</v>
      </c>
      <c r="C34" s="195">
        <f>IF(COUNTIFS('Resultater - Danmark'!$D$3:$D$482,'Resultat-Produktion &amp; forbrug'!A34,'Resultater - Danmark'!$A$3:$A$482,"Til energi")+COUNTIFS('Resultater - Danmark'!$D$3:$D$482,'Resultat-Produktion &amp; forbrug'!A34,'Resultater - Danmark'!$A$3:$A$482,"Biogasanlæg")&gt;0,1,0)</f>
        <v>1</v>
      </c>
      <c r="D34" s="195">
        <f t="shared" si="8"/>
        <v>2019</v>
      </c>
      <c r="E34" s="193" t="s">
        <v>23</v>
      </c>
      <c r="F34" s="196">
        <f>IF(E34="Vestdanmark",SUMIFS(IF(D34=År1,'Resultater - Vestdanmark'!H$3:H$482,IF(D34=År2,'Resultater - Vestdanmark'!I$3:I$482,'Resultater - Vestdanmark'!J$3:J$482)),'Resultater - Vestdanmark'!$F$3:$F$482,$A34,IF(D34=År1,'Resultater - Vestdanmark'!H$3:H$482,IF(D34=År2,'Resultater - Vestdanmark'!I$3:I$482,'Resultater - Vestdanmark'!J$3:J$482)),"&gt;0"),SUMIFS(IF(D34=År1,'Resultater - Østdanmark'!H$3:H$482,IF(D34=År2,'Resultater - Østdanmark'!I$3:I$482,'Resultater - Østdanmark'!J$3:J$482)),'Resultater - Østdanmark'!$F$3:$F$482,$A34,IF(D34=År1,'Resultater - Østdanmark'!H$3:H$482,IF(D34=År2,'Resultater - Østdanmark'!I$3:I$482,'Resultater - Østdanmark'!J$3:J$482)),"&gt;0"))</f>
        <v>172205.06744997756</v>
      </c>
      <c r="G34" s="196">
        <f>SUMIFS('Forbrug af biomasse'!$E$2:$E$425,'Forbrug af biomasse'!$C$2:$C$425,'Resultat-Produktion &amp; forbrug'!$A34,'Forbrug af biomasse'!$D$2:$D$425,'Resultat-Produktion &amp; forbrug'!$D34,'Forbrug af biomasse'!$A$2:$A$425,'Resultat-Produktion &amp; forbrug'!G$2,'Forbrug af biomasse'!$B$2:$B$425,$E34)</f>
        <v>0</v>
      </c>
      <c r="H34" s="193">
        <f>IF(E34="Vestdanmark",-IF(A34="Halm",SUMIFS(IF(D34=År1,'Resultater - Vestdanmark'!H$3:H$482,IF(D34=År2,'Resultater - Vestdanmark'!I$3:I$482,'Resultater - Vestdanmark'!J$3:J$482)),'Resultater - Vestdanmark'!$F$3:$F$482,$A34,'Resultater - Vestdanmark'!H$3:H$482,"&lt;0"),0),-IF(A34="Halm",SUMIFS(IF(D34=År1,'Resultater - Østdanmark'!H$3:H$482,IF(D34=År2,'Resultater - Østdanmark'!I$3:I$482,'Resultater - Østdanmark'!J$3:J$482)),'Resultater - Østdanmark'!$F$3:$F$482,$A34,'Resultater - Østdanmark'!H$3:H$482,"&lt;0"),0))</f>
        <v>0</v>
      </c>
      <c r="I34" s="196">
        <f>SUMIFS('Forbrug af biomasse'!$E$2:$E$425,'Forbrug af biomasse'!$C$2:$C$425,'Resultat-Produktion &amp; forbrug'!$A34,'Forbrug af biomasse'!$D$2:$D$425,'Resultat-Produktion &amp; forbrug'!$D34,'Forbrug af biomasse'!$A$2:$A$425,'Resultat-Produktion &amp; forbrug'!I$2,'Forbrug af biomasse'!$B$2:$B$425,$E34)</f>
        <v>0</v>
      </c>
      <c r="J34" s="196">
        <f>SUMIFS('Forbrug af biomasse'!$E$2:$E$425,'Forbrug af biomasse'!$C$2:$C$425,'Resultat-Produktion &amp; forbrug'!$A34,'Forbrug af biomasse'!$D$2:$D$425,'Resultat-Produktion &amp; forbrug'!$D34,'Forbrug af biomasse'!$A$2:$A$425,'Resultat-Produktion &amp; forbrug'!J$2,'Forbrug af biomasse'!$B$2:$B$425,$E34)</f>
        <v>0</v>
      </c>
      <c r="K34" s="196">
        <f>SUMIFS('Forbrug af biomasse'!$E$2:$E$425,'Forbrug af biomasse'!$C$2:$C$425,'Resultat-Produktion &amp; forbrug'!$A34,'Forbrug af biomasse'!$D$2:$D$425,'Resultat-Produktion &amp; forbrug'!$D34,'Forbrug af biomasse'!$A$2:$A$425,'Resultat-Produktion &amp; forbrug'!K$2,'Forbrug af biomasse'!$B$2:$B$425,$E34)</f>
        <v>0</v>
      </c>
      <c r="L34" s="196">
        <f>IF(A34&lt;&gt;"Biogas",SUMIFS('Forbrug af biomasse'!$E$2:$E$425,'Forbrug af biomasse'!$C$2:$C$425,'Resultat-Produktion &amp; forbrug'!$A34,'Forbrug af biomasse'!$D$2:$D$425,'Resultat-Produktion &amp; forbrug'!$D34,'Forbrug af biomasse'!$A$2:$A$425,'Resultat-Produktion &amp; forbrug'!L$2,'Forbrug af biomasse'!$B$2:$B$425,$E34),F34)</f>
        <v>172205.06744997756</v>
      </c>
      <c r="M34" s="158">
        <f>SUMIFS('Forbrug af biomasse'!E:E,'Forbrug af biomasse'!C:C,'Resultat-Produktion &amp; forbrug'!$A34,'Forbrug af biomasse'!D:D,'Resultat-Produktion &amp; forbrug'!$D34,'Forbrug af biomasse'!G:G,1,'Forbrug af biomasse'!B:B,$E34)</f>
        <v>0</v>
      </c>
      <c r="N34" s="205">
        <f t="shared" si="9"/>
        <v>0</v>
      </c>
      <c r="O34" s="196">
        <f t="shared" si="1"/>
        <v>0</v>
      </c>
      <c r="P34" s="206">
        <f t="shared" si="10"/>
        <v>172205.06744997756</v>
      </c>
      <c r="Q34" s="193">
        <f>IFERROR(VLOOKUP(A34,[1]Energiindhold!$A$2:$C$11,3,FALSE),IFERROR(VLOOKUP(A34,[1]Biogasudbytte!$A$2:$B$18,2,FALSE)*[1]Energiindhold!$C$10,0))*O34</f>
        <v>0</v>
      </c>
      <c r="R34" s="193">
        <f>IF(A34&lt;&gt;"Biogas",IFERROR(VLOOKUP(A34,[1]Biogasudbytte!$A$2:$B$18,2,FALSE)*[1]Energiindhold!$C$10,0)*J34*IFERROR(VLOOKUP(A34,Biogasanlæg!$F$3:$G$8,2,FALSE),1)+IFERROR(VLOOKUP(A34,[1]Energiindhold!$A$2:$C$11,3,FALSE),0)*L34+IF(D34&lt;&gt;År1,Q34,0),0)</f>
        <v>3.1685732410795864</v>
      </c>
      <c r="S34" s="193">
        <f>IFERROR(VLOOKUP(A34,[1]Biogasudbytte!$A$2:$B$18,2,FALSE)*[1]Energiindhold!$C$10,0)*J34*IFERROR(VLOOKUP(A34,Biogasanlæg!$F$3:$G$8,2,FALSE),1)</f>
        <v>0</v>
      </c>
      <c r="T34" s="194">
        <f t="shared" si="11"/>
        <v>3.1685732410795864</v>
      </c>
      <c r="U34" s="192">
        <f>O34*IFERROR(VLOOKUP(A34,[1]Tørstofindhold!A$2:B$25,2,FALSE),0)</f>
        <v>0</v>
      </c>
      <c r="V34" s="193">
        <f>IF(D34=År1,P34,SUM(O34,P34))*IFERROR(VLOOKUP(A34,[1]Tørstofindhold!A$2:B$25,2,FALSE),0)</f>
        <v>71465.1029917407</v>
      </c>
      <c r="W34" s="193">
        <f>J34*IFERROR(VLOOKUP(A34,[1]Tørstofindhold!A$2:B$25,2,FALSE),0)</f>
        <v>0</v>
      </c>
      <c r="X34" s="194">
        <f t="shared" si="12"/>
        <v>71465.1029917407</v>
      </c>
      <c r="Y34" s="172">
        <f t="shared" si="2"/>
        <v>0</v>
      </c>
      <c r="Z34" s="104">
        <f t="shared" si="3"/>
        <v>0</v>
      </c>
    </row>
    <row r="35" spans="1:26" hidden="1" x14ac:dyDescent="0.55000000000000004">
      <c r="A35" s="195" t="s">
        <v>323</v>
      </c>
      <c r="B35" s="195" t="s">
        <v>329</v>
      </c>
      <c r="C35" s="195">
        <f>IF(COUNTIFS('Resultater - Danmark'!$D$3:$D$482,'Resultat-Produktion &amp; forbrug'!A35,'Resultater - Danmark'!$A$3:$A$482,"Til energi")+COUNTIFS('Resultater - Danmark'!$D$3:$D$482,'Resultat-Produktion &amp; forbrug'!A35,'Resultater - Danmark'!$A$3:$A$482,"Biogasanlæg")&gt;0,1,0)</f>
        <v>1</v>
      </c>
      <c r="D35" s="195">
        <f t="shared" si="8"/>
        <v>2019</v>
      </c>
      <c r="E35" s="193" t="s">
        <v>23</v>
      </c>
      <c r="F35" s="196">
        <f>IF(E35="Vestdanmark",SUMIFS(IF(D35=År1,'Resultater - Vestdanmark'!H$3:H$482,IF(D35=År2,'Resultater - Vestdanmark'!I$3:I$482,'Resultater - Vestdanmark'!J$3:J$482)),'Resultater - Vestdanmark'!$F$3:$F$482,$A35,IF(D35=År1,'Resultater - Vestdanmark'!H$3:H$482,IF(D35=År2,'Resultater - Vestdanmark'!I$3:I$482,'Resultater - Vestdanmark'!J$3:J$482)),"&gt;0"),SUMIFS(IF(D35=År1,'Resultater - Østdanmark'!H$3:H$482,IF(D35=År2,'Resultater - Østdanmark'!I$3:I$482,'Resultater - Østdanmark'!J$3:J$482)),'Resultater - Østdanmark'!$F$3:$F$482,$A35,IF(D35=År1,'Resultater - Østdanmark'!H$3:H$482,IF(D35=År2,'Resultater - Østdanmark'!I$3:I$482,'Resultater - Østdanmark'!J$3:J$482)),"&gt;0"))</f>
        <v>0</v>
      </c>
      <c r="G35" s="196">
        <f>SUMIFS('Forbrug af biomasse'!$E$2:$E$425,'Forbrug af biomasse'!$C$2:$C$425,'Resultat-Produktion &amp; forbrug'!$A35,'Forbrug af biomasse'!$D$2:$D$425,'Resultat-Produktion &amp; forbrug'!$D35,'Forbrug af biomasse'!$A$2:$A$425,'Resultat-Produktion &amp; forbrug'!G$2,'Forbrug af biomasse'!$B$2:$B$425,$E35)</f>
        <v>0</v>
      </c>
      <c r="H35" s="193">
        <f>IF(E35="Vestdanmark",-IF(A35="Halm",SUMIFS(IF(D35=År1,'Resultater - Vestdanmark'!H$3:H$482,IF(D35=År2,'Resultater - Vestdanmark'!I$3:I$482,'Resultater - Vestdanmark'!J$3:J$482)),'Resultater - Vestdanmark'!$F$3:$F$482,$A35,'Resultater - Vestdanmark'!H$3:H$482,"&lt;0"),0),-IF(A35="Halm",SUMIFS(IF(D35=År1,'Resultater - Østdanmark'!H$3:H$482,IF(D35=År2,'Resultater - Østdanmark'!I$3:I$482,'Resultater - Østdanmark'!J$3:J$482)),'Resultater - Østdanmark'!$F$3:$F$482,$A35,'Resultater - Østdanmark'!H$3:H$482,"&lt;0"),0))</f>
        <v>0</v>
      </c>
      <c r="I35" s="196">
        <f>SUMIFS('Forbrug af biomasse'!$E$2:$E$425,'Forbrug af biomasse'!$C$2:$C$425,'Resultat-Produktion &amp; forbrug'!$A35,'Forbrug af biomasse'!$D$2:$D$425,'Resultat-Produktion &amp; forbrug'!$D35,'Forbrug af biomasse'!$A$2:$A$425,'Resultat-Produktion &amp; forbrug'!I$2,'Forbrug af biomasse'!$B$2:$B$425,$E35)</f>
        <v>0</v>
      </c>
      <c r="J35" s="196">
        <f>SUMIFS('Forbrug af biomasse'!$E$2:$E$425,'Forbrug af biomasse'!$C$2:$C$425,'Resultat-Produktion &amp; forbrug'!$A35,'Forbrug af biomasse'!$D$2:$D$425,'Resultat-Produktion &amp; forbrug'!$D35,'Forbrug af biomasse'!$A$2:$A$425,'Resultat-Produktion &amp; forbrug'!J$2,'Forbrug af biomasse'!$B$2:$B$425,$E35)</f>
        <v>0</v>
      </c>
      <c r="K35" s="196">
        <f>SUMIFS('Forbrug af biomasse'!$E$2:$E$425,'Forbrug af biomasse'!$C$2:$C$425,'Resultat-Produktion &amp; forbrug'!$A35,'Forbrug af biomasse'!$D$2:$D$425,'Resultat-Produktion &amp; forbrug'!$D35,'Forbrug af biomasse'!$A$2:$A$425,'Resultat-Produktion &amp; forbrug'!K$2,'Forbrug af biomasse'!$B$2:$B$425,$E35)</f>
        <v>0</v>
      </c>
      <c r="L35" s="196">
        <f>IF(A35&lt;&gt;"Biogas",SUMIFS('Forbrug af biomasse'!$E$2:$E$425,'Forbrug af biomasse'!$C$2:$C$425,'Resultat-Produktion &amp; forbrug'!$A35,'Forbrug af biomasse'!$D$2:$D$425,'Resultat-Produktion &amp; forbrug'!$D35,'Forbrug af biomasse'!$A$2:$A$425,'Resultat-Produktion &amp; forbrug'!L$2,'Forbrug af biomasse'!$B$2:$B$425,$E35),F35)</f>
        <v>0</v>
      </c>
      <c r="M35" s="158">
        <f>SUMIFS('Forbrug af biomasse'!E:E,'Forbrug af biomasse'!C:C,'Resultat-Produktion &amp; forbrug'!$A35,'Forbrug af biomasse'!D:D,'Resultat-Produktion &amp; forbrug'!$D35,'Forbrug af biomasse'!G:G,1,'Forbrug af biomasse'!B:B,$E35)</f>
        <v>0</v>
      </c>
      <c r="N35" s="205">
        <f t="shared" ref="N35:N36" si="13">F35-SUM(G35:M35)</f>
        <v>0</v>
      </c>
      <c r="O35" s="196">
        <f t="shared" si="1"/>
        <v>0</v>
      </c>
      <c r="P35" s="206">
        <f t="shared" ref="P35:P36" si="14">SUM(J35,L35)</f>
        <v>0</v>
      </c>
      <c r="Q35" s="193">
        <f>IFERROR(VLOOKUP(A35,[1]Energiindhold!$A$2:$C$11,3,FALSE),IFERROR(VLOOKUP(A35,[1]Biogasudbytte!$A$2:$B$18,2,FALSE)*[1]Energiindhold!$C$10,0))*O35</f>
        <v>0</v>
      </c>
      <c r="R35" s="193">
        <f>IF(A35&lt;&gt;"Biogas",IFERROR(VLOOKUP(A35,[1]Biogasudbytte!$A$2:$B$18,2,FALSE)*[1]Energiindhold!$C$10,0)*J35*IFERROR(VLOOKUP(A35,Biogasanlæg!$F$3:$G$8,2,FALSE),1)+IFERROR(VLOOKUP(A35,[1]Energiindhold!$A$2:$C$11,3,FALSE),0)*L35+IF(D35&lt;&gt;År1,Q35,0),0)</f>
        <v>0</v>
      </c>
      <c r="S35" s="193">
        <f>IFERROR(VLOOKUP(A35,[1]Biogasudbytte!$A$2:$B$18,2,FALSE)*[1]Energiindhold!$C$10,0)*J35*IFERROR(VLOOKUP(A35,Biogasanlæg!$F$3:$G$8,2,FALSE),1)</f>
        <v>0</v>
      </c>
      <c r="T35" s="194">
        <f t="shared" ref="T35:T36" si="15">R35-S35</f>
        <v>0</v>
      </c>
      <c r="U35" s="192">
        <f>O35*IFERROR(VLOOKUP(A35,[1]Tørstofindhold!A$2:B$25,2,FALSE),0)</f>
        <v>0</v>
      </c>
      <c r="V35" s="193">
        <f>IF(D35=År1,P35,SUM(O35,P35))*IFERROR(VLOOKUP(A35,[1]Tørstofindhold!A$2:B$25,2,FALSE),0)</f>
        <v>0</v>
      </c>
      <c r="W35" s="193">
        <f>J35*IFERROR(VLOOKUP(A35,[1]Tørstofindhold!A$2:B$25,2,FALSE),0)</f>
        <v>0</v>
      </c>
      <c r="X35" s="194">
        <f t="shared" ref="X35:X36" si="16">V35-W35</f>
        <v>0</v>
      </c>
      <c r="Y35" s="172">
        <f t="shared" si="2"/>
        <v>0</v>
      </c>
      <c r="Z35" s="104">
        <f t="shared" si="3"/>
        <v>0</v>
      </c>
    </row>
    <row r="36" spans="1:26" hidden="1" x14ac:dyDescent="0.55000000000000004">
      <c r="A36" s="195" t="s">
        <v>324</v>
      </c>
      <c r="B36" s="195" t="s">
        <v>329</v>
      </c>
      <c r="C36" s="195">
        <f>IF(COUNTIFS('Resultater - Danmark'!$D$3:$D$482,'Resultat-Produktion &amp; forbrug'!A36,'Resultater - Danmark'!$A$3:$A$482,"Til energi")+COUNTIFS('Resultater - Danmark'!$D$3:$D$482,'Resultat-Produktion &amp; forbrug'!A36,'Resultater - Danmark'!$A$3:$A$482,"Biogasanlæg")&gt;0,1,0)</f>
        <v>1</v>
      </c>
      <c r="D36" s="195">
        <f t="shared" si="8"/>
        <v>2019</v>
      </c>
      <c r="E36" s="193" t="s">
        <v>23</v>
      </c>
      <c r="F36" s="196">
        <f>IF(E36="Vestdanmark",SUMIFS(IF(D36=År1,'Resultater - Vestdanmark'!H$3:H$482,IF(D36=År2,'Resultater - Vestdanmark'!I$3:I$482,'Resultater - Vestdanmark'!J$3:J$482)),'Resultater - Vestdanmark'!$F$3:$F$482,$A36,IF(D36=År1,'Resultater - Vestdanmark'!H$3:H$482,IF(D36=År2,'Resultater - Vestdanmark'!I$3:I$482,'Resultater - Vestdanmark'!J$3:J$482)),"&gt;0"),SUMIFS(IF(D36=År1,'Resultater - Østdanmark'!H$3:H$482,IF(D36=År2,'Resultater - Østdanmark'!I$3:I$482,'Resultater - Østdanmark'!J$3:J$482)),'Resultater - Østdanmark'!$F$3:$F$482,$A36,IF(D36=År1,'Resultater - Østdanmark'!H$3:H$482,IF(D36=År2,'Resultater - Østdanmark'!I$3:I$482,'Resultater - Østdanmark'!J$3:J$482)),"&gt;0"))</f>
        <v>0</v>
      </c>
      <c r="G36" s="196">
        <f>SUMIFS('Forbrug af biomasse'!$E$2:$E$425,'Forbrug af biomasse'!$C$2:$C$425,'Resultat-Produktion &amp; forbrug'!$A36,'Forbrug af biomasse'!$D$2:$D$425,'Resultat-Produktion &amp; forbrug'!$D36,'Forbrug af biomasse'!$A$2:$A$425,'Resultat-Produktion &amp; forbrug'!G$2,'Forbrug af biomasse'!$B$2:$B$425,$E36)</f>
        <v>0</v>
      </c>
      <c r="H36" s="193">
        <f>IF(E36="Vestdanmark",-IF(A36="Halm",SUMIFS(IF(D36=År1,'Resultater - Vestdanmark'!H$3:H$482,IF(D36=År2,'Resultater - Vestdanmark'!I$3:I$482,'Resultater - Vestdanmark'!J$3:J$482)),'Resultater - Vestdanmark'!$F$3:$F$482,$A36,'Resultater - Vestdanmark'!H$3:H$482,"&lt;0"),0),-IF(A36="Halm",SUMIFS(IF(D36=År1,'Resultater - Østdanmark'!H$3:H$482,IF(D36=År2,'Resultater - Østdanmark'!I$3:I$482,'Resultater - Østdanmark'!J$3:J$482)),'Resultater - Østdanmark'!$F$3:$F$482,$A36,'Resultater - Østdanmark'!H$3:H$482,"&lt;0"),0))</f>
        <v>0</v>
      </c>
      <c r="I36" s="196">
        <f>SUMIFS('Forbrug af biomasse'!$E$2:$E$425,'Forbrug af biomasse'!$C$2:$C$425,'Resultat-Produktion &amp; forbrug'!$A36,'Forbrug af biomasse'!$D$2:$D$425,'Resultat-Produktion &amp; forbrug'!$D36,'Forbrug af biomasse'!$A$2:$A$425,'Resultat-Produktion &amp; forbrug'!I$2,'Forbrug af biomasse'!$B$2:$B$425,$E36)</f>
        <v>0</v>
      </c>
      <c r="J36" s="196">
        <f>SUMIFS('Forbrug af biomasse'!$E$2:$E$425,'Forbrug af biomasse'!$C$2:$C$425,'Resultat-Produktion &amp; forbrug'!$A36,'Forbrug af biomasse'!$D$2:$D$425,'Resultat-Produktion &amp; forbrug'!$D36,'Forbrug af biomasse'!$A$2:$A$425,'Resultat-Produktion &amp; forbrug'!J$2,'Forbrug af biomasse'!$B$2:$B$425,$E36)</f>
        <v>0</v>
      </c>
      <c r="K36" s="196">
        <f>SUMIFS('Forbrug af biomasse'!$E$2:$E$425,'Forbrug af biomasse'!$C$2:$C$425,'Resultat-Produktion &amp; forbrug'!$A36,'Forbrug af biomasse'!$D$2:$D$425,'Resultat-Produktion &amp; forbrug'!$D36,'Forbrug af biomasse'!$A$2:$A$425,'Resultat-Produktion &amp; forbrug'!K$2,'Forbrug af biomasse'!$B$2:$B$425,$E36)</f>
        <v>0</v>
      </c>
      <c r="L36" s="196">
        <f>IF(A36&lt;&gt;"Biogas",SUMIFS('Forbrug af biomasse'!$E$2:$E$425,'Forbrug af biomasse'!$C$2:$C$425,'Resultat-Produktion &amp; forbrug'!$A36,'Forbrug af biomasse'!$D$2:$D$425,'Resultat-Produktion &amp; forbrug'!$D36,'Forbrug af biomasse'!$A$2:$A$425,'Resultat-Produktion &amp; forbrug'!L$2,'Forbrug af biomasse'!$B$2:$B$425,$E36),F36)</f>
        <v>0</v>
      </c>
      <c r="M36" s="158">
        <f>SUMIFS('Forbrug af biomasse'!E:E,'Forbrug af biomasse'!C:C,'Resultat-Produktion &amp; forbrug'!$A36,'Forbrug af biomasse'!D:D,'Resultat-Produktion &amp; forbrug'!$D36,'Forbrug af biomasse'!G:G,1,'Forbrug af biomasse'!B:B,$E36)</f>
        <v>0</v>
      </c>
      <c r="N36" s="205">
        <f t="shared" si="13"/>
        <v>0</v>
      </c>
      <c r="O36" s="196">
        <f t="shared" si="1"/>
        <v>0</v>
      </c>
      <c r="P36" s="206">
        <f t="shared" si="14"/>
        <v>0</v>
      </c>
      <c r="Q36" s="193">
        <f>IFERROR(VLOOKUP(A36,[1]Energiindhold!$A$2:$C$11,3,FALSE),IFERROR(VLOOKUP(A36,[1]Biogasudbytte!$A$2:$B$18,2,FALSE)*[1]Energiindhold!$C$10,0))*O36</f>
        <v>0</v>
      </c>
      <c r="R36" s="193">
        <f>IF(A36&lt;&gt;"Biogas",IFERROR(VLOOKUP(A36,[1]Biogasudbytte!$A$2:$B$18,2,FALSE)*[1]Energiindhold!$C$10,0)*J36*IFERROR(VLOOKUP(A36,Biogasanlæg!$F$3:$G$8,2,FALSE),1)+IFERROR(VLOOKUP(A36,[1]Energiindhold!$A$2:$C$11,3,FALSE),0)*L36+IF(D36&lt;&gt;År1,Q36,0),0)</f>
        <v>0</v>
      </c>
      <c r="S36" s="193">
        <f>IFERROR(VLOOKUP(A36,[1]Biogasudbytte!$A$2:$B$18,2,FALSE)*[1]Energiindhold!$C$10,0)*J36*IFERROR(VLOOKUP(A36,Biogasanlæg!$F$3:$G$8,2,FALSE),1)</f>
        <v>0</v>
      </c>
      <c r="T36" s="194">
        <f t="shared" si="15"/>
        <v>0</v>
      </c>
      <c r="U36" s="192">
        <f>O36*IFERROR(VLOOKUP(A36,[1]Tørstofindhold!A$2:B$25,2,FALSE),0)</f>
        <v>0</v>
      </c>
      <c r="V36" s="193">
        <f>IF(D36=År1,P36,SUM(O36,P36))*IFERROR(VLOOKUP(A36,[1]Tørstofindhold!A$2:B$25,2,FALSE),0)</f>
        <v>0</v>
      </c>
      <c r="W36" s="193">
        <f>J36*IFERROR(VLOOKUP(A36,[1]Tørstofindhold!A$2:B$25,2,FALSE),0)</f>
        <v>0</v>
      </c>
      <c r="X36" s="194">
        <f t="shared" si="16"/>
        <v>0</v>
      </c>
      <c r="Y36" s="172">
        <f t="shared" si="2"/>
        <v>0</v>
      </c>
      <c r="Z36" s="104">
        <f t="shared" si="3"/>
        <v>0</v>
      </c>
    </row>
    <row r="37" spans="1:26" hidden="1" x14ac:dyDescent="0.55000000000000004">
      <c r="A37" s="195" t="s">
        <v>118</v>
      </c>
      <c r="B37" s="195"/>
      <c r="C37" s="195">
        <f>IF(COUNTIFS('Resultater - Danmark'!$D$3:$D$482,'Resultat-Produktion &amp; forbrug'!A37,'Resultater - Danmark'!$A$3:$A$482,"Til energi")+COUNTIFS('Resultater - Danmark'!$D$3:$D$482,'Resultat-Produktion &amp; forbrug'!A37,'Resultater - Danmark'!$A$3:$A$482,"Biogasanlæg")&gt;0,1,0)</f>
        <v>0</v>
      </c>
      <c r="D37" s="195">
        <f t="shared" si="8"/>
        <v>2019</v>
      </c>
      <c r="E37" s="193" t="s">
        <v>23</v>
      </c>
      <c r="F37" s="196">
        <f>IF(E37="Vestdanmark",SUMIFS(IF(D37=År1,'Resultater - Vestdanmark'!H$3:H$482,IF(D37=År2,'Resultater - Vestdanmark'!I$3:I$482,'Resultater - Vestdanmark'!J$3:J$482)),'Resultater - Vestdanmark'!$F$3:$F$482,$A37,IF(D37=År1,'Resultater - Vestdanmark'!H$3:H$482,IF(D37=År2,'Resultater - Vestdanmark'!I$3:I$482,'Resultater - Vestdanmark'!J$3:J$482)),"&gt;0"),SUMIFS(IF(D37=År1,'Resultater - Østdanmark'!H$3:H$482,IF(D37=År2,'Resultater - Østdanmark'!I$3:I$482,'Resultater - Østdanmark'!J$3:J$482)),'Resultater - Østdanmark'!$F$3:$F$482,$A37,IF(D37=År1,'Resultater - Østdanmark'!H$3:H$482,IF(D37=År2,'Resultater - Østdanmark'!I$3:I$482,'Resultater - Østdanmark'!J$3:J$482)),"&gt;0"))</f>
        <v>4922001.9803787302</v>
      </c>
      <c r="G37" s="196">
        <f>SUMIFS('Forbrug af biomasse'!$E$2:$E$425,'Forbrug af biomasse'!$C$2:$C$425,'Resultat-Produktion &amp; forbrug'!$A37,'Forbrug af biomasse'!$D$2:$D$425,'Resultat-Produktion &amp; forbrug'!$D37,'Forbrug af biomasse'!$A$2:$A$425,'Resultat-Produktion &amp; forbrug'!G$2,'Forbrug af biomasse'!$B$2:$B$425,$E37)</f>
        <v>0</v>
      </c>
      <c r="H37" s="193">
        <f>IF(E37="Vestdanmark",-IF(A37="Halm",SUMIFS(IF(D37=År1,'Resultater - Vestdanmark'!H$3:H$482,IF(D37=År2,'Resultater - Vestdanmark'!I$3:I$482,'Resultater - Vestdanmark'!J$3:J$482)),'Resultater - Vestdanmark'!$F$3:$F$482,$A37,'Resultater - Vestdanmark'!H$3:H$482,"&lt;0"),0),-IF(A37="Halm",SUMIFS(IF(D37=År1,'Resultater - Østdanmark'!H$3:H$482,IF(D37=År2,'Resultater - Østdanmark'!I$3:I$482,'Resultater - Østdanmark'!J$3:J$482)),'Resultater - Østdanmark'!$F$3:$F$482,$A37,'Resultater - Østdanmark'!H$3:H$482,"&lt;0"),0))</f>
        <v>0</v>
      </c>
      <c r="I37" s="196">
        <f>SUMIFS('Forbrug af biomasse'!$E$2:$E$425,'Forbrug af biomasse'!$C$2:$C$425,'Resultat-Produktion &amp; forbrug'!$A37,'Forbrug af biomasse'!$D$2:$D$425,'Resultat-Produktion &amp; forbrug'!$D37,'Forbrug af biomasse'!$A$2:$A$425,'Resultat-Produktion &amp; forbrug'!I$2,'Forbrug af biomasse'!$B$2:$B$425,$E37)</f>
        <v>0</v>
      </c>
      <c r="J37" s="196">
        <f>SUMIFS('Forbrug af biomasse'!$E$2:$E$425,'Forbrug af biomasse'!$C$2:$C$425,'Resultat-Produktion &amp; forbrug'!$A37,'Forbrug af biomasse'!$D$2:$D$425,'Resultat-Produktion &amp; forbrug'!$D37,'Forbrug af biomasse'!$A$2:$A$425,'Resultat-Produktion &amp; forbrug'!J$2,'Forbrug af biomasse'!$B$2:$B$425,$E37)</f>
        <v>0</v>
      </c>
      <c r="K37" s="196">
        <f>SUMIFS('Forbrug af biomasse'!$E$2:$E$425,'Forbrug af biomasse'!$C$2:$C$425,'Resultat-Produktion &amp; forbrug'!$A37,'Forbrug af biomasse'!$D$2:$D$425,'Resultat-Produktion &amp; forbrug'!$D37,'Forbrug af biomasse'!$A$2:$A$425,'Resultat-Produktion &amp; forbrug'!K$2,'Forbrug af biomasse'!$B$2:$B$425,$E37)</f>
        <v>0</v>
      </c>
      <c r="L37" s="196">
        <f>IF(A37&lt;&gt;"Biogas",SUMIFS('Forbrug af biomasse'!$E$2:$E$425,'Forbrug af biomasse'!$C$2:$C$425,'Resultat-Produktion &amp; forbrug'!$A37,'Forbrug af biomasse'!$D$2:$D$425,'Resultat-Produktion &amp; forbrug'!$D37,'Forbrug af biomasse'!$A$2:$A$425,'Resultat-Produktion &amp; forbrug'!L$2,'Forbrug af biomasse'!$B$2:$B$425,$E37),F37)</f>
        <v>0</v>
      </c>
      <c r="M37" s="158">
        <f>SUMIFS('Forbrug af biomasse'!E:E,'Forbrug af biomasse'!C:C,'Resultat-Produktion &amp; forbrug'!$A37,'Forbrug af biomasse'!D:D,'Resultat-Produktion &amp; forbrug'!$D37,'Forbrug af biomasse'!G:G,1,'Forbrug af biomasse'!B:B,$E37)</f>
        <v>0</v>
      </c>
      <c r="N37" s="205">
        <f t="shared" si="9"/>
        <v>4922001.9803787302</v>
      </c>
      <c r="O37" s="196">
        <f t="shared" si="1"/>
        <v>0</v>
      </c>
      <c r="P37" s="206">
        <f t="shared" si="10"/>
        <v>0</v>
      </c>
      <c r="Q37" s="193">
        <f>IFERROR(VLOOKUP(A37,[1]Energiindhold!$A$2:$C$11,3,FALSE),IFERROR(VLOOKUP(A37,[1]Biogasudbytte!$A$2:$B$18,2,FALSE)*[1]Energiindhold!$C$10,0))*O37</f>
        <v>0</v>
      </c>
      <c r="R37" s="193">
        <f>IF(A37&lt;&gt;"Biogas",IFERROR(VLOOKUP(A37,[1]Biogasudbytte!$A$2:$B$18,2,FALSE)*[1]Energiindhold!$C$10,0)*J37*IFERROR(VLOOKUP(A37,Biogasanlæg!$F$3:$G$8,2,FALSE),1)+IFERROR(VLOOKUP(A37,[1]Energiindhold!$A$2:$C$11,3,FALSE),0)*L37+IF(D37&lt;&gt;År1,Q37,0),0)</f>
        <v>0</v>
      </c>
      <c r="S37" s="193">
        <f>IFERROR(VLOOKUP(A37,[1]Biogasudbytte!$A$2:$B$18,2,FALSE)*[1]Energiindhold!$C$10,0)*J37*IFERROR(VLOOKUP(A37,Biogasanlæg!$F$3:$G$8,2,FALSE),1)</f>
        <v>0</v>
      </c>
      <c r="T37" s="194">
        <f t="shared" si="11"/>
        <v>0</v>
      </c>
      <c r="U37" s="192">
        <f>O37*IFERROR(VLOOKUP(A37,[1]Tørstofindhold!A$2:B$25,2,FALSE),0)</f>
        <v>0</v>
      </c>
      <c r="V37" s="193">
        <f>IF(D37=År1,P37,SUM(O37,P37))*IFERROR(VLOOKUP(A37,[1]Tørstofindhold!A$2:B$25,2,FALSE),0)</f>
        <v>0</v>
      </c>
      <c r="W37" s="193">
        <f>J37*IFERROR(VLOOKUP(A37,[1]Tørstofindhold!A$2:B$25,2,FALSE),0)</f>
        <v>0</v>
      </c>
      <c r="X37" s="194">
        <f t="shared" si="12"/>
        <v>0</v>
      </c>
      <c r="Y37" s="172">
        <f t="shared" si="2"/>
        <v>0</v>
      </c>
      <c r="Z37" s="104">
        <f t="shared" si="3"/>
        <v>1</v>
      </c>
    </row>
    <row r="38" spans="1:26" hidden="1" x14ac:dyDescent="0.55000000000000004">
      <c r="A38" s="193" t="s">
        <v>50</v>
      </c>
      <c r="B38" s="195"/>
      <c r="C38" s="195">
        <f>IF(COUNTIFS('Resultater - Danmark'!$D$3:$D$482,'Resultat-Produktion &amp; forbrug'!A38,'Resultater - Danmark'!$A$3:$A$482,"Til energi")+COUNTIFS('Resultater - Danmark'!$D$3:$D$482,'Resultat-Produktion &amp; forbrug'!A38,'Resultater - Danmark'!$A$3:$A$482,"Biogasanlæg")&gt;0,1,0)</f>
        <v>0</v>
      </c>
      <c r="D38" s="195">
        <f t="shared" si="8"/>
        <v>2019</v>
      </c>
      <c r="E38" s="193" t="s">
        <v>23</v>
      </c>
      <c r="F38" s="196">
        <f>IF(E38="Vestdanmark",SUMIFS(IF(D38=År1,'Resultater - Vestdanmark'!H$3:H$482,IF(D38=År2,'Resultater - Vestdanmark'!I$3:I$482,'Resultater - Vestdanmark'!J$3:J$482)),'Resultater - Vestdanmark'!$F$3:$F$482,$A38,IF(D38=År1,'Resultater - Vestdanmark'!H$3:H$482,IF(D38=År2,'Resultater - Vestdanmark'!I$3:I$482,'Resultater - Vestdanmark'!J$3:J$482)),"&gt;0"),SUMIFS(IF(D38=År1,'Resultater - Østdanmark'!H$3:H$482,IF(D38=År2,'Resultater - Østdanmark'!I$3:I$482,'Resultater - Østdanmark'!J$3:J$482)),'Resultater - Østdanmark'!$F$3:$F$482,$A38,IF(D38=År1,'Resultater - Østdanmark'!H$3:H$482,IF(D38=År2,'Resultater - Østdanmark'!I$3:I$482,'Resultater - Østdanmark'!J$3:J$482)),"&gt;0"))</f>
        <v>484833.6848947219</v>
      </c>
      <c r="G38" s="196">
        <f>SUMIFS('Forbrug af biomasse'!$E$2:$E$425,'Forbrug af biomasse'!$C$2:$C$425,'Resultat-Produktion &amp; forbrug'!$A38,'Forbrug af biomasse'!$D$2:$D$425,'Resultat-Produktion &amp; forbrug'!$D38,'Forbrug af biomasse'!$A$2:$A$425,'Resultat-Produktion &amp; forbrug'!G$2,'Forbrug af biomasse'!$B$2:$B$425,$E38)</f>
        <v>0</v>
      </c>
      <c r="H38" s="193">
        <f>IF(E38="Vestdanmark",-IF(A38="Halm",SUMIFS(IF(D38=År1,'Resultater - Vestdanmark'!H$3:H$482,IF(D38=År2,'Resultater - Vestdanmark'!I$3:I$482,'Resultater - Vestdanmark'!J$3:J$482)),'Resultater - Vestdanmark'!$F$3:$F$482,$A38,'Resultater - Vestdanmark'!H$3:H$482,"&lt;0"),0),-IF(A38="Halm",SUMIFS(IF(D38=År1,'Resultater - Østdanmark'!H$3:H$482,IF(D38=År2,'Resultater - Østdanmark'!I$3:I$482,'Resultater - Østdanmark'!J$3:J$482)),'Resultater - Østdanmark'!$F$3:$F$482,$A38,'Resultater - Østdanmark'!H$3:H$482,"&lt;0"),0))</f>
        <v>0</v>
      </c>
      <c r="I38" s="196">
        <f>SUMIFS('Forbrug af biomasse'!$E$2:$E$425,'Forbrug af biomasse'!$C$2:$C$425,'Resultat-Produktion &amp; forbrug'!$A38,'Forbrug af biomasse'!$D$2:$D$425,'Resultat-Produktion &amp; forbrug'!$D38,'Forbrug af biomasse'!$A$2:$A$425,'Resultat-Produktion &amp; forbrug'!I$2,'Forbrug af biomasse'!$B$2:$B$425,$E38)</f>
        <v>0</v>
      </c>
      <c r="J38" s="196">
        <f>SUMIFS('Forbrug af biomasse'!$E$2:$E$425,'Forbrug af biomasse'!$C$2:$C$425,'Resultat-Produktion &amp; forbrug'!$A38,'Forbrug af biomasse'!$D$2:$D$425,'Resultat-Produktion &amp; forbrug'!$D38,'Forbrug af biomasse'!$A$2:$A$425,'Resultat-Produktion &amp; forbrug'!J$2,'Forbrug af biomasse'!$B$2:$B$425,$E38)</f>
        <v>0</v>
      </c>
      <c r="K38" s="196">
        <f>SUMIFS('Forbrug af biomasse'!$E$2:$E$425,'Forbrug af biomasse'!$C$2:$C$425,'Resultat-Produktion &amp; forbrug'!$A38,'Forbrug af biomasse'!$D$2:$D$425,'Resultat-Produktion &amp; forbrug'!$D38,'Forbrug af biomasse'!$A$2:$A$425,'Resultat-Produktion &amp; forbrug'!K$2,'Forbrug af biomasse'!$B$2:$B$425,$E38)</f>
        <v>0</v>
      </c>
      <c r="L38" s="196">
        <f>IF(A38&lt;&gt;"Biogas",SUMIFS('Forbrug af biomasse'!$E$2:$E$425,'Forbrug af biomasse'!$C$2:$C$425,'Resultat-Produktion &amp; forbrug'!$A38,'Forbrug af biomasse'!$D$2:$D$425,'Resultat-Produktion &amp; forbrug'!$D38,'Forbrug af biomasse'!$A$2:$A$425,'Resultat-Produktion &amp; forbrug'!L$2,'Forbrug af biomasse'!$B$2:$B$425,$E38),F38)</f>
        <v>0</v>
      </c>
      <c r="M38" s="158">
        <f>SUMIFS('Forbrug af biomasse'!E:E,'Forbrug af biomasse'!C:C,'Resultat-Produktion &amp; forbrug'!$A38,'Forbrug af biomasse'!D:D,'Resultat-Produktion &amp; forbrug'!$D38,'Forbrug af biomasse'!G:G,1,'Forbrug af biomasse'!B:B,$E38)</f>
        <v>484833.6848947219</v>
      </c>
      <c r="N38" s="205">
        <f t="shared" si="9"/>
        <v>0</v>
      </c>
      <c r="O38" s="196">
        <f t="shared" si="1"/>
        <v>0</v>
      </c>
      <c r="P38" s="206">
        <f t="shared" si="10"/>
        <v>0</v>
      </c>
      <c r="Q38" s="193">
        <f>IFERROR(VLOOKUP(A38,[1]Energiindhold!$A$2:$C$11,3,FALSE),IFERROR(VLOOKUP(A38,[1]Biogasudbytte!$A$2:$B$18,2,FALSE)*[1]Energiindhold!$C$10,0))*O38</f>
        <v>0</v>
      </c>
      <c r="R38" s="193">
        <f>IF(A38&lt;&gt;"Biogas",IFERROR(VLOOKUP(A38,[1]Biogasudbytte!$A$2:$B$18,2,FALSE)*[1]Energiindhold!$C$10,0)*J38*IFERROR(VLOOKUP(A38,Biogasanlæg!$F$3:$G$8,2,FALSE),1)+IFERROR(VLOOKUP(A38,[1]Energiindhold!$A$2:$C$11,3,FALSE),0)*L38+IF(D38&lt;&gt;År1,Q38,0),0)</f>
        <v>0</v>
      </c>
      <c r="S38" s="193">
        <f>IFERROR(VLOOKUP(A38,[1]Biogasudbytte!$A$2:$B$18,2,FALSE)*[1]Energiindhold!$C$10,0)*J38*IFERROR(VLOOKUP(A38,Biogasanlæg!$F$3:$G$8,2,FALSE),1)</f>
        <v>0</v>
      </c>
      <c r="T38" s="194">
        <f t="shared" si="11"/>
        <v>0</v>
      </c>
      <c r="U38" s="192">
        <f>O38*IFERROR(VLOOKUP(A38,[1]Tørstofindhold!A$2:B$25,2,FALSE),0)</f>
        <v>0</v>
      </c>
      <c r="V38" s="193">
        <f>IF(D38=År1,P38,SUM(O38,P38))*IFERROR(VLOOKUP(A38,[1]Tørstofindhold!A$2:B$25,2,FALSE),0)</f>
        <v>0</v>
      </c>
      <c r="W38" s="193">
        <f>J38*IFERROR(VLOOKUP(A38,[1]Tørstofindhold!A$2:B$25,2,FALSE),0)</f>
        <v>0</v>
      </c>
      <c r="X38" s="194">
        <f t="shared" si="12"/>
        <v>0</v>
      </c>
      <c r="Y38" s="172">
        <f t="shared" si="2"/>
        <v>0</v>
      </c>
      <c r="Z38" s="104">
        <f t="shared" si="3"/>
        <v>0</v>
      </c>
    </row>
    <row r="39" spans="1:26" hidden="1" x14ac:dyDescent="0.55000000000000004">
      <c r="A39" s="193" t="s">
        <v>241</v>
      </c>
      <c r="B39" s="195"/>
      <c r="C39" s="195">
        <f>IF(COUNTIFS('Resultater - Danmark'!$D$3:$D$482,'Resultat-Produktion &amp; forbrug'!A39,'Resultater - Danmark'!$A$3:$A$482,"Til energi")+COUNTIFS('Resultater - Danmark'!$D$3:$D$482,'Resultat-Produktion &amp; forbrug'!A39,'Resultater - Danmark'!$A$3:$A$482,"Biogasanlæg")&gt;0,1,0)</f>
        <v>0</v>
      </c>
      <c r="D39" s="195">
        <f t="shared" si="8"/>
        <v>2019</v>
      </c>
      <c r="E39" s="193" t="s">
        <v>23</v>
      </c>
      <c r="F39" s="196">
        <f>IF(E39="Vestdanmark",SUMIFS(IF(D39=År1,'Resultater - Vestdanmark'!H$3:H$482,IF(D39=År2,'Resultater - Vestdanmark'!I$3:I$482,'Resultater - Vestdanmark'!J$3:J$482)),'Resultater - Vestdanmark'!$F$3:$F$482,$A39,IF(D39=År1,'Resultater - Vestdanmark'!H$3:H$482,IF(D39=År2,'Resultater - Vestdanmark'!I$3:I$482,'Resultater - Vestdanmark'!J$3:J$482)),"&gt;0"),SUMIFS(IF(D39=År1,'Resultater - Østdanmark'!H$3:H$482,IF(D39=År2,'Resultater - Østdanmark'!I$3:I$482,'Resultater - Østdanmark'!J$3:J$482)),'Resultater - Østdanmark'!$F$3:$F$482,$A39,IF(D39=År1,'Resultater - Østdanmark'!H$3:H$482,IF(D39=År2,'Resultater - Østdanmark'!I$3:I$482,'Resultater - Østdanmark'!J$3:J$482)),"&gt;0"))</f>
        <v>242416.84244736095</v>
      </c>
      <c r="G39" s="196">
        <f>SUMIFS('Forbrug af biomasse'!$E$2:$E$425,'Forbrug af biomasse'!$C$2:$C$425,'Resultat-Produktion &amp; forbrug'!$A39,'Forbrug af biomasse'!$D$2:$D$425,'Resultat-Produktion &amp; forbrug'!$D39,'Forbrug af biomasse'!$A$2:$A$425,'Resultat-Produktion &amp; forbrug'!G$2,'Forbrug af biomasse'!$B$2:$B$425,$E39)</f>
        <v>214099.10609126228</v>
      </c>
      <c r="H39" s="193">
        <f>IF(E39="Vestdanmark",-IF(A39="Halm",SUMIFS(IF(D39=År1,'Resultater - Vestdanmark'!H$3:H$482,IF(D39=År2,'Resultater - Vestdanmark'!I$3:I$482,'Resultater - Vestdanmark'!J$3:J$482)),'Resultater - Vestdanmark'!$F$3:$F$482,$A39,'Resultater - Vestdanmark'!H$3:H$482,"&lt;0"),0),-IF(A39="Halm",SUMIFS(IF(D39=År1,'Resultater - Østdanmark'!H$3:H$482,IF(D39=År2,'Resultater - Østdanmark'!I$3:I$482,'Resultater - Østdanmark'!J$3:J$482)),'Resultater - Østdanmark'!$F$3:$F$482,$A39,'Resultater - Østdanmark'!H$3:H$482,"&lt;0"),0))</f>
        <v>0</v>
      </c>
      <c r="I39" s="196">
        <f>SUMIFS('Forbrug af biomasse'!$E$2:$E$425,'Forbrug af biomasse'!$C$2:$C$425,'Resultat-Produktion &amp; forbrug'!$A39,'Forbrug af biomasse'!$D$2:$D$425,'Resultat-Produktion &amp; forbrug'!$D39,'Forbrug af biomasse'!$A$2:$A$425,'Resultat-Produktion &amp; forbrug'!I$2,'Forbrug af biomasse'!$B$2:$B$425,$E39)</f>
        <v>0</v>
      </c>
      <c r="J39" s="196">
        <f>SUMIFS('Forbrug af biomasse'!$E$2:$E$425,'Forbrug af biomasse'!$C$2:$C$425,'Resultat-Produktion &amp; forbrug'!$A39,'Forbrug af biomasse'!$D$2:$D$425,'Resultat-Produktion &amp; forbrug'!$D39,'Forbrug af biomasse'!$A$2:$A$425,'Resultat-Produktion &amp; forbrug'!J$2,'Forbrug af biomasse'!$B$2:$B$425,$E39)</f>
        <v>0</v>
      </c>
      <c r="K39" s="196">
        <f>SUMIFS('Forbrug af biomasse'!$E$2:$E$425,'Forbrug af biomasse'!$C$2:$C$425,'Resultat-Produktion &amp; forbrug'!$A39,'Forbrug af biomasse'!$D$2:$D$425,'Resultat-Produktion &amp; forbrug'!$D39,'Forbrug af biomasse'!$A$2:$A$425,'Resultat-Produktion &amp; forbrug'!K$2,'Forbrug af biomasse'!$B$2:$B$425,$E39)</f>
        <v>0</v>
      </c>
      <c r="L39" s="196">
        <f>IF(A39&lt;&gt;"Biogas",SUMIFS('Forbrug af biomasse'!$E$2:$E$425,'Forbrug af biomasse'!$C$2:$C$425,'Resultat-Produktion &amp; forbrug'!$A39,'Forbrug af biomasse'!$D$2:$D$425,'Resultat-Produktion &amp; forbrug'!$D39,'Forbrug af biomasse'!$A$2:$A$425,'Resultat-Produktion &amp; forbrug'!L$2,'Forbrug af biomasse'!$B$2:$B$425,$E39),F39)</f>
        <v>0</v>
      </c>
      <c r="M39" s="158">
        <f>SUMIFS('Forbrug af biomasse'!E:E,'Forbrug af biomasse'!C:C,'Resultat-Produktion &amp; forbrug'!$A39,'Forbrug af biomasse'!D:D,'Resultat-Produktion &amp; forbrug'!$D39,'Forbrug af biomasse'!G:G,1,'Forbrug af biomasse'!B:B,$E39)</f>
        <v>0</v>
      </c>
      <c r="N39" s="205">
        <f t="shared" si="9"/>
        <v>28317.736356098671</v>
      </c>
      <c r="O39" s="196">
        <f t="shared" si="1"/>
        <v>0</v>
      </c>
      <c r="P39" s="206">
        <f t="shared" si="10"/>
        <v>0</v>
      </c>
      <c r="Q39" s="193">
        <f>IFERROR(VLOOKUP(A39,[1]Energiindhold!$A$2:$C$11,3,FALSE),IFERROR(VLOOKUP(A39,[1]Biogasudbytte!$A$2:$B$18,2,FALSE)*[1]Energiindhold!$C$10,0))*O39</f>
        <v>0</v>
      </c>
      <c r="R39" s="193">
        <f>IF(A39&lt;&gt;"Biogas",IFERROR(VLOOKUP(A39,[1]Biogasudbytte!$A$2:$B$18,2,FALSE)*[1]Energiindhold!$C$10,0)*J39*IFERROR(VLOOKUP(A39,Biogasanlæg!$F$3:$G$8,2,FALSE),1)+IFERROR(VLOOKUP(A39,[1]Energiindhold!$A$2:$C$11,3,FALSE),0)*L39+IF(D39&lt;&gt;År1,Q39,0),0)</f>
        <v>0</v>
      </c>
      <c r="S39" s="193">
        <f>IFERROR(VLOOKUP(A39,[1]Biogasudbytte!$A$2:$B$18,2,FALSE)*[1]Energiindhold!$C$10,0)*J39*IFERROR(VLOOKUP(A39,Biogasanlæg!$F$3:$G$8,2,FALSE),1)</f>
        <v>0</v>
      </c>
      <c r="T39" s="194">
        <f t="shared" si="11"/>
        <v>0</v>
      </c>
      <c r="U39" s="192">
        <f>O39*IFERROR(VLOOKUP(A39,[1]Tørstofindhold!A$2:B$25,2,FALSE),0)</f>
        <v>0</v>
      </c>
      <c r="V39" s="193">
        <f>IF(D39=År1,P39,SUM(O39,P39))*IFERROR(VLOOKUP(A39,[1]Tørstofindhold!A$2:B$25,2,FALSE),0)</f>
        <v>0</v>
      </c>
      <c r="W39" s="193">
        <f>J39*IFERROR(VLOOKUP(A39,[1]Tørstofindhold!A$2:B$25,2,FALSE),0)</f>
        <v>0</v>
      </c>
      <c r="X39" s="194">
        <f t="shared" si="12"/>
        <v>0</v>
      </c>
      <c r="Y39" s="172">
        <f t="shared" si="2"/>
        <v>0</v>
      </c>
      <c r="Z39" s="104">
        <f t="shared" si="3"/>
        <v>1</v>
      </c>
    </row>
    <row r="40" spans="1:26" hidden="1" x14ac:dyDescent="0.55000000000000004">
      <c r="A40" s="193" t="s">
        <v>234</v>
      </c>
      <c r="B40" s="195" t="s">
        <v>234</v>
      </c>
      <c r="C40" s="195">
        <f>IF(COUNTIFS('Resultater - Danmark'!$D$3:$D$482,'Resultat-Produktion &amp; forbrug'!A40,'Resultater - Danmark'!$A$3:$A$482,"Til energi")+COUNTIFS('Resultater - Danmark'!$D$3:$D$482,'Resultat-Produktion &amp; forbrug'!A40,'Resultater - Danmark'!$A$3:$A$482,"Biogasanlæg")&gt;0,1,0)</f>
        <v>1</v>
      </c>
      <c r="D40" s="195">
        <f t="shared" si="8"/>
        <v>2019</v>
      </c>
      <c r="E40" s="193" t="s">
        <v>23</v>
      </c>
      <c r="F40" s="196">
        <f>IF(E40="Vestdanmark",SUMIFS(IF(D40=År1,'Resultater - Vestdanmark'!H$3:H$482,IF(D40=År2,'Resultater - Vestdanmark'!I$3:I$482,'Resultater - Vestdanmark'!J$3:J$482)),'Resultater - Vestdanmark'!$F$3:$F$482,$A40,IF(D40=År1,'Resultater - Vestdanmark'!H$3:H$482,IF(D40=År2,'Resultater - Vestdanmark'!I$3:I$482,'Resultater - Vestdanmark'!J$3:J$482)),"&gt;0"),SUMIFS(IF(D40=År1,'Resultater - Østdanmark'!H$3:H$482,IF(D40=År2,'Resultater - Østdanmark'!I$3:I$482,'Resultater - Østdanmark'!J$3:J$482)),'Resultater - Østdanmark'!$F$3:$F$482,$A40,IF(D40=År1,'Resultater - Østdanmark'!H$3:H$482,IF(D40=År2,'Resultater - Østdanmark'!I$3:I$482,'Resultater - Østdanmark'!J$3:J$482)),"&gt;0"))</f>
        <v>155146.779166311</v>
      </c>
      <c r="G40" s="196">
        <f>SUMIFS('Forbrug af biomasse'!$E$2:$E$425,'Forbrug af biomasse'!$C$2:$C$425,'Resultat-Produktion &amp; forbrug'!$A40,'Forbrug af biomasse'!$D$2:$D$425,'Resultat-Produktion &amp; forbrug'!$D40,'Forbrug af biomasse'!$A$2:$A$425,'Resultat-Produktion &amp; forbrug'!G$2,'Forbrug af biomasse'!$B$2:$B$425,$E40)</f>
        <v>0</v>
      </c>
      <c r="H40" s="193">
        <f>IF(E40="Vestdanmark",-IF(A40="Halm",SUMIFS(IF(D40=År1,'Resultater - Vestdanmark'!H$3:H$482,IF(D40=År2,'Resultater - Vestdanmark'!I$3:I$482,'Resultater - Vestdanmark'!J$3:J$482)),'Resultater - Vestdanmark'!$F$3:$F$482,$A40,'Resultater - Vestdanmark'!H$3:H$482,"&lt;0"),0),-IF(A40="Halm",SUMIFS(IF(D40=År1,'Resultater - Østdanmark'!H$3:H$482,IF(D40=År2,'Resultater - Østdanmark'!I$3:I$482,'Resultater - Østdanmark'!J$3:J$482)),'Resultater - Østdanmark'!$F$3:$F$482,$A40,'Resultater - Østdanmark'!H$3:H$482,"&lt;0"),0))</f>
        <v>0</v>
      </c>
      <c r="I40" s="196">
        <f>SUMIFS('Forbrug af biomasse'!$E$2:$E$425,'Forbrug af biomasse'!$C$2:$C$425,'Resultat-Produktion &amp; forbrug'!$A40,'Forbrug af biomasse'!$D$2:$D$425,'Resultat-Produktion &amp; forbrug'!$D40,'Forbrug af biomasse'!$A$2:$A$425,'Resultat-Produktion &amp; forbrug'!I$2,'Forbrug af biomasse'!$B$2:$B$425,$E40)</f>
        <v>0</v>
      </c>
      <c r="J40" s="196">
        <f>SUMIFS('Forbrug af biomasse'!$E$2:$E$425,'Forbrug af biomasse'!$C$2:$C$425,'Resultat-Produktion &amp; forbrug'!$A40,'Forbrug af biomasse'!$D$2:$D$425,'Resultat-Produktion &amp; forbrug'!$D40,'Forbrug af biomasse'!$A$2:$A$425,'Resultat-Produktion &amp; forbrug'!J$2,'Forbrug af biomasse'!$B$2:$B$425,$E40)</f>
        <v>0</v>
      </c>
      <c r="K40" s="196">
        <f>SUMIFS('Forbrug af biomasse'!$E$2:$E$425,'Forbrug af biomasse'!$C$2:$C$425,'Resultat-Produktion &amp; forbrug'!$A40,'Forbrug af biomasse'!$D$2:$D$425,'Resultat-Produktion &amp; forbrug'!$D40,'Forbrug af biomasse'!$A$2:$A$425,'Resultat-Produktion &amp; forbrug'!K$2,'Forbrug af biomasse'!$B$2:$B$425,$E40)</f>
        <v>0</v>
      </c>
      <c r="L40" s="196">
        <f>IF(A40&lt;&gt;"Biogas",SUMIFS('Forbrug af biomasse'!$E$2:$E$425,'Forbrug af biomasse'!$C$2:$C$425,'Resultat-Produktion &amp; forbrug'!$A40,'Forbrug af biomasse'!$D$2:$D$425,'Resultat-Produktion &amp; forbrug'!$D40,'Forbrug af biomasse'!$A$2:$A$425,'Resultat-Produktion &amp; forbrug'!L$2,'Forbrug af biomasse'!$B$2:$B$425,$E40),F40)</f>
        <v>3102.9355833262225</v>
      </c>
      <c r="M40" s="158">
        <f>SUMIFS('Forbrug af biomasse'!E:E,'Forbrug af biomasse'!C:C,'Resultat-Produktion &amp; forbrug'!$A40,'Forbrug af biomasse'!D:D,'Resultat-Produktion &amp; forbrug'!$D40,'Forbrug af biomasse'!G:G,1,'Forbrug af biomasse'!B:B,$E40)</f>
        <v>152043.84358298479</v>
      </c>
      <c r="N40" s="205">
        <f t="shared" si="9"/>
        <v>0</v>
      </c>
      <c r="O40" s="196">
        <f t="shared" si="1"/>
        <v>0</v>
      </c>
      <c r="P40" s="206">
        <f t="shared" si="10"/>
        <v>3102.9355833262225</v>
      </c>
      <c r="Q40" s="193">
        <f>IFERROR(VLOOKUP(A40,[1]Energiindhold!$A$2:$C$11,3,FALSE),IFERROR(VLOOKUP(A40,[1]Biogasudbytte!$A$2:$B$18,2,FALSE)*[1]Energiindhold!$C$10,0))*O40</f>
        <v>0</v>
      </c>
      <c r="R40" s="193">
        <f>IF(A40&lt;&gt;"Biogas",IFERROR(VLOOKUP(A40,[1]Biogasudbytte!$A$2:$B$18,2,FALSE)*[1]Energiindhold!$C$10,0)*J40*IFERROR(VLOOKUP(A40,Biogasanlæg!$F$3:$G$8,2,FALSE),1)+IFERROR(VLOOKUP(A40,[1]Energiindhold!$A$2:$C$11,3,FALSE),0)*L40+IF(D40&lt;&gt;År1,Q40,0),0)</f>
        <v>0.10860274541641778</v>
      </c>
      <c r="S40" s="193">
        <f>IFERROR(VLOOKUP(A40,[1]Biogasudbytte!$A$2:$B$18,2,FALSE)*[1]Energiindhold!$C$10,0)*J40*IFERROR(VLOOKUP(A40,Biogasanlæg!$F$3:$G$8,2,FALSE),1)</f>
        <v>0</v>
      </c>
      <c r="T40" s="194">
        <f t="shared" si="11"/>
        <v>0.10860274541641778</v>
      </c>
      <c r="U40" s="192">
        <f>O40*IFERROR(VLOOKUP(A40,[1]Tørstofindhold!A$2:B$25,2,FALSE),0)</f>
        <v>0</v>
      </c>
      <c r="V40" s="193">
        <f>IF(D40=År1,P40,SUM(O40,P40))*IFERROR(VLOOKUP(A40,[1]Tørstofindhold!A$2:B$25,2,FALSE),0)</f>
        <v>2823.6713808268628</v>
      </c>
      <c r="W40" s="193">
        <f>J40*IFERROR(VLOOKUP(A40,[1]Tørstofindhold!A$2:B$25,2,FALSE),0)</f>
        <v>0</v>
      </c>
      <c r="X40" s="194">
        <f t="shared" si="12"/>
        <v>2823.6713808268628</v>
      </c>
      <c r="Y40" s="172">
        <f t="shared" si="2"/>
        <v>0</v>
      </c>
      <c r="Z40" s="104">
        <f t="shared" si="3"/>
        <v>0</v>
      </c>
    </row>
    <row r="41" spans="1:26" hidden="1" x14ac:dyDescent="0.55000000000000004">
      <c r="A41" s="193" t="s">
        <v>52</v>
      </c>
      <c r="B41" s="195" t="s">
        <v>227</v>
      </c>
      <c r="C41" s="195">
        <f>IF(COUNTIFS('Resultater - Danmark'!$D$3:$D$482,'Resultat-Produktion &amp; forbrug'!A41,'Resultater - Danmark'!$A$3:$A$482,"Til energi")+COUNTIFS('Resultater - Danmark'!$D$3:$D$482,'Resultat-Produktion &amp; forbrug'!A41,'Resultater - Danmark'!$A$3:$A$482,"Biogasanlæg")&gt;0,1,0)</f>
        <v>1</v>
      </c>
      <c r="D41" s="195">
        <f t="shared" si="8"/>
        <v>2019</v>
      </c>
      <c r="E41" s="193" t="s">
        <v>23</v>
      </c>
      <c r="F41" s="196">
        <f>IF(E41="Vestdanmark",SUMIFS(IF(D41=År1,'Resultater - Vestdanmark'!H$3:H$482,IF(D41=År2,'Resultater - Vestdanmark'!I$3:I$482,'Resultater - Vestdanmark'!J$3:J$482)),'Resultater - Vestdanmark'!$F$3:$F$482,$A41,IF(D41=År1,'Resultater - Vestdanmark'!H$3:H$482,IF(D41=År2,'Resultater - Vestdanmark'!I$3:I$482,'Resultater - Vestdanmark'!J$3:J$482)),"&gt;0"),SUMIFS(IF(D41=År1,'Resultater - Østdanmark'!H$3:H$482,IF(D41=År2,'Resultater - Østdanmark'!I$3:I$482,'Resultater - Østdanmark'!J$3:J$482)),'Resultater - Østdanmark'!$F$3:$F$482,$A41,IF(D41=År1,'Resultater - Østdanmark'!H$3:H$482,IF(D41=År2,'Resultater - Østdanmark'!I$3:I$482,'Resultater - Østdanmark'!J$3:J$482)),"&gt;0"))</f>
        <v>376449.39511597221</v>
      </c>
      <c r="G41" s="196">
        <f>SUMIFS('Forbrug af biomasse'!$E$2:$E$425,'Forbrug af biomasse'!$C$2:$C$425,'Resultat-Produktion &amp; forbrug'!$A41,'Forbrug af biomasse'!$D$2:$D$425,'Resultat-Produktion &amp; forbrug'!$D41,'Forbrug af biomasse'!$A$2:$A$425,'Resultat-Produktion &amp; forbrug'!G$2,'Forbrug af biomasse'!$B$2:$B$425,$E41)</f>
        <v>841167.61765562883</v>
      </c>
      <c r="H41" s="193">
        <f>IF(E41="Vestdanmark",-IF(A41="Halm",SUMIFS(IF(D41=År1,'Resultater - Vestdanmark'!H$3:H$482,IF(D41=År2,'Resultater - Vestdanmark'!I$3:I$482,'Resultater - Vestdanmark'!J$3:J$482)),'Resultater - Vestdanmark'!$F$3:$F$482,$A41,'Resultater - Vestdanmark'!H$3:H$482,"&lt;0"),0),-IF(A41="Halm",SUMIFS(IF(D41=År1,'Resultater - Østdanmark'!H$3:H$482,IF(D41=År2,'Resultater - Østdanmark'!I$3:I$482,'Resultater - Østdanmark'!J$3:J$482)),'Resultater - Østdanmark'!$F$3:$F$482,$A41,'Resultater - Østdanmark'!H$3:H$482,"&lt;0"),0))</f>
        <v>0</v>
      </c>
      <c r="I41" s="196">
        <f>SUMIFS('Forbrug af biomasse'!$E$2:$E$425,'Forbrug af biomasse'!$C$2:$C$425,'Resultat-Produktion &amp; forbrug'!$A41,'Forbrug af biomasse'!$D$2:$D$425,'Resultat-Produktion &amp; forbrug'!$D41,'Forbrug af biomasse'!$A$2:$A$425,'Resultat-Produktion &amp; forbrug'!I$2,'Forbrug af biomasse'!$B$2:$B$425,$E41)</f>
        <v>0</v>
      </c>
      <c r="J41" s="196">
        <f>SUMIFS('Forbrug af biomasse'!$E$2:$E$425,'Forbrug af biomasse'!$C$2:$C$425,'Resultat-Produktion &amp; forbrug'!$A41,'Forbrug af biomasse'!$D$2:$D$425,'Resultat-Produktion &amp; forbrug'!$D41,'Forbrug af biomasse'!$A$2:$A$425,'Resultat-Produktion &amp; forbrug'!J$2,'Forbrug af biomasse'!$B$2:$B$425,$E41)</f>
        <v>4101.0489241972273</v>
      </c>
      <c r="K41" s="196">
        <f>SUMIFS('Forbrug af biomasse'!$E$2:$E$425,'Forbrug af biomasse'!$C$2:$C$425,'Resultat-Produktion &amp; forbrug'!$A41,'Forbrug af biomasse'!$D$2:$D$425,'Resultat-Produktion &amp; forbrug'!$D41,'Forbrug af biomasse'!$A$2:$A$425,'Resultat-Produktion &amp; forbrug'!K$2,'Forbrug af biomasse'!$B$2:$B$425,$E41)</f>
        <v>0</v>
      </c>
      <c r="L41" s="196">
        <f>IF(A41&lt;&gt;"Biogas",SUMIFS('Forbrug af biomasse'!$E$2:$E$425,'Forbrug af biomasse'!$C$2:$C$425,'Resultat-Produktion &amp; forbrug'!$A41,'Forbrug af biomasse'!$D$2:$D$425,'Resultat-Produktion &amp; forbrug'!$D41,'Forbrug af biomasse'!$A$2:$A$425,'Resultat-Produktion &amp; forbrug'!L$2,'Forbrug af biomasse'!$B$2:$B$425,$E41),F41)</f>
        <v>0</v>
      </c>
      <c r="M41" s="158">
        <f>SUMIFS('Forbrug af biomasse'!E:E,'Forbrug af biomasse'!C:C,'Resultat-Produktion &amp; forbrug'!$A41,'Forbrug af biomasse'!D:D,'Resultat-Produktion &amp; forbrug'!$D41,'Forbrug af biomasse'!G:G,1,'Forbrug af biomasse'!B:B,$E41)</f>
        <v>0</v>
      </c>
      <c r="N41" s="205">
        <f t="shared" si="9"/>
        <v>-468819.27146385383</v>
      </c>
      <c r="O41" s="196">
        <f t="shared" si="1"/>
        <v>0</v>
      </c>
      <c r="P41" s="206">
        <f t="shared" si="10"/>
        <v>4101.0489241972273</v>
      </c>
      <c r="Q41" s="193">
        <f>IFERROR(VLOOKUP(A41,[1]Energiindhold!$A$2:$C$11,3,FALSE),IFERROR(VLOOKUP(A41,[1]Biogasudbytte!$A$2:$B$18,2,FALSE)*[1]Energiindhold!$C$10,0))*O41</f>
        <v>0</v>
      </c>
      <c r="R41" s="193">
        <f>IF(A41&lt;&gt;"Biogas",IFERROR(VLOOKUP(A41,[1]Biogasudbytte!$A$2:$B$18,2,FALSE)*[1]Energiindhold!$C$10,0)*J41*IFERROR(VLOOKUP(A41,Biogasanlæg!$F$3:$G$8,2,FALSE),1)+IFERROR(VLOOKUP(A41,[1]Energiindhold!$A$2:$C$11,3,FALSE),0)*L41+IF(D41&lt;&gt;År1,Q41,0),0)</f>
        <v>1.1130410822228242E-2</v>
      </c>
      <c r="S41" s="193">
        <f>IFERROR(VLOOKUP(A41,[1]Biogasudbytte!$A$2:$B$18,2,FALSE)*[1]Energiindhold!$C$10,0)*J41*IFERROR(VLOOKUP(A41,Biogasanlæg!$F$3:$G$8,2,FALSE),1)</f>
        <v>1.1130410822228242E-2</v>
      </c>
      <c r="T41" s="194">
        <f t="shared" si="11"/>
        <v>0</v>
      </c>
      <c r="U41" s="192">
        <f>O41*IFERROR(VLOOKUP(A41,[1]Tørstofindhold!A$2:B$25,2,FALSE),0)</f>
        <v>0</v>
      </c>
      <c r="V41" s="193">
        <f>IF(D41=År1,P41,SUM(O41,P41))*IFERROR(VLOOKUP(A41,[1]Tørstofindhold!A$2:B$25,2,FALSE),0)</f>
        <v>820.20978483944555</v>
      </c>
      <c r="W41" s="193">
        <f>J41*IFERROR(VLOOKUP(A41,[1]Tørstofindhold!A$2:B$25,2,FALSE),0)</f>
        <v>820.20978483944555</v>
      </c>
      <c r="X41" s="194">
        <f t="shared" si="12"/>
        <v>0</v>
      </c>
      <c r="Y41" s="172">
        <f t="shared" si="2"/>
        <v>0</v>
      </c>
      <c r="Z41" s="104">
        <f t="shared" si="3"/>
        <v>1</v>
      </c>
    </row>
    <row r="42" spans="1:26" hidden="1" x14ac:dyDescent="0.55000000000000004">
      <c r="A42" s="193" t="s">
        <v>122</v>
      </c>
      <c r="B42" s="195"/>
      <c r="C42" s="195">
        <f>IF(COUNTIFS('Resultater - Danmark'!$D$3:$D$482,'Resultat-Produktion &amp; forbrug'!A42,'Resultater - Danmark'!$A$3:$A$482,"Til energi")+COUNTIFS('Resultater - Danmark'!$D$3:$D$482,'Resultat-Produktion &amp; forbrug'!A42,'Resultater - Danmark'!$A$3:$A$482,"Biogasanlæg")&gt;0,1,0)</f>
        <v>0</v>
      </c>
      <c r="D42" s="195">
        <f t="shared" si="8"/>
        <v>2019</v>
      </c>
      <c r="E42" s="193" t="s">
        <v>23</v>
      </c>
      <c r="F42" s="196">
        <f>IF(E42="Vestdanmark",SUMIFS(IF(D42=År1,'Resultater - Vestdanmark'!H$3:H$482,IF(D42=År2,'Resultater - Vestdanmark'!I$3:I$482,'Resultater - Vestdanmark'!J$3:J$482)),'Resultater - Vestdanmark'!$F$3:$F$482,$A42,IF(D42=År1,'Resultater - Vestdanmark'!H$3:H$482,IF(D42=År2,'Resultater - Vestdanmark'!I$3:I$482,'Resultater - Vestdanmark'!J$3:J$482)),"&gt;0"),SUMIFS(IF(D42=År1,'Resultater - Østdanmark'!H$3:H$482,IF(D42=År2,'Resultater - Østdanmark'!I$3:I$482,'Resultater - Østdanmark'!J$3:J$482)),'Resultater - Østdanmark'!$F$3:$F$482,$A42,IF(D42=År1,'Resultater - Østdanmark'!H$3:H$482,IF(D42=År2,'Resultater - Østdanmark'!I$3:I$482,'Resultater - Østdanmark'!J$3:J$482)),"&gt;0"))</f>
        <v>193830.89221723122</v>
      </c>
      <c r="G42" s="196">
        <f>SUMIFS('Forbrug af biomasse'!$E$2:$E$425,'Forbrug af biomasse'!$C$2:$C$425,'Resultat-Produktion &amp; forbrug'!$A42,'Forbrug af biomasse'!$D$2:$D$425,'Resultat-Produktion &amp; forbrug'!$D42,'Forbrug af biomasse'!$A$2:$A$425,'Resultat-Produktion &amp; forbrug'!G$2,'Forbrug af biomasse'!$B$2:$B$425,$E42)</f>
        <v>0</v>
      </c>
      <c r="H42" s="193">
        <f>IF(E42="Vestdanmark",-IF(A42="Halm",SUMIFS(IF(D42=År1,'Resultater - Vestdanmark'!H$3:H$482,IF(D42=År2,'Resultater - Vestdanmark'!I$3:I$482,'Resultater - Vestdanmark'!J$3:J$482)),'Resultater - Vestdanmark'!$F$3:$F$482,$A42,'Resultater - Vestdanmark'!H$3:H$482,"&lt;0"),0),-IF(A42="Halm",SUMIFS(IF(D42=År1,'Resultater - Østdanmark'!H$3:H$482,IF(D42=År2,'Resultater - Østdanmark'!I$3:I$482,'Resultater - Østdanmark'!J$3:J$482)),'Resultater - Østdanmark'!$F$3:$F$482,$A42,'Resultater - Østdanmark'!H$3:H$482,"&lt;0"),0))</f>
        <v>0</v>
      </c>
      <c r="I42" s="196">
        <f>SUMIFS('Forbrug af biomasse'!$E$2:$E$425,'Forbrug af biomasse'!$C$2:$C$425,'Resultat-Produktion &amp; forbrug'!$A42,'Forbrug af biomasse'!$D$2:$D$425,'Resultat-Produktion &amp; forbrug'!$D42,'Forbrug af biomasse'!$A$2:$A$425,'Resultat-Produktion &amp; forbrug'!I$2,'Forbrug af biomasse'!$B$2:$B$425,$E42)</f>
        <v>0</v>
      </c>
      <c r="J42" s="196">
        <f>SUMIFS('Forbrug af biomasse'!$E$2:$E$425,'Forbrug af biomasse'!$C$2:$C$425,'Resultat-Produktion &amp; forbrug'!$A42,'Forbrug af biomasse'!$D$2:$D$425,'Resultat-Produktion &amp; forbrug'!$D42,'Forbrug af biomasse'!$A$2:$A$425,'Resultat-Produktion &amp; forbrug'!J$2,'Forbrug af biomasse'!$B$2:$B$425,$E42)</f>
        <v>0</v>
      </c>
      <c r="K42" s="196">
        <f>SUMIFS('Forbrug af biomasse'!$E$2:$E$425,'Forbrug af biomasse'!$C$2:$C$425,'Resultat-Produktion &amp; forbrug'!$A42,'Forbrug af biomasse'!$D$2:$D$425,'Resultat-Produktion &amp; forbrug'!$D42,'Forbrug af biomasse'!$A$2:$A$425,'Resultat-Produktion &amp; forbrug'!K$2,'Forbrug af biomasse'!$B$2:$B$425,$E42)</f>
        <v>0</v>
      </c>
      <c r="L42" s="196">
        <f>IF(A42&lt;&gt;"Biogas",SUMIFS('Forbrug af biomasse'!$E$2:$E$425,'Forbrug af biomasse'!$C$2:$C$425,'Resultat-Produktion &amp; forbrug'!$A42,'Forbrug af biomasse'!$D$2:$D$425,'Resultat-Produktion &amp; forbrug'!$D42,'Forbrug af biomasse'!$A$2:$A$425,'Resultat-Produktion &amp; forbrug'!L$2,'Forbrug af biomasse'!$B$2:$B$425,$E42),F42)</f>
        <v>0</v>
      </c>
      <c r="M42" s="158">
        <f>SUMIFS('Forbrug af biomasse'!E:E,'Forbrug af biomasse'!C:C,'Resultat-Produktion &amp; forbrug'!$A42,'Forbrug af biomasse'!D:D,'Resultat-Produktion &amp; forbrug'!$D42,'Forbrug af biomasse'!G:G,1,'Forbrug af biomasse'!B:B,$E42)</f>
        <v>0</v>
      </c>
      <c r="N42" s="205">
        <f t="shared" si="9"/>
        <v>193830.89221723122</v>
      </c>
      <c r="O42" s="196">
        <f t="shared" si="1"/>
        <v>0</v>
      </c>
      <c r="P42" s="206">
        <f t="shared" si="10"/>
        <v>0</v>
      </c>
      <c r="Q42" s="193">
        <f>IFERROR(VLOOKUP(A42,[1]Energiindhold!$A$2:$C$11,3,FALSE),IFERROR(VLOOKUP(A42,[1]Biogasudbytte!$A$2:$B$18,2,FALSE)*[1]Energiindhold!$C$10,0))*O42</f>
        <v>0</v>
      </c>
      <c r="R42" s="193">
        <f>IF(A42&lt;&gt;"Biogas",IFERROR(VLOOKUP(A42,[1]Biogasudbytte!$A$2:$B$18,2,FALSE)*[1]Energiindhold!$C$10,0)*J42*IFERROR(VLOOKUP(A42,Biogasanlæg!$F$3:$G$8,2,FALSE),1)+IFERROR(VLOOKUP(A42,[1]Energiindhold!$A$2:$C$11,3,FALSE),0)*L42+IF(D42&lt;&gt;År1,Q42,0),0)</f>
        <v>0</v>
      </c>
      <c r="S42" s="193">
        <f>IFERROR(VLOOKUP(A42,[1]Biogasudbytte!$A$2:$B$18,2,FALSE)*[1]Energiindhold!$C$10,0)*J42*IFERROR(VLOOKUP(A42,Biogasanlæg!$F$3:$G$8,2,FALSE),1)</f>
        <v>0</v>
      </c>
      <c r="T42" s="194">
        <f t="shared" si="11"/>
        <v>0</v>
      </c>
      <c r="U42" s="192">
        <f>O42*IFERROR(VLOOKUP(A42,[1]Tørstofindhold!A$2:B$25,2,FALSE),0)</f>
        <v>0</v>
      </c>
      <c r="V42" s="193">
        <f>IF(D42=År1,P42,SUM(O42,P42))*IFERROR(VLOOKUP(A42,[1]Tørstofindhold!A$2:B$25,2,FALSE),0)</f>
        <v>0</v>
      </c>
      <c r="W42" s="193">
        <f>J42*IFERROR(VLOOKUP(A42,[1]Tørstofindhold!A$2:B$25,2,FALSE),0)</f>
        <v>0</v>
      </c>
      <c r="X42" s="194">
        <f t="shared" si="12"/>
        <v>0</v>
      </c>
      <c r="Y42" s="172">
        <f t="shared" si="2"/>
        <v>0</v>
      </c>
      <c r="Z42" s="104">
        <f t="shared" si="3"/>
        <v>1</v>
      </c>
    </row>
    <row r="43" spans="1:26" hidden="1" x14ac:dyDescent="0.55000000000000004">
      <c r="A43" s="193" t="s">
        <v>108</v>
      </c>
      <c r="B43" s="195"/>
      <c r="C43" s="195">
        <f>IF(COUNTIFS('Resultater - Danmark'!$D$3:$D$482,'Resultat-Produktion &amp; forbrug'!A43,'Resultater - Danmark'!$A$3:$A$482,"Til energi")+COUNTIFS('Resultater - Danmark'!$D$3:$D$482,'Resultat-Produktion &amp; forbrug'!A43,'Resultater - Danmark'!$A$3:$A$482,"Biogasanlæg")&gt;0,1,0)</f>
        <v>0</v>
      </c>
      <c r="D43" s="195">
        <f t="shared" si="8"/>
        <v>2019</v>
      </c>
      <c r="E43" s="193" t="s">
        <v>23</v>
      </c>
      <c r="F43" s="196">
        <f>IF(E43="Vestdanmark",SUMIFS(IF(D43=År1,'Resultater - Vestdanmark'!H$3:H$482,IF(D43=År2,'Resultater - Vestdanmark'!I$3:I$482,'Resultater - Vestdanmark'!J$3:J$482)),'Resultater - Vestdanmark'!$F$3:$F$482,$A43,IF(D43=År1,'Resultater - Vestdanmark'!H$3:H$482,IF(D43=År2,'Resultater - Vestdanmark'!I$3:I$482,'Resultater - Vestdanmark'!J$3:J$482)),"&gt;0"),SUMIFS(IF(D43=År1,'Resultater - Østdanmark'!H$3:H$482,IF(D43=År2,'Resultater - Østdanmark'!I$3:I$482,'Resultater - Østdanmark'!J$3:J$482)),'Resultater - Østdanmark'!$F$3:$F$482,$A43,IF(D43=År1,'Resultater - Østdanmark'!H$3:H$482,IF(D43=År2,'Resultater - Østdanmark'!I$3:I$482,'Resultater - Østdanmark'!J$3:J$482)),"&gt;0"))</f>
        <v>131276.07587880219</v>
      </c>
      <c r="G43" s="196">
        <f>SUMIFS('Forbrug af biomasse'!$E$2:$E$425,'Forbrug af biomasse'!$C$2:$C$425,'Resultat-Produktion &amp; forbrug'!$A43,'Forbrug af biomasse'!$D$2:$D$425,'Resultat-Produktion &amp; forbrug'!$D43,'Forbrug af biomasse'!$A$2:$A$425,'Resultat-Produktion &amp; forbrug'!G$2,'Forbrug af biomasse'!$B$2:$B$425,$E43)</f>
        <v>39415.735012617326</v>
      </c>
      <c r="H43" s="193">
        <f>IF(E43="Vestdanmark",-IF(A43="Halm",SUMIFS(IF(D43=År1,'Resultater - Vestdanmark'!H$3:H$482,IF(D43=År2,'Resultater - Vestdanmark'!I$3:I$482,'Resultater - Vestdanmark'!J$3:J$482)),'Resultater - Vestdanmark'!$F$3:$F$482,$A43,'Resultater - Vestdanmark'!H$3:H$482,"&lt;0"),0),-IF(A43="Halm",SUMIFS(IF(D43=År1,'Resultater - Østdanmark'!H$3:H$482,IF(D43=År2,'Resultater - Østdanmark'!I$3:I$482,'Resultater - Østdanmark'!J$3:J$482)),'Resultater - Østdanmark'!$F$3:$F$482,$A43,'Resultater - Østdanmark'!H$3:H$482,"&lt;0"),0))</f>
        <v>0</v>
      </c>
      <c r="I43" s="196">
        <f>SUMIFS('Forbrug af biomasse'!$E$2:$E$425,'Forbrug af biomasse'!$C$2:$C$425,'Resultat-Produktion &amp; forbrug'!$A43,'Forbrug af biomasse'!$D$2:$D$425,'Resultat-Produktion &amp; forbrug'!$D43,'Forbrug af biomasse'!$A$2:$A$425,'Resultat-Produktion &amp; forbrug'!I$2,'Forbrug af biomasse'!$B$2:$B$425,$E43)</f>
        <v>0</v>
      </c>
      <c r="J43" s="196">
        <f>SUMIFS('Forbrug af biomasse'!$E$2:$E$425,'Forbrug af biomasse'!$C$2:$C$425,'Resultat-Produktion &amp; forbrug'!$A43,'Forbrug af biomasse'!$D$2:$D$425,'Resultat-Produktion &amp; forbrug'!$D43,'Forbrug af biomasse'!$A$2:$A$425,'Resultat-Produktion &amp; forbrug'!J$2,'Forbrug af biomasse'!$B$2:$B$425,$E43)</f>
        <v>0</v>
      </c>
      <c r="K43" s="196">
        <f>SUMIFS('Forbrug af biomasse'!$E$2:$E$425,'Forbrug af biomasse'!$C$2:$C$425,'Resultat-Produktion &amp; forbrug'!$A43,'Forbrug af biomasse'!$D$2:$D$425,'Resultat-Produktion &amp; forbrug'!$D43,'Forbrug af biomasse'!$A$2:$A$425,'Resultat-Produktion &amp; forbrug'!K$2,'Forbrug af biomasse'!$B$2:$B$425,$E43)</f>
        <v>0</v>
      </c>
      <c r="L43" s="196">
        <f>IF(A43&lt;&gt;"Biogas",SUMIFS('Forbrug af biomasse'!$E$2:$E$425,'Forbrug af biomasse'!$C$2:$C$425,'Resultat-Produktion &amp; forbrug'!$A43,'Forbrug af biomasse'!$D$2:$D$425,'Resultat-Produktion &amp; forbrug'!$D43,'Forbrug af biomasse'!$A$2:$A$425,'Resultat-Produktion &amp; forbrug'!L$2,'Forbrug af biomasse'!$B$2:$B$425,$E43),F43)</f>
        <v>0</v>
      </c>
      <c r="M43" s="158">
        <f>SUMIFS('Forbrug af biomasse'!E:E,'Forbrug af biomasse'!C:C,'Resultat-Produktion &amp; forbrug'!$A43,'Forbrug af biomasse'!D:D,'Resultat-Produktion &amp; forbrug'!$D43,'Forbrug af biomasse'!G:G,1,'Forbrug af biomasse'!B:B,$E43)</f>
        <v>0</v>
      </c>
      <c r="N43" s="205">
        <f t="shared" si="9"/>
        <v>91860.340866184866</v>
      </c>
      <c r="O43" s="196">
        <f t="shared" si="1"/>
        <v>0</v>
      </c>
      <c r="P43" s="206">
        <f t="shared" si="10"/>
        <v>0</v>
      </c>
      <c r="Q43" s="193">
        <f>IFERROR(VLOOKUP(A43,[1]Energiindhold!$A$2:$C$11,3,FALSE),IFERROR(VLOOKUP(A43,[1]Biogasudbytte!$A$2:$B$18,2,FALSE)*[1]Energiindhold!$C$10,0))*O43</f>
        <v>0</v>
      </c>
      <c r="R43" s="193">
        <f>IF(A43&lt;&gt;"Biogas",IFERROR(VLOOKUP(A43,[1]Biogasudbytte!$A$2:$B$18,2,FALSE)*[1]Energiindhold!$C$10,0)*J43*IFERROR(VLOOKUP(A43,Biogasanlæg!$F$3:$G$8,2,FALSE),1)+IFERROR(VLOOKUP(A43,[1]Energiindhold!$A$2:$C$11,3,FALSE),0)*L43+IF(D43&lt;&gt;År1,Q43,0),0)</f>
        <v>0</v>
      </c>
      <c r="S43" s="193">
        <f>IFERROR(VLOOKUP(A43,[1]Biogasudbytte!$A$2:$B$18,2,FALSE)*[1]Energiindhold!$C$10,0)*J43*IFERROR(VLOOKUP(A43,Biogasanlæg!$F$3:$G$8,2,FALSE),1)</f>
        <v>0</v>
      </c>
      <c r="T43" s="194">
        <f t="shared" si="11"/>
        <v>0</v>
      </c>
      <c r="U43" s="192">
        <f>O43*IFERROR(VLOOKUP(A43,[1]Tørstofindhold!A$2:B$25,2,FALSE),0)</f>
        <v>0</v>
      </c>
      <c r="V43" s="193">
        <f>IF(D43=År1,P43,SUM(O43,P43))*IFERROR(VLOOKUP(A43,[1]Tørstofindhold!A$2:B$25,2,FALSE),0)</f>
        <v>0</v>
      </c>
      <c r="W43" s="193">
        <f>J43*IFERROR(VLOOKUP(A43,[1]Tørstofindhold!A$2:B$25,2,FALSE),0)</f>
        <v>0</v>
      </c>
      <c r="X43" s="194">
        <f t="shared" si="12"/>
        <v>0</v>
      </c>
      <c r="Y43" s="172">
        <f t="shared" si="2"/>
        <v>0</v>
      </c>
      <c r="Z43" s="104">
        <f t="shared" si="3"/>
        <v>1</v>
      </c>
    </row>
    <row r="44" spans="1:26" hidden="1" x14ac:dyDescent="0.55000000000000004">
      <c r="A44" s="195" t="s">
        <v>141</v>
      </c>
      <c r="B44" s="195" t="s">
        <v>233</v>
      </c>
      <c r="C44" s="195">
        <f>IF(COUNTIFS('Resultater - Danmark'!$D$3:$D$482,'Resultat-Produktion &amp; forbrug'!A44,'Resultater - Danmark'!$A$3:$A$482,"Til energi")+COUNTIFS('Resultater - Danmark'!$D$3:$D$482,'Resultat-Produktion &amp; forbrug'!A44,'Resultater - Danmark'!$A$3:$A$482,"Biogasanlæg")&gt;0,1,0)</f>
        <v>1</v>
      </c>
      <c r="D44" s="195">
        <f t="shared" si="8"/>
        <v>2019</v>
      </c>
      <c r="E44" s="193" t="s">
        <v>23</v>
      </c>
      <c r="F44" s="196">
        <f>IF(E44="Vestdanmark",SUMIFS(IF(D44=År1,'Resultater - Vestdanmark'!H$3:H$482,IF(D44=År2,'Resultater - Vestdanmark'!I$3:I$482,'Resultater - Vestdanmark'!J$3:J$482)),'Resultater - Vestdanmark'!$F$3:$F$482,$A44,IF(D44=År1,'Resultater - Vestdanmark'!H$3:H$482,IF(D44=År2,'Resultater - Vestdanmark'!I$3:I$482,'Resultater - Vestdanmark'!J$3:J$482)),"&gt;0"),SUMIFS(IF(D44=År1,'Resultater - Østdanmark'!H$3:H$482,IF(D44=År2,'Resultater - Østdanmark'!I$3:I$482,'Resultater - Østdanmark'!J$3:J$482)),'Resultater - Østdanmark'!$F$3:$F$482,$A44,IF(D44=År1,'Resultater - Østdanmark'!H$3:H$482,IF(D44=År2,'Resultater - Østdanmark'!I$3:I$482,'Resultater - Østdanmark'!J$3:J$482)),"&gt;0"))</f>
        <v>3850196.5402414175</v>
      </c>
      <c r="G44" s="196">
        <f>SUMIFS('Forbrug af biomasse'!$E$2:$E$425,'Forbrug af biomasse'!$C$2:$C$425,'Resultat-Produktion &amp; forbrug'!$A44,'Forbrug af biomasse'!$D$2:$D$425,'Resultat-Produktion &amp; forbrug'!$D44,'Forbrug af biomasse'!$A$2:$A$425,'Resultat-Produktion &amp; forbrug'!G$2,'Forbrug af biomasse'!$B$2:$B$425,$E44)</f>
        <v>0</v>
      </c>
      <c r="H44" s="193">
        <f>IF(E44="Vestdanmark",-IF(A44="Halm",SUMIFS(IF(D44=År1,'Resultater - Vestdanmark'!H$3:H$482,IF(D44=År2,'Resultater - Vestdanmark'!I$3:I$482,'Resultater - Vestdanmark'!J$3:J$482)),'Resultater - Vestdanmark'!$F$3:$F$482,$A44,'Resultater - Vestdanmark'!H$3:H$482,"&lt;0"),0),-IF(A44="Halm",SUMIFS(IF(D44=År1,'Resultater - Østdanmark'!H$3:H$482,IF(D44=År2,'Resultater - Østdanmark'!I$3:I$482,'Resultater - Østdanmark'!J$3:J$482)),'Resultater - Østdanmark'!$F$3:$F$482,$A44,'Resultater - Østdanmark'!H$3:H$482,"&lt;0"),0))</f>
        <v>0</v>
      </c>
      <c r="I44" s="196">
        <f>SUMIFS('Forbrug af biomasse'!$E$2:$E$425,'Forbrug af biomasse'!$C$2:$C$425,'Resultat-Produktion &amp; forbrug'!$A44,'Forbrug af biomasse'!$D$2:$D$425,'Resultat-Produktion &amp; forbrug'!$D44,'Forbrug af biomasse'!$A$2:$A$425,'Resultat-Produktion &amp; forbrug'!I$2,'Forbrug af biomasse'!$B$2:$B$425,$E44)</f>
        <v>0</v>
      </c>
      <c r="J44" s="196">
        <f>SUMIFS('Forbrug af biomasse'!$E$2:$E$425,'Forbrug af biomasse'!$C$2:$C$425,'Resultat-Produktion &amp; forbrug'!$A44,'Forbrug af biomasse'!$D$2:$D$425,'Resultat-Produktion &amp; forbrug'!$D44,'Forbrug af biomasse'!$A$2:$A$425,'Resultat-Produktion &amp; forbrug'!J$2,'Forbrug af biomasse'!$B$2:$B$425,$E44)</f>
        <v>1460182.5874658169</v>
      </c>
      <c r="K44" s="196">
        <f>SUMIFS('Forbrug af biomasse'!$E$2:$E$425,'Forbrug af biomasse'!$C$2:$C$425,'Resultat-Produktion &amp; forbrug'!$A44,'Forbrug af biomasse'!$D$2:$D$425,'Resultat-Produktion &amp; forbrug'!$D44,'Forbrug af biomasse'!$A$2:$A$425,'Resultat-Produktion &amp; forbrug'!K$2,'Forbrug af biomasse'!$B$2:$B$425,$E44)</f>
        <v>0</v>
      </c>
      <c r="L44" s="196">
        <f>IF(A44&lt;&gt;"Biogas",SUMIFS('Forbrug af biomasse'!$E$2:$E$425,'Forbrug af biomasse'!$C$2:$C$425,'Resultat-Produktion &amp; forbrug'!$A44,'Forbrug af biomasse'!$D$2:$D$425,'Resultat-Produktion &amp; forbrug'!$D44,'Forbrug af biomasse'!$A$2:$A$425,'Resultat-Produktion &amp; forbrug'!L$2,'Forbrug af biomasse'!$B$2:$B$425,$E44),F44)</f>
        <v>0</v>
      </c>
      <c r="M44" s="158">
        <f>SUMIFS('Forbrug af biomasse'!E:E,'Forbrug af biomasse'!C:C,'Resultat-Produktion &amp; forbrug'!$A44,'Forbrug af biomasse'!D:D,'Resultat-Produktion &amp; forbrug'!$D44,'Forbrug af biomasse'!G:G,1,'Forbrug af biomasse'!B:B,$E44)</f>
        <v>0</v>
      </c>
      <c r="N44" s="205">
        <f t="shared" si="9"/>
        <v>2390013.9527756004</v>
      </c>
      <c r="O44" s="196">
        <f t="shared" si="1"/>
        <v>2390013.9527756004</v>
      </c>
      <c r="P44" s="206">
        <f t="shared" si="10"/>
        <v>1460182.5874658169</v>
      </c>
      <c r="Q44" s="193">
        <f>IFERROR(VLOOKUP(A44,[1]Energiindhold!$A$2:$C$11,3,FALSE),IFERROR(VLOOKUP(A44,[1]Biogasudbytte!$A$2:$B$18,2,FALSE)*[1]Energiindhold!$C$10,0))*O44</f>
        <v>1.1926408625745526</v>
      </c>
      <c r="R44" s="193">
        <f>IF(A44&lt;&gt;"Biogas",IFERROR(VLOOKUP(A44,[1]Biogasudbytte!$A$2:$B$18,2,FALSE)*[1]Energiindhold!$C$10,0)*J44*IFERROR(VLOOKUP(A44,Biogasanlæg!$F$3:$G$8,2,FALSE),1)+IFERROR(VLOOKUP(A44,[1]Energiindhold!$A$2:$C$11,3,FALSE),0)*L44+IF(D44&lt;&gt;År1,Q44,0),0)</f>
        <v>0.72864571297131742</v>
      </c>
      <c r="S44" s="193">
        <f>IFERROR(VLOOKUP(A44,[1]Biogasudbytte!$A$2:$B$18,2,FALSE)*[1]Energiindhold!$C$10,0)*J44*IFERROR(VLOOKUP(A44,Biogasanlæg!$F$3:$G$8,2,FALSE),1)</f>
        <v>0.72864571297131742</v>
      </c>
      <c r="T44" s="194">
        <f t="shared" si="11"/>
        <v>0</v>
      </c>
      <c r="U44" s="192">
        <f>O44*IFERROR(VLOOKUP(A44,[1]Tørstofindhold!A$2:B$25,2,FALSE),0)</f>
        <v>143400.83716653602</v>
      </c>
      <c r="V44" s="193">
        <f>IF(D44=År1,P44,SUM(O44,P44))*IFERROR(VLOOKUP(A44,[1]Tørstofindhold!A$2:B$25,2,FALSE),0)</f>
        <v>87610.955247949008</v>
      </c>
      <c r="W44" s="193">
        <f>J44*IFERROR(VLOOKUP(A44,[1]Tørstofindhold!A$2:B$25,2,FALSE),0)</f>
        <v>87610.955247949008</v>
      </c>
      <c r="X44" s="194">
        <f t="shared" si="12"/>
        <v>0</v>
      </c>
      <c r="Y44" s="172">
        <f t="shared" si="2"/>
        <v>0</v>
      </c>
      <c r="Z44" s="104">
        <f t="shared" si="3"/>
        <v>1</v>
      </c>
    </row>
    <row r="45" spans="1:26" hidden="1" x14ac:dyDescent="0.55000000000000004">
      <c r="A45" s="195" t="s">
        <v>136</v>
      </c>
      <c r="B45" s="195" t="s">
        <v>225</v>
      </c>
      <c r="C45" s="195">
        <f>IF(COUNTIFS('Resultater - Danmark'!$D$3:$D$482,'Resultat-Produktion &amp; forbrug'!A45,'Resultater - Danmark'!$A$3:$A$482,"Til energi")+COUNTIFS('Resultater - Danmark'!$D$3:$D$482,'Resultat-Produktion &amp; forbrug'!A45,'Resultater - Danmark'!$A$3:$A$482,"Biogasanlæg")&gt;0,1,0)</f>
        <v>1</v>
      </c>
      <c r="D45" s="195">
        <f t="shared" si="8"/>
        <v>2019</v>
      </c>
      <c r="E45" s="193" t="s">
        <v>23</v>
      </c>
      <c r="F45" s="196">
        <f>IF(E45="Vestdanmark",SUMIFS(IF(D45=År1,'Resultater - Vestdanmark'!H$3:H$482,IF(D45=År2,'Resultater - Vestdanmark'!I$3:I$482,'Resultater - Vestdanmark'!J$3:J$482)),'Resultater - Vestdanmark'!$F$3:$F$482,$A45,IF(D45=År1,'Resultater - Vestdanmark'!H$3:H$482,IF(D45=År2,'Resultater - Vestdanmark'!I$3:I$482,'Resultater - Vestdanmark'!J$3:J$482)),"&gt;0"),SUMIFS(IF(D45=År1,'Resultater - Østdanmark'!H$3:H$482,IF(D45=År2,'Resultater - Østdanmark'!I$3:I$482,'Resultater - Østdanmark'!J$3:J$482)),'Resultater - Østdanmark'!$F$3:$F$482,$A45,IF(D45=År1,'Resultater - Østdanmark'!H$3:H$482,IF(D45=År2,'Resultater - Østdanmark'!I$3:I$482,'Resultater - Østdanmark'!J$3:J$482)),"&gt;0"))</f>
        <v>15352538.506892066</v>
      </c>
      <c r="G45" s="196">
        <f>SUMIFS('Forbrug af biomasse'!$E$2:$E$425,'Forbrug af biomasse'!$C$2:$C$425,'Resultat-Produktion &amp; forbrug'!$A45,'Forbrug af biomasse'!$D$2:$D$425,'Resultat-Produktion &amp; forbrug'!$D45,'Forbrug af biomasse'!$A$2:$A$425,'Resultat-Produktion &amp; forbrug'!G$2,'Forbrug af biomasse'!$B$2:$B$425,$E45)</f>
        <v>0</v>
      </c>
      <c r="H45" s="193">
        <f>IF(E45="Vestdanmark",-IF(A45="Halm",SUMIFS(IF(D45=År1,'Resultater - Vestdanmark'!H$3:H$482,IF(D45=År2,'Resultater - Vestdanmark'!I$3:I$482,'Resultater - Vestdanmark'!J$3:J$482)),'Resultater - Vestdanmark'!$F$3:$F$482,$A45,'Resultater - Vestdanmark'!H$3:H$482,"&lt;0"),0),-IF(A45="Halm",SUMIFS(IF(D45=År1,'Resultater - Østdanmark'!H$3:H$482,IF(D45=År2,'Resultater - Østdanmark'!I$3:I$482,'Resultater - Østdanmark'!J$3:J$482)),'Resultater - Østdanmark'!$F$3:$F$482,$A45,'Resultater - Østdanmark'!H$3:H$482,"&lt;0"),0))</f>
        <v>0</v>
      </c>
      <c r="I45" s="196">
        <f>SUMIFS('Forbrug af biomasse'!$E$2:$E$425,'Forbrug af biomasse'!$C$2:$C$425,'Resultat-Produktion &amp; forbrug'!$A45,'Forbrug af biomasse'!$D$2:$D$425,'Resultat-Produktion &amp; forbrug'!$D45,'Forbrug af biomasse'!$A$2:$A$425,'Resultat-Produktion &amp; forbrug'!I$2,'Forbrug af biomasse'!$B$2:$B$425,$E45)</f>
        <v>0</v>
      </c>
      <c r="J45" s="196">
        <f>SUMIFS('Forbrug af biomasse'!$E$2:$E$425,'Forbrug af biomasse'!$C$2:$C$425,'Resultat-Produktion &amp; forbrug'!$A45,'Forbrug af biomasse'!$D$2:$D$425,'Resultat-Produktion &amp; forbrug'!$D45,'Forbrug af biomasse'!$A$2:$A$425,'Resultat-Produktion &amp; forbrug'!J$2,'Forbrug af biomasse'!$B$2:$B$425,$E45)</f>
        <v>2534442.072977222</v>
      </c>
      <c r="K45" s="196">
        <f>SUMIFS('Forbrug af biomasse'!$E$2:$E$425,'Forbrug af biomasse'!$C$2:$C$425,'Resultat-Produktion &amp; forbrug'!$A45,'Forbrug af biomasse'!$D$2:$D$425,'Resultat-Produktion &amp; forbrug'!$D45,'Forbrug af biomasse'!$A$2:$A$425,'Resultat-Produktion &amp; forbrug'!K$2,'Forbrug af biomasse'!$B$2:$B$425,$E45)</f>
        <v>12818096.433914844</v>
      </c>
      <c r="L45" s="196">
        <f>IF(A45&lt;&gt;"Biogas",SUMIFS('Forbrug af biomasse'!$E$2:$E$425,'Forbrug af biomasse'!$C$2:$C$425,'Resultat-Produktion &amp; forbrug'!$A45,'Forbrug af biomasse'!$D$2:$D$425,'Resultat-Produktion &amp; forbrug'!$D45,'Forbrug af biomasse'!$A$2:$A$425,'Resultat-Produktion &amp; forbrug'!L$2,'Forbrug af biomasse'!$B$2:$B$425,$E45),F45)</f>
        <v>0</v>
      </c>
      <c r="M45" s="158">
        <f>SUMIFS('Forbrug af biomasse'!E:E,'Forbrug af biomasse'!C:C,'Resultat-Produktion &amp; forbrug'!$A45,'Forbrug af biomasse'!D:D,'Resultat-Produktion &amp; forbrug'!$D45,'Forbrug af biomasse'!G:G,1,'Forbrug af biomasse'!B:B,$E45)</f>
        <v>0</v>
      </c>
      <c r="N45" s="205">
        <f t="shared" si="9"/>
        <v>0</v>
      </c>
      <c r="O45" s="196">
        <f t="shared" si="1"/>
        <v>0</v>
      </c>
      <c r="P45" s="206">
        <f t="shared" si="10"/>
        <v>2534442.072977222</v>
      </c>
      <c r="Q45" s="193">
        <f>IFERROR(VLOOKUP(A45,[1]Energiindhold!$A$2:$C$11,3,FALSE),IFERROR(VLOOKUP(A45,[1]Biogasudbytte!$A$2:$B$18,2,FALSE)*[1]Energiindhold!$C$10,0))*O45</f>
        <v>0</v>
      </c>
      <c r="R45" s="193">
        <f>IF(A45&lt;&gt;"Biogas",IFERROR(VLOOKUP(A45,[1]Biogasudbytte!$A$2:$B$18,2,FALSE)*[1]Energiindhold!$C$10,0)*J45*IFERROR(VLOOKUP(A45,Biogasanlæg!$F$3:$G$8,2,FALSE),1)+IFERROR(VLOOKUP(A45,[1]Energiindhold!$A$2:$C$11,3,FALSE),0)*L45+IF(D45&lt;&gt;År1,Q45,0),0)</f>
        <v>1.0918376450385874</v>
      </c>
      <c r="S45" s="193">
        <f>IFERROR(VLOOKUP(A45,[1]Biogasudbytte!$A$2:$B$18,2,FALSE)*[1]Energiindhold!$C$10,0)*J45*IFERROR(VLOOKUP(A45,Biogasanlæg!$F$3:$G$8,2,FALSE),1)</f>
        <v>1.0918376450385874</v>
      </c>
      <c r="T45" s="194">
        <f t="shared" si="11"/>
        <v>0</v>
      </c>
      <c r="U45" s="192">
        <f>O45*IFERROR(VLOOKUP(A45,[1]Tørstofindhold!A$2:B$25,2,FALSE),0)</f>
        <v>0</v>
      </c>
      <c r="V45" s="193">
        <f>IF(D45=År1,P45,SUM(O45,P45))*IFERROR(VLOOKUP(A45,[1]Tørstofindhold!A$2:B$25,2,FALSE),0)</f>
        <v>126722.10364886111</v>
      </c>
      <c r="W45" s="193">
        <f>J45*IFERROR(VLOOKUP(A45,[1]Tørstofindhold!A$2:B$25,2,FALSE),0)</f>
        <v>126722.10364886111</v>
      </c>
      <c r="X45" s="194">
        <f t="shared" si="12"/>
        <v>0</v>
      </c>
      <c r="Y45" s="172">
        <f t="shared" si="2"/>
        <v>0</v>
      </c>
      <c r="Z45" s="104">
        <f t="shared" si="3"/>
        <v>0</v>
      </c>
    </row>
    <row r="46" spans="1:26" hidden="1" x14ac:dyDescent="0.55000000000000004">
      <c r="A46" s="195" t="s">
        <v>13</v>
      </c>
      <c r="B46" s="195"/>
      <c r="C46" s="195">
        <f>IF(COUNTIFS('Resultater - Danmark'!$D$3:$D$482,'Resultat-Produktion &amp; forbrug'!A46,'Resultater - Danmark'!$A$3:$A$482,"Til energi")+COUNTIFS('Resultater - Danmark'!$D$3:$D$482,'Resultat-Produktion &amp; forbrug'!A46,'Resultater - Danmark'!$A$3:$A$482,"Biogasanlæg")&gt;0,1,0)</f>
        <v>0</v>
      </c>
      <c r="D46" s="195">
        <f t="shared" si="8"/>
        <v>2019</v>
      </c>
      <c r="E46" s="193" t="s">
        <v>23</v>
      </c>
      <c r="F46" s="196">
        <f>IF(E46="Vestdanmark",SUMIFS(IF(D46=År1,'Resultater - Vestdanmark'!H$3:H$482,IF(D46=År2,'Resultater - Vestdanmark'!I$3:I$482,'Resultater - Vestdanmark'!J$3:J$482)),'Resultater - Vestdanmark'!$F$3:$F$482,$A46,IF(D46=År1,'Resultater - Vestdanmark'!H$3:H$482,IF(D46=År2,'Resultater - Vestdanmark'!I$3:I$482,'Resultater - Vestdanmark'!J$3:J$482)),"&gt;0"),SUMIFS(IF(D46=År1,'Resultater - Østdanmark'!H$3:H$482,IF(D46=År2,'Resultater - Østdanmark'!I$3:I$482,'Resultater - Østdanmark'!J$3:J$482)),'Resultater - Østdanmark'!$F$3:$F$482,$A46,IF(D46=År1,'Resultater - Østdanmark'!H$3:H$482,IF(D46=År2,'Resultater - Østdanmark'!I$3:I$482,'Resultater - Østdanmark'!J$3:J$482)),"&gt;0"))</f>
        <v>1394376.9846055224</v>
      </c>
      <c r="G46" s="196">
        <f>SUMIFS('Forbrug af biomasse'!$E$2:$E$425,'Forbrug af biomasse'!$C$2:$C$425,'Resultat-Produktion &amp; forbrug'!$A46,'Forbrug af biomasse'!$D$2:$D$425,'Resultat-Produktion &amp; forbrug'!$D46,'Forbrug af biomasse'!$A$2:$A$425,'Resultat-Produktion &amp; forbrug'!G$2,'Forbrug af biomasse'!$B$2:$B$425,$E46)</f>
        <v>0</v>
      </c>
      <c r="H46" s="193">
        <f>IF(E46="Vestdanmark",-IF(A46="Halm",SUMIFS(IF(D46=År1,'Resultater - Vestdanmark'!H$3:H$482,IF(D46=År2,'Resultater - Vestdanmark'!I$3:I$482,'Resultater - Vestdanmark'!J$3:J$482)),'Resultater - Vestdanmark'!$F$3:$F$482,$A46,'Resultater - Vestdanmark'!H$3:H$482,"&lt;0"),0),-IF(A46="Halm",SUMIFS(IF(D46=År1,'Resultater - Østdanmark'!H$3:H$482,IF(D46=År2,'Resultater - Østdanmark'!I$3:I$482,'Resultater - Østdanmark'!J$3:J$482)),'Resultater - Østdanmark'!$F$3:$F$482,$A46,'Resultater - Østdanmark'!H$3:H$482,"&lt;0"),0))</f>
        <v>0</v>
      </c>
      <c r="I46" s="196">
        <f>SUMIFS('Forbrug af biomasse'!$E$2:$E$425,'Forbrug af biomasse'!$C$2:$C$425,'Resultat-Produktion &amp; forbrug'!$A46,'Forbrug af biomasse'!$D$2:$D$425,'Resultat-Produktion &amp; forbrug'!$D46,'Forbrug af biomasse'!$A$2:$A$425,'Resultat-Produktion &amp; forbrug'!I$2,'Forbrug af biomasse'!$B$2:$B$425,$E46)</f>
        <v>117920.63695532705</v>
      </c>
      <c r="J46" s="196">
        <f>SUMIFS('Forbrug af biomasse'!$E$2:$E$425,'Forbrug af biomasse'!$C$2:$C$425,'Resultat-Produktion &amp; forbrug'!$A46,'Forbrug af biomasse'!$D$2:$D$425,'Resultat-Produktion &amp; forbrug'!$D46,'Forbrug af biomasse'!$A$2:$A$425,'Resultat-Produktion &amp; forbrug'!J$2,'Forbrug af biomasse'!$B$2:$B$425,$E46)</f>
        <v>0</v>
      </c>
      <c r="K46" s="196">
        <f>SUMIFS('Forbrug af biomasse'!$E$2:$E$425,'Forbrug af biomasse'!$C$2:$C$425,'Resultat-Produktion &amp; forbrug'!$A46,'Forbrug af biomasse'!$D$2:$D$425,'Resultat-Produktion &amp; forbrug'!$D46,'Forbrug af biomasse'!$A$2:$A$425,'Resultat-Produktion &amp; forbrug'!K$2,'Forbrug af biomasse'!$B$2:$B$425,$E46)</f>
        <v>0</v>
      </c>
      <c r="L46" s="196">
        <f>IF(A46&lt;&gt;"Biogas",SUMIFS('Forbrug af biomasse'!$E$2:$E$425,'Forbrug af biomasse'!$C$2:$C$425,'Resultat-Produktion &amp; forbrug'!$A46,'Forbrug af biomasse'!$D$2:$D$425,'Resultat-Produktion &amp; forbrug'!$D46,'Forbrug af biomasse'!$A$2:$A$425,'Resultat-Produktion &amp; forbrug'!L$2,'Forbrug af biomasse'!$B$2:$B$425,$E46),F46)</f>
        <v>0</v>
      </c>
      <c r="M46" s="158">
        <f>SUMIFS('Forbrug af biomasse'!E:E,'Forbrug af biomasse'!C:C,'Resultat-Produktion &amp; forbrug'!$A46,'Forbrug af biomasse'!D:D,'Resultat-Produktion &amp; forbrug'!$D46,'Forbrug af biomasse'!G:G,1,'Forbrug af biomasse'!B:B,$E46)</f>
        <v>0</v>
      </c>
      <c r="N46" s="205">
        <f t="shared" si="9"/>
        <v>1276456.3476501952</v>
      </c>
      <c r="O46" s="196">
        <f t="shared" si="1"/>
        <v>0</v>
      </c>
      <c r="P46" s="206">
        <f t="shared" si="10"/>
        <v>0</v>
      </c>
      <c r="Q46" s="193">
        <f>IFERROR(VLOOKUP(A46,[1]Energiindhold!$A$2:$C$11,3,FALSE),IFERROR(VLOOKUP(A46,[1]Biogasudbytte!$A$2:$B$18,2,FALSE)*[1]Energiindhold!$C$10,0))*O46</f>
        <v>0</v>
      </c>
      <c r="R46" s="193">
        <f>IF(A46&lt;&gt;"Biogas",IFERROR(VLOOKUP(A46,[1]Biogasudbytte!$A$2:$B$18,2,FALSE)*[1]Energiindhold!$C$10,0)*J46*IFERROR(VLOOKUP(A46,Biogasanlæg!$F$3:$G$8,2,FALSE),1)+IFERROR(VLOOKUP(A46,[1]Energiindhold!$A$2:$C$11,3,FALSE),0)*L46+IF(D46&lt;&gt;År1,Q46,0),0)</f>
        <v>0</v>
      </c>
      <c r="S46" s="193">
        <f>IFERROR(VLOOKUP(A46,[1]Biogasudbytte!$A$2:$B$18,2,FALSE)*[1]Energiindhold!$C$10,0)*J46*IFERROR(VLOOKUP(A46,Biogasanlæg!$F$3:$G$8,2,FALSE),1)</f>
        <v>0</v>
      </c>
      <c r="T46" s="194">
        <f t="shared" si="11"/>
        <v>0</v>
      </c>
      <c r="U46" s="192">
        <f>O46*IFERROR(VLOOKUP(A46,[1]Tørstofindhold!A$2:B$25,2,FALSE),0)</f>
        <v>0</v>
      </c>
      <c r="V46" s="193">
        <f>IF(D46=År1,P46,SUM(O46,P46))*IFERROR(VLOOKUP(A46,[1]Tørstofindhold!A$2:B$25,2,FALSE),0)</f>
        <v>0</v>
      </c>
      <c r="W46" s="193">
        <f>J46*IFERROR(VLOOKUP(A46,[1]Tørstofindhold!A$2:B$25,2,FALSE),0)</f>
        <v>0</v>
      </c>
      <c r="X46" s="194">
        <f t="shared" si="12"/>
        <v>0</v>
      </c>
      <c r="Y46" s="172">
        <f t="shared" si="2"/>
        <v>0</v>
      </c>
      <c r="Z46" s="104">
        <f t="shared" si="3"/>
        <v>1</v>
      </c>
    </row>
    <row r="47" spans="1:26" x14ac:dyDescent="0.55000000000000004">
      <c r="A47" s="195" t="s">
        <v>100</v>
      </c>
      <c r="B47" s="195" t="s">
        <v>229</v>
      </c>
      <c r="C47" s="195">
        <f>IF(COUNTIFS('Resultater - Danmark'!$D$3:$D$482,'Resultat-Produktion &amp; forbrug'!A47,'Resultater - Danmark'!$A$3:$A$482,"Til energi")+COUNTIFS('Resultater - Danmark'!$D$3:$D$482,'Resultat-Produktion &amp; forbrug'!A47,'Resultater - Danmark'!$A$3:$A$482,"Biogasanlæg")&gt;0,1,0)</f>
        <v>1</v>
      </c>
      <c r="D47" s="195">
        <f t="shared" si="8"/>
        <v>2019</v>
      </c>
      <c r="E47" s="193" t="s">
        <v>23</v>
      </c>
      <c r="F47" s="196">
        <f>IF(E47="Vestdanmark",SUMIFS(IF(D47=År1,'Resultater - Vestdanmark'!H$3:H$482,IF(D47=År2,'Resultater - Vestdanmark'!I$3:I$482,'Resultater - Vestdanmark'!J$3:J$482)),'Resultater - Vestdanmark'!$F$3:$F$482,$A47,IF(D47=År1,'Resultater - Vestdanmark'!H$3:H$482,IF(D47=År2,'Resultater - Vestdanmark'!I$3:I$482,'Resultater - Vestdanmark'!J$3:J$482)),"&gt;0"),SUMIFS(IF(D47=År1,'Resultater - Østdanmark'!H$3:H$482,IF(D47=År2,'Resultater - Østdanmark'!I$3:I$482,'Resultater - Østdanmark'!J$3:J$482)),'Resultater - Østdanmark'!$F$3:$F$482,$A47,IF(D47=År1,'Resultater - Østdanmark'!H$3:H$482,IF(D47=År2,'Resultater - Østdanmark'!I$3:I$482,'Resultater - Østdanmark'!J$3:J$482)),"&gt;0"))</f>
        <v>76.5</v>
      </c>
      <c r="G47" s="196">
        <f>SUMIFS('Forbrug af biomasse'!$E$2:$E$425,'Forbrug af biomasse'!$C$2:$C$425,'Resultat-Produktion &amp; forbrug'!$A47,'Forbrug af biomasse'!$D$2:$D$425,'Resultat-Produktion &amp; forbrug'!$D47,'Forbrug af biomasse'!$A$2:$A$425,'Resultat-Produktion &amp; forbrug'!G$2,'Forbrug af biomasse'!$B$2:$B$425,$E47)</f>
        <v>0</v>
      </c>
      <c r="H47" s="193">
        <f>IF(E47="Vestdanmark",-IF(A47="Halm",SUMIFS(IF(D47=År1,'Resultater - Vestdanmark'!H$3:H$482,IF(D47=År2,'Resultater - Vestdanmark'!I$3:I$482,'Resultater - Vestdanmark'!J$3:J$482)),'Resultater - Vestdanmark'!$F$3:$F$482,$A47,'Resultater - Vestdanmark'!H$3:H$482,"&lt;0"),0),-IF(A47="Halm",SUMIFS(IF(D47=År1,'Resultater - Østdanmark'!H$3:H$482,IF(D47=År2,'Resultater - Østdanmark'!I$3:I$482,'Resultater - Østdanmark'!J$3:J$482)),'Resultater - Østdanmark'!$F$3:$F$482,$A47,'Resultater - Østdanmark'!H$3:H$482,"&lt;0"),0))</f>
        <v>0</v>
      </c>
      <c r="I47" s="196">
        <f>SUMIFS('Forbrug af biomasse'!$E$2:$E$425,'Forbrug af biomasse'!$C$2:$C$425,'Resultat-Produktion &amp; forbrug'!$A47,'Forbrug af biomasse'!$D$2:$D$425,'Resultat-Produktion &amp; forbrug'!$D47,'Forbrug af biomasse'!$A$2:$A$425,'Resultat-Produktion &amp; forbrug'!I$2,'Forbrug af biomasse'!$B$2:$B$425,$E47)</f>
        <v>0</v>
      </c>
      <c r="J47" s="196">
        <f>SUMIFS('Forbrug af biomasse'!$E$2:$E$425,'Forbrug af biomasse'!$C$2:$C$425,'Resultat-Produktion &amp; forbrug'!$A47,'Forbrug af biomasse'!$D$2:$D$425,'Resultat-Produktion &amp; forbrug'!$D47,'Forbrug af biomasse'!$A$2:$A$425,'Resultat-Produktion &amp; forbrug'!J$2,'Forbrug af biomasse'!$B$2:$B$425,$E47)</f>
        <v>0</v>
      </c>
      <c r="K47" s="196">
        <f>SUMIFS('Forbrug af biomasse'!$E$2:$E$425,'Forbrug af biomasse'!$C$2:$C$425,'Resultat-Produktion &amp; forbrug'!$A47,'Forbrug af biomasse'!$D$2:$D$425,'Resultat-Produktion &amp; forbrug'!$D47,'Forbrug af biomasse'!$A$2:$A$425,'Resultat-Produktion &amp; forbrug'!K$2,'Forbrug af biomasse'!$B$2:$B$425,$E47)</f>
        <v>0</v>
      </c>
      <c r="L47" s="196">
        <f>IF(A47&lt;&gt;"Biogas",SUMIFS('Forbrug af biomasse'!$E$2:$E$425,'Forbrug af biomasse'!$C$2:$C$425,'Resultat-Produktion &amp; forbrug'!$A47,'Forbrug af biomasse'!$D$2:$D$425,'Resultat-Produktion &amp; forbrug'!$D47,'Forbrug af biomasse'!$A$2:$A$425,'Resultat-Produktion &amp; forbrug'!L$2,'Forbrug af biomasse'!$B$2:$B$425,$E47),F47)</f>
        <v>0</v>
      </c>
      <c r="M47" s="158">
        <f>SUMIFS('Forbrug af biomasse'!E:E,'Forbrug af biomasse'!C:C,'Resultat-Produktion &amp; forbrug'!$A47,'Forbrug af biomasse'!D:D,'Resultat-Produktion &amp; forbrug'!$D47,'Forbrug af biomasse'!G:G,1,'Forbrug af biomasse'!B:B,$E47)</f>
        <v>0</v>
      </c>
      <c r="N47" s="205">
        <f t="shared" si="9"/>
        <v>76.5</v>
      </c>
      <c r="O47" s="196">
        <f t="shared" si="1"/>
        <v>76.5</v>
      </c>
      <c r="P47" s="206">
        <f t="shared" si="10"/>
        <v>0</v>
      </c>
      <c r="Q47" s="193">
        <f>IFERROR(VLOOKUP(A47,[1]Energiindhold!$A$2:$C$11,3,FALSE),IFERROR(VLOOKUP(A47,[1]Biogasudbytte!$A$2:$B$18,2,FALSE)*[1]Energiindhold!$C$10,0))*O47</f>
        <v>6.8658750000000004E-5</v>
      </c>
      <c r="R47" s="193">
        <f>IF(A47&lt;&gt;"Biogas",IFERROR(VLOOKUP(A47,[1]Biogasudbytte!$A$2:$B$18,2,FALSE)*[1]Energiindhold!$C$10,0)*J47*IFERROR(VLOOKUP(A47,Biogasanlæg!$F$3:$G$8,2,FALSE),1)+IFERROR(VLOOKUP(A47,[1]Energiindhold!$A$2:$C$11,3,FALSE),0)*L47+IF(D47&lt;&gt;År1,Q47,0),0)</f>
        <v>0</v>
      </c>
      <c r="S47" s="193">
        <f>IFERROR(VLOOKUP(A47,[1]Biogasudbytte!$A$2:$B$18,2,FALSE)*[1]Energiindhold!$C$10,0)*J47*IFERROR(VLOOKUP(A47,Biogasanlæg!$F$3:$G$8,2,FALSE),1)</f>
        <v>0</v>
      </c>
      <c r="T47" s="194">
        <f t="shared" si="11"/>
        <v>0</v>
      </c>
      <c r="U47" s="192">
        <f>O47*IFERROR(VLOOKUP(A47,[1]Tørstofindhold!A$2:B$25,2,FALSE),0)</f>
        <v>11.475</v>
      </c>
      <c r="V47" s="193">
        <f>IF(D47=År1,P47,SUM(O47,P47))*IFERROR(VLOOKUP(A47,[1]Tørstofindhold!A$2:B$25,2,FALSE),0)</f>
        <v>0</v>
      </c>
      <c r="W47" s="193">
        <f>J47*IFERROR(VLOOKUP(A47,[1]Tørstofindhold!A$2:B$25,2,FALSE),0)</f>
        <v>0</v>
      </c>
      <c r="X47" s="194">
        <f t="shared" si="12"/>
        <v>0</v>
      </c>
      <c r="Y47" s="172">
        <f t="shared" si="2"/>
        <v>0</v>
      </c>
      <c r="Z47" s="104">
        <f t="shared" si="3"/>
        <v>1</v>
      </c>
    </row>
    <row r="48" spans="1:26" hidden="1" x14ac:dyDescent="0.55000000000000004">
      <c r="A48" s="195" t="s">
        <v>105</v>
      </c>
      <c r="B48" s="195"/>
      <c r="C48" s="195">
        <f>IF(COUNTIFS('Resultater - Danmark'!$D$3:$D$482,'Resultat-Produktion &amp; forbrug'!A48,'Resultater - Danmark'!$A$3:$A$482,"Til energi")+COUNTIFS('Resultater - Danmark'!$D$3:$D$482,'Resultat-Produktion &amp; forbrug'!A48,'Resultater - Danmark'!$A$3:$A$482,"Biogasanlæg")&gt;0,1,0)</f>
        <v>1</v>
      </c>
      <c r="D48" s="195">
        <f t="shared" si="8"/>
        <v>2019</v>
      </c>
      <c r="E48" s="193" t="s">
        <v>23</v>
      </c>
      <c r="F48" s="196">
        <f>IF(E48="Vestdanmark",SUMIFS(IF(D48=År1,'Resultater - Vestdanmark'!H$3:H$482,IF(D48=År2,'Resultater - Vestdanmark'!I$3:I$482,'Resultater - Vestdanmark'!J$3:J$482)),'Resultater - Vestdanmark'!$F$3:$F$482,$A48,IF(D48=År1,'Resultater - Vestdanmark'!H$3:H$482,IF(D48=År2,'Resultater - Vestdanmark'!I$3:I$482,'Resultater - Vestdanmark'!J$3:J$482)),"&gt;0"),SUMIFS(IF(D48=År1,'Resultater - Østdanmark'!H$3:H$482,IF(D48=År2,'Resultater - Østdanmark'!I$3:I$482,'Resultater - Østdanmark'!J$3:J$482)),'Resultater - Østdanmark'!$F$3:$F$482,$A48,IF(D48=År1,'Resultater - Østdanmark'!H$3:H$482,IF(D48=År2,'Resultater - Østdanmark'!I$3:I$482,'Resultater - Østdanmark'!J$3:J$482)),"&gt;0"))</f>
        <v>0</v>
      </c>
      <c r="G48" s="196">
        <f>SUMIFS('Forbrug af biomasse'!$E$2:$E$425,'Forbrug af biomasse'!$C$2:$C$425,'Resultat-Produktion &amp; forbrug'!$A48,'Forbrug af biomasse'!$D$2:$D$425,'Resultat-Produktion &amp; forbrug'!$D48,'Forbrug af biomasse'!$A$2:$A$425,'Resultat-Produktion &amp; forbrug'!G$2,'Forbrug af biomasse'!$B$2:$B$425,$E48)</f>
        <v>0</v>
      </c>
      <c r="H48" s="193">
        <f>IF(E48="Vestdanmark",-IF(A48="Halm",SUMIFS(IF(D48=År1,'Resultater - Vestdanmark'!H$3:H$482,IF(D48=År2,'Resultater - Vestdanmark'!I$3:I$482,'Resultater - Vestdanmark'!J$3:J$482)),'Resultater - Vestdanmark'!$F$3:$F$482,$A48,'Resultater - Vestdanmark'!H$3:H$482,"&lt;0"),0),-IF(A48="Halm",SUMIFS(IF(D48=År1,'Resultater - Østdanmark'!H$3:H$482,IF(D48=År2,'Resultater - Østdanmark'!I$3:I$482,'Resultater - Østdanmark'!J$3:J$482)),'Resultater - Østdanmark'!$F$3:$F$482,$A48,'Resultater - Østdanmark'!H$3:H$482,"&lt;0"),0))</f>
        <v>0</v>
      </c>
      <c r="I48" s="196">
        <f>SUMIFS('Forbrug af biomasse'!$E$2:$E$425,'Forbrug af biomasse'!$C$2:$C$425,'Resultat-Produktion &amp; forbrug'!$A48,'Forbrug af biomasse'!$D$2:$D$425,'Resultat-Produktion &amp; forbrug'!$D48,'Forbrug af biomasse'!$A$2:$A$425,'Resultat-Produktion &amp; forbrug'!I$2,'Forbrug af biomasse'!$B$2:$B$425,$E48)</f>
        <v>0</v>
      </c>
      <c r="J48" s="196">
        <f>SUMIFS('Forbrug af biomasse'!$E$2:$E$425,'Forbrug af biomasse'!$C$2:$C$425,'Resultat-Produktion &amp; forbrug'!$A48,'Forbrug af biomasse'!$D$2:$D$425,'Resultat-Produktion &amp; forbrug'!$D48,'Forbrug af biomasse'!$A$2:$A$425,'Resultat-Produktion &amp; forbrug'!J$2,'Forbrug af biomasse'!$B$2:$B$425,$E48)</f>
        <v>0</v>
      </c>
      <c r="K48" s="196">
        <f>SUMIFS('Forbrug af biomasse'!$E$2:$E$425,'Forbrug af biomasse'!$C$2:$C$425,'Resultat-Produktion &amp; forbrug'!$A48,'Forbrug af biomasse'!$D$2:$D$425,'Resultat-Produktion &amp; forbrug'!$D48,'Forbrug af biomasse'!$A$2:$A$425,'Resultat-Produktion &amp; forbrug'!K$2,'Forbrug af biomasse'!$B$2:$B$425,$E48)</f>
        <v>0</v>
      </c>
      <c r="L48" s="196">
        <f>IF(A48&lt;&gt;"Biogas",SUMIFS('Forbrug af biomasse'!$E$2:$E$425,'Forbrug af biomasse'!$C$2:$C$425,'Resultat-Produktion &amp; forbrug'!$A48,'Forbrug af biomasse'!$D$2:$D$425,'Resultat-Produktion &amp; forbrug'!$D48,'Forbrug af biomasse'!$A$2:$A$425,'Resultat-Produktion &amp; forbrug'!L$2,'Forbrug af biomasse'!$B$2:$B$425,$E48),F48)</f>
        <v>0</v>
      </c>
      <c r="M48" s="158">
        <f>SUMIFS('Forbrug af biomasse'!E:E,'Forbrug af biomasse'!C:C,'Resultat-Produktion &amp; forbrug'!$A48,'Forbrug af biomasse'!D:D,'Resultat-Produktion &amp; forbrug'!$D48,'Forbrug af biomasse'!G:G,1,'Forbrug af biomasse'!B:B,$E48)</f>
        <v>0</v>
      </c>
      <c r="N48" s="205">
        <f t="shared" si="9"/>
        <v>0</v>
      </c>
      <c r="O48" s="196">
        <f t="shared" si="1"/>
        <v>0</v>
      </c>
      <c r="P48" s="206">
        <f t="shared" si="10"/>
        <v>0</v>
      </c>
      <c r="Q48" s="193">
        <f>IFERROR(VLOOKUP(A48,[1]Energiindhold!$A$2:$C$11,3,FALSE),IFERROR(VLOOKUP(A48,[1]Biogasudbytte!$A$2:$B$18,2,FALSE)*[1]Energiindhold!$C$10,0))*O48</f>
        <v>0</v>
      </c>
      <c r="R48" s="193">
        <f>IF(A48&lt;&gt;"Biogas",IFERROR(VLOOKUP(A48,[1]Biogasudbytte!$A$2:$B$18,2,FALSE)*[1]Energiindhold!$C$10,0)*J48*IFERROR(VLOOKUP(A48,Biogasanlæg!$F$3:$G$8,2,FALSE),1)+IFERROR(VLOOKUP(A48,[1]Energiindhold!$A$2:$C$11,3,FALSE),0)*L48+IF(D48&lt;&gt;År1,Q48,0),0)</f>
        <v>0</v>
      </c>
      <c r="S48" s="193">
        <f>IFERROR(VLOOKUP(A48,[1]Biogasudbytte!$A$2:$B$18,2,FALSE)*[1]Energiindhold!$C$10,0)*J48*IFERROR(VLOOKUP(A48,Biogasanlæg!$F$3:$G$8,2,FALSE),1)</f>
        <v>0</v>
      </c>
      <c r="T48" s="194">
        <f t="shared" si="11"/>
        <v>0</v>
      </c>
      <c r="U48" s="192">
        <f>O48*IFERROR(VLOOKUP(A48,[1]Tørstofindhold!A$2:B$25,2,FALSE),0)</f>
        <v>0</v>
      </c>
      <c r="V48" s="193">
        <f>IF(D48=År1,P48,SUM(O48,P48))*IFERROR(VLOOKUP(A48,[1]Tørstofindhold!A$2:B$25,2,FALSE),0)</f>
        <v>0</v>
      </c>
      <c r="W48" s="193">
        <f>J48*IFERROR(VLOOKUP(A48,[1]Tørstofindhold!A$2:B$25,2,FALSE),0)</f>
        <v>0</v>
      </c>
      <c r="X48" s="194">
        <f t="shared" si="12"/>
        <v>0</v>
      </c>
      <c r="Y48" s="172">
        <f t="shared" si="2"/>
        <v>0</v>
      </c>
      <c r="Z48" s="104">
        <f t="shared" si="3"/>
        <v>0</v>
      </c>
    </row>
    <row r="49" spans="1:26" hidden="1" x14ac:dyDescent="0.55000000000000004">
      <c r="A49" s="195" t="s">
        <v>120</v>
      </c>
      <c r="B49" s="195" t="s">
        <v>228</v>
      </c>
      <c r="C49" s="195">
        <f>IF(COUNTIFS('Resultater - Danmark'!$D$3:$D$482,'Resultat-Produktion &amp; forbrug'!A49,'Resultater - Danmark'!$A$3:$A$482,"Til energi")+COUNTIFS('Resultater - Danmark'!$D$3:$D$482,'Resultat-Produktion &amp; forbrug'!A49,'Resultater - Danmark'!$A$3:$A$482,"Biogasanlæg")&gt;0,1,0)</f>
        <v>1</v>
      </c>
      <c r="D49" s="195">
        <f t="shared" si="8"/>
        <v>2019</v>
      </c>
      <c r="E49" s="193" t="s">
        <v>23</v>
      </c>
      <c r="F49" s="196">
        <f>IF(E49="Vestdanmark",SUMIFS(IF(D49=År1,'Resultater - Vestdanmark'!H$3:H$482,IF(D49=År2,'Resultater - Vestdanmark'!I$3:I$482,'Resultater - Vestdanmark'!J$3:J$482)),'Resultater - Vestdanmark'!$F$3:$F$482,$A49,IF(D49=År1,'Resultater - Vestdanmark'!H$3:H$482,IF(D49=År2,'Resultater - Vestdanmark'!I$3:I$482,'Resultater - Vestdanmark'!J$3:J$482)),"&gt;0"),SUMIFS(IF(D49=År1,'Resultater - Østdanmark'!H$3:H$482,IF(D49=År2,'Resultater - Østdanmark'!I$3:I$482,'Resultater - Østdanmark'!J$3:J$482)),'Resultater - Østdanmark'!$F$3:$F$482,$A49,IF(D49=År1,'Resultater - Østdanmark'!H$3:H$482,IF(D49=År2,'Resultater - Østdanmark'!I$3:I$482,'Resultater - Østdanmark'!J$3:J$482)),"&gt;0"))</f>
        <v>2328635.6388303456</v>
      </c>
      <c r="G49" s="196">
        <f>SUMIFS('Forbrug af biomasse'!$E$2:$E$425,'Forbrug af biomasse'!$C$2:$C$425,'Resultat-Produktion &amp; forbrug'!$A49,'Forbrug af biomasse'!$D$2:$D$425,'Resultat-Produktion &amp; forbrug'!$D49,'Forbrug af biomasse'!$A$2:$A$425,'Resultat-Produktion &amp; forbrug'!G$2,'Forbrug af biomasse'!$B$2:$B$425,$E49)</f>
        <v>0</v>
      </c>
      <c r="H49" s="193">
        <f>IF(E49="Vestdanmark",-IF(A49="Halm",SUMIFS(IF(D49=År1,'Resultater - Vestdanmark'!H$3:H$482,IF(D49=År2,'Resultater - Vestdanmark'!I$3:I$482,'Resultater - Vestdanmark'!J$3:J$482)),'Resultater - Vestdanmark'!$F$3:$F$482,$A49,'Resultater - Vestdanmark'!H$3:H$482,"&lt;0"),0),-IF(A49="Halm",SUMIFS(IF(D49=År1,'Resultater - Østdanmark'!H$3:H$482,IF(D49=År2,'Resultater - Østdanmark'!I$3:I$482,'Resultater - Østdanmark'!J$3:J$482)),'Resultater - Østdanmark'!$F$3:$F$482,$A49,'Resultater - Østdanmark'!H$3:H$482,"&lt;0"),0))</f>
        <v>0</v>
      </c>
      <c r="I49" s="196">
        <f>SUMIFS('Forbrug af biomasse'!$E$2:$E$425,'Forbrug af biomasse'!$C$2:$C$425,'Resultat-Produktion &amp; forbrug'!$A49,'Forbrug af biomasse'!$D$2:$D$425,'Resultat-Produktion &amp; forbrug'!$D49,'Forbrug af biomasse'!$A$2:$A$425,'Resultat-Produktion &amp; forbrug'!I$2,'Forbrug af biomasse'!$B$2:$B$425,$E49)</f>
        <v>0</v>
      </c>
      <c r="J49" s="196">
        <f>SUMIFS('Forbrug af biomasse'!$E$2:$E$425,'Forbrug af biomasse'!$C$2:$C$425,'Resultat-Produktion &amp; forbrug'!$A49,'Forbrug af biomasse'!$D$2:$D$425,'Resultat-Produktion &amp; forbrug'!$D49,'Forbrug af biomasse'!$A$2:$A$425,'Resultat-Produktion &amp; forbrug'!J$2,'Forbrug af biomasse'!$B$2:$B$425,$E49)</f>
        <v>0</v>
      </c>
      <c r="K49" s="196">
        <f>SUMIFS('Forbrug af biomasse'!$E$2:$E$425,'Forbrug af biomasse'!$C$2:$C$425,'Resultat-Produktion &amp; forbrug'!$A49,'Forbrug af biomasse'!$D$2:$D$425,'Resultat-Produktion &amp; forbrug'!$D49,'Forbrug af biomasse'!$A$2:$A$425,'Resultat-Produktion &amp; forbrug'!K$2,'Forbrug af biomasse'!$B$2:$B$425,$E49)</f>
        <v>0</v>
      </c>
      <c r="L49" s="196">
        <f>IF(A49&lt;&gt;"Biogas",SUMIFS('Forbrug af biomasse'!$E$2:$E$425,'Forbrug af biomasse'!$C$2:$C$425,'Resultat-Produktion &amp; forbrug'!$A49,'Forbrug af biomasse'!$D$2:$D$425,'Resultat-Produktion &amp; forbrug'!$D49,'Forbrug af biomasse'!$A$2:$A$425,'Resultat-Produktion &amp; forbrug'!L$2,'Forbrug af biomasse'!$B$2:$B$425,$E49),F49)</f>
        <v>2328635.6388303456</v>
      </c>
      <c r="M49" s="158">
        <f>SUMIFS('Forbrug af biomasse'!E:E,'Forbrug af biomasse'!C:C,'Resultat-Produktion &amp; forbrug'!$A49,'Forbrug af biomasse'!D:D,'Resultat-Produktion &amp; forbrug'!$D49,'Forbrug af biomasse'!G:G,1,'Forbrug af biomasse'!B:B,$E49)</f>
        <v>0</v>
      </c>
      <c r="N49" s="205">
        <f t="shared" si="9"/>
        <v>0</v>
      </c>
      <c r="O49" s="196">
        <f t="shared" si="1"/>
        <v>0</v>
      </c>
      <c r="P49" s="206">
        <f t="shared" si="10"/>
        <v>2328635.6388303456</v>
      </c>
      <c r="Q49" s="193">
        <f>IFERROR(VLOOKUP(A49,[1]Energiindhold!$A$2:$C$11,3,FALSE),IFERROR(VLOOKUP(A49,[1]Biogasudbytte!$A$2:$B$18,2,FALSE)*[1]Energiindhold!$C$10,0))*O49</f>
        <v>0</v>
      </c>
      <c r="R49" s="193">
        <f>IF(A49&lt;&gt;"Biogas",IFERROR(VLOOKUP(A49,[1]Biogasudbytte!$A$2:$B$18,2,FALSE)*[1]Energiindhold!$C$10,0)*J49*IFERROR(VLOOKUP(A49,Biogasanlæg!$F$3:$G$8,2,FALSE),1)+IFERROR(VLOOKUP(A49,[1]Energiindhold!$A$2:$C$11,3,FALSE),0)*L49+IF(D49&lt;&gt;År1,Q49,0),0)</f>
        <v>33.750241076188566</v>
      </c>
      <c r="S49" s="193">
        <f>IFERROR(VLOOKUP(A49,[1]Biogasudbytte!$A$2:$B$18,2,FALSE)*[1]Energiindhold!$C$10,0)*J49*IFERROR(VLOOKUP(A49,Biogasanlæg!$F$3:$G$8,2,FALSE),1)</f>
        <v>0</v>
      </c>
      <c r="T49" s="194">
        <f t="shared" si="11"/>
        <v>33.750241076188566</v>
      </c>
      <c r="U49" s="192">
        <f>O49*IFERROR(VLOOKUP(A49,[1]Tørstofindhold!A$2:B$25,2,FALSE),0)</f>
        <v>0</v>
      </c>
      <c r="V49" s="193">
        <f>IF(D49=År1,P49,SUM(O49,P49))*IFERROR(VLOOKUP(A49,[1]Tørstofindhold!A$2:B$25,2,FALSE),0)</f>
        <v>1151704.3763715085</v>
      </c>
      <c r="W49" s="193">
        <f>J49*IFERROR(VLOOKUP(A49,[1]Tørstofindhold!A$2:B$25,2,FALSE),0)</f>
        <v>0</v>
      </c>
      <c r="X49" s="194">
        <f t="shared" si="12"/>
        <v>1151704.3763715085</v>
      </c>
      <c r="Y49" s="172">
        <f t="shared" si="2"/>
        <v>0</v>
      </c>
      <c r="Z49" s="104">
        <f t="shared" si="3"/>
        <v>0</v>
      </c>
    </row>
    <row r="50" spans="1:26" hidden="1" x14ac:dyDescent="0.55000000000000004">
      <c r="A50" s="195" t="s">
        <v>119</v>
      </c>
      <c r="B50" s="195"/>
      <c r="C50" s="195">
        <f>IF(COUNTIFS('Resultater - Danmark'!$D$3:$D$482,'Resultat-Produktion &amp; forbrug'!A50,'Resultater - Danmark'!$A$3:$A$482,"Til energi")+COUNTIFS('Resultater - Danmark'!$D$3:$D$482,'Resultat-Produktion &amp; forbrug'!A50,'Resultater - Danmark'!$A$3:$A$482,"Biogasanlæg")&gt;0,1,0)</f>
        <v>0</v>
      </c>
      <c r="D50" s="195">
        <f t="shared" si="8"/>
        <v>2019</v>
      </c>
      <c r="E50" s="193" t="s">
        <v>23</v>
      </c>
      <c r="F50" s="196">
        <f>IF(E50="Vestdanmark",SUMIFS(IF(D50=År1,'Resultater - Vestdanmark'!H$3:H$482,IF(D50=År2,'Resultater - Vestdanmark'!I$3:I$482,'Resultater - Vestdanmark'!J$3:J$482)),'Resultater - Vestdanmark'!$F$3:$F$482,$A50,IF(D50=År1,'Resultater - Vestdanmark'!H$3:H$482,IF(D50=År2,'Resultater - Vestdanmark'!I$3:I$482,'Resultater - Vestdanmark'!J$3:J$482)),"&gt;0"),SUMIFS(IF(D50=År1,'Resultater - Østdanmark'!H$3:H$482,IF(D50=År2,'Resultater - Østdanmark'!I$3:I$482,'Resultater - Østdanmark'!J$3:J$482)),'Resultater - Østdanmark'!$F$3:$F$482,$A50,IF(D50=År1,'Resultater - Østdanmark'!H$3:H$482,IF(D50=År2,'Resultater - Østdanmark'!I$3:I$482,'Resultater - Østdanmark'!J$3:J$482)),"&gt;0"))</f>
        <v>640280.13059892249</v>
      </c>
      <c r="G50" s="196">
        <f>SUMIFS('Forbrug af biomasse'!$E$2:$E$425,'Forbrug af biomasse'!$C$2:$C$425,'Resultat-Produktion &amp; forbrug'!$A50,'Forbrug af biomasse'!$D$2:$D$425,'Resultat-Produktion &amp; forbrug'!$D50,'Forbrug af biomasse'!$A$2:$A$425,'Resultat-Produktion &amp; forbrug'!G$2,'Forbrug af biomasse'!$B$2:$B$425,$E50)</f>
        <v>0</v>
      </c>
      <c r="H50" s="193">
        <f>IF(E50="Vestdanmark",-IF(A50="Halm",SUMIFS(IF(D50=År1,'Resultater - Vestdanmark'!H$3:H$482,IF(D50=År2,'Resultater - Vestdanmark'!I$3:I$482,'Resultater - Vestdanmark'!J$3:J$482)),'Resultater - Vestdanmark'!$F$3:$F$482,$A50,'Resultater - Vestdanmark'!H$3:H$482,"&lt;0"),0),-IF(A50="Halm",SUMIFS(IF(D50=År1,'Resultater - Østdanmark'!H$3:H$482,IF(D50=År2,'Resultater - Østdanmark'!I$3:I$482,'Resultater - Østdanmark'!J$3:J$482)),'Resultater - Østdanmark'!$F$3:$F$482,$A50,'Resultater - Østdanmark'!H$3:H$482,"&lt;0"),0))</f>
        <v>0</v>
      </c>
      <c r="I50" s="196">
        <f>SUMIFS('Forbrug af biomasse'!$E$2:$E$425,'Forbrug af biomasse'!$C$2:$C$425,'Resultat-Produktion &amp; forbrug'!$A50,'Forbrug af biomasse'!$D$2:$D$425,'Resultat-Produktion &amp; forbrug'!$D50,'Forbrug af biomasse'!$A$2:$A$425,'Resultat-Produktion &amp; forbrug'!I$2,'Forbrug af biomasse'!$B$2:$B$425,$E50)</f>
        <v>0</v>
      </c>
      <c r="J50" s="196">
        <f>SUMIFS('Forbrug af biomasse'!$E$2:$E$425,'Forbrug af biomasse'!$C$2:$C$425,'Resultat-Produktion &amp; forbrug'!$A50,'Forbrug af biomasse'!$D$2:$D$425,'Resultat-Produktion &amp; forbrug'!$D50,'Forbrug af biomasse'!$A$2:$A$425,'Resultat-Produktion &amp; forbrug'!J$2,'Forbrug af biomasse'!$B$2:$B$425,$E50)</f>
        <v>0</v>
      </c>
      <c r="K50" s="196">
        <f>SUMIFS('Forbrug af biomasse'!$E$2:$E$425,'Forbrug af biomasse'!$C$2:$C$425,'Resultat-Produktion &amp; forbrug'!$A50,'Forbrug af biomasse'!$D$2:$D$425,'Resultat-Produktion &amp; forbrug'!$D50,'Forbrug af biomasse'!$A$2:$A$425,'Resultat-Produktion &amp; forbrug'!K$2,'Forbrug af biomasse'!$B$2:$B$425,$E50)</f>
        <v>0</v>
      </c>
      <c r="L50" s="196">
        <f>IF(A50&lt;&gt;"Biogas",SUMIFS('Forbrug af biomasse'!$E$2:$E$425,'Forbrug af biomasse'!$C$2:$C$425,'Resultat-Produktion &amp; forbrug'!$A50,'Forbrug af biomasse'!$D$2:$D$425,'Resultat-Produktion &amp; forbrug'!$D50,'Forbrug af biomasse'!$A$2:$A$425,'Resultat-Produktion &amp; forbrug'!L$2,'Forbrug af biomasse'!$B$2:$B$425,$E50),F50)</f>
        <v>0</v>
      </c>
      <c r="M50" s="158">
        <f>SUMIFS('Forbrug af biomasse'!E:E,'Forbrug af biomasse'!C:C,'Resultat-Produktion &amp; forbrug'!$A50,'Forbrug af biomasse'!D:D,'Resultat-Produktion &amp; forbrug'!$D50,'Forbrug af biomasse'!G:G,1,'Forbrug af biomasse'!B:B,$E50)</f>
        <v>0</v>
      </c>
      <c r="N50" s="205">
        <f t="shared" si="9"/>
        <v>640280.13059892249</v>
      </c>
      <c r="O50" s="196">
        <f t="shared" si="1"/>
        <v>0</v>
      </c>
      <c r="P50" s="206">
        <f t="shared" si="10"/>
        <v>0</v>
      </c>
      <c r="Q50" s="193">
        <f>IFERROR(VLOOKUP(A50,[1]Energiindhold!$A$2:$C$11,3,FALSE),IFERROR(VLOOKUP(A50,[1]Biogasudbytte!$A$2:$B$18,2,FALSE)*[1]Energiindhold!$C$10,0))*O50</f>
        <v>0</v>
      </c>
      <c r="R50" s="193">
        <f>IF(A50&lt;&gt;"Biogas",IFERROR(VLOOKUP(A50,[1]Biogasudbytte!$A$2:$B$18,2,FALSE)*[1]Energiindhold!$C$10,0)*J50*IFERROR(VLOOKUP(A50,Biogasanlæg!$F$3:$G$8,2,FALSE),1)+IFERROR(VLOOKUP(A50,[1]Energiindhold!$A$2:$C$11,3,FALSE),0)*L50+IF(D50&lt;&gt;År1,Q50,0),0)</f>
        <v>0</v>
      </c>
      <c r="S50" s="193">
        <f>IFERROR(VLOOKUP(A50,[1]Biogasudbytte!$A$2:$B$18,2,FALSE)*[1]Energiindhold!$C$10,0)*J50*IFERROR(VLOOKUP(A50,Biogasanlæg!$F$3:$G$8,2,FALSE),1)</f>
        <v>0</v>
      </c>
      <c r="T50" s="194">
        <f t="shared" si="11"/>
        <v>0</v>
      </c>
      <c r="U50" s="192">
        <f>O50*IFERROR(VLOOKUP(A50,[1]Tørstofindhold!A$2:B$25,2,FALSE),0)</f>
        <v>0</v>
      </c>
      <c r="V50" s="193">
        <f>IF(D50=År1,P50,SUM(O50,P50))*IFERROR(VLOOKUP(A50,[1]Tørstofindhold!A$2:B$25,2,FALSE),0)</f>
        <v>0</v>
      </c>
      <c r="W50" s="193">
        <f>J50*IFERROR(VLOOKUP(A50,[1]Tørstofindhold!A$2:B$25,2,FALSE),0)</f>
        <v>0</v>
      </c>
      <c r="X50" s="194">
        <f t="shared" si="12"/>
        <v>0</v>
      </c>
      <c r="Y50" s="172">
        <f t="shared" si="2"/>
        <v>0</v>
      </c>
      <c r="Z50" s="104">
        <f t="shared" si="3"/>
        <v>1</v>
      </c>
    </row>
    <row r="51" spans="1:26" hidden="1" x14ac:dyDescent="0.55000000000000004">
      <c r="A51" s="195" t="str">
        <f t="shared" ref="A51:A82" si="17">A3</f>
        <v>Æg</v>
      </c>
      <c r="B51" s="195" t="str">
        <f t="shared" ref="B51:B82" si="18">IF(B3&lt;&gt;"",B3,"")</f>
        <v/>
      </c>
      <c r="C51" s="195">
        <f>IF(COUNTIFS('Resultater - Danmark'!$D$3:$D$482,'Resultat-Produktion &amp; forbrug'!A51,'Resultater - Danmark'!$A$3:$A$482,"Til energi")+COUNTIFS('Resultater - Danmark'!$D$3:$D$482,'Resultat-Produktion &amp; forbrug'!A51,'Resultater - Danmark'!$A$3:$A$482,"Biogasanlæg")&gt;0,1,0)</f>
        <v>0</v>
      </c>
      <c r="D51" s="195">
        <f t="shared" ref="D51:D98" si="19">År2</f>
        <v>2030</v>
      </c>
      <c r="E51" s="193" t="s">
        <v>23</v>
      </c>
      <c r="F51" s="196">
        <f>IF(E51="Vestdanmark",SUMIFS(IF(D51=År1,'Resultater - Vestdanmark'!H$3:H$482,IF(D51=År2,'Resultater - Vestdanmark'!I$3:I$482,'Resultater - Vestdanmark'!J$3:J$482)),'Resultater - Vestdanmark'!$F$3:$F$482,$A51,IF(D51=År1,'Resultater - Vestdanmark'!H$3:H$482,IF(D51=År2,'Resultater - Vestdanmark'!I$3:I$482,'Resultater - Vestdanmark'!J$3:J$482)),"&gt;0"),SUMIFS(IF(D51=År1,'Resultater - Østdanmark'!H$3:H$482,IF(D51=År2,'Resultater - Østdanmark'!I$3:I$482,'Resultater - Østdanmark'!J$3:J$482)),'Resultater - Østdanmark'!$F$3:$F$482,$A51,IF(D51=År1,'Resultater - Østdanmark'!H$3:H$482,IF(D51=År2,'Resultater - Østdanmark'!I$3:I$482,'Resultater - Østdanmark'!J$3:J$482)),"&gt;0"))</f>
        <v>213791.94985288731</v>
      </c>
      <c r="G51" s="196">
        <f>SUMIFS('Forbrug af biomasse'!$E$2:$E$425,'Forbrug af biomasse'!$C$2:$C$425,'Resultat-Produktion &amp; forbrug'!$A51,'Forbrug af biomasse'!$D$2:$D$425,'Resultat-Produktion &amp; forbrug'!$D51,'Forbrug af biomasse'!$A$2:$A$425,'Resultat-Produktion &amp; forbrug'!G$2,'Forbrug af biomasse'!$B$2:$B$425,$E51)</f>
        <v>0</v>
      </c>
      <c r="H51" s="193">
        <f>IF(E51="Vestdanmark",-IF(A51="Halm",SUMIFS(IF(D51=År1,'Resultater - Vestdanmark'!H$3:H$482,IF(D51=År2,'Resultater - Vestdanmark'!I$3:I$482,'Resultater - Vestdanmark'!J$3:J$482)),'Resultater - Vestdanmark'!$F$3:$F$482,$A51,'Resultater - Vestdanmark'!H$3:H$482,"&lt;0"),0),-IF(A51="Halm",SUMIFS(IF(D51=År1,'Resultater - Østdanmark'!H$3:H$482,IF(D51=År2,'Resultater - Østdanmark'!I$3:I$482,'Resultater - Østdanmark'!J$3:J$482)),'Resultater - Østdanmark'!$F$3:$F$482,$A51,'Resultater - Østdanmark'!H$3:H$482,"&lt;0"),0))</f>
        <v>0</v>
      </c>
      <c r="I51" s="196">
        <f>SUMIFS('Forbrug af biomasse'!$E$2:$E$425,'Forbrug af biomasse'!$C$2:$C$425,'Resultat-Produktion &amp; forbrug'!$A51,'Forbrug af biomasse'!$D$2:$D$425,'Resultat-Produktion &amp; forbrug'!$D51,'Forbrug af biomasse'!$A$2:$A$425,'Resultat-Produktion &amp; forbrug'!I$2,'Forbrug af biomasse'!$B$2:$B$425,$E51)</f>
        <v>32579.784552999867</v>
      </c>
      <c r="J51" s="196">
        <f>SUMIFS('Forbrug af biomasse'!$E$2:$E$425,'Forbrug af biomasse'!$C$2:$C$425,'Resultat-Produktion &amp; forbrug'!$A51,'Forbrug af biomasse'!$D$2:$D$425,'Resultat-Produktion &amp; forbrug'!$D51,'Forbrug af biomasse'!$A$2:$A$425,'Resultat-Produktion &amp; forbrug'!J$2,'Forbrug af biomasse'!$B$2:$B$425,$E51)</f>
        <v>0</v>
      </c>
      <c r="K51" s="196">
        <f>SUMIFS('Forbrug af biomasse'!$E$2:$E$425,'Forbrug af biomasse'!$C$2:$C$425,'Resultat-Produktion &amp; forbrug'!$A51,'Forbrug af biomasse'!$D$2:$D$425,'Resultat-Produktion &amp; forbrug'!$D51,'Forbrug af biomasse'!$A$2:$A$425,'Resultat-Produktion &amp; forbrug'!K$2,'Forbrug af biomasse'!$B$2:$B$425,$E51)</f>
        <v>0</v>
      </c>
      <c r="L51" s="196">
        <f>IF(A51&lt;&gt;"Biogas",SUMIFS('Forbrug af biomasse'!$E$2:$E$425,'Forbrug af biomasse'!$C$2:$C$425,'Resultat-Produktion &amp; forbrug'!$A51,'Forbrug af biomasse'!$D$2:$D$425,'Resultat-Produktion &amp; forbrug'!$D51,'Forbrug af biomasse'!$A$2:$A$425,'Resultat-Produktion &amp; forbrug'!L$2,'Forbrug af biomasse'!$B$2:$B$425,$E51),F51)</f>
        <v>0</v>
      </c>
      <c r="M51" s="158">
        <f>SUMIFS('Forbrug af biomasse'!E:E,'Forbrug af biomasse'!C:C,'Resultat-Produktion &amp; forbrug'!$A51,'Forbrug af biomasse'!D:D,'Resultat-Produktion &amp; forbrug'!$D51,'Forbrug af biomasse'!G:G,1,'Forbrug af biomasse'!B:B,$E51)</f>
        <v>0</v>
      </c>
      <c r="N51" s="205">
        <f t="shared" si="9"/>
        <v>181212.16529988745</v>
      </c>
      <c r="O51" s="196">
        <f t="shared" si="1"/>
        <v>0</v>
      </c>
      <c r="P51" s="206">
        <f t="shared" si="10"/>
        <v>0</v>
      </c>
      <c r="Q51" s="193">
        <f>IFERROR(VLOOKUP(A51,[1]Energiindhold!$A$2:$C$11,3,FALSE),IFERROR(VLOOKUP(A51,[1]Biogasudbytte!$A$2:$B$18,2,FALSE)*[1]Energiindhold!$C$10,0))*O51</f>
        <v>0</v>
      </c>
      <c r="R51" s="193">
        <f>IF(A51&lt;&gt;"Biogas",IFERROR(VLOOKUP(A51,[1]Biogasudbytte!$A$2:$B$18,2,FALSE)*[1]Energiindhold!$C$10,0)*J51*IFERROR(VLOOKUP(A51,Biogasanlæg!$F$3:$G$8,2,FALSE),1)+IFERROR(VLOOKUP(A51,[1]Energiindhold!$A$2:$C$11,3,FALSE),0)*L51+IF(D51&lt;&gt;År1,Q51,0),0)</f>
        <v>0</v>
      </c>
      <c r="S51" s="193">
        <f>IFERROR(VLOOKUP(A51,[1]Biogasudbytte!$A$2:$B$18,2,FALSE)*[1]Energiindhold!$C$10,0)*J51*IFERROR(VLOOKUP(A51,Biogasanlæg!$F$3:$G$8,2,FALSE),1)</f>
        <v>0</v>
      </c>
      <c r="T51" s="194">
        <f t="shared" si="11"/>
        <v>0</v>
      </c>
      <c r="U51" s="192">
        <f>O51*IFERROR(VLOOKUP(A51,[1]Tørstofindhold!A$2:B$25,2,FALSE),0)</f>
        <v>0</v>
      </c>
      <c r="V51" s="193">
        <f>IF(D51=År1,P51,SUM(O51,P51))*IFERROR(VLOOKUP(A51,[1]Tørstofindhold!A$2:B$25,2,FALSE),0)</f>
        <v>0</v>
      </c>
      <c r="W51" s="193">
        <f>J51*IFERROR(VLOOKUP(A51,[1]Tørstofindhold!A$2:B$25,2,FALSE),0)</f>
        <v>0</v>
      </c>
      <c r="X51" s="194">
        <f t="shared" si="12"/>
        <v>0</v>
      </c>
      <c r="Y51" s="172">
        <f t="shared" si="2"/>
        <v>0</v>
      </c>
      <c r="Z51" s="104">
        <f t="shared" si="3"/>
        <v>1</v>
      </c>
    </row>
    <row r="52" spans="1:26" x14ac:dyDescent="0.55000000000000004">
      <c r="A52" s="195" t="str">
        <f t="shared" si="17"/>
        <v>Bælgsæd</v>
      </c>
      <c r="B52" s="195" t="str">
        <f t="shared" si="18"/>
        <v/>
      </c>
      <c r="C52" s="195">
        <f>IF(COUNTIFS('Resultater - Danmark'!$D$3:$D$482,'Resultat-Produktion &amp; forbrug'!A52,'Resultater - Danmark'!$A$3:$A$482,"Til energi")+COUNTIFS('Resultater - Danmark'!$D$3:$D$482,'Resultat-Produktion &amp; forbrug'!A52,'Resultater - Danmark'!$A$3:$A$482,"Biogasanlæg")&gt;0,1,0)</f>
        <v>0</v>
      </c>
      <c r="D52" s="195">
        <f t="shared" si="19"/>
        <v>2030</v>
      </c>
      <c r="E52" s="193" t="s">
        <v>23</v>
      </c>
      <c r="F52" s="196">
        <f>IF(E52="Vestdanmark",SUMIFS(IF(D52=År1,'Resultater - Vestdanmark'!H$3:H$482,IF(D52=År2,'Resultater - Vestdanmark'!I$3:I$482,'Resultater - Vestdanmark'!J$3:J$482)),'Resultater - Vestdanmark'!$F$3:$F$482,$A52,IF(D52=År1,'Resultater - Vestdanmark'!H$3:H$482,IF(D52=År2,'Resultater - Vestdanmark'!I$3:I$482,'Resultater - Vestdanmark'!J$3:J$482)),"&gt;0"),SUMIFS(IF(D52=År1,'Resultater - Østdanmark'!H$3:H$482,IF(D52=År2,'Resultater - Østdanmark'!I$3:I$482,'Resultater - Østdanmark'!J$3:J$482)),'Resultater - Østdanmark'!$F$3:$F$482,$A52,IF(D52=År1,'Resultater - Østdanmark'!H$3:H$482,IF(D52=År2,'Resultater - Østdanmark'!I$3:I$482,'Resultater - Østdanmark'!J$3:J$482)),"&gt;0"))</f>
        <v>270118.44306124689</v>
      </c>
      <c r="G52" s="196">
        <f>SUMIFS('Forbrug af biomasse'!$E$2:$E$425,'Forbrug af biomasse'!$C$2:$C$425,'Resultat-Produktion &amp; forbrug'!$A52,'Forbrug af biomasse'!$D$2:$D$425,'Resultat-Produktion &amp; forbrug'!$D52,'Forbrug af biomasse'!$A$2:$A$425,'Resultat-Produktion &amp; forbrug'!G$2,'Forbrug af biomasse'!$B$2:$B$425,$E52)</f>
        <v>64498.475475191975</v>
      </c>
      <c r="H52" s="193">
        <f>IF(E52="Vestdanmark",-IF(A52="Halm",SUMIFS(IF(D52=År1,'Resultater - Vestdanmark'!H$3:H$482,IF(D52=År2,'Resultater - Vestdanmark'!I$3:I$482,'Resultater - Vestdanmark'!J$3:J$482)),'Resultater - Vestdanmark'!$F$3:$F$482,$A52,'Resultater - Vestdanmark'!H$3:H$482,"&lt;0"),0),-IF(A52="Halm",SUMIFS(IF(D52=År1,'Resultater - Østdanmark'!H$3:H$482,IF(D52=År2,'Resultater - Østdanmark'!I$3:I$482,'Resultater - Østdanmark'!J$3:J$482)),'Resultater - Østdanmark'!$F$3:$F$482,$A52,'Resultater - Østdanmark'!H$3:H$482,"&lt;0"),0))</f>
        <v>0</v>
      </c>
      <c r="I52" s="196">
        <f>SUMIFS('Forbrug af biomasse'!$E$2:$E$425,'Forbrug af biomasse'!$C$2:$C$425,'Resultat-Produktion &amp; forbrug'!$A52,'Forbrug af biomasse'!$D$2:$D$425,'Resultat-Produktion &amp; forbrug'!$D52,'Forbrug af biomasse'!$A$2:$A$425,'Resultat-Produktion &amp; forbrug'!I$2,'Forbrug af biomasse'!$B$2:$B$425,$E52)</f>
        <v>0</v>
      </c>
      <c r="J52" s="196">
        <f>SUMIFS('Forbrug af biomasse'!$E$2:$E$425,'Forbrug af biomasse'!$C$2:$C$425,'Resultat-Produktion &amp; forbrug'!$A52,'Forbrug af biomasse'!$D$2:$D$425,'Resultat-Produktion &amp; forbrug'!$D52,'Forbrug af biomasse'!$A$2:$A$425,'Resultat-Produktion &amp; forbrug'!J$2,'Forbrug af biomasse'!$B$2:$B$425,$E52)</f>
        <v>0</v>
      </c>
      <c r="K52" s="196">
        <f>SUMIFS('Forbrug af biomasse'!$E$2:$E$425,'Forbrug af biomasse'!$C$2:$C$425,'Resultat-Produktion &amp; forbrug'!$A52,'Forbrug af biomasse'!$D$2:$D$425,'Resultat-Produktion &amp; forbrug'!$D52,'Forbrug af biomasse'!$A$2:$A$425,'Resultat-Produktion &amp; forbrug'!K$2,'Forbrug af biomasse'!$B$2:$B$425,$E52)</f>
        <v>0</v>
      </c>
      <c r="L52" s="196">
        <f>IF(A52&lt;&gt;"Biogas",SUMIFS('Forbrug af biomasse'!$E$2:$E$425,'Forbrug af biomasse'!$C$2:$C$425,'Resultat-Produktion &amp; forbrug'!$A52,'Forbrug af biomasse'!$D$2:$D$425,'Resultat-Produktion &amp; forbrug'!$D52,'Forbrug af biomasse'!$A$2:$A$425,'Resultat-Produktion &amp; forbrug'!L$2,'Forbrug af biomasse'!$B$2:$B$425,$E52),F52)</f>
        <v>0</v>
      </c>
      <c r="M52" s="158">
        <f>SUMIFS('Forbrug af biomasse'!E:E,'Forbrug af biomasse'!C:C,'Resultat-Produktion &amp; forbrug'!$A52,'Forbrug af biomasse'!D:D,'Resultat-Produktion &amp; forbrug'!$D52,'Forbrug af biomasse'!G:G,1,'Forbrug af biomasse'!B:B,$E52)</f>
        <v>0</v>
      </c>
      <c r="N52" s="205">
        <f t="shared" si="9"/>
        <v>205619.9675860549</v>
      </c>
      <c r="O52" s="196">
        <f t="shared" si="1"/>
        <v>0</v>
      </c>
      <c r="P52" s="206">
        <f t="shared" si="10"/>
        <v>0</v>
      </c>
      <c r="Q52" s="193">
        <f>IFERROR(VLOOKUP(A52,[1]Energiindhold!$A$2:$C$11,3,FALSE),IFERROR(VLOOKUP(A52,[1]Biogasudbytte!$A$2:$B$18,2,FALSE)*[1]Energiindhold!$C$10,0))*O52</f>
        <v>0</v>
      </c>
      <c r="R52" s="193">
        <f>IF(A52&lt;&gt;"Biogas",IFERROR(VLOOKUP(A52,[1]Biogasudbytte!$A$2:$B$18,2,FALSE)*[1]Energiindhold!$C$10,0)*J52*IFERROR(VLOOKUP(A52,Biogasanlæg!$F$3:$G$8,2,FALSE),1)+IFERROR(VLOOKUP(A52,[1]Energiindhold!$A$2:$C$11,3,FALSE),0)*L52+IF(D52&lt;&gt;År1,Q52,0),0)</f>
        <v>0</v>
      </c>
      <c r="S52" s="193">
        <f>IFERROR(VLOOKUP(A52,[1]Biogasudbytte!$A$2:$B$18,2,FALSE)*[1]Energiindhold!$C$10,0)*J52*IFERROR(VLOOKUP(A52,Biogasanlæg!$F$3:$G$8,2,FALSE),1)</f>
        <v>0</v>
      </c>
      <c r="T52" s="194">
        <f t="shared" si="11"/>
        <v>0</v>
      </c>
      <c r="U52" s="192">
        <f>O52*IFERROR(VLOOKUP(A52,[1]Tørstofindhold!A$2:B$25,2,FALSE),0)</f>
        <v>0</v>
      </c>
      <c r="V52" s="193">
        <f>IF(D52=År1,P52,SUM(O52,P52))*IFERROR(VLOOKUP(A52,[1]Tørstofindhold!A$2:B$25,2,FALSE),0)</f>
        <v>0</v>
      </c>
      <c r="W52" s="193">
        <f>J52*IFERROR(VLOOKUP(A52,[1]Tørstofindhold!A$2:B$25,2,FALSE),0)</f>
        <v>0</v>
      </c>
      <c r="X52" s="194">
        <f t="shared" si="12"/>
        <v>0</v>
      </c>
      <c r="Y52" s="172">
        <f t="shared" si="2"/>
        <v>0</v>
      </c>
      <c r="Z52" s="104">
        <f t="shared" si="3"/>
        <v>1</v>
      </c>
    </row>
    <row r="53" spans="1:26" hidden="1" x14ac:dyDescent="0.55000000000000004">
      <c r="A53" s="195" t="str">
        <f t="shared" si="17"/>
        <v>Bioaffald</v>
      </c>
      <c r="B53" s="195" t="str">
        <f t="shared" si="18"/>
        <v>Bionedbrydeligt affald</v>
      </c>
      <c r="C53" s="195">
        <f>IF(COUNTIFS('Resultater - Danmark'!$D$3:$D$482,'Resultat-Produktion &amp; forbrug'!A53,'Resultater - Danmark'!$A$3:$A$482,"Til energi")+COUNTIFS('Resultater - Danmark'!$D$3:$D$482,'Resultat-Produktion &amp; forbrug'!A53,'Resultater - Danmark'!$A$3:$A$482,"Biogasanlæg")&gt;0,1,0)</f>
        <v>1</v>
      </c>
      <c r="D53" s="195">
        <f t="shared" si="19"/>
        <v>2030</v>
      </c>
      <c r="E53" s="193" t="s">
        <v>23</v>
      </c>
      <c r="F53" s="196">
        <f ca="1">IF(E53="Vestdanmark",SUMIFS(IF(D53=År1,'Resultater - Vestdanmark'!H$3:H$482,IF(D53=År2,'Resultater - Vestdanmark'!I$3:I$482,'Resultater - Vestdanmark'!J$3:J$482)),'Resultater - Vestdanmark'!$F$3:$F$482,$A53,IF(D53=År1,'Resultater - Vestdanmark'!H$3:H$482,IF(D53=År2,'Resultater - Vestdanmark'!I$3:I$482,'Resultater - Vestdanmark'!J$3:J$482)),"&gt;0"),SUMIFS(IF(D53=År1,'Resultater - Østdanmark'!H$3:H$482,IF(D53=År2,'Resultater - Østdanmark'!I$3:I$482,'Resultater - Østdanmark'!J$3:J$482)),'Resultater - Østdanmark'!$F$3:$F$482,$A53,IF(D53=År1,'Resultater - Østdanmark'!H$3:H$482,IF(D53=År2,'Resultater - Østdanmark'!I$3:I$482,'Resultater - Østdanmark'!J$3:J$482)),"&gt;0"))</f>
        <v>195082.22598438186</v>
      </c>
      <c r="G53" s="196">
        <f>SUMIFS('Forbrug af biomasse'!$E$2:$E$425,'Forbrug af biomasse'!$C$2:$C$425,'Resultat-Produktion &amp; forbrug'!$A53,'Forbrug af biomasse'!$D$2:$D$425,'Resultat-Produktion &amp; forbrug'!$D53,'Forbrug af biomasse'!$A$2:$A$425,'Resultat-Produktion &amp; forbrug'!G$2,'Forbrug af biomasse'!$B$2:$B$425,$E53)</f>
        <v>0</v>
      </c>
      <c r="H53" s="193">
        <f>IF(E53="Vestdanmark",-IF(A53="Halm",SUMIFS(IF(D53=År1,'Resultater - Vestdanmark'!H$3:H$482,IF(D53=År2,'Resultater - Vestdanmark'!I$3:I$482,'Resultater - Vestdanmark'!J$3:J$482)),'Resultater - Vestdanmark'!$F$3:$F$482,$A53,'Resultater - Vestdanmark'!H$3:H$482,"&lt;0"),0),-IF(A53="Halm",SUMIFS(IF(D53=År1,'Resultater - Østdanmark'!H$3:H$482,IF(D53=År2,'Resultater - Østdanmark'!I$3:I$482,'Resultater - Østdanmark'!J$3:J$482)),'Resultater - Østdanmark'!$F$3:$F$482,$A53,'Resultater - Østdanmark'!H$3:H$482,"&lt;0"),0))</f>
        <v>0</v>
      </c>
      <c r="I53" s="196">
        <f>SUMIFS('Forbrug af biomasse'!$E$2:$E$425,'Forbrug af biomasse'!$C$2:$C$425,'Resultat-Produktion &amp; forbrug'!$A53,'Forbrug af biomasse'!$D$2:$D$425,'Resultat-Produktion &amp; forbrug'!$D53,'Forbrug af biomasse'!$A$2:$A$425,'Resultat-Produktion &amp; forbrug'!I$2,'Forbrug af biomasse'!$B$2:$B$425,$E53)</f>
        <v>0</v>
      </c>
      <c r="J53" s="196">
        <f ca="1">SUMIFS('Forbrug af biomasse'!$E$2:$E$425,'Forbrug af biomasse'!$C$2:$C$425,'Resultat-Produktion &amp; forbrug'!$A53,'Forbrug af biomasse'!$D$2:$D$425,'Resultat-Produktion &amp; forbrug'!$D53,'Forbrug af biomasse'!$A$2:$A$425,'Resultat-Produktion &amp; forbrug'!J$2,'Forbrug af biomasse'!$B$2:$B$425,$E53)</f>
        <v>195082.24112879002</v>
      </c>
      <c r="K53" s="196">
        <f>SUMIFS('Forbrug af biomasse'!$E$2:$E$425,'Forbrug af biomasse'!$C$2:$C$425,'Resultat-Produktion &amp; forbrug'!$A53,'Forbrug af biomasse'!$D$2:$D$425,'Resultat-Produktion &amp; forbrug'!$D53,'Forbrug af biomasse'!$A$2:$A$425,'Resultat-Produktion &amp; forbrug'!K$2,'Forbrug af biomasse'!$B$2:$B$425,$E53)</f>
        <v>0</v>
      </c>
      <c r="L53" s="196">
        <f ca="1">IF(A53&lt;&gt;"Biogas",SUMIFS('Forbrug af biomasse'!$E$2:$E$425,'Forbrug af biomasse'!$C$2:$C$425,'Resultat-Produktion &amp; forbrug'!$A53,'Forbrug af biomasse'!$D$2:$D$425,'Resultat-Produktion &amp; forbrug'!$D53,'Forbrug af biomasse'!$A$2:$A$425,'Resultat-Produktion &amp; forbrug'!L$2,'Forbrug af biomasse'!$B$2:$B$425,$E53),F53)</f>
        <v>0</v>
      </c>
      <c r="M53" s="158">
        <f ca="1">SUMIFS('Forbrug af biomasse'!E:E,'Forbrug af biomasse'!C:C,'Resultat-Produktion &amp; forbrug'!$A53,'Forbrug af biomasse'!D:D,'Resultat-Produktion &amp; forbrug'!$D53,'Forbrug af biomasse'!G:G,1,'Forbrug af biomasse'!B:B,$E53)</f>
        <v>0</v>
      </c>
      <c r="N53" s="205">
        <f t="shared" ca="1" si="9"/>
        <v>-1.5144408156629652E-2</v>
      </c>
      <c r="O53" s="196">
        <f t="shared" ca="1" si="1"/>
        <v>0</v>
      </c>
      <c r="P53" s="206">
        <f t="shared" ca="1" si="10"/>
        <v>195082.24112879002</v>
      </c>
      <c r="Q53" s="193">
        <f ca="1">IFERROR(VLOOKUP(A53,[1]Energiindhold!$A$2:$C$11,3,FALSE),IFERROR(VLOOKUP(A53,[1]Biogasudbytte!$A$2:$B$18,2,FALSE)*[1]Energiindhold!$C$10,0))*O53</f>
        <v>0</v>
      </c>
      <c r="R53" s="193">
        <f ca="1">IF(A53&lt;&gt;"Biogas",IFERROR(VLOOKUP(A53,[1]Biogasudbytte!$A$2:$B$18,2,FALSE)*[1]Energiindhold!$C$10,0)*J53*IFERROR(VLOOKUP(A53,Biogasanlæg!$F$3:$G$8,2,FALSE),1)+IFERROR(VLOOKUP(A53,[1]Energiindhold!$A$2:$C$11,3,FALSE),0)*L53+IF(D53&lt;&gt;År1,Q53,0),0)</f>
        <v>0.59816487431167753</v>
      </c>
      <c r="S53" s="193">
        <f ca="1">IFERROR(VLOOKUP(A53,[1]Biogasudbytte!$A$2:$B$18,2,FALSE)*[1]Energiindhold!$C$10,0)*J53*IFERROR(VLOOKUP(A53,Biogasanlæg!$F$3:$G$8,2,FALSE),1)</f>
        <v>0.59816487431167753</v>
      </c>
      <c r="T53" s="194">
        <f t="shared" ca="1" si="11"/>
        <v>0</v>
      </c>
      <c r="U53" s="192">
        <f ca="1">O53*IFERROR(VLOOKUP(A53,[1]Tørstofindhold!A$2:B$25,2,FALSE),0)</f>
        <v>0</v>
      </c>
      <c r="V53" s="193">
        <f ca="1">IF(D53=År1,P53,SUM(O53,P53))*IFERROR(VLOOKUP(A53,[1]Tørstofindhold!A$2:B$25,2,FALSE),0)</f>
        <v>54623.027516061207</v>
      </c>
      <c r="W53" s="193">
        <f ca="1">J53*IFERROR(VLOOKUP(A53,[1]Tørstofindhold!A$2:B$25,2,FALSE),0)</f>
        <v>54623.027516061207</v>
      </c>
      <c r="X53" s="194">
        <f t="shared" ca="1" si="12"/>
        <v>0</v>
      </c>
      <c r="Y53" s="172">
        <f t="shared" ca="1" si="2"/>
        <v>1</v>
      </c>
      <c r="Z53" s="104">
        <f t="shared" ca="1" si="3"/>
        <v>0</v>
      </c>
    </row>
    <row r="54" spans="1:26" hidden="1" x14ac:dyDescent="0.55000000000000004">
      <c r="A54" s="195" t="str">
        <f t="shared" si="17"/>
        <v>Biogas</v>
      </c>
      <c r="B54" s="195" t="str">
        <f t="shared" si="18"/>
        <v/>
      </c>
      <c r="C54" s="195">
        <f>IF(COUNTIFS('Resultater - Danmark'!$D$3:$D$482,'Resultat-Produktion &amp; forbrug'!A54,'Resultater - Danmark'!$A$3:$A$482,"Til energi")+COUNTIFS('Resultater - Danmark'!$D$3:$D$482,'Resultat-Produktion &amp; forbrug'!A54,'Resultater - Danmark'!$A$3:$A$482,"Biogasanlæg")&gt;0,1,0)</f>
        <v>1</v>
      </c>
      <c r="D54" s="195">
        <f t="shared" si="19"/>
        <v>2030</v>
      </c>
      <c r="E54" s="193" t="s">
        <v>23</v>
      </c>
      <c r="F54" s="196">
        <f ca="1">IF(E54="Vestdanmark",SUMIFS(IF(D54=År1,'Resultater - Vestdanmark'!H$3:H$482,IF(D54=År2,'Resultater - Vestdanmark'!I$3:I$482,'Resultater - Vestdanmark'!J$3:J$482)),'Resultater - Vestdanmark'!$F$3:$F$482,$A54,IF(D54=År1,'Resultater - Vestdanmark'!H$3:H$482,IF(D54=År2,'Resultater - Vestdanmark'!I$3:I$482,'Resultater - Vestdanmark'!J$3:J$482)),"&gt;0"),SUMIFS(IF(D54=År1,'Resultater - Østdanmark'!H$3:H$482,IF(D54=År2,'Resultater - Østdanmark'!I$3:I$482,'Resultater - Østdanmark'!J$3:J$482)),'Resultater - Østdanmark'!$F$3:$F$482,$A54,IF(D54=År1,'Resultater - Østdanmark'!H$3:H$482,IF(D54=År2,'Resultater - Østdanmark'!I$3:I$482,'Resultater - Østdanmark'!J$3:J$482)),"&gt;0"))</f>
        <v>502047959.26738763</v>
      </c>
      <c r="G54" s="196">
        <f>SUMIFS('Forbrug af biomasse'!$E$2:$E$425,'Forbrug af biomasse'!$C$2:$C$425,'Resultat-Produktion &amp; forbrug'!$A54,'Forbrug af biomasse'!$D$2:$D$425,'Resultat-Produktion &amp; forbrug'!$D54,'Forbrug af biomasse'!$A$2:$A$425,'Resultat-Produktion &amp; forbrug'!G$2,'Forbrug af biomasse'!$B$2:$B$425,$E54)</f>
        <v>0</v>
      </c>
      <c r="H54" s="193">
        <f>IF(E54="Vestdanmark",-IF(A54="Halm",SUMIFS(IF(D54=År1,'Resultater - Vestdanmark'!H$3:H$482,IF(D54=År2,'Resultater - Vestdanmark'!I$3:I$482,'Resultater - Vestdanmark'!J$3:J$482)),'Resultater - Vestdanmark'!$F$3:$F$482,$A54,'Resultater - Vestdanmark'!H$3:H$482,"&lt;0"),0),-IF(A54="Halm",SUMIFS(IF(D54=År1,'Resultater - Østdanmark'!H$3:H$482,IF(D54=År2,'Resultater - Østdanmark'!I$3:I$482,'Resultater - Østdanmark'!J$3:J$482)),'Resultater - Østdanmark'!$F$3:$F$482,$A54,'Resultater - Østdanmark'!H$3:H$482,"&lt;0"),0))</f>
        <v>0</v>
      </c>
      <c r="I54" s="196">
        <f>SUMIFS('Forbrug af biomasse'!$E$2:$E$425,'Forbrug af biomasse'!$C$2:$C$425,'Resultat-Produktion &amp; forbrug'!$A54,'Forbrug af biomasse'!$D$2:$D$425,'Resultat-Produktion &amp; forbrug'!$D54,'Forbrug af biomasse'!$A$2:$A$425,'Resultat-Produktion &amp; forbrug'!I$2,'Forbrug af biomasse'!$B$2:$B$425,$E54)</f>
        <v>0</v>
      </c>
      <c r="J54" s="196">
        <f>SUMIFS('Forbrug af biomasse'!$E$2:$E$425,'Forbrug af biomasse'!$C$2:$C$425,'Resultat-Produktion &amp; forbrug'!$A54,'Forbrug af biomasse'!$D$2:$D$425,'Resultat-Produktion &amp; forbrug'!$D54,'Forbrug af biomasse'!$A$2:$A$425,'Resultat-Produktion &amp; forbrug'!J$2,'Forbrug af biomasse'!$B$2:$B$425,$E54)</f>
        <v>0</v>
      </c>
      <c r="K54" s="196">
        <f>SUMIFS('Forbrug af biomasse'!$E$2:$E$425,'Forbrug af biomasse'!$C$2:$C$425,'Resultat-Produktion &amp; forbrug'!$A54,'Forbrug af biomasse'!$D$2:$D$425,'Resultat-Produktion &amp; forbrug'!$D54,'Forbrug af biomasse'!$A$2:$A$425,'Resultat-Produktion &amp; forbrug'!K$2,'Forbrug af biomasse'!$B$2:$B$425,$E54)</f>
        <v>0</v>
      </c>
      <c r="L54" s="196">
        <f ca="1">IF(A54&lt;&gt;"Biogas",SUMIFS('Forbrug af biomasse'!$E$2:$E$425,'Forbrug af biomasse'!$C$2:$C$425,'Resultat-Produktion &amp; forbrug'!$A54,'Forbrug af biomasse'!$D$2:$D$425,'Resultat-Produktion &amp; forbrug'!$D54,'Forbrug af biomasse'!$A$2:$A$425,'Resultat-Produktion &amp; forbrug'!L$2,'Forbrug af biomasse'!$B$2:$B$425,$E54),F54)</f>
        <v>502047959.26738763</v>
      </c>
      <c r="M54" s="158">
        <f>SUMIFS('Forbrug af biomasse'!E:E,'Forbrug af biomasse'!C:C,'Resultat-Produktion &amp; forbrug'!$A54,'Forbrug af biomasse'!D:D,'Resultat-Produktion &amp; forbrug'!$D54,'Forbrug af biomasse'!G:G,1,'Forbrug af biomasse'!B:B,$E54)</f>
        <v>0</v>
      </c>
      <c r="N54" s="205">
        <f t="shared" ca="1" si="9"/>
        <v>0</v>
      </c>
      <c r="O54" s="196">
        <f t="shared" ca="1" si="1"/>
        <v>0</v>
      </c>
      <c r="P54" s="206">
        <f t="shared" ca="1" si="10"/>
        <v>502047959.26738763</v>
      </c>
      <c r="Q54" s="193">
        <f ca="1">IFERROR(VLOOKUP(A54,[1]Energiindhold!$A$2:$C$11,3,FALSE),IFERROR(VLOOKUP(A54,[1]Biogasudbytte!$A$2:$B$18,2,FALSE)*[1]Energiindhold!$C$10,0))*O54</f>
        <v>0</v>
      </c>
      <c r="R54" s="193">
        <f>IF(A54&lt;&gt;"Biogas",IFERROR(VLOOKUP(A54,[1]Biogasudbytte!$A$2:$B$18,2,FALSE)*[1]Energiindhold!$C$10,0)*J54*IFERROR(VLOOKUP(A54,Biogasanlæg!$F$3:$G$8,2,FALSE),1)+IFERROR(VLOOKUP(A54,[1]Energiindhold!$A$2:$C$11,3,FALSE),0)*L54+IF(D54&lt;&gt;År1,Q54,0),0)</f>
        <v>0</v>
      </c>
      <c r="S54" s="193">
        <f>IFERROR(VLOOKUP(A54,[1]Biogasudbytte!$A$2:$B$18,2,FALSE)*[1]Energiindhold!$C$10,0)*J54*IFERROR(VLOOKUP(A54,Biogasanlæg!$F$3:$G$8,2,FALSE),1)</f>
        <v>0</v>
      </c>
      <c r="T54" s="194">
        <f t="shared" si="11"/>
        <v>0</v>
      </c>
      <c r="U54" s="192">
        <f ca="1">O54*IFERROR(VLOOKUP(A54,[1]Tørstofindhold!A$2:B$25,2,FALSE),0)</f>
        <v>0</v>
      </c>
      <c r="V54" s="193">
        <f ca="1">IF(D54=År1,P54,SUM(O54,P54))*IFERROR(VLOOKUP(A54,[1]Tørstofindhold!A$2:B$25,2,FALSE),0)</f>
        <v>0</v>
      </c>
      <c r="W54" s="193">
        <f>J54*IFERROR(VLOOKUP(A54,[1]Tørstofindhold!A$2:B$25,2,FALSE),0)</f>
        <v>0</v>
      </c>
      <c r="X54" s="194">
        <f t="shared" ca="1" si="12"/>
        <v>0</v>
      </c>
      <c r="Y54" s="172">
        <f t="shared" ca="1" si="2"/>
        <v>0</v>
      </c>
      <c r="Z54" s="104">
        <f t="shared" ca="1" si="3"/>
        <v>0</v>
      </c>
    </row>
    <row r="55" spans="1:26" hidden="1" x14ac:dyDescent="0.55000000000000004">
      <c r="A55" s="195" t="str">
        <f t="shared" si="17"/>
        <v>Biogasgylle</v>
      </c>
      <c r="B55" s="195" t="str">
        <f t="shared" si="18"/>
        <v/>
      </c>
      <c r="C55" s="195">
        <f>IF(COUNTIFS('Resultater - Danmark'!$D$3:$D$482,'Resultat-Produktion &amp; forbrug'!A55,'Resultater - Danmark'!$A$3:$A$482,"Til energi")+COUNTIFS('Resultater - Danmark'!$D$3:$D$482,'Resultat-Produktion &amp; forbrug'!A55,'Resultater - Danmark'!$A$3:$A$482,"Biogasanlæg")&gt;0,1,0)</f>
        <v>0</v>
      </c>
      <c r="D55" s="195">
        <f t="shared" si="19"/>
        <v>2030</v>
      </c>
      <c r="E55" s="193" t="s">
        <v>23</v>
      </c>
      <c r="F55" s="196">
        <f ca="1">IF(E55="Vestdanmark",SUMIFS(IF(D55=År1,'Resultater - Vestdanmark'!H$3:H$482,IF(D55=År2,'Resultater - Vestdanmark'!I$3:I$482,'Resultater - Vestdanmark'!J$3:J$482)),'Resultater - Vestdanmark'!$F$3:$F$482,$A55,IF(D55=År1,'Resultater - Vestdanmark'!H$3:H$482,IF(D55=År2,'Resultater - Vestdanmark'!I$3:I$482,'Resultater - Vestdanmark'!J$3:J$482)),"&gt;0"),SUMIFS(IF(D55=År1,'Resultater - Østdanmark'!H$3:H$482,IF(D55=År2,'Resultater - Østdanmark'!I$3:I$482,'Resultater - Østdanmark'!J$3:J$482)),'Resultater - Østdanmark'!$F$3:$F$482,$A55,IF(D55=År1,'Resultater - Østdanmark'!H$3:H$482,IF(D55=År2,'Resultater - Østdanmark'!I$3:I$482,'Resultater - Østdanmark'!J$3:J$482)),"&gt;0"))</f>
        <v>20204950.696798485</v>
      </c>
      <c r="G55" s="196">
        <f>SUMIFS('Forbrug af biomasse'!$E$2:$E$425,'Forbrug af biomasse'!$C$2:$C$425,'Resultat-Produktion &amp; forbrug'!$A55,'Forbrug af biomasse'!$D$2:$D$425,'Resultat-Produktion &amp; forbrug'!$D55,'Forbrug af biomasse'!$A$2:$A$425,'Resultat-Produktion &amp; forbrug'!G$2,'Forbrug af biomasse'!$B$2:$B$425,$E55)</f>
        <v>0</v>
      </c>
      <c r="H55" s="193">
        <f>IF(E55="Vestdanmark",-IF(A55="Halm",SUMIFS(IF(D55=År1,'Resultater - Vestdanmark'!H$3:H$482,IF(D55=År2,'Resultater - Vestdanmark'!I$3:I$482,'Resultater - Vestdanmark'!J$3:J$482)),'Resultater - Vestdanmark'!$F$3:$F$482,$A55,'Resultater - Vestdanmark'!H$3:H$482,"&lt;0"),0),-IF(A55="Halm",SUMIFS(IF(D55=År1,'Resultater - Østdanmark'!H$3:H$482,IF(D55=År2,'Resultater - Østdanmark'!I$3:I$482,'Resultater - Østdanmark'!J$3:J$482)),'Resultater - Østdanmark'!$F$3:$F$482,$A55,'Resultater - Østdanmark'!H$3:H$482,"&lt;0"),0))</f>
        <v>0</v>
      </c>
      <c r="I55" s="196">
        <f>SUMIFS('Forbrug af biomasse'!$E$2:$E$425,'Forbrug af biomasse'!$C$2:$C$425,'Resultat-Produktion &amp; forbrug'!$A55,'Forbrug af biomasse'!$D$2:$D$425,'Resultat-Produktion &amp; forbrug'!$D55,'Forbrug af biomasse'!$A$2:$A$425,'Resultat-Produktion &amp; forbrug'!I$2,'Forbrug af biomasse'!$B$2:$B$425,$E55)</f>
        <v>0</v>
      </c>
      <c r="J55" s="196">
        <f>SUMIFS('Forbrug af biomasse'!$E$2:$E$425,'Forbrug af biomasse'!$C$2:$C$425,'Resultat-Produktion &amp; forbrug'!$A55,'Forbrug af biomasse'!$D$2:$D$425,'Resultat-Produktion &amp; forbrug'!$D55,'Forbrug af biomasse'!$A$2:$A$425,'Resultat-Produktion &amp; forbrug'!J$2,'Forbrug af biomasse'!$B$2:$B$425,$E55)</f>
        <v>0</v>
      </c>
      <c r="K55" s="196">
        <f ca="1">SUMIFS('Forbrug af biomasse'!$E$2:$E$425,'Forbrug af biomasse'!$C$2:$C$425,'Resultat-Produktion &amp; forbrug'!$A55,'Forbrug af biomasse'!$D$2:$D$425,'Resultat-Produktion &amp; forbrug'!$D55,'Forbrug af biomasse'!$A$2:$A$425,'Resultat-Produktion &amp; forbrug'!K$2,'Forbrug af biomasse'!$B$2:$B$425,$E55)</f>
        <v>17712264.042137899</v>
      </c>
      <c r="L55" s="196">
        <f>IF(A55&lt;&gt;"Biogas",SUMIFS('Forbrug af biomasse'!$E$2:$E$425,'Forbrug af biomasse'!$C$2:$C$425,'Resultat-Produktion &amp; forbrug'!$A55,'Forbrug af biomasse'!$D$2:$D$425,'Resultat-Produktion &amp; forbrug'!$D55,'Forbrug af biomasse'!$A$2:$A$425,'Resultat-Produktion &amp; forbrug'!L$2,'Forbrug af biomasse'!$B$2:$B$425,$E55),F55)</f>
        <v>0</v>
      </c>
      <c r="M55" s="158">
        <f>SUMIFS('Forbrug af biomasse'!E:E,'Forbrug af biomasse'!C:C,'Resultat-Produktion &amp; forbrug'!$A55,'Forbrug af biomasse'!D:D,'Resultat-Produktion &amp; forbrug'!$D55,'Forbrug af biomasse'!G:G,1,'Forbrug af biomasse'!B:B,$E55)</f>
        <v>0</v>
      </c>
      <c r="N55" s="205">
        <f t="shared" ca="1" si="9"/>
        <v>2492686.6546605863</v>
      </c>
      <c r="O55" s="196">
        <f t="shared" si="1"/>
        <v>0</v>
      </c>
      <c r="P55" s="206">
        <f t="shared" si="10"/>
        <v>0</v>
      </c>
      <c r="Q55" s="193">
        <f>IFERROR(VLOOKUP(A55,[1]Energiindhold!$A$2:$C$11,3,FALSE),IFERROR(VLOOKUP(A55,[1]Biogasudbytte!$A$2:$B$18,2,FALSE)*[1]Energiindhold!$C$10,0))*O55</f>
        <v>0</v>
      </c>
      <c r="R55" s="193">
        <f>IF(A55&lt;&gt;"Biogas",IFERROR(VLOOKUP(A55,[1]Biogasudbytte!$A$2:$B$18,2,FALSE)*[1]Energiindhold!$C$10,0)*J55*IFERROR(VLOOKUP(A55,Biogasanlæg!$F$3:$G$8,2,FALSE),1)+IFERROR(VLOOKUP(A55,[1]Energiindhold!$A$2:$C$11,3,FALSE),0)*L55+IF(D55&lt;&gt;År1,Q55,0),0)</f>
        <v>0</v>
      </c>
      <c r="S55" s="193">
        <f>IFERROR(VLOOKUP(A55,[1]Biogasudbytte!$A$2:$B$18,2,FALSE)*[1]Energiindhold!$C$10,0)*J55*IFERROR(VLOOKUP(A55,Biogasanlæg!$F$3:$G$8,2,FALSE),1)</f>
        <v>0</v>
      </c>
      <c r="T55" s="194">
        <f t="shared" si="11"/>
        <v>0</v>
      </c>
      <c r="U55" s="192">
        <f>O55*IFERROR(VLOOKUP(A55,[1]Tørstofindhold!A$2:B$25,2,FALSE),0)</f>
        <v>0</v>
      </c>
      <c r="V55" s="193">
        <f>IF(D55=År1,P55,SUM(O55,P55))*IFERROR(VLOOKUP(A55,[1]Tørstofindhold!A$2:B$25,2,FALSE),0)</f>
        <v>0</v>
      </c>
      <c r="W55" s="193">
        <f>J55*IFERROR(VLOOKUP(A55,[1]Tørstofindhold!A$2:B$25,2,FALSE),0)</f>
        <v>0</v>
      </c>
      <c r="X55" s="194">
        <f t="shared" si="12"/>
        <v>0</v>
      </c>
      <c r="Y55" s="172">
        <f t="shared" ca="1" si="2"/>
        <v>0</v>
      </c>
      <c r="Z55" s="104">
        <f t="shared" ca="1" si="3"/>
        <v>1</v>
      </c>
    </row>
    <row r="56" spans="1:26" hidden="1" x14ac:dyDescent="0.55000000000000004">
      <c r="A56" s="195" t="str">
        <f t="shared" si="17"/>
        <v>Brun saft</v>
      </c>
      <c r="B56" s="195" t="str">
        <f t="shared" si="18"/>
        <v>Bionedbrydeligt affald</v>
      </c>
      <c r="C56" s="195">
        <f>IF(COUNTIFS('Resultater - Danmark'!$D$3:$D$482,'Resultat-Produktion &amp; forbrug'!A56,'Resultater - Danmark'!$A$3:$A$482,"Til energi")+COUNTIFS('Resultater - Danmark'!$D$3:$D$482,'Resultat-Produktion &amp; forbrug'!A56,'Resultater - Danmark'!$A$3:$A$482,"Biogasanlæg")&gt;0,1,0)</f>
        <v>1</v>
      </c>
      <c r="D56" s="195">
        <f t="shared" si="19"/>
        <v>2030</v>
      </c>
      <c r="E56" s="193" t="s">
        <v>23</v>
      </c>
      <c r="F56" s="196">
        <f>IF(E56="Vestdanmark",SUMIFS(IF(D56=År1,'Resultater - Vestdanmark'!H$3:H$482,IF(D56=År2,'Resultater - Vestdanmark'!I$3:I$482,'Resultater - Vestdanmark'!J$3:J$482)),'Resultater - Vestdanmark'!$F$3:$F$482,$A56,IF(D56=År1,'Resultater - Vestdanmark'!H$3:H$482,IF(D56=År2,'Resultater - Vestdanmark'!I$3:I$482,'Resultater - Vestdanmark'!J$3:J$482)),"&gt;0"),SUMIFS(IF(D56=År1,'Resultater - Østdanmark'!H$3:H$482,IF(D56=År2,'Resultater - Østdanmark'!I$3:I$482,'Resultater - Østdanmark'!J$3:J$482)),'Resultater - Østdanmark'!$F$3:$F$482,$A56,IF(D56=År1,'Resultater - Østdanmark'!H$3:H$482,IF(D56=År2,'Resultater - Østdanmark'!I$3:I$482,'Resultater - Østdanmark'!J$3:J$482)),"&gt;0"))</f>
        <v>0</v>
      </c>
      <c r="G56" s="196">
        <f>SUMIFS('Forbrug af biomasse'!$E$2:$E$425,'Forbrug af biomasse'!$C$2:$C$425,'Resultat-Produktion &amp; forbrug'!$A56,'Forbrug af biomasse'!$D$2:$D$425,'Resultat-Produktion &amp; forbrug'!$D56,'Forbrug af biomasse'!$A$2:$A$425,'Resultat-Produktion &amp; forbrug'!G$2,'Forbrug af biomasse'!$B$2:$B$425,$E56)</f>
        <v>0</v>
      </c>
      <c r="H56" s="193">
        <f>IF(E56="Vestdanmark",-IF(A56="Halm",SUMIFS(IF(D56=År1,'Resultater - Vestdanmark'!H$3:H$482,IF(D56=År2,'Resultater - Vestdanmark'!I$3:I$482,'Resultater - Vestdanmark'!J$3:J$482)),'Resultater - Vestdanmark'!$F$3:$F$482,$A56,'Resultater - Vestdanmark'!H$3:H$482,"&lt;0"),0),-IF(A56="Halm",SUMIFS(IF(D56=År1,'Resultater - Østdanmark'!H$3:H$482,IF(D56=År2,'Resultater - Østdanmark'!I$3:I$482,'Resultater - Østdanmark'!J$3:J$482)),'Resultater - Østdanmark'!$F$3:$F$482,$A56,'Resultater - Østdanmark'!H$3:H$482,"&lt;0"),0))</f>
        <v>0</v>
      </c>
      <c r="I56" s="196">
        <f>SUMIFS('Forbrug af biomasse'!$E$2:$E$425,'Forbrug af biomasse'!$C$2:$C$425,'Resultat-Produktion &amp; forbrug'!$A56,'Forbrug af biomasse'!$D$2:$D$425,'Resultat-Produktion &amp; forbrug'!$D56,'Forbrug af biomasse'!$A$2:$A$425,'Resultat-Produktion &amp; forbrug'!I$2,'Forbrug af biomasse'!$B$2:$B$425,$E56)</f>
        <v>0</v>
      </c>
      <c r="J56" s="196">
        <f>SUMIFS('Forbrug af biomasse'!$E$2:$E$425,'Forbrug af biomasse'!$C$2:$C$425,'Resultat-Produktion &amp; forbrug'!$A56,'Forbrug af biomasse'!$D$2:$D$425,'Resultat-Produktion &amp; forbrug'!$D56,'Forbrug af biomasse'!$A$2:$A$425,'Resultat-Produktion &amp; forbrug'!J$2,'Forbrug af biomasse'!$B$2:$B$425,$E56)</f>
        <v>0</v>
      </c>
      <c r="K56" s="196">
        <f>SUMIFS('Forbrug af biomasse'!$E$2:$E$425,'Forbrug af biomasse'!$C$2:$C$425,'Resultat-Produktion &amp; forbrug'!$A56,'Forbrug af biomasse'!$D$2:$D$425,'Resultat-Produktion &amp; forbrug'!$D56,'Forbrug af biomasse'!$A$2:$A$425,'Resultat-Produktion &amp; forbrug'!K$2,'Forbrug af biomasse'!$B$2:$B$425,$E56)</f>
        <v>0</v>
      </c>
      <c r="L56" s="196">
        <f>IF(A56&lt;&gt;"Biogas",SUMIFS('Forbrug af biomasse'!$E$2:$E$425,'Forbrug af biomasse'!$C$2:$C$425,'Resultat-Produktion &amp; forbrug'!$A56,'Forbrug af biomasse'!$D$2:$D$425,'Resultat-Produktion &amp; forbrug'!$D56,'Forbrug af biomasse'!$A$2:$A$425,'Resultat-Produktion &amp; forbrug'!L$2,'Forbrug af biomasse'!$B$2:$B$425,$E56),F56)</f>
        <v>0</v>
      </c>
      <c r="M56" s="158">
        <f>SUMIFS('Forbrug af biomasse'!E:E,'Forbrug af biomasse'!C:C,'Resultat-Produktion &amp; forbrug'!$A56,'Forbrug af biomasse'!D:D,'Resultat-Produktion &amp; forbrug'!$D56,'Forbrug af biomasse'!G:G,1,'Forbrug af biomasse'!B:B,$E56)</f>
        <v>0</v>
      </c>
      <c r="N56" s="205">
        <f t="shared" si="9"/>
        <v>0</v>
      </c>
      <c r="O56" s="196">
        <f t="shared" si="1"/>
        <v>0</v>
      </c>
      <c r="P56" s="206">
        <f t="shared" si="10"/>
        <v>0</v>
      </c>
      <c r="Q56" s="193">
        <f>IFERROR(VLOOKUP(A56,[1]Energiindhold!$A$2:$C$11,3,FALSE),IFERROR(VLOOKUP(A56,[1]Biogasudbytte!$A$2:$B$18,2,FALSE)*[1]Energiindhold!$C$10,0))*O56</f>
        <v>0</v>
      </c>
      <c r="R56" s="193">
        <f>IF(A56&lt;&gt;"Biogas",IFERROR(VLOOKUP(A56,[1]Biogasudbytte!$A$2:$B$18,2,FALSE)*[1]Energiindhold!$C$10,0)*J56*IFERROR(VLOOKUP(A56,Biogasanlæg!$F$3:$G$8,2,FALSE),1)+IFERROR(VLOOKUP(A56,[1]Energiindhold!$A$2:$C$11,3,FALSE),0)*L56+IF(D56&lt;&gt;År1,Q56,0),0)</f>
        <v>0</v>
      </c>
      <c r="S56" s="193">
        <f>IFERROR(VLOOKUP(A56,[1]Biogasudbytte!$A$2:$B$18,2,FALSE)*[1]Energiindhold!$C$10,0)*J56*IFERROR(VLOOKUP(A56,Biogasanlæg!$F$3:$G$8,2,FALSE),1)</f>
        <v>0</v>
      </c>
      <c r="T56" s="194">
        <f t="shared" si="11"/>
        <v>0</v>
      </c>
      <c r="U56" s="192">
        <f>O56*IFERROR(VLOOKUP(A56,[1]Tørstofindhold!A$2:B$25,2,FALSE),0)</f>
        <v>0</v>
      </c>
      <c r="V56" s="193">
        <f>IF(D56=År1,P56,SUM(O56,P56))*IFERROR(VLOOKUP(A56,[1]Tørstofindhold!A$2:B$25,2,FALSE),0)</f>
        <v>0</v>
      </c>
      <c r="W56" s="193">
        <f>J56*IFERROR(VLOOKUP(A56,[1]Tørstofindhold!A$2:B$25,2,FALSE),0)</f>
        <v>0</v>
      </c>
      <c r="X56" s="194">
        <f t="shared" si="12"/>
        <v>0</v>
      </c>
      <c r="Y56" s="172">
        <f t="shared" si="2"/>
        <v>0</v>
      </c>
      <c r="Z56" s="104">
        <f t="shared" si="3"/>
        <v>0</v>
      </c>
    </row>
    <row r="57" spans="1:26" hidden="1" x14ac:dyDescent="0.55000000000000004">
      <c r="A57" s="195" t="str">
        <f t="shared" si="17"/>
        <v>Dybstrøelse</v>
      </c>
      <c r="B57" s="195" t="str">
        <f t="shared" si="18"/>
        <v>Husdyrgødning</v>
      </c>
      <c r="C57" s="195">
        <f>IF(COUNTIFS('Resultater - Danmark'!$D$3:$D$482,'Resultat-Produktion &amp; forbrug'!A57,'Resultater - Danmark'!$A$3:$A$482,"Til energi")+COUNTIFS('Resultater - Danmark'!$D$3:$D$482,'Resultat-Produktion &amp; forbrug'!A57,'Resultater - Danmark'!$A$3:$A$482,"Biogasanlæg")&gt;0,1,0)</f>
        <v>1</v>
      </c>
      <c r="D57" s="195">
        <f t="shared" si="19"/>
        <v>2030</v>
      </c>
      <c r="E57" s="193" t="s">
        <v>23</v>
      </c>
      <c r="F57" s="196">
        <f>IF(E57="Vestdanmark",SUMIFS(IF(D57=År1,'Resultater - Vestdanmark'!H$3:H$482,IF(D57=År2,'Resultater - Vestdanmark'!I$3:I$482,'Resultater - Vestdanmark'!J$3:J$482)),'Resultater - Vestdanmark'!$F$3:$F$482,$A57,IF(D57=År1,'Resultater - Vestdanmark'!H$3:H$482,IF(D57=År2,'Resultater - Vestdanmark'!I$3:I$482,'Resultater - Vestdanmark'!J$3:J$482)),"&gt;0"),SUMIFS(IF(D57=År1,'Resultater - Østdanmark'!H$3:H$482,IF(D57=År2,'Resultater - Østdanmark'!I$3:I$482,'Resultater - Østdanmark'!J$3:J$482)),'Resultater - Østdanmark'!$F$3:$F$482,$A57,IF(D57=År1,'Resultater - Østdanmark'!H$3:H$482,IF(D57=År2,'Resultater - Østdanmark'!I$3:I$482,'Resultater - Østdanmark'!J$3:J$482)),"&gt;0"))</f>
        <v>2652925.8184588463</v>
      </c>
      <c r="G57" s="196">
        <f>SUMIFS('Forbrug af biomasse'!$E$2:$E$425,'Forbrug af biomasse'!$C$2:$C$425,'Resultat-Produktion &amp; forbrug'!$A57,'Forbrug af biomasse'!$D$2:$D$425,'Resultat-Produktion &amp; forbrug'!$D57,'Forbrug af biomasse'!$A$2:$A$425,'Resultat-Produktion &amp; forbrug'!G$2,'Forbrug af biomasse'!$B$2:$B$425,$E57)</f>
        <v>0</v>
      </c>
      <c r="H57" s="193">
        <f>IF(E57="Vestdanmark",-IF(A57="Halm",SUMIFS(IF(D57=År1,'Resultater - Vestdanmark'!H$3:H$482,IF(D57=År2,'Resultater - Vestdanmark'!I$3:I$482,'Resultater - Vestdanmark'!J$3:J$482)),'Resultater - Vestdanmark'!$F$3:$F$482,$A57,'Resultater - Vestdanmark'!H$3:H$482,"&lt;0"),0),-IF(A57="Halm",SUMIFS(IF(D57=År1,'Resultater - Østdanmark'!H$3:H$482,IF(D57=År2,'Resultater - Østdanmark'!I$3:I$482,'Resultater - Østdanmark'!J$3:J$482)),'Resultater - Østdanmark'!$F$3:$F$482,$A57,'Resultater - Østdanmark'!H$3:H$482,"&lt;0"),0))</f>
        <v>0</v>
      </c>
      <c r="I57" s="196">
        <f>SUMIFS('Forbrug af biomasse'!$E$2:$E$425,'Forbrug af biomasse'!$C$2:$C$425,'Resultat-Produktion &amp; forbrug'!$A57,'Forbrug af biomasse'!$D$2:$D$425,'Resultat-Produktion &amp; forbrug'!$D57,'Forbrug af biomasse'!$A$2:$A$425,'Resultat-Produktion &amp; forbrug'!I$2,'Forbrug af biomasse'!$B$2:$B$425,$E57)</f>
        <v>0</v>
      </c>
      <c r="J57" s="196">
        <f>SUMIFS('Forbrug af biomasse'!$E$2:$E$425,'Forbrug af biomasse'!$C$2:$C$425,'Resultat-Produktion &amp; forbrug'!$A57,'Forbrug af biomasse'!$D$2:$D$425,'Resultat-Produktion &amp; forbrug'!$D57,'Forbrug af biomasse'!$A$2:$A$425,'Resultat-Produktion &amp; forbrug'!J$2,'Forbrug af biomasse'!$B$2:$B$425,$E57)</f>
        <v>1326462.9092294232</v>
      </c>
      <c r="K57" s="196">
        <f>SUMIFS('Forbrug af biomasse'!$E$2:$E$425,'Forbrug af biomasse'!$C$2:$C$425,'Resultat-Produktion &amp; forbrug'!$A57,'Forbrug af biomasse'!$D$2:$D$425,'Resultat-Produktion &amp; forbrug'!$D57,'Forbrug af biomasse'!$A$2:$A$425,'Resultat-Produktion &amp; forbrug'!K$2,'Forbrug af biomasse'!$B$2:$B$425,$E57)</f>
        <v>502160.95849399589</v>
      </c>
      <c r="L57" s="196">
        <f>IF(A57&lt;&gt;"Biogas",SUMIFS('Forbrug af biomasse'!$E$2:$E$425,'Forbrug af biomasse'!$C$2:$C$425,'Resultat-Produktion &amp; forbrug'!$A57,'Forbrug af biomasse'!$D$2:$D$425,'Resultat-Produktion &amp; forbrug'!$D57,'Forbrug af biomasse'!$A$2:$A$425,'Resultat-Produktion &amp; forbrug'!L$2,'Forbrug af biomasse'!$B$2:$B$425,$E57),F57)</f>
        <v>0</v>
      </c>
      <c r="M57" s="158">
        <f>SUMIFS('Forbrug af biomasse'!E:E,'Forbrug af biomasse'!C:C,'Resultat-Produktion &amp; forbrug'!$A57,'Forbrug af biomasse'!D:D,'Resultat-Produktion &amp; forbrug'!$D57,'Forbrug af biomasse'!G:G,1,'Forbrug af biomasse'!B:B,$E57)</f>
        <v>0</v>
      </c>
      <c r="N57" s="205">
        <f t="shared" si="9"/>
        <v>824301.95073542721</v>
      </c>
      <c r="O57" s="196">
        <f t="shared" si="1"/>
        <v>824301.95073542721</v>
      </c>
      <c r="P57" s="206">
        <f t="shared" si="10"/>
        <v>1326462.9092294232</v>
      </c>
      <c r="Q57" s="193">
        <f>IFERROR(VLOOKUP(A57,[1]Energiindhold!$A$2:$C$11,3,FALSE),IFERROR(VLOOKUP(A57,[1]Biogasudbytte!$A$2:$B$18,2,FALSE)*[1]Energiindhold!$C$10,0))*O57</f>
        <v>1.7755464018841103</v>
      </c>
      <c r="R57" s="193">
        <f>IF(A57&lt;&gt;"Biogas",IFERROR(VLOOKUP(A57,[1]Biogasudbytte!$A$2:$B$18,2,FALSE)*[1]Energiindhold!$C$10,0)*J57*IFERROR(VLOOKUP(A57,Biogasanlæg!$F$3:$G$8,2,FALSE),1)+IFERROR(VLOOKUP(A57,[1]Energiindhold!$A$2:$C$11,3,FALSE),0)*L57+IF(D57&lt;&gt;År1,Q57,0),0)</f>
        <v>4.6327475083642877</v>
      </c>
      <c r="S57" s="193">
        <f>IFERROR(VLOOKUP(A57,[1]Biogasudbytte!$A$2:$B$18,2,FALSE)*[1]Energiindhold!$C$10,0)*J57*IFERROR(VLOOKUP(A57,Biogasanlæg!$F$3:$G$8,2,FALSE),1)</f>
        <v>2.8572011064801774</v>
      </c>
      <c r="T57" s="194">
        <f t="shared" si="11"/>
        <v>1.7755464018841103</v>
      </c>
      <c r="U57" s="192">
        <f>O57*IFERROR(VLOOKUP(A57,[1]Tørstofindhold!A$2:B$25,2,FALSE),0)</f>
        <v>247290.58522062816</v>
      </c>
      <c r="V57" s="193">
        <f>IF(D57=År1,P57,SUM(O57,P57))*IFERROR(VLOOKUP(A57,[1]Tørstofindhold!A$2:B$25,2,FALSE),0)</f>
        <v>645229.45798945508</v>
      </c>
      <c r="W57" s="193">
        <f>J57*IFERROR(VLOOKUP(A57,[1]Tørstofindhold!A$2:B$25,2,FALSE),0)</f>
        <v>397938.87276882696</v>
      </c>
      <c r="X57" s="194">
        <f t="shared" si="12"/>
        <v>247290.58522062813</v>
      </c>
      <c r="Y57" s="172">
        <f t="shared" si="2"/>
        <v>0</v>
      </c>
      <c r="Z57" s="104">
        <f t="shared" si="3"/>
        <v>1</v>
      </c>
    </row>
    <row r="58" spans="1:26" hidden="1" x14ac:dyDescent="0.55000000000000004">
      <c r="A58" s="195" t="str">
        <f t="shared" si="17"/>
        <v>Fiberfraktion</v>
      </c>
      <c r="B58" s="195" t="str">
        <f t="shared" si="18"/>
        <v/>
      </c>
      <c r="C58" s="195">
        <f>IF(COUNTIFS('Resultater - Danmark'!$D$3:$D$482,'Resultat-Produktion &amp; forbrug'!A58,'Resultater - Danmark'!$A$3:$A$482,"Til energi")+COUNTIFS('Resultater - Danmark'!$D$3:$D$482,'Resultat-Produktion &amp; forbrug'!A58,'Resultater - Danmark'!$A$3:$A$482,"Biogasanlæg")&gt;0,1,0)</f>
        <v>0</v>
      </c>
      <c r="D58" s="195">
        <f t="shared" si="19"/>
        <v>2030</v>
      </c>
      <c r="E58" s="193" t="s">
        <v>23</v>
      </c>
      <c r="F58" s="196">
        <f>IF(E58="Vestdanmark",SUMIFS(IF(D58=År1,'Resultater - Vestdanmark'!H$3:H$482,IF(D58=År2,'Resultater - Vestdanmark'!I$3:I$482,'Resultater - Vestdanmark'!J$3:J$482)),'Resultater - Vestdanmark'!$F$3:$F$482,$A58,IF(D58=År1,'Resultater - Vestdanmark'!H$3:H$482,IF(D58=År2,'Resultater - Vestdanmark'!I$3:I$482,'Resultater - Vestdanmark'!J$3:J$482)),"&gt;0"),SUMIFS(IF(D58=År1,'Resultater - Østdanmark'!H$3:H$482,IF(D58=År2,'Resultater - Østdanmark'!I$3:I$482,'Resultater - Østdanmark'!J$3:J$482)),'Resultater - Østdanmark'!$F$3:$F$482,$A58,IF(D58=År1,'Resultater - Østdanmark'!H$3:H$482,IF(D58=År2,'Resultater - Østdanmark'!I$3:I$482,'Resultater - Østdanmark'!J$3:J$482)),"&gt;0"))</f>
        <v>0</v>
      </c>
      <c r="G58" s="196">
        <f>SUMIFS('Forbrug af biomasse'!$E$2:$E$425,'Forbrug af biomasse'!$C$2:$C$425,'Resultat-Produktion &amp; forbrug'!$A58,'Forbrug af biomasse'!$D$2:$D$425,'Resultat-Produktion &amp; forbrug'!$D58,'Forbrug af biomasse'!$A$2:$A$425,'Resultat-Produktion &amp; forbrug'!G$2,'Forbrug af biomasse'!$B$2:$B$425,$E58)</f>
        <v>0</v>
      </c>
      <c r="H58" s="193">
        <f>IF(E58="Vestdanmark",-IF(A58="Halm",SUMIFS(IF(D58=År1,'Resultater - Vestdanmark'!H$3:H$482,IF(D58=År2,'Resultater - Vestdanmark'!I$3:I$482,'Resultater - Vestdanmark'!J$3:J$482)),'Resultater - Vestdanmark'!$F$3:$F$482,$A58,'Resultater - Vestdanmark'!H$3:H$482,"&lt;0"),0),-IF(A58="Halm",SUMIFS(IF(D58=År1,'Resultater - Østdanmark'!H$3:H$482,IF(D58=År2,'Resultater - Østdanmark'!I$3:I$482,'Resultater - Østdanmark'!J$3:J$482)),'Resultater - Østdanmark'!$F$3:$F$482,$A58,'Resultater - Østdanmark'!H$3:H$482,"&lt;0"),0))</f>
        <v>0</v>
      </c>
      <c r="I58" s="196">
        <f>SUMIFS('Forbrug af biomasse'!$E$2:$E$425,'Forbrug af biomasse'!$C$2:$C$425,'Resultat-Produktion &amp; forbrug'!$A58,'Forbrug af biomasse'!$D$2:$D$425,'Resultat-Produktion &amp; forbrug'!$D58,'Forbrug af biomasse'!$A$2:$A$425,'Resultat-Produktion &amp; forbrug'!I$2,'Forbrug af biomasse'!$B$2:$B$425,$E58)</f>
        <v>0</v>
      </c>
      <c r="J58" s="196">
        <f>SUMIFS('Forbrug af biomasse'!$E$2:$E$425,'Forbrug af biomasse'!$C$2:$C$425,'Resultat-Produktion &amp; forbrug'!$A58,'Forbrug af biomasse'!$D$2:$D$425,'Resultat-Produktion &amp; forbrug'!$D58,'Forbrug af biomasse'!$A$2:$A$425,'Resultat-Produktion &amp; forbrug'!J$2,'Forbrug af biomasse'!$B$2:$B$425,$E58)</f>
        <v>0</v>
      </c>
      <c r="K58" s="196">
        <f>SUMIFS('Forbrug af biomasse'!$E$2:$E$425,'Forbrug af biomasse'!$C$2:$C$425,'Resultat-Produktion &amp; forbrug'!$A58,'Forbrug af biomasse'!$D$2:$D$425,'Resultat-Produktion &amp; forbrug'!$D58,'Forbrug af biomasse'!$A$2:$A$425,'Resultat-Produktion &amp; forbrug'!K$2,'Forbrug af biomasse'!$B$2:$B$425,$E58)</f>
        <v>0</v>
      </c>
      <c r="L58" s="196">
        <f>IF(A58&lt;&gt;"Biogas",SUMIFS('Forbrug af biomasse'!$E$2:$E$425,'Forbrug af biomasse'!$C$2:$C$425,'Resultat-Produktion &amp; forbrug'!$A58,'Forbrug af biomasse'!$D$2:$D$425,'Resultat-Produktion &amp; forbrug'!$D58,'Forbrug af biomasse'!$A$2:$A$425,'Resultat-Produktion &amp; forbrug'!L$2,'Forbrug af biomasse'!$B$2:$B$425,$E58),F58)</f>
        <v>0</v>
      </c>
      <c r="M58" s="158">
        <f>SUMIFS('Forbrug af biomasse'!E:E,'Forbrug af biomasse'!C:C,'Resultat-Produktion &amp; forbrug'!$A58,'Forbrug af biomasse'!D:D,'Resultat-Produktion &amp; forbrug'!$D58,'Forbrug af biomasse'!G:G,1,'Forbrug af biomasse'!B:B,$E58)</f>
        <v>0</v>
      </c>
      <c r="N58" s="205">
        <f t="shared" si="9"/>
        <v>0</v>
      </c>
      <c r="O58" s="196">
        <f t="shared" si="1"/>
        <v>0</v>
      </c>
      <c r="P58" s="206">
        <f t="shared" si="10"/>
        <v>0</v>
      </c>
      <c r="Q58" s="193">
        <f>IFERROR(VLOOKUP(A58,[1]Energiindhold!$A$2:$C$11,3,FALSE),IFERROR(VLOOKUP(A58,[1]Biogasudbytte!$A$2:$B$18,2,FALSE)*[1]Energiindhold!$C$10,0))*O58</f>
        <v>0</v>
      </c>
      <c r="R58" s="193">
        <f>IF(A58&lt;&gt;"Biogas",IFERROR(VLOOKUP(A58,[1]Biogasudbytte!$A$2:$B$18,2,FALSE)*[1]Energiindhold!$C$10,0)*J58*IFERROR(VLOOKUP(A58,Biogasanlæg!$F$3:$G$8,2,FALSE),1)+IFERROR(VLOOKUP(A58,[1]Energiindhold!$A$2:$C$11,3,FALSE),0)*L58+IF(D58&lt;&gt;År1,Q58,0),0)</f>
        <v>0</v>
      </c>
      <c r="S58" s="193">
        <f>IFERROR(VLOOKUP(A58,[1]Biogasudbytte!$A$2:$B$18,2,FALSE)*[1]Energiindhold!$C$10,0)*J58*IFERROR(VLOOKUP(A58,Biogasanlæg!$F$3:$G$8,2,FALSE),1)</f>
        <v>0</v>
      </c>
      <c r="T58" s="194">
        <f t="shared" si="11"/>
        <v>0</v>
      </c>
      <c r="U58" s="192">
        <f>O58*IFERROR(VLOOKUP(A58,[1]Tørstofindhold!A$2:B$25,2,FALSE),0)</f>
        <v>0</v>
      </c>
      <c r="V58" s="193">
        <f>IF(D58=År1,P58,SUM(O58,P58))*IFERROR(VLOOKUP(A58,[1]Tørstofindhold!A$2:B$25,2,FALSE),0)</f>
        <v>0</v>
      </c>
      <c r="W58" s="193">
        <f>J58*IFERROR(VLOOKUP(A58,[1]Tørstofindhold!A$2:B$25,2,FALSE),0)</f>
        <v>0</v>
      </c>
      <c r="X58" s="194">
        <f t="shared" si="12"/>
        <v>0</v>
      </c>
      <c r="Y58" s="172">
        <f t="shared" si="2"/>
        <v>0</v>
      </c>
      <c r="Z58" s="104">
        <f t="shared" si="3"/>
        <v>0</v>
      </c>
    </row>
    <row r="59" spans="1:26" hidden="1" x14ac:dyDescent="0.55000000000000004">
      <c r="A59" s="195" t="str">
        <f t="shared" si="17"/>
        <v>Fjerkrægylle</v>
      </c>
      <c r="B59" s="195" t="str">
        <f t="shared" si="18"/>
        <v>Husdyrgødning</v>
      </c>
      <c r="C59" s="195">
        <f>IF(COUNTIFS('Resultater - Danmark'!$D$3:$D$482,'Resultat-Produktion &amp; forbrug'!A59,'Resultater - Danmark'!$A$3:$A$482,"Til energi")+COUNTIFS('Resultater - Danmark'!$D$3:$D$482,'Resultat-Produktion &amp; forbrug'!A59,'Resultater - Danmark'!$A$3:$A$482,"Biogasanlæg")&gt;0,1,0)</f>
        <v>1</v>
      </c>
      <c r="D59" s="195">
        <f t="shared" si="19"/>
        <v>2030</v>
      </c>
      <c r="E59" s="193" t="s">
        <v>23</v>
      </c>
      <c r="F59" s="196">
        <f>IF(E59="Vestdanmark",SUMIFS(IF(D59=År1,'Resultater - Vestdanmark'!H$3:H$482,IF(D59=År2,'Resultater - Vestdanmark'!I$3:I$482,'Resultater - Vestdanmark'!J$3:J$482)),'Resultater - Vestdanmark'!$F$3:$F$482,$A59,IF(D59=År1,'Resultater - Vestdanmark'!H$3:H$482,IF(D59=År2,'Resultater - Vestdanmark'!I$3:I$482,'Resultater - Vestdanmark'!J$3:J$482)),"&gt;0"),SUMIFS(IF(D59=År1,'Resultater - Østdanmark'!H$3:H$482,IF(D59=År2,'Resultater - Østdanmark'!I$3:I$482,'Resultater - Østdanmark'!J$3:J$482)),'Resultater - Østdanmark'!$F$3:$F$482,$A59,IF(D59=År1,'Resultater - Østdanmark'!H$3:H$482,IF(D59=År2,'Resultater - Østdanmark'!I$3:I$482,'Resultater - Østdanmark'!J$3:J$482)),"&gt;0"))</f>
        <v>8342.726135545483</v>
      </c>
      <c r="G59" s="196">
        <f>SUMIFS('Forbrug af biomasse'!$E$2:$E$425,'Forbrug af biomasse'!$C$2:$C$425,'Resultat-Produktion &amp; forbrug'!$A59,'Forbrug af biomasse'!$D$2:$D$425,'Resultat-Produktion &amp; forbrug'!$D59,'Forbrug af biomasse'!$A$2:$A$425,'Resultat-Produktion &amp; forbrug'!G$2,'Forbrug af biomasse'!$B$2:$B$425,$E59)</f>
        <v>0</v>
      </c>
      <c r="H59" s="193">
        <f>IF(E59="Vestdanmark",-IF(A59="Halm",SUMIFS(IF(D59=År1,'Resultater - Vestdanmark'!H$3:H$482,IF(D59=År2,'Resultater - Vestdanmark'!I$3:I$482,'Resultater - Vestdanmark'!J$3:J$482)),'Resultater - Vestdanmark'!$F$3:$F$482,$A59,'Resultater - Vestdanmark'!H$3:H$482,"&lt;0"),0),-IF(A59="Halm",SUMIFS(IF(D59=År1,'Resultater - Østdanmark'!H$3:H$482,IF(D59=År2,'Resultater - Østdanmark'!I$3:I$482,'Resultater - Østdanmark'!J$3:J$482)),'Resultater - Østdanmark'!$F$3:$F$482,$A59,'Resultater - Østdanmark'!H$3:H$482,"&lt;0"),0))</f>
        <v>0</v>
      </c>
      <c r="I59" s="196">
        <f>SUMIFS('Forbrug af biomasse'!$E$2:$E$425,'Forbrug af biomasse'!$C$2:$C$425,'Resultat-Produktion &amp; forbrug'!$A59,'Forbrug af biomasse'!$D$2:$D$425,'Resultat-Produktion &amp; forbrug'!$D59,'Forbrug af biomasse'!$A$2:$A$425,'Resultat-Produktion &amp; forbrug'!I$2,'Forbrug af biomasse'!$B$2:$B$425,$E59)</f>
        <v>0</v>
      </c>
      <c r="J59" s="196">
        <f>SUMIFS('Forbrug af biomasse'!$E$2:$E$425,'Forbrug af biomasse'!$C$2:$C$425,'Resultat-Produktion &amp; forbrug'!$A59,'Forbrug af biomasse'!$D$2:$D$425,'Resultat-Produktion &amp; forbrug'!$D59,'Forbrug af biomasse'!$A$2:$A$425,'Resultat-Produktion &amp; forbrug'!J$2,'Forbrug af biomasse'!$B$2:$B$425,$E59)</f>
        <v>4171.3630677727415</v>
      </c>
      <c r="K59" s="196">
        <f>SUMIFS('Forbrug af biomasse'!$E$2:$E$425,'Forbrug af biomasse'!$C$2:$C$425,'Resultat-Produktion &amp; forbrug'!$A59,'Forbrug af biomasse'!$D$2:$D$425,'Resultat-Produktion &amp; forbrug'!$D59,'Forbrug af biomasse'!$A$2:$A$425,'Resultat-Produktion &amp; forbrug'!K$2,'Forbrug af biomasse'!$B$2:$B$425,$E59)</f>
        <v>3158.317751313647</v>
      </c>
      <c r="L59" s="196">
        <f>IF(A59&lt;&gt;"Biogas",SUMIFS('Forbrug af biomasse'!$E$2:$E$425,'Forbrug af biomasse'!$C$2:$C$425,'Resultat-Produktion &amp; forbrug'!$A59,'Forbrug af biomasse'!$D$2:$D$425,'Resultat-Produktion &amp; forbrug'!$D59,'Forbrug af biomasse'!$A$2:$A$425,'Resultat-Produktion &amp; forbrug'!L$2,'Forbrug af biomasse'!$B$2:$B$425,$E59),F59)</f>
        <v>0</v>
      </c>
      <c r="M59" s="158">
        <f>SUMIFS('Forbrug af biomasse'!E:E,'Forbrug af biomasse'!C:C,'Resultat-Produktion &amp; forbrug'!$A59,'Forbrug af biomasse'!D:D,'Resultat-Produktion &amp; forbrug'!$D59,'Forbrug af biomasse'!G:G,1,'Forbrug af biomasse'!B:B,$E59)</f>
        <v>0</v>
      </c>
      <c r="N59" s="205">
        <f t="shared" si="9"/>
        <v>1013.0453164590945</v>
      </c>
      <c r="O59" s="196">
        <f t="shared" si="1"/>
        <v>1013.0453164590945</v>
      </c>
      <c r="P59" s="206">
        <f t="shared" si="10"/>
        <v>4171.3630677727415</v>
      </c>
      <c r="Q59" s="193">
        <f>IFERROR(VLOOKUP(A59,[1]Energiindhold!$A$2:$C$11,3,FALSE),IFERROR(VLOOKUP(A59,[1]Biogasudbytte!$A$2:$B$18,2,FALSE)*[1]Energiindhold!$C$10,0))*O59</f>
        <v>4.7642508187754754E-4</v>
      </c>
      <c r="R59" s="193">
        <f>IF(A59&lt;&gt;"Biogas",IFERROR(VLOOKUP(A59,[1]Biogasudbytte!$A$2:$B$18,2,FALSE)*[1]Energiindhold!$C$10,0)*J59*IFERROR(VLOOKUP(A59,Biogasanlæg!$F$3:$G$8,2,FALSE),1)+IFERROR(VLOOKUP(A59,[1]Energiindhold!$A$2:$C$11,3,FALSE),0)*L59+IF(D59&lt;&gt;År1,Q59,0),0)</f>
        <v>2.4381754190203903E-3</v>
      </c>
      <c r="S59" s="193">
        <f>IFERROR(VLOOKUP(A59,[1]Biogasudbytte!$A$2:$B$18,2,FALSE)*[1]Energiindhold!$C$10,0)*J59*IFERROR(VLOOKUP(A59,Biogasanlæg!$F$3:$G$8,2,FALSE),1)</f>
        <v>1.9617503371428427E-3</v>
      </c>
      <c r="T59" s="194">
        <f t="shared" si="11"/>
        <v>4.7642508187754765E-4</v>
      </c>
      <c r="U59" s="192">
        <f>O59*IFERROR(VLOOKUP(A59,[1]Tørstofindhold!A$2:B$25,2,FALSE),0)</f>
        <v>63.821854936922954</v>
      </c>
      <c r="V59" s="193">
        <f>IF(D59=År1,P59,SUM(O59,P59))*IFERROR(VLOOKUP(A59,[1]Tørstofindhold!A$2:B$25,2,FALSE),0)</f>
        <v>326.61772820660565</v>
      </c>
      <c r="W59" s="193">
        <f>J59*IFERROR(VLOOKUP(A59,[1]Tørstofindhold!A$2:B$25,2,FALSE),0)</f>
        <v>262.79587326968272</v>
      </c>
      <c r="X59" s="194">
        <f t="shared" si="12"/>
        <v>63.821854936922932</v>
      </c>
      <c r="Y59" s="172">
        <f t="shared" si="2"/>
        <v>0</v>
      </c>
      <c r="Z59" s="104">
        <f t="shared" si="3"/>
        <v>1</v>
      </c>
    </row>
    <row r="60" spans="1:26" hidden="1" x14ac:dyDescent="0.55000000000000004">
      <c r="A60" s="195" t="str">
        <f t="shared" si="17"/>
        <v>Fjerkrækød</v>
      </c>
      <c r="B60" s="195" t="str">
        <f t="shared" si="18"/>
        <v/>
      </c>
      <c r="C60" s="195">
        <f>IF(COUNTIFS('Resultater - Danmark'!$D$3:$D$482,'Resultat-Produktion &amp; forbrug'!A60,'Resultater - Danmark'!$A$3:$A$482,"Til energi")+COUNTIFS('Resultater - Danmark'!$D$3:$D$482,'Resultat-Produktion &amp; forbrug'!A60,'Resultater - Danmark'!$A$3:$A$482,"Biogasanlæg")&gt;0,1,0)</f>
        <v>0</v>
      </c>
      <c r="D60" s="195">
        <f t="shared" si="19"/>
        <v>2030</v>
      </c>
      <c r="E60" s="193" t="s">
        <v>23</v>
      </c>
      <c r="F60" s="196">
        <f>IF(E60="Vestdanmark",SUMIFS(IF(D60=År1,'Resultater - Vestdanmark'!H$3:H$482,IF(D60=År2,'Resultater - Vestdanmark'!I$3:I$482,'Resultater - Vestdanmark'!J$3:J$482)),'Resultater - Vestdanmark'!$F$3:$F$482,$A60,IF(D60=År1,'Resultater - Vestdanmark'!H$3:H$482,IF(D60=År2,'Resultater - Vestdanmark'!I$3:I$482,'Resultater - Vestdanmark'!J$3:J$482)),"&gt;0"),SUMIFS(IF(D60=År1,'Resultater - Østdanmark'!H$3:H$482,IF(D60=År2,'Resultater - Østdanmark'!I$3:I$482,'Resultater - Østdanmark'!J$3:J$482)),'Resultater - Østdanmark'!$F$3:$F$482,$A60,IF(D60=År1,'Resultater - Østdanmark'!H$3:H$482,IF(D60=År2,'Resultater - Østdanmark'!I$3:I$482,'Resultater - Østdanmark'!J$3:J$482)),"&gt;0"))</f>
        <v>181628.8895635134</v>
      </c>
      <c r="G60" s="196">
        <f>SUMIFS('Forbrug af biomasse'!$E$2:$E$425,'Forbrug af biomasse'!$C$2:$C$425,'Resultat-Produktion &amp; forbrug'!$A60,'Forbrug af biomasse'!$D$2:$D$425,'Resultat-Produktion &amp; forbrug'!$D60,'Forbrug af biomasse'!$A$2:$A$425,'Resultat-Produktion &amp; forbrug'!G$2,'Forbrug af biomasse'!$B$2:$B$425,$E60)</f>
        <v>0</v>
      </c>
      <c r="H60" s="193">
        <f>IF(E60="Vestdanmark",-IF(A60="Halm",SUMIFS(IF(D60=År1,'Resultater - Vestdanmark'!H$3:H$482,IF(D60=År2,'Resultater - Vestdanmark'!I$3:I$482,'Resultater - Vestdanmark'!J$3:J$482)),'Resultater - Vestdanmark'!$F$3:$F$482,$A60,'Resultater - Vestdanmark'!H$3:H$482,"&lt;0"),0),-IF(A60="Halm",SUMIFS(IF(D60=År1,'Resultater - Østdanmark'!H$3:H$482,IF(D60=År2,'Resultater - Østdanmark'!I$3:I$482,'Resultater - Østdanmark'!J$3:J$482)),'Resultater - Østdanmark'!$F$3:$F$482,$A60,'Resultater - Østdanmark'!H$3:H$482,"&lt;0"),0))</f>
        <v>0</v>
      </c>
      <c r="I60" s="196">
        <f>SUMIFS('Forbrug af biomasse'!$E$2:$E$425,'Forbrug af biomasse'!$C$2:$C$425,'Resultat-Produktion &amp; forbrug'!$A60,'Forbrug af biomasse'!$D$2:$D$425,'Resultat-Produktion &amp; forbrug'!$D60,'Forbrug af biomasse'!$A$2:$A$425,'Resultat-Produktion &amp; forbrug'!I$2,'Forbrug af biomasse'!$B$2:$B$425,$E60)</f>
        <v>35294.766599083188</v>
      </c>
      <c r="J60" s="196">
        <f>SUMIFS('Forbrug af biomasse'!$E$2:$E$425,'Forbrug af biomasse'!$C$2:$C$425,'Resultat-Produktion &amp; forbrug'!$A60,'Forbrug af biomasse'!$D$2:$D$425,'Resultat-Produktion &amp; forbrug'!$D60,'Forbrug af biomasse'!$A$2:$A$425,'Resultat-Produktion &amp; forbrug'!J$2,'Forbrug af biomasse'!$B$2:$B$425,$E60)</f>
        <v>0</v>
      </c>
      <c r="K60" s="196">
        <f>SUMIFS('Forbrug af biomasse'!$E$2:$E$425,'Forbrug af biomasse'!$C$2:$C$425,'Resultat-Produktion &amp; forbrug'!$A60,'Forbrug af biomasse'!$D$2:$D$425,'Resultat-Produktion &amp; forbrug'!$D60,'Forbrug af biomasse'!$A$2:$A$425,'Resultat-Produktion &amp; forbrug'!K$2,'Forbrug af biomasse'!$B$2:$B$425,$E60)</f>
        <v>0</v>
      </c>
      <c r="L60" s="196">
        <f>IF(A60&lt;&gt;"Biogas",SUMIFS('Forbrug af biomasse'!$E$2:$E$425,'Forbrug af biomasse'!$C$2:$C$425,'Resultat-Produktion &amp; forbrug'!$A60,'Forbrug af biomasse'!$D$2:$D$425,'Resultat-Produktion &amp; forbrug'!$D60,'Forbrug af biomasse'!$A$2:$A$425,'Resultat-Produktion &amp; forbrug'!L$2,'Forbrug af biomasse'!$B$2:$B$425,$E60),F60)</f>
        <v>0</v>
      </c>
      <c r="M60" s="158">
        <f>SUMIFS('Forbrug af biomasse'!E:E,'Forbrug af biomasse'!C:C,'Resultat-Produktion &amp; forbrug'!$A60,'Forbrug af biomasse'!D:D,'Resultat-Produktion &amp; forbrug'!$D60,'Forbrug af biomasse'!G:G,1,'Forbrug af biomasse'!B:B,$E60)</f>
        <v>0</v>
      </c>
      <c r="N60" s="205">
        <f t="shared" si="9"/>
        <v>146334.12296443019</v>
      </c>
      <c r="O60" s="196">
        <f t="shared" si="1"/>
        <v>0</v>
      </c>
      <c r="P60" s="206">
        <f t="shared" si="10"/>
        <v>0</v>
      </c>
      <c r="Q60" s="193">
        <f>IFERROR(VLOOKUP(A60,[1]Energiindhold!$A$2:$C$11,3,FALSE),IFERROR(VLOOKUP(A60,[1]Biogasudbytte!$A$2:$B$18,2,FALSE)*[1]Energiindhold!$C$10,0))*O60</f>
        <v>0</v>
      </c>
      <c r="R60" s="193">
        <f>IF(A60&lt;&gt;"Biogas",IFERROR(VLOOKUP(A60,[1]Biogasudbytte!$A$2:$B$18,2,FALSE)*[1]Energiindhold!$C$10,0)*J60*IFERROR(VLOOKUP(A60,Biogasanlæg!$F$3:$G$8,2,FALSE),1)+IFERROR(VLOOKUP(A60,[1]Energiindhold!$A$2:$C$11,3,FALSE),0)*L60+IF(D60&lt;&gt;År1,Q60,0),0)</f>
        <v>0</v>
      </c>
      <c r="S60" s="193">
        <f>IFERROR(VLOOKUP(A60,[1]Biogasudbytte!$A$2:$B$18,2,FALSE)*[1]Energiindhold!$C$10,0)*J60*IFERROR(VLOOKUP(A60,Biogasanlæg!$F$3:$G$8,2,FALSE),1)</f>
        <v>0</v>
      </c>
      <c r="T60" s="194">
        <f t="shared" si="11"/>
        <v>0</v>
      </c>
      <c r="U60" s="192">
        <f>O60*IFERROR(VLOOKUP(A60,[1]Tørstofindhold!A$2:B$25,2,FALSE),0)</f>
        <v>0</v>
      </c>
      <c r="V60" s="193">
        <f>IF(D60=År1,P60,SUM(O60,P60))*IFERROR(VLOOKUP(A60,[1]Tørstofindhold!A$2:B$25,2,FALSE),0)</f>
        <v>0</v>
      </c>
      <c r="W60" s="193">
        <f>J60*IFERROR(VLOOKUP(A60,[1]Tørstofindhold!A$2:B$25,2,FALSE),0)</f>
        <v>0</v>
      </c>
      <c r="X60" s="194">
        <f t="shared" si="12"/>
        <v>0</v>
      </c>
      <c r="Y60" s="172">
        <f t="shared" si="2"/>
        <v>0</v>
      </c>
      <c r="Z60" s="104">
        <f t="shared" si="3"/>
        <v>1</v>
      </c>
    </row>
    <row r="61" spans="1:26" hidden="1" x14ac:dyDescent="0.55000000000000004">
      <c r="A61" s="195" t="str">
        <f t="shared" si="17"/>
        <v>Frø</v>
      </c>
      <c r="B61" s="195" t="str">
        <f t="shared" si="18"/>
        <v/>
      </c>
      <c r="C61" s="195">
        <f>IF(COUNTIFS('Resultater - Danmark'!$D$3:$D$482,'Resultat-Produktion &amp; forbrug'!A61,'Resultater - Danmark'!$A$3:$A$482,"Til energi")+COUNTIFS('Resultater - Danmark'!$D$3:$D$482,'Resultat-Produktion &amp; forbrug'!A61,'Resultater - Danmark'!$A$3:$A$482,"Biogasanlæg")&gt;0,1,0)</f>
        <v>0</v>
      </c>
      <c r="D61" s="195">
        <f t="shared" si="19"/>
        <v>2030</v>
      </c>
      <c r="E61" s="193" t="s">
        <v>23</v>
      </c>
      <c r="F61" s="196">
        <f>IF(E61="Vestdanmark",SUMIFS(IF(D61=År1,'Resultater - Vestdanmark'!H$3:H$482,IF(D61=År2,'Resultater - Vestdanmark'!I$3:I$482,'Resultater - Vestdanmark'!J$3:J$482)),'Resultater - Vestdanmark'!$F$3:$F$482,$A61,IF(D61=År1,'Resultater - Vestdanmark'!H$3:H$482,IF(D61=År2,'Resultater - Vestdanmark'!I$3:I$482,'Resultater - Vestdanmark'!J$3:J$482)),"&gt;0"),SUMIFS(IF(D61=År1,'Resultater - Østdanmark'!H$3:H$482,IF(D61=År2,'Resultater - Østdanmark'!I$3:I$482,'Resultater - Østdanmark'!J$3:J$482)),'Resultater - Østdanmark'!$F$3:$F$482,$A61,IF(D61=År1,'Resultater - Østdanmark'!H$3:H$482,IF(D61=År2,'Resultater - Østdanmark'!I$3:I$482,'Resultater - Østdanmark'!J$3:J$482)),"&gt;0"))</f>
        <v>925155.87360935542</v>
      </c>
      <c r="G61" s="196">
        <f>SUMIFS('Forbrug af biomasse'!$E$2:$E$425,'Forbrug af biomasse'!$C$2:$C$425,'Resultat-Produktion &amp; forbrug'!$A61,'Forbrug af biomasse'!$D$2:$D$425,'Resultat-Produktion &amp; forbrug'!$D61,'Forbrug af biomasse'!$A$2:$A$425,'Resultat-Produktion &amp; forbrug'!G$2,'Forbrug af biomasse'!$B$2:$B$425,$E61)</f>
        <v>0</v>
      </c>
      <c r="H61" s="193">
        <f>IF(E61="Vestdanmark",-IF(A61="Halm",SUMIFS(IF(D61=År1,'Resultater - Vestdanmark'!H$3:H$482,IF(D61=År2,'Resultater - Vestdanmark'!I$3:I$482,'Resultater - Vestdanmark'!J$3:J$482)),'Resultater - Vestdanmark'!$F$3:$F$482,$A61,'Resultater - Vestdanmark'!H$3:H$482,"&lt;0"),0),-IF(A61="Halm",SUMIFS(IF(D61=År1,'Resultater - Østdanmark'!H$3:H$482,IF(D61=År2,'Resultater - Østdanmark'!I$3:I$482,'Resultater - Østdanmark'!J$3:J$482)),'Resultater - Østdanmark'!$F$3:$F$482,$A61,'Resultater - Østdanmark'!H$3:H$482,"&lt;0"),0))</f>
        <v>0</v>
      </c>
      <c r="I61" s="196">
        <f>SUMIFS('Forbrug af biomasse'!$E$2:$E$425,'Forbrug af biomasse'!$C$2:$C$425,'Resultat-Produktion &amp; forbrug'!$A61,'Forbrug af biomasse'!$D$2:$D$425,'Resultat-Produktion &amp; forbrug'!$D61,'Forbrug af biomasse'!$A$2:$A$425,'Resultat-Produktion &amp; forbrug'!I$2,'Forbrug af biomasse'!$B$2:$B$425,$E61)</f>
        <v>0</v>
      </c>
      <c r="J61" s="196">
        <f>SUMIFS('Forbrug af biomasse'!$E$2:$E$425,'Forbrug af biomasse'!$C$2:$C$425,'Resultat-Produktion &amp; forbrug'!$A61,'Forbrug af biomasse'!$D$2:$D$425,'Resultat-Produktion &amp; forbrug'!$D61,'Forbrug af biomasse'!$A$2:$A$425,'Resultat-Produktion &amp; forbrug'!J$2,'Forbrug af biomasse'!$B$2:$B$425,$E61)</f>
        <v>0</v>
      </c>
      <c r="K61" s="196">
        <f>SUMIFS('Forbrug af biomasse'!$E$2:$E$425,'Forbrug af biomasse'!$C$2:$C$425,'Resultat-Produktion &amp; forbrug'!$A61,'Forbrug af biomasse'!$D$2:$D$425,'Resultat-Produktion &amp; forbrug'!$D61,'Forbrug af biomasse'!$A$2:$A$425,'Resultat-Produktion &amp; forbrug'!K$2,'Forbrug af biomasse'!$B$2:$B$425,$E61)</f>
        <v>0</v>
      </c>
      <c r="L61" s="196">
        <f>IF(A61&lt;&gt;"Biogas",SUMIFS('Forbrug af biomasse'!$E$2:$E$425,'Forbrug af biomasse'!$C$2:$C$425,'Resultat-Produktion &amp; forbrug'!$A61,'Forbrug af biomasse'!$D$2:$D$425,'Resultat-Produktion &amp; forbrug'!$D61,'Forbrug af biomasse'!$A$2:$A$425,'Resultat-Produktion &amp; forbrug'!L$2,'Forbrug af biomasse'!$B$2:$B$425,$E61),F61)</f>
        <v>0</v>
      </c>
      <c r="M61" s="158">
        <f>SUMIFS('Forbrug af biomasse'!E:E,'Forbrug af biomasse'!C:C,'Resultat-Produktion &amp; forbrug'!$A61,'Forbrug af biomasse'!D:D,'Resultat-Produktion &amp; forbrug'!$D61,'Forbrug af biomasse'!G:G,1,'Forbrug af biomasse'!B:B,$E61)</f>
        <v>0</v>
      </c>
      <c r="N61" s="205">
        <f t="shared" si="9"/>
        <v>925155.87360935542</v>
      </c>
      <c r="O61" s="196">
        <f t="shared" si="1"/>
        <v>0</v>
      </c>
      <c r="P61" s="206">
        <f t="shared" si="10"/>
        <v>0</v>
      </c>
      <c r="Q61" s="193">
        <f>IFERROR(VLOOKUP(A61,[1]Energiindhold!$A$2:$C$11,3,FALSE),IFERROR(VLOOKUP(A61,[1]Biogasudbytte!$A$2:$B$18,2,FALSE)*[1]Energiindhold!$C$10,0))*O61</f>
        <v>0</v>
      </c>
      <c r="R61" s="193">
        <f>IF(A61&lt;&gt;"Biogas",IFERROR(VLOOKUP(A61,[1]Biogasudbytte!$A$2:$B$18,2,FALSE)*[1]Energiindhold!$C$10,0)*J61*IFERROR(VLOOKUP(A61,Biogasanlæg!$F$3:$G$8,2,FALSE),1)+IFERROR(VLOOKUP(A61,[1]Energiindhold!$A$2:$C$11,3,FALSE),0)*L61+IF(D61&lt;&gt;År1,Q61,0),0)</f>
        <v>0</v>
      </c>
      <c r="S61" s="193">
        <f>IFERROR(VLOOKUP(A61,[1]Biogasudbytte!$A$2:$B$18,2,FALSE)*[1]Energiindhold!$C$10,0)*J61*IFERROR(VLOOKUP(A61,Biogasanlæg!$F$3:$G$8,2,FALSE),1)</f>
        <v>0</v>
      </c>
      <c r="T61" s="194">
        <f t="shared" si="11"/>
        <v>0</v>
      </c>
      <c r="U61" s="192">
        <f>O61*IFERROR(VLOOKUP(A61,[1]Tørstofindhold!A$2:B$25,2,FALSE),0)</f>
        <v>0</v>
      </c>
      <c r="V61" s="193">
        <f>IF(D61=År1,P61,SUM(O61,P61))*IFERROR(VLOOKUP(A61,[1]Tørstofindhold!A$2:B$25,2,FALSE),0)</f>
        <v>0</v>
      </c>
      <c r="W61" s="193">
        <f>J61*IFERROR(VLOOKUP(A61,[1]Tørstofindhold!A$2:B$25,2,FALSE),0)</f>
        <v>0</v>
      </c>
      <c r="X61" s="194">
        <f t="shared" si="12"/>
        <v>0</v>
      </c>
      <c r="Y61" s="172">
        <f t="shared" si="2"/>
        <v>0</v>
      </c>
      <c r="Z61" s="104">
        <f t="shared" si="3"/>
        <v>1</v>
      </c>
    </row>
    <row r="62" spans="1:26" hidden="1" x14ac:dyDescent="0.55000000000000004">
      <c r="A62" s="195" t="str">
        <f t="shared" si="17"/>
        <v>Frugt</v>
      </c>
      <c r="B62" s="195" t="str">
        <f t="shared" si="18"/>
        <v/>
      </c>
      <c r="C62" s="195">
        <f>IF(COUNTIFS('Resultater - Danmark'!$D$3:$D$482,'Resultat-Produktion &amp; forbrug'!A62,'Resultater - Danmark'!$A$3:$A$482,"Til energi")+COUNTIFS('Resultater - Danmark'!$D$3:$D$482,'Resultat-Produktion &amp; forbrug'!A62,'Resultater - Danmark'!$A$3:$A$482,"Biogasanlæg")&gt;0,1,0)</f>
        <v>0</v>
      </c>
      <c r="D62" s="195">
        <f t="shared" si="19"/>
        <v>2030</v>
      </c>
      <c r="E62" s="193" t="s">
        <v>23</v>
      </c>
      <c r="F62" s="196">
        <f>IF(E62="Vestdanmark",SUMIFS(IF(D62=År1,'Resultater - Vestdanmark'!H$3:H$482,IF(D62=År2,'Resultater - Vestdanmark'!I$3:I$482,'Resultater - Vestdanmark'!J$3:J$482)),'Resultater - Vestdanmark'!$F$3:$F$482,$A62,IF(D62=År1,'Resultater - Vestdanmark'!H$3:H$482,IF(D62=År2,'Resultater - Vestdanmark'!I$3:I$482,'Resultater - Vestdanmark'!J$3:J$482)),"&gt;0"),SUMIFS(IF(D62=År1,'Resultater - Østdanmark'!H$3:H$482,IF(D62=År2,'Resultater - Østdanmark'!I$3:I$482,'Resultater - Østdanmark'!J$3:J$482)),'Resultater - Østdanmark'!$F$3:$F$482,$A62,IF(D62=År1,'Resultater - Østdanmark'!H$3:H$482,IF(D62=År2,'Resultater - Østdanmark'!I$3:I$482,'Resultater - Østdanmark'!J$3:J$482)),"&gt;0"))</f>
        <v>27117.337735936886</v>
      </c>
      <c r="G62" s="196">
        <f>SUMIFS('Forbrug af biomasse'!$E$2:$E$425,'Forbrug af biomasse'!$C$2:$C$425,'Resultat-Produktion &amp; forbrug'!$A62,'Forbrug af biomasse'!$D$2:$D$425,'Resultat-Produktion &amp; forbrug'!$D62,'Forbrug af biomasse'!$A$2:$A$425,'Resultat-Produktion &amp; forbrug'!G$2,'Forbrug af biomasse'!$B$2:$B$425,$E62)</f>
        <v>0</v>
      </c>
      <c r="H62" s="193">
        <f>IF(E62="Vestdanmark",-IF(A62="Halm",SUMIFS(IF(D62=År1,'Resultater - Vestdanmark'!H$3:H$482,IF(D62=År2,'Resultater - Vestdanmark'!I$3:I$482,'Resultater - Vestdanmark'!J$3:J$482)),'Resultater - Vestdanmark'!$F$3:$F$482,$A62,'Resultater - Vestdanmark'!H$3:H$482,"&lt;0"),0),-IF(A62="Halm",SUMIFS(IF(D62=År1,'Resultater - Østdanmark'!H$3:H$482,IF(D62=År2,'Resultater - Østdanmark'!I$3:I$482,'Resultater - Østdanmark'!J$3:J$482)),'Resultater - Østdanmark'!$F$3:$F$482,$A62,'Resultater - Østdanmark'!H$3:H$482,"&lt;0"),0))</f>
        <v>0</v>
      </c>
      <c r="I62" s="196">
        <f>SUMIFS('Forbrug af biomasse'!$E$2:$E$425,'Forbrug af biomasse'!$C$2:$C$425,'Resultat-Produktion &amp; forbrug'!$A62,'Forbrug af biomasse'!$D$2:$D$425,'Resultat-Produktion &amp; forbrug'!$D62,'Forbrug af biomasse'!$A$2:$A$425,'Resultat-Produktion &amp; forbrug'!I$2,'Forbrug af biomasse'!$B$2:$B$425,$E62)</f>
        <v>257923.29437791562</v>
      </c>
      <c r="J62" s="196">
        <f>SUMIFS('Forbrug af biomasse'!$E$2:$E$425,'Forbrug af biomasse'!$C$2:$C$425,'Resultat-Produktion &amp; forbrug'!$A62,'Forbrug af biomasse'!$D$2:$D$425,'Resultat-Produktion &amp; forbrug'!$D62,'Forbrug af biomasse'!$A$2:$A$425,'Resultat-Produktion &amp; forbrug'!J$2,'Forbrug af biomasse'!$B$2:$B$425,$E62)</f>
        <v>0</v>
      </c>
      <c r="K62" s="196">
        <f>SUMIFS('Forbrug af biomasse'!$E$2:$E$425,'Forbrug af biomasse'!$C$2:$C$425,'Resultat-Produktion &amp; forbrug'!$A62,'Forbrug af biomasse'!$D$2:$D$425,'Resultat-Produktion &amp; forbrug'!$D62,'Forbrug af biomasse'!$A$2:$A$425,'Resultat-Produktion &amp; forbrug'!K$2,'Forbrug af biomasse'!$B$2:$B$425,$E62)</f>
        <v>0</v>
      </c>
      <c r="L62" s="196">
        <f>IF(A62&lt;&gt;"Biogas",SUMIFS('Forbrug af biomasse'!$E$2:$E$425,'Forbrug af biomasse'!$C$2:$C$425,'Resultat-Produktion &amp; forbrug'!$A62,'Forbrug af biomasse'!$D$2:$D$425,'Resultat-Produktion &amp; forbrug'!$D62,'Forbrug af biomasse'!$A$2:$A$425,'Resultat-Produktion &amp; forbrug'!L$2,'Forbrug af biomasse'!$B$2:$B$425,$E62),F62)</f>
        <v>0</v>
      </c>
      <c r="M62" s="158">
        <f>SUMIFS('Forbrug af biomasse'!E:E,'Forbrug af biomasse'!C:C,'Resultat-Produktion &amp; forbrug'!$A62,'Forbrug af biomasse'!D:D,'Resultat-Produktion &amp; forbrug'!$D62,'Forbrug af biomasse'!G:G,1,'Forbrug af biomasse'!B:B,$E62)</f>
        <v>0</v>
      </c>
      <c r="N62" s="205">
        <f t="shared" si="9"/>
        <v>-230805.95664197873</v>
      </c>
      <c r="O62" s="196">
        <f t="shared" si="1"/>
        <v>0</v>
      </c>
      <c r="P62" s="206">
        <f t="shared" si="10"/>
        <v>0</v>
      </c>
      <c r="Q62" s="193">
        <f>IFERROR(VLOOKUP(A62,[1]Energiindhold!$A$2:$C$11,3,FALSE),IFERROR(VLOOKUP(A62,[1]Biogasudbytte!$A$2:$B$18,2,FALSE)*[1]Energiindhold!$C$10,0))*O62</f>
        <v>0</v>
      </c>
      <c r="R62" s="193">
        <f>IF(A62&lt;&gt;"Biogas",IFERROR(VLOOKUP(A62,[1]Biogasudbytte!$A$2:$B$18,2,FALSE)*[1]Energiindhold!$C$10,0)*J62*IFERROR(VLOOKUP(A62,Biogasanlæg!$F$3:$G$8,2,FALSE),1)+IFERROR(VLOOKUP(A62,[1]Energiindhold!$A$2:$C$11,3,FALSE),0)*L62+IF(D62&lt;&gt;År1,Q62,0),0)</f>
        <v>0</v>
      </c>
      <c r="S62" s="193">
        <f>IFERROR(VLOOKUP(A62,[1]Biogasudbytte!$A$2:$B$18,2,FALSE)*[1]Energiindhold!$C$10,0)*J62*IFERROR(VLOOKUP(A62,Biogasanlæg!$F$3:$G$8,2,FALSE),1)</f>
        <v>0</v>
      </c>
      <c r="T62" s="194">
        <f t="shared" si="11"/>
        <v>0</v>
      </c>
      <c r="U62" s="192">
        <f>O62*IFERROR(VLOOKUP(A62,[1]Tørstofindhold!A$2:B$25,2,FALSE),0)</f>
        <v>0</v>
      </c>
      <c r="V62" s="193">
        <f>IF(D62=År1,P62,SUM(O62,P62))*IFERROR(VLOOKUP(A62,[1]Tørstofindhold!A$2:B$25,2,FALSE),0)</f>
        <v>0</v>
      </c>
      <c r="W62" s="193">
        <f>J62*IFERROR(VLOOKUP(A62,[1]Tørstofindhold!A$2:B$25,2,FALSE),0)</f>
        <v>0</v>
      </c>
      <c r="X62" s="194">
        <f t="shared" si="12"/>
        <v>0</v>
      </c>
      <c r="Y62" s="172">
        <f t="shared" si="2"/>
        <v>1</v>
      </c>
      <c r="Z62" s="104">
        <f t="shared" si="3"/>
        <v>0</v>
      </c>
    </row>
    <row r="63" spans="1:26" hidden="1" x14ac:dyDescent="0.55000000000000004">
      <c r="A63" s="195" t="str">
        <f t="shared" si="17"/>
        <v>Glycerin</v>
      </c>
      <c r="B63" s="195" t="str">
        <f t="shared" si="18"/>
        <v>Glycerin</v>
      </c>
      <c r="C63" s="195">
        <f>IF(COUNTIFS('Resultater - Danmark'!$D$3:$D$482,'Resultat-Produktion &amp; forbrug'!A63,'Resultater - Danmark'!$A$3:$A$482,"Til energi")+COUNTIFS('Resultater - Danmark'!$D$3:$D$482,'Resultat-Produktion &amp; forbrug'!A63,'Resultater - Danmark'!$A$3:$A$482,"Biogasanlæg")&gt;0,1,0)</f>
        <v>1</v>
      </c>
      <c r="D63" s="195">
        <f t="shared" si="19"/>
        <v>2030</v>
      </c>
      <c r="E63" s="193" t="s">
        <v>23</v>
      </c>
      <c r="F63" s="196">
        <f>IF(E63="Vestdanmark",SUMIFS(IF(D63=År1,'Resultater - Vestdanmark'!H$3:H$482,IF(D63=År2,'Resultater - Vestdanmark'!I$3:I$482,'Resultater - Vestdanmark'!J$3:J$482)),'Resultater - Vestdanmark'!$F$3:$F$482,$A63,IF(D63=År1,'Resultater - Vestdanmark'!H$3:H$482,IF(D63=År2,'Resultater - Vestdanmark'!I$3:I$482,'Resultater - Vestdanmark'!J$3:J$482)),"&gt;0"),SUMIFS(IF(D63=År1,'Resultater - Østdanmark'!H$3:H$482,IF(D63=År2,'Resultater - Østdanmark'!I$3:I$482,'Resultater - Østdanmark'!J$3:J$482)),'Resultater - Østdanmark'!$F$3:$F$482,$A63,IF(D63=År1,'Resultater - Østdanmark'!H$3:H$482,IF(D63=År2,'Resultater - Østdanmark'!I$3:I$482,'Resultater - Østdanmark'!J$3:J$482)),"&gt;0"))</f>
        <v>0</v>
      </c>
      <c r="G63" s="196">
        <f>SUMIFS('Forbrug af biomasse'!$E$2:$E$425,'Forbrug af biomasse'!$C$2:$C$425,'Resultat-Produktion &amp; forbrug'!$A63,'Forbrug af biomasse'!$D$2:$D$425,'Resultat-Produktion &amp; forbrug'!$D63,'Forbrug af biomasse'!$A$2:$A$425,'Resultat-Produktion &amp; forbrug'!G$2,'Forbrug af biomasse'!$B$2:$B$425,$E63)</f>
        <v>0</v>
      </c>
      <c r="H63" s="193">
        <f>IF(E63="Vestdanmark",-IF(A63="Halm",SUMIFS(IF(D63=År1,'Resultater - Vestdanmark'!H$3:H$482,IF(D63=År2,'Resultater - Vestdanmark'!I$3:I$482,'Resultater - Vestdanmark'!J$3:J$482)),'Resultater - Vestdanmark'!$F$3:$F$482,$A63,'Resultater - Vestdanmark'!H$3:H$482,"&lt;0"),0),-IF(A63="Halm",SUMIFS(IF(D63=År1,'Resultater - Østdanmark'!H$3:H$482,IF(D63=År2,'Resultater - Østdanmark'!I$3:I$482,'Resultater - Østdanmark'!J$3:J$482)),'Resultater - Østdanmark'!$F$3:$F$482,$A63,'Resultater - Østdanmark'!H$3:H$482,"&lt;0"),0))</f>
        <v>0</v>
      </c>
      <c r="I63" s="196">
        <f>SUMIFS('Forbrug af biomasse'!$E$2:$E$425,'Forbrug af biomasse'!$C$2:$C$425,'Resultat-Produktion &amp; forbrug'!$A63,'Forbrug af biomasse'!$D$2:$D$425,'Resultat-Produktion &amp; forbrug'!$D63,'Forbrug af biomasse'!$A$2:$A$425,'Resultat-Produktion &amp; forbrug'!I$2,'Forbrug af biomasse'!$B$2:$B$425,$E63)</f>
        <v>0</v>
      </c>
      <c r="J63" s="196">
        <f>SUMIFS('Forbrug af biomasse'!$E$2:$E$425,'Forbrug af biomasse'!$C$2:$C$425,'Resultat-Produktion &amp; forbrug'!$A63,'Forbrug af biomasse'!$D$2:$D$425,'Resultat-Produktion &amp; forbrug'!$D63,'Forbrug af biomasse'!$A$2:$A$425,'Resultat-Produktion &amp; forbrug'!J$2,'Forbrug af biomasse'!$B$2:$B$425,$E63)</f>
        <v>114193.60000000001</v>
      </c>
      <c r="K63" s="196">
        <f>SUMIFS('Forbrug af biomasse'!$E$2:$E$425,'Forbrug af biomasse'!$C$2:$C$425,'Resultat-Produktion &amp; forbrug'!$A63,'Forbrug af biomasse'!$D$2:$D$425,'Resultat-Produktion &amp; forbrug'!$D63,'Forbrug af biomasse'!$A$2:$A$425,'Resultat-Produktion &amp; forbrug'!K$2,'Forbrug af biomasse'!$B$2:$B$425,$E63)</f>
        <v>0</v>
      </c>
      <c r="L63" s="196">
        <f>IF(A63&lt;&gt;"Biogas",SUMIFS('Forbrug af biomasse'!$E$2:$E$425,'Forbrug af biomasse'!$C$2:$C$425,'Resultat-Produktion &amp; forbrug'!$A63,'Forbrug af biomasse'!$D$2:$D$425,'Resultat-Produktion &amp; forbrug'!$D63,'Forbrug af biomasse'!$A$2:$A$425,'Resultat-Produktion &amp; forbrug'!L$2,'Forbrug af biomasse'!$B$2:$B$425,$E63),F63)</f>
        <v>0</v>
      </c>
      <c r="M63" s="158">
        <f>SUMIFS('Forbrug af biomasse'!E:E,'Forbrug af biomasse'!C:C,'Resultat-Produktion &amp; forbrug'!$A63,'Forbrug af biomasse'!D:D,'Resultat-Produktion &amp; forbrug'!$D63,'Forbrug af biomasse'!G:G,1,'Forbrug af biomasse'!B:B,$E63)</f>
        <v>0</v>
      </c>
      <c r="N63" s="205">
        <f t="shared" si="9"/>
        <v>-114193.60000000001</v>
      </c>
      <c r="O63" s="196">
        <f t="shared" si="1"/>
        <v>0</v>
      </c>
      <c r="P63" s="206">
        <f t="shared" si="10"/>
        <v>114193.60000000001</v>
      </c>
      <c r="Q63" s="193">
        <f>IFERROR(VLOOKUP(A63,[1]Energiindhold!$A$2:$C$11,3,FALSE),IFERROR(VLOOKUP(A63,[1]Biogasudbytte!$A$2:$B$18,2,FALSE)*[1]Energiindhold!$C$10,0))*O63</f>
        <v>0</v>
      </c>
      <c r="R63" s="193">
        <f>IF(A63&lt;&gt;"Biogas",IFERROR(VLOOKUP(A63,[1]Biogasudbytte!$A$2:$B$18,2,FALSE)*[1]Energiindhold!$C$10,0)*J63*IFERROR(VLOOKUP(A63,Biogasanlæg!$F$3:$G$8,2,FALSE),1)+IFERROR(VLOOKUP(A63,[1]Energiindhold!$A$2:$C$11,3,FALSE),0)*L63+IF(D63&lt;&gt;År1,Q63,0),0)</f>
        <v>1.7355855896064003</v>
      </c>
      <c r="S63" s="193">
        <f>IFERROR(VLOOKUP(A63,[1]Biogasudbytte!$A$2:$B$18,2,FALSE)*[1]Energiindhold!$C$10,0)*J63*IFERROR(VLOOKUP(A63,Biogasanlæg!$F$3:$G$8,2,FALSE),1)</f>
        <v>1.7355855896064003</v>
      </c>
      <c r="T63" s="194">
        <f t="shared" si="11"/>
        <v>0</v>
      </c>
      <c r="U63" s="192">
        <f>O63*IFERROR(VLOOKUP(A63,[1]Tørstofindhold!A$2:B$25,2,FALSE),0)</f>
        <v>0</v>
      </c>
      <c r="V63" s="193">
        <f>IF(D63=År1,P63,SUM(O63,P63))*IFERROR(VLOOKUP(A63,[1]Tørstofindhold!A$2:B$25,2,FALSE),0)</f>
        <v>102774.24</v>
      </c>
      <c r="W63" s="193">
        <f>J63*IFERROR(VLOOKUP(A63,[1]Tørstofindhold!A$2:B$25,2,FALSE),0)</f>
        <v>102774.24</v>
      </c>
      <c r="X63" s="194">
        <f t="shared" si="12"/>
        <v>0</v>
      </c>
      <c r="Y63" s="172">
        <f t="shared" si="2"/>
        <v>1</v>
      </c>
      <c r="Z63" s="104">
        <f t="shared" si="3"/>
        <v>0</v>
      </c>
    </row>
    <row r="64" spans="1:26" hidden="1" x14ac:dyDescent="0.55000000000000004">
      <c r="A64" s="195" t="str">
        <f t="shared" si="17"/>
        <v>Græs</v>
      </c>
      <c r="B64" s="195" t="str">
        <f t="shared" si="18"/>
        <v>Græs og urter</v>
      </c>
      <c r="C64" s="195">
        <f>IF(COUNTIFS('Resultater - Danmark'!$D$3:$D$482,'Resultat-Produktion &amp; forbrug'!A64,'Resultater - Danmark'!$A$3:$A$482,"Til energi")+COUNTIFS('Resultater - Danmark'!$D$3:$D$482,'Resultat-Produktion &amp; forbrug'!A64,'Resultater - Danmark'!$A$3:$A$482,"Biogasanlæg")&gt;0,1,0)</f>
        <v>1</v>
      </c>
      <c r="D64" s="195">
        <f t="shared" si="19"/>
        <v>2030</v>
      </c>
      <c r="E64" s="193" t="s">
        <v>23</v>
      </c>
      <c r="F64" s="196">
        <f>IF(E64="Vestdanmark",SUMIFS(IF(D64=År1,'Resultater - Vestdanmark'!H$3:H$482,IF(D64=År2,'Resultater - Vestdanmark'!I$3:I$482,'Resultater - Vestdanmark'!J$3:J$482)),'Resultater - Vestdanmark'!$F$3:$F$482,$A64,IF(D64=År1,'Resultater - Vestdanmark'!H$3:H$482,IF(D64=År2,'Resultater - Vestdanmark'!I$3:I$482,'Resultater - Vestdanmark'!J$3:J$482)),"&gt;0"),SUMIFS(IF(D64=År1,'Resultater - Østdanmark'!H$3:H$482,IF(D64=År2,'Resultater - Østdanmark'!I$3:I$482,'Resultater - Østdanmark'!J$3:J$482)),'Resultater - Østdanmark'!$F$3:$F$482,$A64,IF(D64=År1,'Resultater - Østdanmark'!H$3:H$482,IF(D64=År2,'Resultater - Østdanmark'!I$3:I$482,'Resultater - Østdanmark'!J$3:J$482)),"&gt;0"))</f>
        <v>16463363.602305863</v>
      </c>
      <c r="G64" s="196">
        <f>SUMIFS('Forbrug af biomasse'!$E$2:$E$425,'Forbrug af biomasse'!$C$2:$C$425,'Resultat-Produktion &amp; forbrug'!$A64,'Forbrug af biomasse'!$D$2:$D$425,'Resultat-Produktion &amp; forbrug'!$D64,'Forbrug af biomasse'!$A$2:$A$425,'Resultat-Produktion &amp; forbrug'!G$2,'Forbrug af biomasse'!$B$2:$B$425,$E64)</f>
        <v>12237689.909258299</v>
      </c>
      <c r="H64" s="193">
        <f>IF(E64="Vestdanmark",-IF(A64="Halm",SUMIFS(IF(D64=År1,'Resultater - Vestdanmark'!H$3:H$482,IF(D64=År2,'Resultater - Vestdanmark'!I$3:I$482,'Resultater - Vestdanmark'!J$3:J$482)),'Resultater - Vestdanmark'!$F$3:$F$482,$A64,'Resultater - Vestdanmark'!H$3:H$482,"&lt;0"),0),-IF(A64="Halm",SUMIFS(IF(D64=År1,'Resultater - Østdanmark'!H$3:H$482,IF(D64=År2,'Resultater - Østdanmark'!I$3:I$482,'Resultater - Østdanmark'!J$3:J$482)),'Resultater - Østdanmark'!$F$3:$F$482,$A64,'Resultater - Østdanmark'!H$3:H$482,"&lt;0"),0))</f>
        <v>0</v>
      </c>
      <c r="I64" s="196">
        <f>SUMIFS('Forbrug af biomasse'!$E$2:$E$425,'Forbrug af biomasse'!$C$2:$C$425,'Resultat-Produktion &amp; forbrug'!$A64,'Forbrug af biomasse'!$D$2:$D$425,'Resultat-Produktion &amp; forbrug'!$D64,'Forbrug af biomasse'!$A$2:$A$425,'Resultat-Produktion &amp; forbrug'!I$2,'Forbrug af biomasse'!$B$2:$B$425,$E64)</f>
        <v>0</v>
      </c>
      <c r="J64" s="196">
        <f>SUMIFS('Forbrug af biomasse'!$E$2:$E$425,'Forbrug af biomasse'!$C$2:$C$425,'Resultat-Produktion &amp; forbrug'!$A64,'Forbrug af biomasse'!$D$2:$D$425,'Resultat-Produktion &amp; forbrug'!$D64,'Forbrug af biomasse'!$A$2:$A$425,'Resultat-Produktion &amp; forbrug'!J$2,'Forbrug af biomasse'!$B$2:$B$425,$E64)</f>
        <v>75614.059561949907</v>
      </c>
      <c r="K64" s="196">
        <f>SUMIFS('Forbrug af biomasse'!$E$2:$E$425,'Forbrug af biomasse'!$C$2:$C$425,'Resultat-Produktion &amp; forbrug'!$A64,'Forbrug af biomasse'!$D$2:$D$425,'Resultat-Produktion &amp; forbrug'!$D64,'Forbrug af biomasse'!$A$2:$A$425,'Resultat-Produktion &amp; forbrug'!K$2,'Forbrug af biomasse'!$B$2:$B$425,$E64)</f>
        <v>0</v>
      </c>
      <c r="L64" s="196">
        <f>IF(A64&lt;&gt;"Biogas",SUMIFS('Forbrug af biomasse'!$E$2:$E$425,'Forbrug af biomasse'!$C$2:$C$425,'Resultat-Produktion &amp; forbrug'!$A64,'Forbrug af biomasse'!$D$2:$D$425,'Resultat-Produktion &amp; forbrug'!$D64,'Forbrug af biomasse'!$A$2:$A$425,'Resultat-Produktion &amp; forbrug'!L$2,'Forbrug af biomasse'!$B$2:$B$425,$E64),F64)</f>
        <v>0</v>
      </c>
      <c r="M64" s="158">
        <f>SUMIFS('Forbrug af biomasse'!E:E,'Forbrug af biomasse'!C:C,'Resultat-Produktion &amp; forbrug'!$A64,'Forbrug af biomasse'!D:D,'Resultat-Produktion &amp; forbrug'!$D64,'Forbrug af biomasse'!G:G,1,'Forbrug af biomasse'!B:B,$E64)</f>
        <v>0</v>
      </c>
      <c r="N64" s="205">
        <f t="shared" si="9"/>
        <v>4150059.6334856153</v>
      </c>
      <c r="O64" s="196">
        <f t="shared" si="1"/>
        <v>4150059.6334856153</v>
      </c>
      <c r="P64" s="206">
        <f t="shared" si="10"/>
        <v>75614.059561949907</v>
      </c>
      <c r="Q64" s="193">
        <f>IFERROR(VLOOKUP(A64,[1]Energiindhold!$A$2:$C$11,3,FALSE),IFERROR(VLOOKUP(A64,[1]Biogasudbytte!$A$2:$B$18,2,FALSE)*[1]Energiindhold!$C$10,0))*O64</f>
        <v>7.635590968159347</v>
      </c>
      <c r="R64" s="193">
        <f>IF(A64&lt;&gt;"Biogas",IFERROR(VLOOKUP(A64,[1]Biogasudbytte!$A$2:$B$18,2,FALSE)*[1]Energiindhold!$C$10,0)*J64*IFERROR(VLOOKUP(A64,Biogasanlæg!$F$3:$G$8,2,FALSE),1)+IFERROR(VLOOKUP(A64,[1]Energiindhold!$A$2:$C$11,3,FALSE),0)*L64+IF(D64&lt;&gt;År1,Q64,0),0)</f>
        <v>7.7747113859958894</v>
      </c>
      <c r="S64" s="193">
        <f>IFERROR(VLOOKUP(A64,[1]Biogasudbytte!$A$2:$B$18,2,FALSE)*[1]Energiindhold!$C$10,0)*J64*IFERROR(VLOOKUP(A64,Biogasanlæg!$F$3:$G$8,2,FALSE),1)</f>
        <v>0.13912041783654258</v>
      </c>
      <c r="T64" s="194">
        <f t="shared" si="11"/>
        <v>7.635590968159347</v>
      </c>
      <c r="U64" s="192">
        <f>O64*IFERROR(VLOOKUP(A64,[1]Tørstofindhold!A$2:B$25,2,FALSE),0)</f>
        <v>1162016.6973759723</v>
      </c>
      <c r="V64" s="193">
        <f>IF(D64=År1,P64,SUM(O64,P64))*IFERROR(VLOOKUP(A64,[1]Tørstofindhold!A$2:B$25,2,FALSE),0)</f>
        <v>1183188.6340533185</v>
      </c>
      <c r="W64" s="193">
        <f>J64*IFERROR(VLOOKUP(A64,[1]Tørstofindhold!A$2:B$25,2,FALSE),0)</f>
        <v>21171.936677345977</v>
      </c>
      <c r="X64" s="194">
        <f t="shared" si="12"/>
        <v>1162016.6973759725</v>
      </c>
      <c r="Y64" s="172">
        <f t="shared" si="2"/>
        <v>0</v>
      </c>
      <c r="Z64" s="104">
        <f t="shared" si="3"/>
        <v>1</v>
      </c>
    </row>
    <row r="65" spans="1:26" hidden="1" x14ac:dyDescent="0.55000000000000004">
      <c r="A65" s="195" t="str">
        <f t="shared" si="17"/>
        <v>Græsprotein</v>
      </c>
      <c r="B65" s="195" t="str">
        <f t="shared" si="18"/>
        <v/>
      </c>
      <c r="C65" s="195">
        <f>IF(COUNTIFS('Resultater - Danmark'!$D$3:$D$482,'Resultat-Produktion &amp; forbrug'!A65,'Resultater - Danmark'!$A$3:$A$482,"Til energi")+COUNTIFS('Resultater - Danmark'!$D$3:$D$482,'Resultat-Produktion &amp; forbrug'!A65,'Resultater - Danmark'!$A$3:$A$482,"Biogasanlæg")&gt;0,1,0)</f>
        <v>0</v>
      </c>
      <c r="D65" s="195">
        <f t="shared" si="19"/>
        <v>2030</v>
      </c>
      <c r="E65" s="193" t="s">
        <v>23</v>
      </c>
      <c r="F65" s="196">
        <f>IF(E65="Vestdanmark",SUMIFS(IF(D65=År1,'Resultater - Vestdanmark'!H$3:H$482,IF(D65=År2,'Resultater - Vestdanmark'!I$3:I$482,'Resultater - Vestdanmark'!J$3:J$482)),'Resultater - Vestdanmark'!$F$3:$F$482,$A65,IF(D65=År1,'Resultater - Vestdanmark'!H$3:H$482,IF(D65=År2,'Resultater - Vestdanmark'!I$3:I$482,'Resultater - Vestdanmark'!J$3:J$482)),"&gt;0"),SUMIFS(IF(D65=År1,'Resultater - Østdanmark'!H$3:H$482,IF(D65=År2,'Resultater - Østdanmark'!I$3:I$482,'Resultater - Østdanmark'!J$3:J$482)),'Resultater - Østdanmark'!$F$3:$F$482,$A65,IF(D65=År1,'Resultater - Østdanmark'!H$3:H$482,IF(D65=År2,'Resultater - Østdanmark'!I$3:I$482,'Resultater - Østdanmark'!J$3:J$482)),"&gt;0"))</f>
        <v>0</v>
      </c>
      <c r="G65" s="196">
        <f>SUMIFS('Forbrug af biomasse'!$E$2:$E$425,'Forbrug af biomasse'!$C$2:$C$425,'Resultat-Produktion &amp; forbrug'!$A65,'Forbrug af biomasse'!$D$2:$D$425,'Resultat-Produktion &amp; forbrug'!$D65,'Forbrug af biomasse'!$A$2:$A$425,'Resultat-Produktion &amp; forbrug'!G$2,'Forbrug af biomasse'!$B$2:$B$425,$E65)</f>
        <v>0</v>
      </c>
      <c r="H65" s="193">
        <f>IF(E65="Vestdanmark",-IF(A65="Halm",SUMIFS(IF(D65=År1,'Resultater - Vestdanmark'!H$3:H$482,IF(D65=År2,'Resultater - Vestdanmark'!I$3:I$482,'Resultater - Vestdanmark'!J$3:J$482)),'Resultater - Vestdanmark'!$F$3:$F$482,$A65,'Resultater - Vestdanmark'!H$3:H$482,"&lt;0"),0),-IF(A65="Halm",SUMIFS(IF(D65=År1,'Resultater - Østdanmark'!H$3:H$482,IF(D65=År2,'Resultater - Østdanmark'!I$3:I$482,'Resultater - Østdanmark'!J$3:J$482)),'Resultater - Østdanmark'!$F$3:$F$482,$A65,'Resultater - Østdanmark'!H$3:H$482,"&lt;0"),0))</f>
        <v>0</v>
      </c>
      <c r="I65" s="196">
        <f>SUMIFS('Forbrug af biomasse'!$E$2:$E$425,'Forbrug af biomasse'!$C$2:$C$425,'Resultat-Produktion &amp; forbrug'!$A65,'Forbrug af biomasse'!$D$2:$D$425,'Resultat-Produktion &amp; forbrug'!$D65,'Forbrug af biomasse'!$A$2:$A$425,'Resultat-Produktion &amp; forbrug'!I$2,'Forbrug af biomasse'!$B$2:$B$425,$E65)</f>
        <v>0</v>
      </c>
      <c r="J65" s="196">
        <f>SUMIFS('Forbrug af biomasse'!$E$2:$E$425,'Forbrug af biomasse'!$C$2:$C$425,'Resultat-Produktion &amp; forbrug'!$A65,'Forbrug af biomasse'!$D$2:$D$425,'Resultat-Produktion &amp; forbrug'!$D65,'Forbrug af biomasse'!$A$2:$A$425,'Resultat-Produktion &amp; forbrug'!J$2,'Forbrug af biomasse'!$B$2:$B$425,$E65)</f>
        <v>0</v>
      </c>
      <c r="K65" s="196">
        <f>SUMIFS('Forbrug af biomasse'!$E$2:$E$425,'Forbrug af biomasse'!$C$2:$C$425,'Resultat-Produktion &amp; forbrug'!$A65,'Forbrug af biomasse'!$D$2:$D$425,'Resultat-Produktion &amp; forbrug'!$D65,'Forbrug af biomasse'!$A$2:$A$425,'Resultat-Produktion &amp; forbrug'!K$2,'Forbrug af biomasse'!$B$2:$B$425,$E65)</f>
        <v>0</v>
      </c>
      <c r="L65" s="196">
        <f>IF(A65&lt;&gt;"Biogas",SUMIFS('Forbrug af biomasse'!$E$2:$E$425,'Forbrug af biomasse'!$C$2:$C$425,'Resultat-Produktion &amp; forbrug'!$A65,'Forbrug af biomasse'!$D$2:$D$425,'Resultat-Produktion &amp; forbrug'!$D65,'Forbrug af biomasse'!$A$2:$A$425,'Resultat-Produktion &amp; forbrug'!L$2,'Forbrug af biomasse'!$B$2:$B$425,$E65),F65)</f>
        <v>0</v>
      </c>
      <c r="M65" s="158">
        <f>SUMIFS('Forbrug af biomasse'!E:E,'Forbrug af biomasse'!C:C,'Resultat-Produktion &amp; forbrug'!$A65,'Forbrug af biomasse'!D:D,'Resultat-Produktion &amp; forbrug'!$D65,'Forbrug af biomasse'!G:G,1,'Forbrug af biomasse'!B:B,$E65)</f>
        <v>0</v>
      </c>
      <c r="N65" s="205">
        <f t="shared" si="9"/>
        <v>0</v>
      </c>
      <c r="O65" s="196">
        <f t="shared" si="1"/>
        <v>0</v>
      </c>
      <c r="P65" s="206">
        <f t="shared" si="10"/>
        <v>0</v>
      </c>
      <c r="Q65" s="193">
        <f>IFERROR(VLOOKUP(A65,[1]Energiindhold!$A$2:$C$11,3,FALSE),IFERROR(VLOOKUP(A65,[1]Biogasudbytte!$A$2:$B$18,2,FALSE)*[1]Energiindhold!$C$10,0))*O65</f>
        <v>0</v>
      </c>
      <c r="R65" s="193">
        <f>IF(A65&lt;&gt;"Biogas",IFERROR(VLOOKUP(A65,[1]Biogasudbytte!$A$2:$B$18,2,FALSE)*[1]Energiindhold!$C$10,0)*J65*IFERROR(VLOOKUP(A65,Biogasanlæg!$F$3:$G$8,2,FALSE),1)+IFERROR(VLOOKUP(A65,[1]Energiindhold!$A$2:$C$11,3,FALSE),0)*L65+IF(D65&lt;&gt;År1,Q65,0),0)</f>
        <v>0</v>
      </c>
      <c r="S65" s="193">
        <f>IFERROR(VLOOKUP(A65,[1]Biogasudbytte!$A$2:$B$18,2,FALSE)*[1]Energiindhold!$C$10,0)*J65*IFERROR(VLOOKUP(A65,Biogasanlæg!$F$3:$G$8,2,FALSE),1)</f>
        <v>0</v>
      </c>
      <c r="T65" s="194">
        <f t="shared" si="11"/>
        <v>0</v>
      </c>
      <c r="U65" s="192">
        <f>O65*IFERROR(VLOOKUP(A65,[1]Tørstofindhold!A$2:B$25,2,FALSE),0)</f>
        <v>0</v>
      </c>
      <c r="V65" s="193">
        <f>IF(D65=År1,P65,SUM(O65,P65))*IFERROR(VLOOKUP(A65,[1]Tørstofindhold!A$2:B$25,2,FALSE),0)</f>
        <v>0</v>
      </c>
      <c r="W65" s="193">
        <f>J65*IFERROR(VLOOKUP(A65,[1]Tørstofindhold!A$2:B$25,2,FALSE),0)</f>
        <v>0</v>
      </c>
      <c r="X65" s="194">
        <f t="shared" si="12"/>
        <v>0</v>
      </c>
      <c r="Y65" s="172">
        <f t="shared" si="2"/>
        <v>0</v>
      </c>
      <c r="Z65" s="104">
        <f t="shared" si="3"/>
        <v>0</v>
      </c>
    </row>
    <row r="66" spans="1:26" hidden="1" x14ac:dyDescent="0.55000000000000004">
      <c r="A66" s="195" t="str">
        <f t="shared" si="17"/>
        <v>Grøntsager</v>
      </c>
      <c r="B66" s="195" t="str">
        <f t="shared" si="18"/>
        <v/>
      </c>
      <c r="C66" s="195">
        <f>IF(COUNTIFS('Resultater - Danmark'!$D$3:$D$482,'Resultat-Produktion &amp; forbrug'!A66,'Resultater - Danmark'!$A$3:$A$482,"Til energi")+COUNTIFS('Resultater - Danmark'!$D$3:$D$482,'Resultat-Produktion &amp; forbrug'!A66,'Resultater - Danmark'!$A$3:$A$482,"Biogasanlæg")&gt;0,1,0)</f>
        <v>0</v>
      </c>
      <c r="D66" s="195">
        <f t="shared" si="19"/>
        <v>2030</v>
      </c>
      <c r="E66" s="193" t="s">
        <v>23</v>
      </c>
      <c r="F66" s="196">
        <f>IF(E66="Vestdanmark",SUMIFS(IF(D66=År1,'Resultater - Vestdanmark'!H$3:H$482,IF(D66=År2,'Resultater - Vestdanmark'!I$3:I$482,'Resultater - Vestdanmark'!J$3:J$482)),'Resultater - Vestdanmark'!$F$3:$F$482,$A66,IF(D66=År1,'Resultater - Vestdanmark'!H$3:H$482,IF(D66=År2,'Resultater - Vestdanmark'!I$3:I$482,'Resultater - Vestdanmark'!J$3:J$482)),"&gt;0"),SUMIFS(IF(D66=År1,'Resultater - Østdanmark'!H$3:H$482,IF(D66=År2,'Resultater - Østdanmark'!I$3:I$482,'Resultater - Østdanmark'!J$3:J$482)),'Resultater - Østdanmark'!$F$3:$F$482,$A66,IF(D66=År1,'Resultater - Østdanmark'!H$3:H$482,IF(D66=År2,'Resultater - Østdanmark'!I$3:I$482,'Resultater - Østdanmark'!J$3:J$482)),"&gt;0"))</f>
        <v>192243.07548074043</v>
      </c>
      <c r="G66" s="196">
        <f>SUMIFS('Forbrug af biomasse'!$E$2:$E$425,'Forbrug af biomasse'!$C$2:$C$425,'Resultat-Produktion &amp; forbrug'!$A66,'Forbrug af biomasse'!$D$2:$D$425,'Resultat-Produktion &amp; forbrug'!$D66,'Forbrug af biomasse'!$A$2:$A$425,'Resultat-Produktion &amp; forbrug'!G$2,'Forbrug af biomasse'!$B$2:$B$425,$E66)</f>
        <v>0</v>
      </c>
      <c r="H66" s="193">
        <f>IF(E66="Vestdanmark",-IF(A66="Halm",SUMIFS(IF(D66=År1,'Resultater - Vestdanmark'!H$3:H$482,IF(D66=År2,'Resultater - Vestdanmark'!I$3:I$482,'Resultater - Vestdanmark'!J$3:J$482)),'Resultater - Vestdanmark'!$F$3:$F$482,$A66,'Resultater - Vestdanmark'!H$3:H$482,"&lt;0"),0),-IF(A66="Halm",SUMIFS(IF(D66=År1,'Resultater - Østdanmark'!H$3:H$482,IF(D66=År2,'Resultater - Østdanmark'!I$3:I$482,'Resultater - Østdanmark'!J$3:J$482)),'Resultater - Østdanmark'!$F$3:$F$482,$A66,'Resultater - Østdanmark'!H$3:H$482,"&lt;0"),0))</f>
        <v>0</v>
      </c>
      <c r="I66" s="196">
        <f>SUMIFS('Forbrug af biomasse'!$E$2:$E$425,'Forbrug af biomasse'!$C$2:$C$425,'Resultat-Produktion &amp; forbrug'!$A66,'Forbrug af biomasse'!$D$2:$D$425,'Resultat-Produktion &amp; forbrug'!$D66,'Forbrug af biomasse'!$A$2:$A$425,'Resultat-Produktion &amp; forbrug'!I$2,'Forbrug af biomasse'!$B$2:$B$425,$E66)</f>
        <v>270140.71358529059</v>
      </c>
      <c r="J66" s="196">
        <f>SUMIFS('Forbrug af biomasse'!$E$2:$E$425,'Forbrug af biomasse'!$C$2:$C$425,'Resultat-Produktion &amp; forbrug'!$A66,'Forbrug af biomasse'!$D$2:$D$425,'Resultat-Produktion &amp; forbrug'!$D66,'Forbrug af biomasse'!$A$2:$A$425,'Resultat-Produktion &amp; forbrug'!J$2,'Forbrug af biomasse'!$B$2:$B$425,$E66)</f>
        <v>0</v>
      </c>
      <c r="K66" s="196">
        <f>SUMIFS('Forbrug af biomasse'!$E$2:$E$425,'Forbrug af biomasse'!$C$2:$C$425,'Resultat-Produktion &amp; forbrug'!$A66,'Forbrug af biomasse'!$D$2:$D$425,'Resultat-Produktion &amp; forbrug'!$D66,'Forbrug af biomasse'!$A$2:$A$425,'Resultat-Produktion &amp; forbrug'!K$2,'Forbrug af biomasse'!$B$2:$B$425,$E66)</f>
        <v>0</v>
      </c>
      <c r="L66" s="196">
        <f>IF(A66&lt;&gt;"Biogas",SUMIFS('Forbrug af biomasse'!$E$2:$E$425,'Forbrug af biomasse'!$C$2:$C$425,'Resultat-Produktion &amp; forbrug'!$A66,'Forbrug af biomasse'!$D$2:$D$425,'Resultat-Produktion &amp; forbrug'!$D66,'Forbrug af biomasse'!$A$2:$A$425,'Resultat-Produktion &amp; forbrug'!L$2,'Forbrug af biomasse'!$B$2:$B$425,$E66),F66)</f>
        <v>0</v>
      </c>
      <c r="M66" s="158">
        <f>SUMIFS('Forbrug af biomasse'!E:E,'Forbrug af biomasse'!C:C,'Resultat-Produktion &amp; forbrug'!$A66,'Forbrug af biomasse'!D:D,'Resultat-Produktion &amp; forbrug'!$D66,'Forbrug af biomasse'!G:G,1,'Forbrug af biomasse'!B:B,$E66)</f>
        <v>0</v>
      </c>
      <c r="N66" s="205">
        <f t="shared" si="9"/>
        <v>-77897.638104550162</v>
      </c>
      <c r="O66" s="196">
        <f t="shared" si="1"/>
        <v>0</v>
      </c>
      <c r="P66" s="206">
        <f t="shared" si="10"/>
        <v>0</v>
      </c>
      <c r="Q66" s="193">
        <f>IFERROR(VLOOKUP(A66,[1]Energiindhold!$A$2:$C$11,3,FALSE),IFERROR(VLOOKUP(A66,[1]Biogasudbytte!$A$2:$B$18,2,FALSE)*[1]Energiindhold!$C$10,0))*O66</f>
        <v>0</v>
      </c>
      <c r="R66" s="193">
        <f>IF(A66&lt;&gt;"Biogas",IFERROR(VLOOKUP(A66,[1]Biogasudbytte!$A$2:$B$18,2,FALSE)*[1]Energiindhold!$C$10,0)*J66*IFERROR(VLOOKUP(A66,Biogasanlæg!$F$3:$G$8,2,FALSE),1)+IFERROR(VLOOKUP(A66,[1]Energiindhold!$A$2:$C$11,3,FALSE),0)*L66+IF(D66&lt;&gt;År1,Q66,0),0)</f>
        <v>0</v>
      </c>
      <c r="S66" s="193">
        <f>IFERROR(VLOOKUP(A66,[1]Biogasudbytte!$A$2:$B$18,2,FALSE)*[1]Energiindhold!$C$10,0)*J66*IFERROR(VLOOKUP(A66,Biogasanlæg!$F$3:$G$8,2,FALSE),1)</f>
        <v>0</v>
      </c>
      <c r="T66" s="194">
        <f t="shared" si="11"/>
        <v>0</v>
      </c>
      <c r="U66" s="192">
        <f>O66*IFERROR(VLOOKUP(A66,[1]Tørstofindhold!A$2:B$25,2,FALSE),0)</f>
        <v>0</v>
      </c>
      <c r="V66" s="193">
        <f>IF(D66=År1,P66,SUM(O66,P66))*IFERROR(VLOOKUP(A66,[1]Tørstofindhold!A$2:B$25,2,FALSE),0)</f>
        <v>0</v>
      </c>
      <c r="W66" s="193">
        <f>J66*IFERROR(VLOOKUP(A66,[1]Tørstofindhold!A$2:B$25,2,FALSE),0)</f>
        <v>0</v>
      </c>
      <c r="X66" s="194">
        <f t="shared" si="12"/>
        <v>0</v>
      </c>
      <c r="Y66" s="172">
        <f t="shared" si="2"/>
        <v>1</v>
      </c>
      <c r="Z66" s="104">
        <f t="shared" si="3"/>
        <v>0</v>
      </c>
    </row>
    <row r="67" spans="1:26" hidden="1" x14ac:dyDescent="0.55000000000000004">
      <c r="A67" s="195" t="str">
        <f t="shared" si="17"/>
        <v>Halm</v>
      </c>
      <c r="B67" s="195" t="str">
        <f t="shared" si="18"/>
        <v>Halm og strå</v>
      </c>
      <c r="C67" s="195">
        <f>IF(COUNTIFS('Resultater - Danmark'!$D$3:$D$482,'Resultat-Produktion &amp; forbrug'!A67,'Resultater - Danmark'!$A$3:$A$482,"Til energi")+COUNTIFS('Resultater - Danmark'!$D$3:$D$482,'Resultat-Produktion &amp; forbrug'!A67,'Resultater - Danmark'!$A$3:$A$482,"Biogasanlæg")&gt;0,1,0)</f>
        <v>1</v>
      </c>
      <c r="D67" s="195">
        <f t="shared" si="19"/>
        <v>2030</v>
      </c>
      <c r="E67" s="193" t="s">
        <v>23</v>
      </c>
      <c r="F67" s="196">
        <f>IF(E67="Vestdanmark",SUMIFS(IF(D67=År1,'Resultater - Vestdanmark'!H$3:H$482,IF(D67=År2,'Resultater - Vestdanmark'!I$3:I$482,'Resultater - Vestdanmark'!J$3:J$482)),'Resultater - Vestdanmark'!$F$3:$F$482,$A67,IF(D67=År1,'Resultater - Vestdanmark'!H$3:H$482,IF(D67=År2,'Resultater - Vestdanmark'!I$3:I$482,'Resultater - Vestdanmark'!J$3:J$482)),"&gt;0"),SUMIFS(IF(D67=År1,'Resultater - Østdanmark'!H$3:H$482,IF(D67=År2,'Resultater - Østdanmark'!I$3:I$482,'Resultater - Østdanmark'!J$3:J$482)),'Resultater - Østdanmark'!$F$3:$F$482,$A67,IF(D67=År1,'Resultater - Østdanmark'!H$3:H$482,IF(D67=År2,'Resultater - Østdanmark'!I$3:I$482,'Resultater - Østdanmark'!J$3:J$482)),"&gt;0"))</f>
        <v>2798155.7463649106</v>
      </c>
      <c r="G67" s="196">
        <f>SUMIFS('Forbrug af biomasse'!$E$2:$E$425,'Forbrug af biomasse'!$C$2:$C$425,'Resultat-Produktion &amp; forbrug'!$A67,'Forbrug af biomasse'!$D$2:$D$425,'Resultat-Produktion &amp; forbrug'!$D67,'Forbrug af biomasse'!$A$2:$A$425,'Resultat-Produktion &amp; forbrug'!G$2,'Forbrug af biomasse'!$B$2:$B$425,$E67)</f>
        <v>773085.89354292606</v>
      </c>
      <c r="H67" s="193">
        <f>IF(E67="Vestdanmark",-IF(A67="Halm",SUMIFS(IF(D67=År1,'Resultater - Vestdanmark'!H$3:H$482,IF(D67=År2,'Resultater - Vestdanmark'!I$3:I$482,'Resultater - Vestdanmark'!J$3:J$482)),'Resultater - Vestdanmark'!$F$3:$F$482,$A67,'Resultater - Vestdanmark'!H$3:H$482,"&lt;0"),0),-IF(A67="Halm",SUMIFS(IF(D67=År1,'Resultater - Østdanmark'!H$3:H$482,IF(D67=År2,'Resultater - Østdanmark'!I$3:I$482,'Resultater - Østdanmark'!J$3:J$482)),'Resultater - Østdanmark'!$F$3:$F$482,$A67,'Resultater - Østdanmark'!H$3:H$482,"&lt;0"),0))</f>
        <v>726974.95402379602</v>
      </c>
      <c r="I67" s="196">
        <f>SUMIFS('Forbrug af biomasse'!$E$2:$E$425,'Forbrug af biomasse'!$C$2:$C$425,'Resultat-Produktion &amp; forbrug'!$A67,'Forbrug af biomasse'!$D$2:$D$425,'Resultat-Produktion &amp; forbrug'!$D67,'Forbrug af biomasse'!$A$2:$A$425,'Resultat-Produktion &amp; forbrug'!I$2,'Forbrug af biomasse'!$B$2:$B$425,$E67)</f>
        <v>0</v>
      </c>
      <c r="J67" s="196">
        <f>SUMIFS('Forbrug af biomasse'!$E$2:$E$425,'Forbrug af biomasse'!$C$2:$C$425,'Resultat-Produktion &amp; forbrug'!$A67,'Forbrug af biomasse'!$D$2:$D$425,'Resultat-Produktion &amp; forbrug'!$D67,'Forbrug af biomasse'!$A$2:$A$425,'Resultat-Produktion &amp; forbrug'!J$2,'Forbrug af biomasse'!$B$2:$B$425,$E67)</f>
        <v>54131.009350127919</v>
      </c>
      <c r="K67" s="196">
        <f>SUMIFS('Forbrug af biomasse'!$E$2:$E$425,'Forbrug af biomasse'!$C$2:$C$425,'Resultat-Produktion &amp; forbrug'!$A67,'Forbrug af biomasse'!$D$2:$D$425,'Resultat-Produktion &amp; forbrug'!$D67,'Forbrug af biomasse'!$A$2:$A$425,'Resultat-Produktion &amp; forbrug'!K$2,'Forbrug af biomasse'!$B$2:$B$425,$E67)</f>
        <v>0</v>
      </c>
      <c r="L67" s="196">
        <f>IF(A67&lt;&gt;"Biogas",SUMIFS('Forbrug af biomasse'!$E$2:$E$425,'Forbrug af biomasse'!$C$2:$C$425,'Resultat-Produktion &amp; forbrug'!$A67,'Forbrug af biomasse'!$D$2:$D$425,'Resultat-Produktion &amp; forbrug'!$D67,'Forbrug af biomasse'!$A$2:$A$425,'Resultat-Produktion &amp; forbrug'!L$2,'Forbrug af biomasse'!$B$2:$B$425,$E67),F67)</f>
        <v>1243963.8894480607</v>
      </c>
      <c r="M67" s="158">
        <f>SUMIFS('Forbrug af biomasse'!E:E,'Forbrug af biomasse'!C:C,'Resultat-Produktion &amp; forbrug'!$A67,'Forbrug af biomasse'!D:D,'Resultat-Produktion &amp; forbrug'!$D67,'Forbrug af biomasse'!G:G,1,'Forbrug af biomasse'!B:B,$E67)</f>
        <v>0</v>
      </c>
      <c r="N67" s="205">
        <f t="shared" si="9"/>
        <v>0</v>
      </c>
      <c r="O67" s="196">
        <f t="shared" ref="O67:O130" si="20">IF(C67=1,IF(N67+IF(SUMIFS($N$3:$N$290,$A$3:$A$290,A67,$D$3:$D$290,D67,$E$3:$E$290,"&lt;&gt;"&amp;E67)&lt;0,SUMIFS($N$3:$N$290,$A$3:$A$290,A67,$D$3:$D$290,D67,$E$3:$E$290,"&lt;&gt;"&amp;E67),0)&gt;0,N67+IF(SUMIFS($N$3:$N$290,$A$3:$A$290,A67,$D$3:$D$290,D67,$E$3:$E$290,"&lt;&gt;"&amp;E67)&lt;0,SUMIFS($N$3:$N$290,$A$3:$A$290,A67,$D$3:$D$290,D67,$E$3:$E$290,"&lt;&gt;"&amp;E67),0),0),0)</f>
        <v>0</v>
      </c>
      <c r="P67" s="206">
        <f t="shared" si="10"/>
        <v>1298094.8987981887</v>
      </c>
      <c r="Q67" s="193">
        <f>IFERROR(VLOOKUP(A67,[1]Energiindhold!$A$2:$C$11,3,FALSE),IFERROR(VLOOKUP(A67,[1]Biogasudbytte!$A$2:$B$18,2,FALSE)*[1]Energiindhold!$C$10,0))*O67</f>
        <v>0</v>
      </c>
      <c r="R67" s="193">
        <f>IF(A67&lt;&gt;"Biogas",IFERROR(VLOOKUP(A67,[1]Biogasudbytte!$A$2:$B$18,2,FALSE)*[1]Energiindhold!$C$10,0)*J67*IFERROR(VLOOKUP(A67,Biogasanlæg!$F$3:$G$8,2,FALSE),1)+IFERROR(VLOOKUP(A67,[1]Energiindhold!$A$2:$C$11,3,FALSE),0)*L67+IF(D67&lt;&gt;År1,Q67,0),0)</f>
        <v>13.169464353860041</v>
      </c>
      <c r="S67" s="193">
        <f>IFERROR(VLOOKUP(A67,[1]Biogasudbytte!$A$2:$B$18,2,FALSE)*[1]Energiindhold!$C$10,0)*J67*IFERROR(VLOOKUP(A67,Biogasanlæg!$F$3:$G$8,2,FALSE),1)</f>
        <v>0.31209449964853653</v>
      </c>
      <c r="T67" s="194">
        <f t="shared" si="11"/>
        <v>12.857369854211505</v>
      </c>
      <c r="U67" s="192">
        <f>O67*IFERROR(VLOOKUP(A67,[1]Tørstofindhold!A$2:B$25,2,FALSE),0)</f>
        <v>0</v>
      </c>
      <c r="V67" s="193">
        <f>IF(D67=År1,P67,SUM(O67,P67))*IFERROR(VLOOKUP(A67,[1]Tørstofindhold!A$2:B$25,2,FALSE),0)</f>
        <v>1103380.6639784602</v>
      </c>
      <c r="W67" s="193">
        <f>J67*IFERROR(VLOOKUP(A67,[1]Tørstofindhold!A$2:B$25,2,FALSE),0)</f>
        <v>46011.357947608733</v>
      </c>
      <c r="X67" s="194">
        <f t="shared" si="12"/>
        <v>1057369.3060308516</v>
      </c>
      <c r="Y67" s="172">
        <f t="shared" ref="Y67:Y130" si="21">IF(SUMIFS($N$3:$N$290,$A$3:$A$290,A67,$D$3:$D$290,D67)&lt;0,1,0)</f>
        <v>0</v>
      </c>
      <c r="Z67" s="104">
        <f t="shared" ref="Z67:Z130" si="22">IF(SUMIFS($N$3:$N$290,$A$3:$A$290,A67,$D$3:$D$290,D67)&gt;0,1,0)</f>
        <v>0</v>
      </c>
    </row>
    <row r="68" spans="1:26" hidden="1" x14ac:dyDescent="0.55000000000000004">
      <c r="A68" s="195" t="str">
        <f t="shared" si="17"/>
        <v>Have/parkaffald</v>
      </c>
      <c r="B68" s="195" t="str">
        <f t="shared" si="18"/>
        <v>Bionedbrydeligt affald</v>
      </c>
      <c r="C68" s="195">
        <f>IF(COUNTIFS('Resultater - Danmark'!$D$3:$D$482,'Resultat-Produktion &amp; forbrug'!A68,'Resultater - Danmark'!$A$3:$A$482,"Til energi")+COUNTIFS('Resultater - Danmark'!$D$3:$D$482,'Resultat-Produktion &amp; forbrug'!A68,'Resultater - Danmark'!$A$3:$A$482,"Biogasanlæg")&gt;0,1,0)</f>
        <v>1</v>
      </c>
      <c r="D68" s="195">
        <f t="shared" si="19"/>
        <v>2030</v>
      </c>
      <c r="E68" s="193" t="s">
        <v>23</v>
      </c>
      <c r="F68" s="196">
        <f>IF(E68="Vestdanmark",SUMIFS(IF(D68=År1,'Resultater - Vestdanmark'!H$3:H$482,IF(D68=År2,'Resultater - Vestdanmark'!I$3:I$482,'Resultater - Vestdanmark'!J$3:J$482)),'Resultater - Vestdanmark'!$F$3:$F$482,$A68,IF(D68=År1,'Resultater - Vestdanmark'!H$3:H$482,IF(D68=År2,'Resultater - Vestdanmark'!I$3:I$482,'Resultater - Vestdanmark'!J$3:J$482)),"&gt;0"),SUMIFS(IF(D68=År1,'Resultater - Østdanmark'!H$3:H$482,IF(D68=År2,'Resultater - Østdanmark'!I$3:I$482,'Resultater - Østdanmark'!J$3:J$482)),'Resultater - Østdanmark'!$F$3:$F$482,$A68,IF(D68=År1,'Resultater - Østdanmark'!H$3:H$482,IF(D68=År2,'Resultater - Østdanmark'!I$3:I$482,'Resultater - Østdanmark'!J$3:J$482)),"&gt;0"))</f>
        <v>526734.10986839118</v>
      </c>
      <c r="G68" s="196">
        <f>SUMIFS('Forbrug af biomasse'!$E$2:$E$425,'Forbrug af biomasse'!$C$2:$C$425,'Resultat-Produktion &amp; forbrug'!$A68,'Forbrug af biomasse'!$D$2:$D$425,'Resultat-Produktion &amp; forbrug'!$D68,'Forbrug af biomasse'!$A$2:$A$425,'Resultat-Produktion &amp; forbrug'!G$2,'Forbrug af biomasse'!$B$2:$B$425,$E68)</f>
        <v>0</v>
      </c>
      <c r="H68" s="193">
        <f>IF(E68="Vestdanmark",-IF(A68="Halm",SUMIFS(IF(D68=År1,'Resultater - Vestdanmark'!H$3:H$482,IF(D68=År2,'Resultater - Vestdanmark'!I$3:I$482,'Resultater - Vestdanmark'!J$3:J$482)),'Resultater - Vestdanmark'!$F$3:$F$482,$A68,'Resultater - Vestdanmark'!H$3:H$482,"&lt;0"),0),-IF(A68="Halm",SUMIFS(IF(D68=År1,'Resultater - Østdanmark'!H$3:H$482,IF(D68=År2,'Resultater - Østdanmark'!I$3:I$482,'Resultater - Østdanmark'!J$3:J$482)),'Resultater - Østdanmark'!$F$3:$F$482,$A68,'Resultater - Østdanmark'!H$3:H$482,"&lt;0"),0))</f>
        <v>0</v>
      </c>
      <c r="I68" s="196">
        <f>SUMIFS('Forbrug af biomasse'!$E$2:$E$425,'Forbrug af biomasse'!$C$2:$C$425,'Resultat-Produktion &amp; forbrug'!$A68,'Forbrug af biomasse'!$D$2:$D$425,'Resultat-Produktion &amp; forbrug'!$D68,'Forbrug af biomasse'!$A$2:$A$425,'Resultat-Produktion &amp; forbrug'!I$2,'Forbrug af biomasse'!$B$2:$B$425,$E68)</f>
        <v>0</v>
      </c>
      <c r="J68" s="196">
        <f>SUMIFS('Forbrug af biomasse'!$E$2:$E$425,'Forbrug af biomasse'!$C$2:$C$425,'Resultat-Produktion &amp; forbrug'!$A68,'Forbrug af biomasse'!$D$2:$D$425,'Resultat-Produktion &amp; forbrug'!$D68,'Forbrug af biomasse'!$A$2:$A$425,'Resultat-Produktion &amp; forbrug'!J$2,'Forbrug af biomasse'!$B$2:$B$425,$E68)</f>
        <v>41.80391161429587</v>
      </c>
      <c r="K68" s="196">
        <f>SUMIFS('Forbrug af biomasse'!$E$2:$E$425,'Forbrug af biomasse'!$C$2:$C$425,'Resultat-Produktion &amp; forbrug'!$A68,'Forbrug af biomasse'!$D$2:$D$425,'Resultat-Produktion &amp; forbrug'!$D68,'Forbrug af biomasse'!$A$2:$A$425,'Resultat-Produktion &amp; forbrug'!K$2,'Forbrug af biomasse'!$B$2:$B$425,$E68)</f>
        <v>0</v>
      </c>
      <c r="L68" s="196">
        <f>IF(A68&lt;&gt;"Biogas",SUMIFS('Forbrug af biomasse'!$E$2:$E$425,'Forbrug af biomasse'!$C$2:$C$425,'Resultat-Produktion &amp; forbrug'!$A68,'Forbrug af biomasse'!$D$2:$D$425,'Resultat-Produktion &amp; forbrug'!$D68,'Forbrug af biomasse'!$A$2:$A$425,'Resultat-Produktion &amp; forbrug'!L$2,'Forbrug af biomasse'!$B$2:$B$425,$E68),F68)</f>
        <v>526692.30595677684</v>
      </c>
      <c r="M68" s="158">
        <f>SUMIFS('Forbrug af biomasse'!E:E,'Forbrug af biomasse'!C:C,'Resultat-Produktion &amp; forbrug'!$A68,'Forbrug af biomasse'!D:D,'Resultat-Produktion &amp; forbrug'!$D68,'Forbrug af biomasse'!G:G,1,'Forbrug af biomasse'!B:B,$E68)</f>
        <v>0</v>
      </c>
      <c r="N68" s="205">
        <f t="shared" si="9"/>
        <v>0</v>
      </c>
      <c r="O68" s="196">
        <f t="shared" si="20"/>
        <v>0</v>
      </c>
      <c r="P68" s="206">
        <f t="shared" si="10"/>
        <v>526734.10986839118</v>
      </c>
      <c r="Q68" s="193">
        <f>IFERROR(VLOOKUP(A68,[1]Energiindhold!$A$2:$C$11,3,FALSE),IFERROR(VLOOKUP(A68,[1]Biogasudbytte!$A$2:$B$18,2,FALSE)*[1]Energiindhold!$C$10,0))*O68</f>
        <v>0</v>
      </c>
      <c r="R68" s="193">
        <f>IF(A68&lt;&gt;"Biogas",IFERROR(VLOOKUP(A68,[1]Biogasudbytte!$A$2:$B$18,2,FALSE)*[1]Energiindhold!$C$10,0)*J68*IFERROR(VLOOKUP(A68,Biogasanlæg!$F$3:$G$8,2,FALSE),1)+IFERROR(VLOOKUP(A68,[1]Energiindhold!$A$2:$C$11,3,FALSE),0)*L68+IF(D68&lt;&gt;År1,Q68,0),0)</f>
        <v>9.4026981784507786</v>
      </c>
      <c r="S68" s="193">
        <f>IFERROR(VLOOKUP(A68,[1]Biogasudbytte!$A$2:$B$18,2,FALSE)*[1]Energiindhold!$C$10,0)*J68*IFERROR(VLOOKUP(A68,Biogasanlæg!$F$3:$G$8,2,FALSE),1)</f>
        <v>7.0985968194887394E-5</v>
      </c>
      <c r="T68" s="194">
        <f t="shared" si="11"/>
        <v>9.4026271924825835</v>
      </c>
      <c r="U68" s="192">
        <f>O68*IFERROR(VLOOKUP(A68,[1]Tørstofindhold!A$2:B$25,2,FALSE),0)</f>
        <v>0</v>
      </c>
      <c r="V68" s="193">
        <f>IF(D68=År1,P68,SUM(O68,P68))*IFERROR(VLOOKUP(A68,[1]Tørstofindhold!A$2:B$25,2,FALSE),0)</f>
        <v>158020.23296051734</v>
      </c>
      <c r="W68" s="193">
        <f>J68*IFERROR(VLOOKUP(A68,[1]Tørstofindhold!A$2:B$25,2,FALSE),0)</f>
        <v>12.541173484288761</v>
      </c>
      <c r="X68" s="194">
        <f t="shared" si="12"/>
        <v>158007.69178703305</v>
      </c>
      <c r="Y68" s="172">
        <f t="shared" si="21"/>
        <v>0</v>
      </c>
      <c r="Z68" s="104">
        <f t="shared" si="22"/>
        <v>0</v>
      </c>
    </row>
    <row r="69" spans="1:26" hidden="1" x14ac:dyDescent="0.55000000000000004">
      <c r="A69" s="195" t="str">
        <f t="shared" si="17"/>
        <v>Import af foder</v>
      </c>
      <c r="B69" s="195" t="str">
        <f t="shared" si="18"/>
        <v/>
      </c>
      <c r="C69" s="195">
        <f>IF(COUNTIFS('Resultater - Danmark'!$D$3:$D$482,'Resultat-Produktion &amp; forbrug'!A69,'Resultater - Danmark'!$A$3:$A$482,"Til energi")+COUNTIFS('Resultater - Danmark'!$D$3:$D$482,'Resultat-Produktion &amp; forbrug'!A69,'Resultater - Danmark'!$A$3:$A$482,"Biogasanlæg")&gt;0,1,0)</f>
        <v>0</v>
      </c>
      <c r="D69" s="195">
        <f t="shared" si="19"/>
        <v>2030</v>
      </c>
      <c r="E69" s="193" t="s">
        <v>23</v>
      </c>
      <c r="F69" s="196">
        <f>IF(E69="Vestdanmark",SUMIFS(IF(D69=År1,'Resultater - Vestdanmark'!H$3:H$482,IF(D69=År2,'Resultater - Vestdanmark'!I$3:I$482,'Resultater - Vestdanmark'!J$3:J$482)),'Resultater - Vestdanmark'!$F$3:$F$482,$A69,IF(D69=År1,'Resultater - Vestdanmark'!H$3:H$482,IF(D69=År2,'Resultater - Vestdanmark'!I$3:I$482,'Resultater - Vestdanmark'!J$3:J$482)),"&gt;0"),SUMIFS(IF(D69=År1,'Resultater - Østdanmark'!H$3:H$482,IF(D69=År2,'Resultater - Østdanmark'!I$3:I$482,'Resultater - Østdanmark'!J$3:J$482)),'Resultater - Østdanmark'!$F$3:$F$482,$A69,IF(D69=År1,'Resultater - Østdanmark'!H$3:H$482,IF(D69=År2,'Resultater - Østdanmark'!I$3:I$482,'Resultater - Østdanmark'!J$3:J$482)),"&gt;0"))</f>
        <v>0</v>
      </c>
      <c r="G69" s="196">
        <f>SUMIFS('Forbrug af biomasse'!$E$2:$E$425,'Forbrug af biomasse'!$C$2:$C$425,'Resultat-Produktion &amp; forbrug'!$A69,'Forbrug af biomasse'!$D$2:$D$425,'Resultat-Produktion &amp; forbrug'!$D69,'Forbrug af biomasse'!$A$2:$A$425,'Resultat-Produktion &amp; forbrug'!G$2,'Forbrug af biomasse'!$B$2:$B$425,$E69)</f>
        <v>4828427.5390456226</v>
      </c>
      <c r="H69" s="193">
        <f>IF(E69="Vestdanmark",-IF(A69="Halm",SUMIFS(IF(D69=År1,'Resultater - Vestdanmark'!H$3:H$482,IF(D69=År2,'Resultater - Vestdanmark'!I$3:I$482,'Resultater - Vestdanmark'!J$3:J$482)),'Resultater - Vestdanmark'!$F$3:$F$482,$A69,'Resultater - Vestdanmark'!H$3:H$482,"&lt;0"),0),-IF(A69="Halm",SUMIFS(IF(D69=År1,'Resultater - Østdanmark'!H$3:H$482,IF(D69=År2,'Resultater - Østdanmark'!I$3:I$482,'Resultater - Østdanmark'!J$3:J$482)),'Resultater - Østdanmark'!$F$3:$F$482,$A69,'Resultater - Østdanmark'!H$3:H$482,"&lt;0"),0))</f>
        <v>0</v>
      </c>
      <c r="I69" s="196">
        <f>SUMIFS('Forbrug af biomasse'!$E$2:$E$425,'Forbrug af biomasse'!$C$2:$C$425,'Resultat-Produktion &amp; forbrug'!$A69,'Forbrug af biomasse'!$D$2:$D$425,'Resultat-Produktion &amp; forbrug'!$D69,'Forbrug af biomasse'!$A$2:$A$425,'Resultat-Produktion &amp; forbrug'!I$2,'Forbrug af biomasse'!$B$2:$B$425,$E69)</f>
        <v>0</v>
      </c>
      <c r="J69" s="196">
        <f>SUMIFS('Forbrug af biomasse'!$E$2:$E$425,'Forbrug af biomasse'!$C$2:$C$425,'Resultat-Produktion &amp; forbrug'!$A69,'Forbrug af biomasse'!$D$2:$D$425,'Resultat-Produktion &amp; forbrug'!$D69,'Forbrug af biomasse'!$A$2:$A$425,'Resultat-Produktion &amp; forbrug'!J$2,'Forbrug af biomasse'!$B$2:$B$425,$E69)</f>
        <v>0</v>
      </c>
      <c r="K69" s="196">
        <f>SUMIFS('Forbrug af biomasse'!$E$2:$E$425,'Forbrug af biomasse'!$C$2:$C$425,'Resultat-Produktion &amp; forbrug'!$A69,'Forbrug af biomasse'!$D$2:$D$425,'Resultat-Produktion &amp; forbrug'!$D69,'Forbrug af biomasse'!$A$2:$A$425,'Resultat-Produktion &amp; forbrug'!K$2,'Forbrug af biomasse'!$B$2:$B$425,$E69)</f>
        <v>0</v>
      </c>
      <c r="L69" s="196">
        <f>IF(A69&lt;&gt;"Biogas",SUMIFS('Forbrug af biomasse'!$E$2:$E$425,'Forbrug af biomasse'!$C$2:$C$425,'Resultat-Produktion &amp; forbrug'!$A69,'Forbrug af biomasse'!$D$2:$D$425,'Resultat-Produktion &amp; forbrug'!$D69,'Forbrug af biomasse'!$A$2:$A$425,'Resultat-Produktion &amp; forbrug'!L$2,'Forbrug af biomasse'!$B$2:$B$425,$E69),F69)</f>
        <v>0</v>
      </c>
      <c r="M69" s="158">
        <f>SUMIFS('Forbrug af biomasse'!E:E,'Forbrug af biomasse'!C:C,'Resultat-Produktion &amp; forbrug'!$A69,'Forbrug af biomasse'!D:D,'Resultat-Produktion &amp; forbrug'!$D69,'Forbrug af biomasse'!G:G,1,'Forbrug af biomasse'!B:B,$E69)</f>
        <v>0</v>
      </c>
      <c r="N69" s="205">
        <f t="shared" si="9"/>
        <v>-4828427.5390456226</v>
      </c>
      <c r="O69" s="196">
        <f t="shared" si="20"/>
        <v>0</v>
      </c>
      <c r="P69" s="206">
        <f t="shared" si="10"/>
        <v>0</v>
      </c>
      <c r="Q69" s="193">
        <f>IFERROR(VLOOKUP(A69,[1]Energiindhold!$A$2:$C$11,3,FALSE),IFERROR(VLOOKUP(A69,[1]Biogasudbytte!$A$2:$B$18,2,FALSE)*[1]Energiindhold!$C$10,0))*O69</f>
        <v>0</v>
      </c>
      <c r="R69" s="193">
        <f>IF(A69&lt;&gt;"Biogas",IFERROR(VLOOKUP(A69,[1]Biogasudbytte!$A$2:$B$18,2,FALSE)*[1]Energiindhold!$C$10,0)*J69*IFERROR(VLOOKUP(A69,Biogasanlæg!$F$3:$G$8,2,FALSE),1)+IFERROR(VLOOKUP(A69,[1]Energiindhold!$A$2:$C$11,3,FALSE),0)*L69+IF(D69&lt;&gt;År1,Q69,0),0)</f>
        <v>0</v>
      </c>
      <c r="S69" s="193">
        <f>IFERROR(VLOOKUP(A69,[1]Biogasudbytte!$A$2:$B$18,2,FALSE)*[1]Energiindhold!$C$10,0)*J69*IFERROR(VLOOKUP(A69,Biogasanlæg!$F$3:$G$8,2,FALSE),1)</f>
        <v>0</v>
      </c>
      <c r="T69" s="194">
        <f t="shared" si="11"/>
        <v>0</v>
      </c>
      <c r="U69" s="192">
        <f>O69*IFERROR(VLOOKUP(A69,[1]Tørstofindhold!A$2:B$25,2,FALSE),0)</f>
        <v>0</v>
      </c>
      <c r="V69" s="193">
        <f>IF(D69=År1,P69,SUM(O69,P69))*IFERROR(VLOOKUP(A69,[1]Tørstofindhold!A$2:B$25,2,FALSE),0)</f>
        <v>0</v>
      </c>
      <c r="W69" s="193">
        <f>J69*IFERROR(VLOOKUP(A69,[1]Tørstofindhold!A$2:B$25,2,FALSE),0)</f>
        <v>0</v>
      </c>
      <c r="X69" s="194">
        <f t="shared" si="12"/>
        <v>0</v>
      </c>
      <c r="Y69" s="172">
        <f t="shared" si="21"/>
        <v>1</v>
      </c>
      <c r="Z69" s="104">
        <f t="shared" si="22"/>
        <v>0</v>
      </c>
    </row>
    <row r="70" spans="1:26" hidden="1" x14ac:dyDescent="0.55000000000000004">
      <c r="A70" s="195" t="str">
        <f t="shared" si="17"/>
        <v>Industriaffald</v>
      </c>
      <c r="B70" s="195" t="str">
        <f t="shared" si="18"/>
        <v>Bionedbrydeligt affald</v>
      </c>
      <c r="C70" s="195">
        <f>IF(COUNTIFS('Resultater - Danmark'!$D$3:$D$482,'Resultat-Produktion &amp; forbrug'!A70,'Resultater - Danmark'!$A$3:$A$482,"Til energi")+COUNTIFS('Resultater - Danmark'!$D$3:$D$482,'Resultat-Produktion &amp; forbrug'!A70,'Resultater - Danmark'!$A$3:$A$482,"Biogasanlæg")&gt;0,1,0)</f>
        <v>1</v>
      </c>
      <c r="D70" s="195">
        <f t="shared" si="19"/>
        <v>2030</v>
      </c>
      <c r="E70" s="193" t="s">
        <v>23</v>
      </c>
      <c r="F70" s="196">
        <f>IF(E70="Vestdanmark",SUMIFS(IF(D70=År1,'Resultater - Vestdanmark'!H$3:H$482,IF(D70=År2,'Resultater - Vestdanmark'!I$3:I$482,'Resultater - Vestdanmark'!J$3:J$482)),'Resultater - Vestdanmark'!$F$3:$F$482,$A70,IF(D70=År1,'Resultater - Vestdanmark'!H$3:H$482,IF(D70=År2,'Resultater - Vestdanmark'!I$3:I$482,'Resultater - Vestdanmark'!J$3:J$482)),"&gt;0"),SUMIFS(IF(D70=År1,'Resultater - Østdanmark'!H$3:H$482,IF(D70=År2,'Resultater - Østdanmark'!I$3:I$482,'Resultater - Østdanmark'!J$3:J$482)),'Resultater - Østdanmark'!$F$3:$F$482,$A70,IF(D70=År1,'Resultater - Østdanmark'!H$3:H$482,IF(D70=År2,'Resultater - Østdanmark'!I$3:I$482,'Resultater - Østdanmark'!J$3:J$482)),"&gt;0"))</f>
        <v>523057.42126360437</v>
      </c>
      <c r="G70" s="196">
        <f>SUMIFS('Forbrug af biomasse'!$E$2:$E$425,'Forbrug af biomasse'!$C$2:$C$425,'Resultat-Produktion &amp; forbrug'!$A70,'Forbrug af biomasse'!$D$2:$D$425,'Resultat-Produktion &amp; forbrug'!$D70,'Forbrug af biomasse'!$A$2:$A$425,'Resultat-Produktion &amp; forbrug'!G$2,'Forbrug af biomasse'!$B$2:$B$425,$E70)</f>
        <v>0</v>
      </c>
      <c r="H70" s="193">
        <f>IF(E70="Vestdanmark",-IF(A70="Halm",SUMIFS(IF(D70=År1,'Resultater - Vestdanmark'!H$3:H$482,IF(D70=År2,'Resultater - Vestdanmark'!I$3:I$482,'Resultater - Vestdanmark'!J$3:J$482)),'Resultater - Vestdanmark'!$F$3:$F$482,$A70,'Resultater - Vestdanmark'!H$3:H$482,"&lt;0"),0),-IF(A70="Halm",SUMIFS(IF(D70=År1,'Resultater - Østdanmark'!H$3:H$482,IF(D70=År2,'Resultater - Østdanmark'!I$3:I$482,'Resultater - Østdanmark'!J$3:J$482)),'Resultater - Østdanmark'!$F$3:$F$482,$A70,'Resultater - Østdanmark'!H$3:H$482,"&lt;0"),0))</f>
        <v>0</v>
      </c>
      <c r="I70" s="196">
        <f>SUMIFS('Forbrug af biomasse'!$E$2:$E$425,'Forbrug af biomasse'!$C$2:$C$425,'Resultat-Produktion &amp; forbrug'!$A70,'Forbrug af biomasse'!$D$2:$D$425,'Resultat-Produktion &amp; forbrug'!$D70,'Forbrug af biomasse'!$A$2:$A$425,'Resultat-Produktion &amp; forbrug'!I$2,'Forbrug af biomasse'!$B$2:$B$425,$E70)</f>
        <v>0</v>
      </c>
      <c r="J70" s="196">
        <f>SUMIFS('Forbrug af biomasse'!$E$2:$E$425,'Forbrug af biomasse'!$C$2:$C$425,'Resultat-Produktion &amp; forbrug'!$A70,'Forbrug af biomasse'!$D$2:$D$425,'Resultat-Produktion &amp; forbrug'!$D70,'Forbrug af biomasse'!$A$2:$A$425,'Resultat-Produktion &amp; forbrug'!J$2,'Forbrug af biomasse'!$B$2:$B$425,$E70)</f>
        <v>523057.13098607323</v>
      </c>
      <c r="K70" s="196">
        <f>SUMIFS('Forbrug af biomasse'!$E$2:$E$425,'Forbrug af biomasse'!$C$2:$C$425,'Resultat-Produktion &amp; forbrug'!$A70,'Forbrug af biomasse'!$D$2:$D$425,'Resultat-Produktion &amp; forbrug'!$D70,'Forbrug af biomasse'!$A$2:$A$425,'Resultat-Produktion &amp; forbrug'!K$2,'Forbrug af biomasse'!$B$2:$B$425,$E70)</f>
        <v>0</v>
      </c>
      <c r="L70" s="196">
        <f>IF(A70&lt;&gt;"Biogas",SUMIFS('Forbrug af biomasse'!$E$2:$E$425,'Forbrug af biomasse'!$C$2:$C$425,'Resultat-Produktion &amp; forbrug'!$A70,'Forbrug af biomasse'!$D$2:$D$425,'Resultat-Produktion &amp; forbrug'!$D70,'Forbrug af biomasse'!$A$2:$A$425,'Resultat-Produktion &amp; forbrug'!L$2,'Forbrug af biomasse'!$B$2:$B$425,$E70),F70)</f>
        <v>0</v>
      </c>
      <c r="M70" s="158">
        <f>SUMIFS('Forbrug af biomasse'!E:E,'Forbrug af biomasse'!C:C,'Resultat-Produktion &amp; forbrug'!$A70,'Forbrug af biomasse'!D:D,'Resultat-Produktion &amp; forbrug'!$D70,'Forbrug af biomasse'!G:G,1,'Forbrug af biomasse'!B:B,$E70)</f>
        <v>0</v>
      </c>
      <c r="N70" s="205">
        <f t="shared" si="9"/>
        <v>0.29027753113768995</v>
      </c>
      <c r="O70" s="196">
        <f t="shared" si="20"/>
        <v>0.29027753113768995</v>
      </c>
      <c r="P70" s="206">
        <f t="shared" si="10"/>
        <v>523057.13098607323</v>
      </c>
      <c r="Q70" s="193">
        <f>IFERROR(VLOOKUP(A70,[1]Energiindhold!$A$2:$C$11,3,FALSE),IFERROR(VLOOKUP(A70,[1]Biogasudbytte!$A$2:$B$18,2,FALSE)*[1]Energiindhold!$C$10,0))*O70</f>
        <v>1.2578102784986585E-6</v>
      </c>
      <c r="R70" s="193">
        <f>IF(A70&lt;&gt;"Biogas",IFERROR(VLOOKUP(A70,[1]Biogasudbytte!$A$2:$B$18,2,FALSE)*[1]Energiindhold!$C$10,0)*J70*IFERROR(VLOOKUP(A70,Biogasanlæg!$F$3:$G$8,2,FALSE),1)+IFERROR(VLOOKUP(A70,[1]Energiindhold!$A$2:$C$11,3,FALSE),0)*L70+IF(D70&lt;&gt;År1,Q70,0),0)</f>
        <v>2.0398283492009939</v>
      </c>
      <c r="S70" s="193">
        <f>IFERROR(VLOOKUP(A70,[1]Biogasudbytte!$A$2:$B$18,2,FALSE)*[1]Energiindhold!$C$10,0)*J70*IFERROR(VLOOKUP(A70,Biogasanlæg!$F$3:$G$8,2,FALSE),1)</f>
        <v>2.0398270913907153</v>
      </c>
      <c r="T70" s="194">
        <f t="shared" si="11"/>
        <v>1.2578102785987255E-6</v>
      </c>
      <c r="U70" s="192">
        <f>O70*IFERROR(VLOOKUP(A70,[1]Tørstofindhold!A$2:B$25,2,FALSE),0)</f>
        <v>0.12191656307782978</v>
      </c>
      <c r="V70" s="193">
        <f>IF(D70=År1,P70,SUM(O70,P70))*IFERROR(VLOOKUP(A70,[1]Tørstofindhold!A$2:B$25,2,FALSE),0)</f>
        <v>219684.11693071382</v>
      </c>
      <c r="W70" s="193">
        <f>J70*IFERROR(VLOOKUP(A70,[1]Tørstofindhold!A$2:B$25,2,FALSE),0)</f>
        <v>219683.99501415074</v>
      </c>
      <c r="X70" s="194">
        <f t="shared" si="12"/>
        <v>0.12191656307550147</v>
      </c>
      <c r="Y70" s="172">
        <f t="shared" si="21"/>
        <v>0</v>
      </c>
      <c r="Z70" s="104">
        <f t="shared" si="22"/>
        <v>1</v>
      </c>
    </row>
    <row r="71" spans="1:26" hidden="1" x14ac:dyDescent="0.55000000000000004">
      <c r="A71" s="195" t="str">
        <f t="shared" si="17"/>
        <v>Juletræer</v>
      </c>
      <c r="B71" s="195" t="str">
        <f t="shared" si="18"/>
        <v/>
      </c>
      <c r="C71" s="195">
        <f>IF(COUNTIFS('Resultater - Danmark'!$D$3:$D$482,'Resultat-Produktion &amp; forbrug'!A71,'Resultater - Danmark'!$A$3:$A$482,"Til energi")+COUNTIFS('Resultater - Danmark'!$D$3:$D$482,'Resultat-Produktion &amp; forbrug'!A71,'Resultater - Danmark'!$A$3:$A$482,"Biogasanlæg")&gt;0,1,0)</f>
        <v>0</v>
      </c>
      <c r="D71" s="195">
        <f t="shared" si="19"/>
        <v>2030</v>
      </c>
      <c r="E71" s="193" t="s">
        <v>23</v>
      </c>
      <c r="F71" s="196">
        <f>IF(E71="Vestdanmark",SUMIFS(IF(D71=År1,'Resultater - Vestdanmark'!H$3:H$482,IF(D71=År2,'Resultater - Vestdanmark'!I$3:I$482,'Resultater - Vestdanmark'!J$3:J$482)),'Resultater - Vestdanmark'!$F$3:$F$482,$A71,IF(D71=År1,'Resultater - Vestdanmark'!H$3:H$482,IF(D71=År2,'Resultater - Vestdanmark'!I$3:I$482,'Resultater - Vestdanmark'!J$3:J$482)),"&gt;0"),SUMIFS(IF(D71=År1,'Resultater - Østdanmark'!H$3:H$482,IF(D71=År2,'Resultater - Østdanmark'!I$3:I$482,'Resultater - Østdanmark'!J$3:J$482)),'Resultater - Østdanmark'!$F$3:$F$482,$A71,IF(D71=År1,'Resultater - Østdanmark'!H$3:H$482,IF(D71=År2,'Resultater - Østdanmark'!I$3:I$482,'Resultater - Østdanmark'!J$3:J$482)),"&gt;0"))</f>
        <v>800990.58717012103</v>
      </c>
      <c r="G71" s="196">
        <f>SUMIFS('Forbrug af biomasse'!$E$2:$E$425,'Forbrug af biomasse'!$C$2:$C$425,'Resultat-Produktion &amp; forbrug'!$A71,'Forbrug af biomasse'!$D$2:$D$425,'Resultat-Produktion &amp; forbrug'!$D71,'Forbrug af biomasse'!$A$2:$A$425,'Resultat-Produktion &amp; forbrug'!G$2,'Forbrug af biomasse'!$B$2:$B$425,$E71)</f>
        <v>0</v>
      </c>
      <c r="H71" s="193">
        <f>IF(E71="Vestdanmark",-IF(A71="Halm",SUMIFS(IF(D71=År1,'Resultater - Vestdanmark'!H$3:H$482,IF(D71=År2,'Resultater - Vestdanmark'!I$3:I$482,'Resultater - Vestdanmark'!J$3:J$482)),'Resultater - Vestdanmark'!$F$3:$F$482,$A71,'Resultater - Vestdanmark'!H$3:H$482,"&lt;0"),0),-IF(A71="Halm",SUMIFS(IF(D71=År1,'Resultater - Østdanmark'!H$3:H$482,IF(D71=År2,'Resultater - Østdanmark'!I$3:I$482,'Resultater - Østdanmark'!J$3:J$482)),'Resultater - Østdanmark'!$F$3:$F$482,$A71,'Resultater - Østdanmark'!H$3:H$482,"&lt;0"),0))</f>
        <v>0</v>
      </c>
      <c r="I71" s="196">
        <f>SUMIFS('Forbrug af biomasse'!$E$2:$E$425,'Forbrug af biomasse'!$C$2:$C$425,'Resultat-Produktion &amp; forbrug'!$A71,'Forbrug af biomasse'!$D$2:$D$425,'Resultat-Produktion &amp; forbrug'!$D71,'Forbrug af biomasse'!$A$2:$A$425,'Resultat-Produktion &amp; forbrug'!I$2,'Forbrug af biomasse'!$B$2:$B$425,$E71)</f>
        <v>0</v>
      </c>
      <c r="J71" s="196">
        <f>SUMIFS('Forbrug af biomasse'!$E$2:$E$425,'Forbrug af biomasse'!$C$2:$C$425,'Resultat-Produktion &amp; forbrug'!$A71,'Forbrug af biomasse'!$D$2:$D$425,'Resultat-Produktion &amp; forbrug'!$D71,'Forbrug af biomasse'!$A$2:$A$425,'Resultat-Produktion &amp; forbrug'!J$2,'Forbrug af biomasse'!$B$2:$B$425,$E71)</f>
        <v>0</v>
      </c>
      <c r="K71" s="196">
        <f>SUMIFS('Forbrug af biomasse'!$E$2:$E$425,'Forbrug af biomasse'!$C$2:$C$425,'Resultat-Produktion &amp; forbrug'!$A71,'Forbrug af biomasse'!$D$2:$D$425,'Resultat-Produktion &amp; forbrug'!$D71,'Forbrug af biomasse'!$A$2:$A$425,'Resultat-Produktion &amp; forbrug'!K$2,'Forbrug af biomasse'!$B$2:$B$425,$E71)</f>
        <v>0</v>
      </c>
      <c r="L71" s="196">
        <f>IF(A71&lt;&gt;"Biogas",SUMIFS('Forbrug af biomasse'!$E$2:$E$425,'Forbrug af biomasse'!$C$2:$C$425,'Resultat-Produktion &amp; forbrug'!$A71,'Forbrug af biomasse'!$D$2:$D$425,'Resultat-Produktion &amp; forbrug'!$D71,'Forbrug af biomasse'!$A$2:$A$425,'Resultat-Produktion &amp; forbrug'!L$2,'Forbrug af biomasse'!$B$2:$B$425,$E71),F71)</f>
        <v>0</v>
      </c>
      <c r="M71" s="158">
        <f>SUMIFS('Forbrug af biomasse'!E:E,'Forbrug af biomasse'!C:C,'Resultat-Produktion &amp; forbrug'!$A71,'Forbrug af biomasse'!D:D,'Resultat-Produktion &amp; forbrug'!$D71,'Forbrug af biomasse'!G:G,1,'Forbrug af biomasse'!B:B,$E71)</f>
        <v>0</v>
      </c>
      <c r="N71" s="205">
        <f t="shared" si="9"/>
        <v>800990.58717012103</v>
      </c>
      <c r="O71" s="196">
        <f t="shared" si="20"/>
        <v>0</v>
      </c>
      <c r="P71" s="206">
        <f t="shared" si="10"/>
        <v>0</v>
      </c>
      <c r="Q71" s="193">
        <f>IFERROR(VLOOKUP(A71,[1]Energiindhold!$A$2:$C$11,3,FALSE),IFERROR(VLOOKUP(A71,[1]Biogasudbytte!$A$2:$B$18,2,FALSE)*[1]Energiindhold!$C$10,0))*O71</f>
        <v>0</v>
      </c>
      <c r="R71" s="193">
        <f>IF(A71&lt;&gt;"Biogas",IFERROR(VLOOKUP(A71,[1]Biogasudbytte!$A$2:$B$18,2,FALSE)*[1]Energiindhold!$C$10,0)*J71*IFERROR(VLOOKUP(A71,Biogasanlæg!$F$3:$G$8,2,FALSE),1)+IFERROR(VLOOKUP(A71,[1]Energiindhold!$A$2:$C$11,3,FALSE),0)*L71+IF(D71&lt;&gt;År1,Q71,0),0)</f>
        <v>0</v>
      </c>
      <c r="S71" s="193">
        <f>IFERROR(VLOOKUP(A71,[1]Biogasudbytte!$A$2:$B$18,2,FALSE)*[1]Energiindhold!$C$10,0)*J71*IFERROR(VLOOKUP(A71,Biogasanlæg!$F$3:$G$8,2,FALSE),1)</f>
        <v>0</v>
      </c>
      <c r="T71" s="194">
        <f t="shared" si="11"/>
        <v>0</v>
      </c>
      <c r="U71" s="192">
        <f>O71*IFERROR(VLOOKUP(A71,[1]Tørstofindhold!A$2:B$25,2,FALSE),0)</f>
        <v>0</v>
      </c>
      <c r="V71" s="193">
        <f>IF(D71=År1,P71,SUM(O71,P71))*IFERROR(VLOOKUP(A71,[1]Tørstofindhold!A$2:B$25,2,FALSE),0)</f>
        <v>0</v>
      </c>
      <c r="W71" s="193">
        <f>J71*IFERROR(VLOOKUP(A71,[1]Tørstofindhold!A$2:B$25,2,FALSE),0)</f>
        <v>0</v>
      </c>
      <c r="X71" s="194">
        <f t="shared" si="12"/>
        <v>0</v>
      </c>
      <c r="Y71" s="172">
        <f t="shared" si="21"/>
        <v>0</v>
      </c>
      <c r="Z71" s="104">
        <f t="shared" si="22"/>
        <v>1</v>
      </c>
    </row>
    <row r="72" spans="1:26" hidden="1" x14ac:dyDescent="0.55000000000000004">
      <c r="A72" s="195" t="str">
        <f t="shared" si="17"/>
        <v>Kartofler</v>
      </c>
      <c r="B72" s="195" t="str">
        <f t="shared" si="18"/>
        <v/>
      </c>
      <c r="C72" s="195">
        <f>IF(COUNTIFS('Resultater - Danmark'!$D$3:$D$482,'Resultat-Produktion &amp; forbrug'!A72,'Resultater - Danmark'!$A$3:$A$482,"Til energi")+COUNTIFS('Resultater - Danmark'!$D$3:$D$482,'Resultat-Produktion &amp; forbrug'!A72,'Resultater - Danmark'!$A$3:$A$482,"Biogasanlæg")&gt;0,1,0)</f>
        <v>0</v>
      </c>
      <c r="D72" s="195">
        <f t="shared" si="19"/>
        <v>2030</v>
      </c>
      <c r="E72" s="193" t="s">
        <v>23</v>
      </c>
      <c r="F72" s="196">
        <f>IF(E72="Vestdanmark",SUMIFS(IF(D72=År1,'Resultater - Vestdanmark'!H$3:H$482,IF(D72=År2,'Resultater - Vestdanmark'!I$3:I$482,'Resultater - Vestdanmark'!J$3:J$482)),'Resultater - Vestdanmark'!$F$3:$F$482,$A72,IF(D72=År1,'Resultater - Vestdanmark'!H$3:H$482,IF(D72=År2,'Resultater - Vestdanmark'!I$3:I$482,'Resultater - Vestdanmark'!J$3:J$482)),"&gt;0"),SUMIFS(IF(D72=År1,'Resultater - Østdanmark'!H$3:H$482,IF(D72=År2,'Resultater - Østdanmark'!I$3:I$482,'Resultater - Østdanmark'!J$3:J$482)),'Resultater - Østdanmark'!$F$3:$F$482,$A72,IF(D72=År1,'Resultater - Østdanmark'!H$3:H$482,IF(D72=År2,'Resultater - Østdanmark'!I$3:I$482,'Resultater - Østdanmark'!J$3:J$482)),"&gt;0"))</f>
        <v>2241845.3275075206</v>
      </c>
      <c r="G72" s="196">
        <f>SUMIFS('Forbrug af biomasse'!$E$2:$E$425,'Forbrug af biomasse'!$C$2:$C$425,'Resultat-Produktion &amp; forbrug'!$A72,'Forbrug af biomasse'!$D$2:$D$425,'Resultat-Produktion &amp; forbrug'!$D72,'Forbrug af biomasse'!$A$2:$A$425,'Resultat-Produktion &amp; forbrug'!G$2,'Forbrug af biomasse'!$B$2:$B$425,$E72)</f>
        <v>0</v>
      </c>
      <c r="H72" s="193">
        <f>IF(E72="Vestdanmark",-IF(A72="Halm",SUMIFS(IF(D72=År1,'Resultater - Vestdanmark'!H$3:H$482,IF(D72=År2,'Resultater - Vestdanmark'!I$3:I$482,'Resultater - Vestdanmark'!J$3:J$482)),'Resultater - Vestdanmark'!$F$3:$F$482,$A72,'Resultater - Vestdanmark'!H$3:H$482,"&lt;0"),0),-IF(A72="Halm",SUMIFS(IF(D72=År1,'Resultater - Østdanmark'!H$3:H$482,IF(D72=År2,'Resultater - Østdanmark'!I$3:I$482,'Resultater - Østdanmark'!J$3:J$482)),'Resultater - Østdanmark'!$F$3:$F$482,$A72,'Resultater - Østdanmark'!H$3:H$482,"&lt;0"),0))</f>
        <v>0</v>
      </c>
      <c r="I72" s="196">
        <f>SUMIFS('Forbrug af biomasse'!$E$2:$E$425,'Forbrug af biomasse'!$C$2:$C$425,'Resultat-Produktion &amp; forbrug'!$A72,'Forbrug af biomasse'!$D$2:$D$425,'Resultat-Produktion &amp; forbrug'!$D72,'Forbrug af biomasse'!$A$2:$A$425,'Resultat-Produktion &amp; forbrug'!I$2,'Forbrug af biomasse'!$B$2:$B$425,$E72)</f>
        <v>123531.68309679118</v>
      </c>
      <c r="J72" s="196">
        <f>SUMIFS('Forbrug af biomasse'!$E$2:$E$425,'Forbrug af biomasse'!$C$2:$C$425,'Resultat-Produktion &amp; forbrug'!$A72,'Forbrug af biomasse'!$D$2:$D$425,'Resultat-Produktion &amp; forbrug'!$D72,'Forbrug af biomasse'!$A$2:$A$425,'Resultat-Produktion &amp; forbrug'!J$2,'Forbrug af biomasse'!$B$2:$B$425,$E72)</f>
        <v>0</v>
      </c>
      <c r="K72" s="196">
        <f>SUMIFS('Forbrug af biomasse'!$E$2:$E$425,'Forbrug af biomasse'!$C$2:$C$425,'Resultat-Produktion &amp; forbrug'!$A72,'Forbrug af biomasse'!$D$2:$D$425,'Resultat-Produktion &amp; forbrug'!$D72,'Forbrug af biomasse'!$A$2:$A$425,'Resultat-Produktion &amp; forbrug'!K$2,'Forbrug af biomasse'!$B$2:$B$425,$E72)</f>
        <v>0</v>
      </c>
      <c r="L72" s="196">
        <f>IF(A72&lt;&gt;"Biogas",SUMIFS('Forbrug af biomasse'!$E$2:$E$425,'Forbrug af biomasse'!$C$2:$C$425,'Resultat-Produktion &amp; forbrug'!$A72,'Forbrug af biomasse'!$D$2:$D$425,'Resultat-Produktion &amp; forbrug'!$D72,'Forbrug af biomasse'!$A$2:$A$425,'Resultat-Produktion &amp; forbrug'!L$2,'Forbrug af biomasse'!$B$2:$B$425,$E72),F72)</f>
        <v>0</v>
      </c>
      <c r="M72" s="158">
        <f>SUMIFS('Forbrug af biomasse'!E:E,'Forbrug af biomasse'!C:C,'Resultat-Produktion &amp; forbrug'!$A72,'Forbrug af biomasse'!D:D,'Resultat-Produktion &amp; forbrug'!$D72,'Forbrug af biomasse'!G:G,1,'Forbrug af biomasse'!B:B,$E72)</f>
        <v>0</v>
      </c>
      <c r="N72" s="205">
        <f t="shared" si="9"/>
        <v>2118313.6444107294</v>
      </c>
      <c r="O72" s="196">
        <f t="shared" si="20"/>
        <v>0</v>
      </c>
      <c r="P72" s="206">
        <f t="shared" si="10"/>
        <v>0</v>
      </c>
      <c r="Q72" s="193">
        <f>IFERROR(VLOOKUP(A72,[1]Energiindhold!$A$2:$C$11,3,FALSE),IFERROR(VLOOKUP(A72,[1]Biogasudbytte!$A$2:$B$18,2,FALSE)*[1]Energiindhold!$C$10,0))*O72</f>
        <v>0</v>
      </c>
      <c r="R72" s="193">
        <f>IF(A72&lt;&gt;"Biogas",IFERROR(VLOOKUP(A72,[1]Biogasudbytte!$A$2:$B$18,2,FALSE)*[1]Energiindhold!$C$10,0)*J72*IFERROR(VLOOKUP(A72,Biogasanlæg!$F$3:$G$8,2,FALSE),1)+IFERROR(VLOOKUP(A72,[1]Energiindhold!$A$2:$C$11,3,FALSE),0)*L72+IF(D72&lt;&gt;År1,Q72,0),0)</f>
        <v>0</v>
      </c>
      <c r="S72" s="193">
        <f>IFERROR(VLOOKUP(A72,[1]Biogasudbytte!$A$2:$B$18,2,FALSE)*[1]Energiindhold!$C$10,0)*J72*IFERROR(VLOOKUP(A72,Biogasanlæg!$F$3:$G$8,2,FALSE),1)</f>
        <v>0</v>
      </c>
      <c r="T72" s="194">
        <f t="shared" si="11"/>
        <v>0</v>
      </c>
      <c r="U72" s="192">
        <f>O72*IFERROR(VLOOKUP(A72,[1]Tørstofindhold!A$2:B$25,2,FALSE),0)</f>
        <v>0</v>
      </c>
      <c r="V72" s="193">
        <f>IF(D72=År1,P72,SUM(O72,P72))*IFERROR(VLOOKUP(A72,[1]Tørstofindhold!A$2:B$25,2,FALSE),0)</f>
        <v>0</v>
      </c>
      <c r="W72" s="193">
        <f>J72*IFERROR(VLOOKUP(A72,[1]Tørstofindhold!A$2:B$25,2,FALSE),0)</f>
        <v>0</v>
      </c>
      <c r="X72" s="194">
        <f t="shared" si="12"/>
        <v>0</v>
      </c>
      <c r="Y72" s="172">
        <f t="shared" si="21"/>
        <v>0</v>
      </c>
      <c r="Z72" s="104">
        <f t="shared" si="22"/>
        <v>1</v>
      </c>
    </row>
    <row r="73" spans="1:26" hidden="1" x14ac:dyDescent="0.55000000000000004">
      <c r="A73" s="195" t="str">
        <f t="shared" si="17"/>
        <v>Korn</v>
      </c>
      <c r="B73" s="195" t="str">
        <f t="shared" si="18"/>
        <v>Halm og strå</v>
      </c>
      <c r="C73" s="195">
        <f>IF(COUNTIFS('Resultater - Danmark'!$D$3:$D$482,'Resultat-Produktion &amp; forbrug'!A73,'Resultater - Danmark'!$A$3:$A$482,"Til energi")+COUNTIFS('Resultater - Danmark'!$D$3:$D$482,'Resultat-Produktion &amp; forbrug'!A73,'Resultater - Danmark'!$A$3:$A$482,"Biogasanlæg")&gt;0,1,0)</f>
        <v>1</v>
      </c>
      <c r="D73" s="195">
        <f t="shared" si="19"/>
        <v>2030</v>
      </c>
      <c r="E73" s="193" t="s">
        <v>23</v>
      </c>
      <c r="F73" s="196">
        <f>IF(E73="Vestdanmark",SUMIFS(IF(D73=År1,'Resultater - Vestdanmark'!H$3:H$482,IF(D73=År2,'Resultater - Vestdanmark'!I$3:I$482,'Resultater - Vestdanmark'!J$3:J$482)),'Resultater - Vestdanmark'!$F$3:$F$482,$A73,IF(D73=År1,'Resultater - Vestdanmark'!H$3:H$482,IF(D73=År2,'Resultater - Vestdanmark'!I$3:I$482,'Resultater - Vestdanmark'!J$3:J$482)),"&gt;0"),SUMIFS(IF(D73=År1,'Resultater - Østdanmark'!H$3:H$482,IF(D73=År2,'Resultater - Østdanmark'!I$3:I$482,'Resultater - Østdanmark'!J$3:J$482)),'Resultater - Østdanmark'!$F$3:$F$482,$A73,IF(D73=År1,'Resultater - Østdanmark'!H$3:H$482,IF(D73=År2,'Resultater - Østdanmark'!I$3:I$482,'Resultater - Østdanmark'!J$3:J$482)),"&gt;0"))</f>
        <v>7696325.9545584042</v>
      </c>
      <c r="G73" s="196">
        <f>SUMIFS('Forbrug af biomasse'!$E$2:$E$425,'Forbrug af biomasse'!$C$2:$C$425,'Resultat-Produktion &amp; forbrug'!$A73,'Forbrug af biomasse'!$D$2:$D$425,'Resultat-Produktion &amp; forbrug'!$D73,'Forbrug af biomasse'!$A$2:$A$425,'Resultat-Produktion &amp; forbrug'!G$2,'Forbrug af biomasse'!$B$2:$B$425,$E73)</f>
        <v>5879215.2019956233</v>
      </c>
      <c r="H73" s="193">
        <f>IF(E73="Vestdanmark",-IF(A73="Halm",SUMIFS(IF(D73=År1,'Resultater - Vestdanmark'!H$3:H$482,IF(D73=År2,'Resultater - Vestdanmark'!I$3:I$482,'Resultater - Vestdanmark'!J$3:J$482)),'Resultater - Vestdanmark'!$F$3:$F$482,$A73,'Resultater - Vestdanmark'!H$3:H$482,"&lt;0"),0),-IF(A73="Halm",SUMIFS(IF(D73=År1,'Resultater - Østdanmark'!H$3:H$482,IF(D73=År2,'Resultater - Østdanmark'!I$3:I$482,'Resultater - Østdanmark'!J$3:J$482)),'Resultater - Østdanmark'!$F$3:$F$482,$A73,'Resultater - Østdanmark'!H$3:H$482,"&lt;0"),0))</f>
        <v>0</v>
      </c>
      <c r="I73" s="196">
        <f>SUMIFS('Forbrug af biomasse'!$E$2:$E$425,'Forbrug af biomasse'!$C$2:$C$425,'Resultat-Produktion &amp; forbrug'!$A73,'Forbrug af biomasse'!$D$2:$D$425,'Resultat-Produktion &amp; forbrug'!$D73,'Forbrug af biomasse'!$A$2:$A$425,'Resultat-Produktion &amp; forbrug'!I$2,'Forbrug af biomasse'!$B$2:$B$425,$E73)</f>
        <v>295933.04302308214</v>
      </c>
      <c r="J73" s="196">
        <f>SUMIFS('Forbrug af biomasse'!$E$2:$E$425,'Forbrug af biomasse'!$C$2:$C$425,'Resultat-Produktion &amp; forbrug'!$A73,'Forbrug af biomasse'!$D$2:$D$425,'Resultat-Produktion &amp; forbrug'!$D73,'Forbrug af biomasse'!$A$2:$A$425,'Resultat-Produktion &amp; forbrug'!J$2,'Forbrug af biomasse'!$B$2:$B$425,$E73)</f>
        <v>2883.4110214289831</v>
      </c>
      <c r="K73" s="196">
        <f>SUMIFS('Forbrug af biomasse'!$E$2:$E$425,'Forbrug af biomasse'!$C$2:$C$425,'Resultat-Produktion &amp; forbrug'!$A73,'Forbrug af biomasse'!$D$2:$D$425,'Resultat-Produktion &amp; forbrug'!$D73,'Forbrug af biomasse'!$A$2:$A$425,'Resultat-Produktion &amp; forbrug'!K$2,'Forbrug af biomasse'!$B$2:$B$425,$E73)</f>
        <v>0</v>
      </c>
      <c r="L73" s="196">
        <f>IF(A73&lt;&gt;"Biogas",SUMIFS('Forbrug af biomasse'!$E$2:$E$425,'Forbrug af biomasse'!$C$2:$C$425,'Resultat-Produktion &amp; forbrug'!$A73,'Forbrug af biomasse'!$D$2:$D$425,'Resultat-Produktion &amp; forbrug'!$D73,'Forbrug af biomasse'!$A$2:$A$425,'Resultat-Produktion &amp; forbrug'!L$2,'Forbrug af biomasse'!$B$2:$B$425,$E73),F73)</f>
        <v>0</v>
      </c>
      <c r="M73" s="158">
        <f>SUMIFS('Forbrug af biomasse'!E:E,'Forbrug af biomasse'!C:C,'Resultat-Produktion &amp; forbrug'!$A73,'Forbrug af biomasse'!D:D,'Resultat-Produktion &amp; forbrug'!$D73,'Forbrug af biomasse'!G:G,1,'Forbrug af biomasse'!B:B,$E73)</f>
        <v>0</v>
      </c>
      <c r="N73" s="205">
        <f t="shared" si="9"/>
        <v>1518294.2985182693</v>
      </c>
      <c r="O73" s="196">
        <f t="shared" si="20"/>
        <v>1518294.2985182693</v>
      </c>
      <c r="P73" s="206">
        <f t="shared" si="10"/>
        <v>2883.4110214289831</v>
      </c>
      <c r="Q73" s="193">
        <f>IFERROR(VLOOKUP(A73,[1]Energiindhold!$A$2:$C$11,3,FALSE),IFERROR(VLOOKUP(A73,[1]Biogasudbytte!$A$2:$B$18,2,FALSE)*[1]Energiindhold!$C$10,0))*O73</f>
        <v>5.1999454112232808</v>
      </c>
      <c r="R73" s="193">
        <f>IF(A73&lt;&gt;"Biogas",IFERROR(VLOOKUP(A73,[1]Biogasudbytte!$A$2:$B$18,2,FALSE)*[1]Energiindhold!$C$10,0)*J73*IFERROR(VLOOKUP(A73,Biogasanlæg!$F$3:$G$8,2,FALSE),1)+IFERROR(VLOOKUP(A73,[1]Energiindhold!$A$2:$C$11,3,FALSE),0)*L73+IF(D73&lt;&gt;År1,Q73,0),0)</f>
        <v>5.2098206902941318</v>
      </c>
      <c r="S73" s="193">
        <f>IFERROR(VLOOKUP(A73,[1]Biogasudbytte!$A$2:$B$18,2,FALSE)*[1]Energiindhold!$C$10,0)*J73*IFERROR(VLOOKUP(A73,Biogasanlæg!$F$3:$G$8,2,FALSE),1)</f>
        <v>9.8752790708512683E-3</v>
      </c>
      <c r="T73" s="194">
        <f t="shared" si="11"/>
        <v>5.1999454112232808</v>
      </c>
      <c r="U73" s="192">
        <f>O73*IFERROR(VLOOKUP(A73,[1]Tørstofindhold!A$2:B$25,2,FALSE),0)</f>
        <v>470671.23254066351</v>
      </c>
      <c r="V73" s="193">
        <f>IF(D73=År1,P73,SUM(O73,P73))*IFERROR(VLOOKUP(A73,[1]Tørstofindhold!A$2:B$25,2,FALSE),0)</f>
        <v>471565.08995730645</v>
      </c>
      <c r="W73" s="193">
        <f>J73*IFERROR(VLOOKUP(A73,[1]Tørstofindhold!A$2:B$25,2,FALSE),0)</f>
        <v>893.85741664298473</v>
      </c>
      <c r="X73" s="194">
        <f t="shared" si="12"/>
        <v>470671.23254066345</v>
      </c>
      <c r="Y73" s="172">
        <f t="shared" si="21"/>
        <v>0</v>
      </c>
      <c r="Z73" s="104">
        <f t="shared" si="22"/>
        <v>1</v>
      </c>
    </row>
    <row r="74" spans="1:26" hidden="1" x14ac:dyDescent="0.55000000000000004">
      <c r="A74" s="195" t="str">
        <f t="shared" si="17"/>
        <v>Kunstgødning</v>
      </c>
      <c r="B74" s="195" t="str">
        <f t="shared" si="18"/>
        <v/>
      </c>
      <c r="C74" s="195">
        <f>IF(COUNTIFS('Resultater - Danmark'!$D$3:$D$482,'Resultat-Produktion &amp; forbrug'!A74,'Resultater - Danmark'!$A$3:$A$482,"Til energi")+COUNTIFS('Resultater - Danmark'!$D$3:$D$482,'Resultat-Produktion &amp; forbrug'!A74,'Resultater - Danmark'!$A$3:$A$482,"Biogasanlæg")&gt;0,1,0)</f>
        <v>0</v>
      </c>
      <c r="D74" s="195">
        <f t="shared" si="19"/>
        <v>2030</v>
      </c>
      <c r="E74" s="193" t="s">
        <v>23</v>
      </c>
      <c r="F74" s="196">
        <f>IF(E74="Vestdanmark",SUMIFS(IF(D74=År1,'Resultater - Vestdanmark'!H$3:H$482,IF(D74=År2,'Resultater - Vestdanmark'!I$3:I$482,'Resultater - Vestdanmark'!J$3:J$482)),'Resultater - Vestdanmark'!$F$3:$F$482,$A74,IF(D74=År1,'Resultater - Vestdanmark'!H$3:H$482,IF(D74=År2,'Resultater - Vestdanmark'!I$3:I$482,'Resultater - Vestdanmark'!J$3:J$482)),"&gt;0"),SUMIFS(IF(D74=År1,'Resultater - Østdanmark'!H$3:H$482,IF(D74=År2,'Resultater - Østdanmark'!I$3:I$482,'Resultater - Østdanmark'!J$3:J$482)),'Resultater - Østdanmark'!$F$3:$F$482,$A74,IF(D74=År1,'Resultater - Østdanmark'!H$3:H$482,IF(D74=År2,'Resultater - Østdanmark'!I$3:I$482,'Resultater - Østdanmark'!J$3:J$482)),"&gt;0"))</f>
        <v>0</v>
      </c>
      <c r="G74" s="196">
        <f>SUMIFS('Forbrug af biomasse'!$E$2:$E$425,'Forbrug af biomasse'!$C$2:$C$425,'Resultat-Produktion &amp; forbrug'!$A74,'Forbrug af biomasse'!$D$2:$D$425,'Resultat-Produktion &amp; forbrug'!$D74,'Forbrug af biomasse'!$A$2:$A$425,'Resultat-Produktion &amp; forbrug'!G$2,'Forbrug af biomasse'!$B$2:$B$425,$E74)</f>
        <v>0</v>
      </c>
      <c r="H74" s="193">
        <f>IF(E74="Vestdanmark",-IF(A74="Halm",SUMIFS(IF(D74=År1,'Resultater - Vestdanmark'!H$3:H$482,IF(D74=År2,'Resultater - Vestdanmark'!I$3:I$482,'Resultater - Vestdanmark'!J$3:J$482)),'Resultater - Vestdanmark'!$F$3:$F$482,$A74,'Resultater - Vestdanmark'!H$3:H$482,"&lt;0"),0),-IF(A74="Halm",SUMIFS(IF(D74=År1,'Resultater - Østdanmark'!H$3:H$482,IF(D74=År2,'Resultater - Østdanmark'!I$3:I$482,'Resultater - Østdanmark'!J$3:J$482)),'Resultater - Østdanmark'!$F$3:$F$482,$A74,'Resultater - Østdanmark'!H$3:H$482,"&lt;0"),0))</f>
        <v>0</v>
      </c>
      <c r="I74" s="196">
        <f>SUMIFS('Forbrug af biomasse'!$E$2:$E$425,'Forbrug af biomasse'!$C$2:$C$425,'Resultat-Produktion &amp; forbrug'!$A74,'Forbrug af biomasse'!$D$2:$D$425,'Resultat-Produktion &amp; forbrug'!$D74,'Forbrug af biomasse'!$A$2:$A$425,'Resultat-Produktion &amp; forbrug'!I$2,'Forbrug af biomasse'!$B$2:$B$425,$E74)</f>
        <v>0</v>
      </c>
      <c r="J74" s="196">
        <f>SUMIFS('Forbrug af biomasse'!$E$2:$E$425,'Forbrug af biomasse'!$C$2:$C$425,'Resultat-Produktion &amp; forbrug'!$A74,'Forbrug af biomasse'!$D$2:$D$425,'Resultat-Produktion &amp; forbrug'!$D74,'Forbrug af biomasse'!$A$2:$A$425,'Resultat-Produktion &amp; forbrug'!J$2,'Forbrug af biomasse'!$B$2:$B$425,$E74)</f>
        <v>0</v>
      </c>
      <c r="K74" s="196">
        <f ca="1">SUMIFS('Forbrug af biomasse'!$E$2:$E$425,'Forbrug af biomasse'!$C$2:$C$425,'Resultat-Produktion &amp; forbrug'!$A74,'Forbrug af biomasse'!$D$2:$D$425,'Resultat-Produktion &amp; forbrug'!$D74,'Forbrug af biomasse'!$A$2:$A$425,'Resultat-Produktion &amp; forbrug'!K$2,'Forbrug af biomasse'!$B$2:$B$425,$E74)</f>
        <v>690376.55115249695</v>
      </c>
      <c r="L74" s="196">
        <f>IF(A74&lt;&gt;"Biogas",SUMIFS('Forbrug af biomasse'!$E$2:$E$425,'Forbrug af biomasse'!$C$2:$C$425,'Resultat-Produktion &amp; forbrug'!$A74,'Forbrug af biomasse'!$D$2:$D$425,'Resultat-Produktion &amp; forbrug'!$D74,'Forbrug af biomasse'!$A$2:$A$425,'Resultat-Produktion &amp; forbrug'!L$2,'Forbrug af biomasse'!$B$2:$B$425,$E74),F74)</f>
        <v>0</v>
      </c>
      <c r="M74" s="158">
        <f>SUMIFS('Forbrug af biomasse'!E:E,'Forbrug af biomasse'!C:C,'Resultat-Produktion &amp; forbrug'!$A74,'Forbrug af biomasse'!D:D,'Resultat-Produktion &amp; forbrug'!$D74,'Forbrug af biomasse'!G:G,1,'Forbrug af biomasse'!B:B,$E74)</f>
        <v>0</v>
      </c>
      <c r="N74" s="205">
        <f t="shared" ca="1" si="9"/>
        <v>-690376.55115249695</v>
      </c>
      <c r="O74" s="196">
        <f t="shared" si="20"/>
        <v>0</v>
      </c>
      <c r="P74" s="206">
        <f t="shared" si="10"/>
        <v>0</v>
      </c>
      <c r="Q74" s="193">
        <f>IFERROR(VLOOKUP(A74,[1]Energiindhold!$A$2:$C$11,3,FALSE),IFERROR(VLOOKUP(A74,[1]Biogasudbytte!$A$2:$B$18,2,FALSE)*[1]Energiindhold!$C$10,0))*O74</f>
        <v>0</v>
      </c>
      <c r="R74" s="193">
        <f>IF(A74&lt;&gt;"Biogas",IFERROR(VLOOKUP(A74,[1]Biogasudbytte!$A$2:$B$18,2,FALSE)*[1]Energiindhold!$C$10,0)*J74*IFERROR(VLOOKUP(A74,Biogasanlæg!$F$3:$G$8,2,FALSE),1)+IFERROR(VLOOKUP(A74,[1]Energiindhold!$A$2:$C$11,3,FALSE),0)*L74+IF(D74&lt;&gt;År1,Q74,0),0)</f>
        <v>0</v>
      </c>
      <c r="S74" s="193">
        <f>IFERROR(VLOOKUP(A74,[1]Biogasudbytte!$A$2:$B$18,2,FALSE)*[1]Energiindhold!$C$10,0)*J74*IFERROR(VLOOKUP(A74,Biogasanlæg!$F$3:$G$8,2,FALSE),1)</f>
        <v>0</v>
      </c>
      <c r="T74" s="194">
        <f t="shared" si="11"/>
        <v>0</v>
      </c>
      <c r="U74" s="192">
        <f>O74*IFERROR(VLOOKUP(A74,[1]Tørstofindhold!A$2:B$25,2,FALSE),0)</f>
        <v>0</v>
      </c>
      <c r="V74" s="193">
        <f>IF(D74=År1,P74,SUM(O74,P74))*IFERROR(VLOOKUP(A74,[1]Tørstofindhold!A$2:B$25,2,FALSE),0)</f>
        <v>0</v>
      </c>
      <c r="W74" s="193">
        <f>J74*IFERROR(VLOOKUP(A74,[1]Tørstofindhold!A$2:B$25,2,FALSE),0)</f>
        <v>0</v>
      </c>
      <c r="X74" s="194">
        <f t="shared" si="12"/>
        <v>0</v>
      </c>
      <c r="Y74" s="172">
        <f t="shared" ca="1" si="21"/>
        <v>1</v>
      </c>
      <c r="Z74" s="104">
        <f t="shared" ca="1" si="22"/>
        <v>0</v>
      </c>
    </row>
    <row r="75" spans="1:26" hidden="1" x14ac:dyDescent="0.55000000000000004">
      <c r="A75" s="195" t="str">
        <f t="shared" si="17"/>
        <v>Kvæggylle</v>
      </c>
      <c r="B75" s="195" t="str">
        <f t="shared" si="18"/>
        <v>Husdyrgødning</v>
      </c>
      <c r="C75" s="195">
        <f>IF(COUNTIFS('Resultater - Danmark'!$D$3:$D$482,'Resultat-Produktion &amp; forbrug'!A75,'Resultater - Danmark'!$A$3:$A$482,"Til energi")+COUNTIFS('Resultater - Danmark'!$D$3:$D$482,'Resultat-Produktion &amp; forbrug'!A75,'Resultater - Danmark'!$A$3:$A$482,"Biogasanlæg")&gt;0,1,0)</f>
        <v>1</v>
      </c>
      <c r="D75" s="195">
        <f t="shared" si="19"/>
        <v>2030</v>
      </c>
      <c r="E75" s="193" t="s">
        <v>23</v>
      </c>
      <c r="F75" s="196">
        <f>IF(E75="Vestdanmark",SUMIFS(IF(D75=År1,'Resultater - Vestdanmark'!H$3:H$482,IF(D75=År2,'Resultater - Vestdanmark'!I$3:I$482,'Resultater - Vestdanmark'!J$3:J$482)),'Resultater - Vestdanmark'!$F$3:$F$482,$A75,IF(D75=År1,'Resultater - Vestdanmark'!H$3:H$482,IF(D75=År2,'Resultater - Vestdanmark'!I$3:I$482,'Resultater - Vestdanmark'!J$3:J$482)),"&gt;0"),SUMIFS(IF(D75=År1,'Resultater - Østdanmark'!H$3:H$482,IF(D75=År2,'Resultater - Østdanmark'!I$3:I$482,'Resultater - Østdanmark'!J$3:J$482)),'Resultater - Østdanmark'!$F$3:$F$482,$A75,IF(D75=År1,'Resultater - Østdanmark'!H$3:H$482,IF(D75=År2,'Resultater - Østdanmark'!I$3:I$482,'Resultater - Østdanmark'!J$3:J$482)),"&gt;0"))</f>
        <v>12983496.711335782</v>
      </c>
      <c r="G75" s="196">
        <f>SUMIFS('Forbrug af biomasse'!$E$2:$E$425,'Forbrug af biomasse'!$C$2:$C$425,'Resultat-Produktion &amp; forbrug'!$A75,'Forbrug af biomasse'!$D$2:$D$425,'Resultat-Produktion &amp; forbrug'!$D75,'Forbrug af biomasse'!$A$2:$A$425,'Resultat-Produktion &amp; forbrug'!G$2,'Forbrug af biomasse'!$B$2:$B$425,$E75)</f>
        <v>0</v>
      </c>
      <c r="H75" s="193">
        <f>IF(E75="Vestdanmark",-IF(A75="Halm",SUMIFS(IF(D75=År1,'Resultater - Vestdanmark'!H$3:H$482,IF(D75=År2,'Resultater - Vestdanmark'!I$3:I$482,'Resultater - Vestdanmark'!J$3:J$482)),'Resultater - Vestdanmark'!$F$3:$F$482,$A75,'Resultater - Vestdanmark'!H$3:H$482,"&lt;0"),0),-IF(A75="Halm",SUMIFS(IF(D75=År1,'Resultater - Østdanmark'!H$3:H$482,IF(D75=År2,'Resultater - Østdanmark'!I$3:I$482,'Resultater - Østdanmark'!J$3:J$482)),'Resultater - Østdanmark'!$F$3:$F$482,$A75,'Resultater - Østdanmark'!H$3:H$482,"&lt;0"),0))</f>
        <v>0</v>
      </c>
      <c r="I75" s="196">
        <f>SUMIFS('Forbrug af biomasse'!$E$2:$E$425,'Forbrug af biomasse'!$C$2:$C$425,'Resultat-Produktion &amp; forbrug'!$A75,'Forbrug af biomasse'!$D$2:$D$425,'Resultat-Produktion &amp; forbrug'!$D75,'Forbrug af biomasse'!$A$2:$A$425,'Resultat-Produktion &amp; forbrug'!I$2,'Forbrug af biomasse'!$B$2:$B$425,$E75)</f>
        <v>0</v>
      </c>
      <c r="J75" s="196">
        <f>SUMIFS('Forbrug af biomasse'!$E$2:$E$425,'Forbrug af biomasse'!$C$2:$C$425,'Resultat-Produktion &amp; forbrug'!$A75,'Forbrug af biomasse'!$D$2:$D$425,'Resultat-Produktion &amp; forbrug'!$D75,'Forbrug af biomasse'!$A$2:$A$425,'Resultat-Produktion &amp; forbrug'!J$2,'Forbrug af biomasse'!$B$2:$B$425,$E75)</f>
        <v>9867457.5006151944</v>
      </c>
      <c r="K75" s="196">
        <f>SUMIFS('Forbrug af biomasse'!$E$2:$E$425,'Forbrug af biomasse'!$C$2:$C$425,'Resultat-Produktion &amp; forbrug'!$A75,'Forbrug af biomasse'!$D$2:$D$425,'Resultat-Produktion &amp; forbrug'!$D75,'Forbrug af biomasse'!$A$2:$A$425,'Resultat-Produktion &amp; forbrug'!K$2,'Forbrug af biomasse'!$B$2:$B$425,$E75)</f>
        <v>2064375.9771023891</v>
      </c>
      <c r="L75" s="196">
        <f>IF(A75&lt;&gt;"Biogas",SUMIFS('Forbrug af biomasse'!$E$2:$E$425,'Forbrug af biomasse'!$C$2:$C$425,'Resultat-Produktion &amp; forbrug'!$A75,'Forbrug af biomasse'!$D$2:$D$425,'Resultat-Produktion &amp; forbrug'!$D75,'Forbrug af biomasse'!$A$2:$A$425,'Resultat-Produktion &amp; forbrug'!L$2,'Forbrug af biomasse'!$B$2:$B$425,$E75),F75)</f>
        <v>0</v>
      </c>
      <c r="M75" s="158">
        <f>SUMIFS('Forbrug af biomasse'!E:E,'Forbrug af biomasse'!C:C,'Resultat-Produktion &amp; forbrug'!$A75,'Forbrug af biomasse'!D:D,'Resultat-Produktion &amp; forbrug'!$D75,'Forbrug af biomasse'!G:G,1,'Forbrug af biomasse'!B:B,$E75)</f>
        <v>0</v>
      </c>
      <c r="N75" s="205">
        <f t="shared" si="9"/>
        <v>1051663.233618198</v>
      </c>
      <c r="O75" s="196">
        <f t="shared" si="20"/>
        <v>1051663.233618198</v>
      </c>
      <c r="P75" s="206">
        <f t="shared" si="10"/>
        <v>9867457.5006151944</v>
      </c>
      <c r="Q75" s="193">
        <f>IFERROR(VLOOKUP(A75,[1]Energiindhold!$A$2:$C$11,3,FALSE),IFERROR(VLOOKUP(A75,[1]Biogasudbytte!$A$2:$B$18,2,FALSE)*[1]Energiindhold!$C$10,0))*O75</f>
        <v>0.53234141222519571</v>
      </c>
      <c r="R75" s="193">
        <f>IF(A75&lt;&gt;"Biogas",IFERROR(VLOOKUP(A75,[1]Biogasudbytte!$A$2:$B$18,2,FALSE)*[1]Energiindhold!$C$10,0)*J75*IFERROR(VLOOKUP(A75,Biogasanlæg!$F$3:$G$8,2,FALSE),1)+IFERROR(VLOOKUP(A75,[1]Energiindhold!$A$2:$C$11,3,FALSE),0)*L75+IF(D75&lt;&gt;År1,Q75,0),0)</f>
        <v>5.5271497244616015</v>
      </c>
      <c r="S75" s="193">
        <f>IFERROR(VLOOKUP(A75,[1]Biogasudbytte!$A$2:$B$18,2,FALSE)*[1]Energiindhold!$C$10,0)*J75*IFERROR(VLOOKUP(A75,Biogasanlæg!$F$3:$G$8,2,FALSE),1)</f>
        <v>4.9948083122364055</v>
      </c>
      <c r="T75" s="194">
        <f t="shared" si="11"/>
        <v>0.53234141222519593</v>
      </c>
      <c r="U75" s="192">
        <f>O75*IFERROR(VLOOKUP(A75,[1]Tørstofindhold!A$2:B$25,2,FALSE),0)</f>
        <v>79926.405754983047</v>
      </c>
      <c r="V75" s="193">
        <f>IF(D75=År1,P75,SUM(O75,P75))*IFERROR(VLOOKUP(A75,[1]Tørstofindhold!A$2:B$25,2,FALSE),0)</f>
        <v>829853.17580173782</v>
      </c>
      <c r="W75" s="193">
        <f>J75*IFERROR(VLOOKUP(A75,[1]Tørstofindhold!A$2:B$25,2,FALSE),0)</f>
        <v>749926.77004675474</v>
      </c>
      <c r="X75" s="194">
        <f t="shared" si="12"/>
        <v>79926.405754983076</v>
      </c>
      <c r="Y75" s="172">
        <f t="shared" si="21"/>
        <v>0</v>
      </c>
      <c r="Z75" s="104">
        <f t="shared" si="22"/>
        <v>1</v>
      </c>
    </row>
    <row r="76" spans="1:26" hidden="1" x14ac:dyDescent="0.55000000000000004">
      <c r="A76" s="195" t="str">
        <f t="shared" si="17"/>
        <v>Mælk til foder</v>
      </c>
      <c r="B76" s="195" t="str">
        <f t="shared" si="18"/>
        <v/>
      </c>
      <c r="C76" s="195">
        <f>IF(COUNTIFS('Resultater - Danmark'!$D$3:$D$482,'Resultat-Produktion &amp; forbrug'!A76,'Resultater - Danmark'!$A$3:$A$482,"Til energi")+COUNTIFS('Resultater - Danmark'!$D$3:$D$482,'Resultat-Produktion &amp; forbrug'!A76,'Resultater - Danmark'!$A$3:$A$482,"Biogasanlæg")&gt;0,1,0)</f>
        <v>0</v>
      </c>
      <c r="D76" s="195">
        <f t="shared" si="19"/>
        <v>2030</v>
      </c>
      <c r="E76" s="193" t="s">
        <v>23</v>
      </c>
      <c r="F76" s="196">
        <f>IF(E76="Vestdanmark",SUMIFS(IF(D76=År1,'Resultater - Vestdanmark'!H$3:H$482,IF(D76=År2,'Resultater - Vestdanmark'!I$3:I$482,'Resultater - Vestdanmark'!J$3:J$482)),'Resultater - Vestdanmark'!$F$3:$F$482,$A76,IF(D76=År1,'Resultater - Vestdanmark'!H$3:H$482,IF(D76=År2,'Resultater - Vestdanmark'!I$3:I$482,'Resultater - Vestdanmark'!J$3:J$482)),"&gt;0"),SUMIFS(IF(D76=År1,'Resultater - Østdanmark'!H$3:H$482,IF(D76=År2,'Resultater - Østdanmark'!I$3:I$482,'Resultater - Østdanmark'!J$3:J$482)),'Resultater - Østdanmark'!$F$3:$F$482,$A76,IF(D76=År1,'Resultater - Østdanmark'!H$3:H$482,IF(D76=År2,'Resultater - Østdanmark'!I$3:I$482,'Resultater - Østdanmark'!J$3:J$482)),"&gt;0"))</f>
        <v>1620993.8653666629</v>
      </c>
      <c r="G76" s="196">
        <f>SUMIFS('Forbrug af biomasse'!$E$2:$E$425,'Forbrug af biomasse'!$C$2:$C$425,'Resultat-Produktion &amp; forbrug'!$A76,'Forbrug af biomasse'!$D$2:$D$425,'Resultat-Produktion &amp; forbrug'!$D76,'Forbrug af biomasse'!$A$2:$A$425,'Resultat-Produktion &amp; forbrug'!G$2,'Forbrug af biomasse'!$B$2:$B$425,$E76)</f>
        <v>1515714.1736670113</v>
      </c>
      <c r="H76" s="193">
        <f>IF(E76="Vestdanmark",-IF(A76="Halm",SUMIFS(IF(D76=År1,'Resultater - Vestdanmark'!H$3:H$482,IF(D76=År2,'Resultater - Vestdanmark'!I$3:I$482,'Resultater - Vestdanmark'!J$3:J$482)),'Resultater - Vestdanmark'!$F$3:$F$482,$A76,'Resultater - Vestdanmark'!H$3:H$482,"&lt;0"),0),-IF(A76="Halm",SUMIFS(IF(D76=År1,'Resultater - Østdanmark'!H$3:H$482,IF(D76=År2,'Resultater - Østdanmark'!I$3:I$482,'Resultater - Østdanmark'!J$3:J$482)),'Resultater - Østdanmark'!$F$3:$F$482,$A76,'Resultater - Østdanmark'!H$3:H$482,"&lt;0"),0))</f>
        <v>0</v>
      </c>
      <c r="I76" s="196">
        <f>SUMIFS('Forbrug af biomasse'!$E$2:$E$425,'Forbrug af biomasse'!$C$2:$C$425,'Resultat-Produktion &amp; forbrug'!$A76,'Forbrug af biomasse'!$D$2:$D$425,'Resultat-Produktion &amp; forbrug'!$D76,'Forbrug af biomasse'!$A$2:$A$425,'Resultat-Produktion &amp; forbrug'!I$2,'Forbrug af biomasse'!$B$2:$B$425,$E76)</f>
        <v>0</v>
      </c>
      <c r="J76" s="196">
        <f>SUMIFS('Forbrug af biomasse'!$E$2:$E$425,'Forbrug af biomasse'!$C$2:$C$425,'Resultat-Produktion &amp; forbrug'!$A76,'Forbrug af biomasse'!$D$2:$D$425,'Resultat-Produktion &amp; forbrug'!$D76,'Forbrug af biomasse'!$A$2:$A$425,'Resultat-Produktion &amp; forbrug'!J$2,'Forbrug af biomasse'!$B$2:$B$425,$E76)</f>
        <v>0</v>
      </c>
      <c r="K76" s="196">
        <f>SUMIFS('Forbrug af biomasse'!$E$2:$E$425,'Forbrug af biomasse'!$C$2:$C$425,'Resultat-Produktion &amp; forbrug'!$A76,'Forbrug af biomasse'!$D$2:$D$425,'Resultat-Produktion &amp; forbrug'!$D76,'Forbrug af biomasse'!$A$2:$A$425,'Resultat-Produktion &amp; forbrug'!K$2,'Forbrug af biomasse'!$B$2:$B$425,$E76)</f>
        <v>0</v>
      </c>
      <c r="L76" s="196">
        <f>IF(A76&lt;&gt;"Biogas",SUMIFS('Forbrug af biomasse'!$E$2:$E$425,'Forbrug af biomasse'!$C$2:$C$425,'Resultat-Produktion &amp; forbrug'!$A76,'Forbrug af biomasse'!$D$2:$D$425,'Resultat-Produktion &amp; forbrug'!$D76,'Forbrug af biomasse'!$A$2:$A$425,'Resultat-Produktion &amp; forbrug'!L$2,'Forbrug af biomasse'!$B$2:$B$425,$E76),F76)</f>
        <v>0</v>
      </c>
      <c r="M76" s="158">
        <f>SUMIFS('Forbrug af biomasse'!E:E,'Forbrug af biomasse'!C:C,'Resultat-Produktion &amp; forbrug'!$A76,'Forbrug af biomasse'!D:D,'Resultat-Produktion &amp; forbrug'!$D76,'Forbrug af biomasse'!G:G,1,'Forbrug af biomasse'!B:B,$E76)</f>
        <v>0</v>
      </c>
      <c r="N76" s="205">
        <f t="shared" si="9"/>
        <v>105279.69169965154</v>
      </c>
      <c r="O76" s="196">
        <f t="shared" si="20"/>
        <v>0</v>
      </c>
      <c r="P76" s="206">
        <f t="shared" si="10"/>
        <v>0</v>
      </c>
      <c r="Q76" s="193">
        <f>IFERROR(VLOOKUP(A76,[1]Energiindhold!$A$2:$C$11,3,FALSE),IFERROR(VLOOKUP(A76,[1]Biogasudbytte!$A$2:$B$18,2,FALSE)*[1]Energiindhold!$C$10,0))*O76</f>
        <v>0</v>
      </c>
      <c r="R76" s="193">
        <f>IF(A76&lt;&gt;"Biogas",IFERROR(VLOOKUP(A76,[1]Biogasudbytte!$A$2:$B$18,2,FALSE)*[1]Energiindhold!$C$10,0)*J76*IFERROR(VLOOKUP(A76,Biogasanlæg!$F$3:$G$8,2,FALSE),1)+IFERROR(VLOOKUP(A76,[1]Energiindhold!$A$2:$C$11,3,FALSE),0)*L76+IF(D76&lt;&gt;År1,Q76,0),0)</f>
        <v>0</v>
      </c>
      <c r="S76" s="193">
        <f>IFERROR(VLOOKUP(A76,[1]Biogasudbytte!$A$2:$B$18,2,FALSE)*[1]Energiindhold!$C$10,0)*J76*IFERROR(VLOOKUP(A76,Biogasanlæg!$F$3:$G$8,2,FALSE),1)</f>
        <v>0</v>
      </c>
      <c r="T76" s="194">
        <f t="shared" si="11"/>
        <v>0</v>
      </c>
      <c r="U76" s="192">
        <f>O76*IFERROR(VLOOKUP(A76,[1]Tørstofindhold!A$2:B$25,2,FALSE),0)</f>
        <v>0</v>
      </c>
      <c r="V76" s="193">
        <f>IF(D76=År1,P76,SUM(O76,P76))*IFERROR(VLOOKUP(A76,[1]Tørstofindhold!A$2:B$25,2,FALSE),0)</f>
        <v>0</v>
      </c>
      <c r="W76" s="193">
        <f>J76*IFERROR(VLOOKUP(A76,[1]Tørstofindhold!A$2:B$25,2,FALSE),0)</f>
        <v>0</v>
      </c>
      <c r="X76" s="194">
        <f t="shared" si="12"/>
        <v>0</v>
      </c>
      <c r="Y76" s="172">
        <f t="shared" si="21"/>
        <v>0</v>
      </c>
      <c r="Z76" s="104">
        <f t="shared" si="22"/>
        <v>1</v>
      </c>
    </row>
    <row r="77" spans="1:26" hidden="1" x14ac:dyDescent="0.55000000000000004">
      <c r="A77" s="195" t="str">
        <f t="shared" si="17"/>
        <v>Majs</v>
      </c>
      <c r="B77" s="195" t="str">
        <f t="shared" si="18"/>
        <v>Græs og urter</v>
      </c>
      <c r="C77" s="195">
        <f>IF(COUNTIFS('Resultater - Danmark'!$D$3:$D$482,'Resultat-Produktion &amp; forbrug'!A77,'Resultater - Danmark'!$A$3:$A$482,"Til energi")+COUNTIFS('Resultater - Danmark'!$D$3:$D$482,'Resultat-Produktion &amp; forbrug'!A77,'Resultater - Danmark'!$A$3:$A$482,"Biogasanlæg")&gt;0,1,0)</f>
        <v>1</v>
      </c>
      <c r="D77" s="195">
        <f t="shared" si="19"/>
        <v>2030</v>
      </c>
      <c r="E77" s="193" t="s">
        <v>23</v>
      </c>
      <c r="F77" s="196">
        <f>IF(E77="Vestdanmark",SUMIFS(IF(D77=År1,'Resultater - Vestdanmark'!H$3:H$482,IF(D77=År2,'Resultater - Vestdanmark'!I$3:I$482,'Resultater - Vestdanmark'!J$3:J$482)),'Resultater - Vestdanmark'!$F$3:$F$482,$A77,IF(D77=År1,'Resultater - Vestdanmark'!H$3:H$482,IF(D77=År2,'Resultater - Vestdanmark'!I$3:I$482,'Resultater - Vestdanmark'!J$3:J$482)),"&gt;0"),SUMIFS(IF(D77=År1,'Resultater - Østdanmark'!H$3:H$482,IF(D77=År2,'Resultater - Østdanmark'!I$3:I$482,'Resultater - Østdanmark'!J$3:J$482)),'Resultater - Østdanmark'!$F$3:$F$482,$A77,IF(D77=År1,'Resultater - Østdanmark'!H$3:H$482,IF(D77=År2,'Resultater - Østdanmark'!I$3:I$482,'Resultater - Østdanmark'!J$3:J$482)),"&gt;0"))</f>
        <v>7983307.7524896674</v>
      </c>
      <c r="G77" s="196">
        <f>SUMIFS('Forbrug af biomasse'!$E$2:$E$425,'Forbrug af biomasse'!$C$2:$C$425,'Resultat-Produktion &amp; forbrug'!$A77,'Forbrug af biomasse'!$D$2:$D$425,'Resultat-Produktion &amp; forbrug'!$D77,'Forbrug af biomasse'!$A$2:$A$425,'Resultat-Produktion &amp; forbrug'!G$2,'Forbrug af biomasse'!$B$2:$B$425,$E77)</f>
        <v>5657053.7864699624</v>
      </c>
      <c r="H77" s="193">
        <f>IF(E77="Vestdanmark",-IF(A77="Halm",SUMIFS(IF(D77=År1,'Resultater - Vestdanmark'!H$3:H$482,IF(D77=År2,'Resultater - Vestdanmark'!I$3:I$482,'Resultater - Vestdanmark'!J$3:J$482)),'Resultater - Vestdanmark'!$F$3:$F$482,$A77,'Resultater - Vestdanmark'!H$3:H$482,"&lt;0"),0),-IF(A77="Halm",SUMIFS(IF(D77=År1,'Resultater - Østdanmark'!H$3:H$482,IF(D77=År2,'Resultater - Østdanmark'!I$3:I$482,'Resultater - Østdanmark'!J$3:J$482)),'Resultater - Østdanmark'!$F$3:$F$482,$A77,'Resultater - Østdanmark'!H$3:H$482,"&lt;0"),0))</f>
        <v>0</v>
      </c>
      <c r="I77" s="196">
        <f>SUMIFS('Forbrug af biomasse'!$E$2:$E$425,'Forbrug af biomasse'!$C$2:$C$425,'Resultat-Produktion &amp; forbrug'!$A77,'Forbrug af biomasse'!$D$2:$D$425,'Resultat-Produktion &amp; forbrug'!$D77,'Forbrug af biomasse'!$A$2:$A$425,'Resultat-Produktion &amp; forbrug'!I$2,'Forbrug af biomasse'!$B$2:$B$425,$E77)</f>
        <v>0</v>
      </c>
      <c r="J77" s="196">
        <f>SUMIFS('Forbrug af biomasse'!$E$2:$E$425,'Forbrug af biomasse'!$C$2:$C$425,'Resultat-Produktion &amp; forbrug'!$A77,'Forbrug af biomasse'!$D$2:$D$425,'Resultat-Produktion &amp; forbrug'!$D77,'Forbrug af biomasse'!$A$2:$A$425,'Resultat-Produktion &amp; forbrug'!J$2,'Forbrug af biomasse'!$B$2:$B$425,$E77)</f>
        <v>314692.31350359169</v>
      </c>
      <c r="K77" s="196">
        <f>SUMIFS('Forbrug af biomasse'!$E$2:$E$425,'Forbrug af biomasse'!$C$2:$C$425,'Resultat-Produktion &amp; forbrug'!$A77,'Forbrug af biomasse'!$D$2:$D$425,'Resultat-Produktion &amp; forbrug'!$D77,'Forbrug af biomasse'!$A$2:$A$425,'Resultat-Produktion &amp; forbrug'!K$2,'Forbrug af biomasse'!$B$2:$B$425,$E77)</f>
        <v>0</v>
      </c>
      <c r="L77" s="196">
        <f>IF(A77&lt;&gt;"Biogas",SUMIFS('Forbrug af biomasse'!$E$2:$E$425,'Forbrug af biomasse'!$C$2:$C$425,'Resultat-Produktion &amp; forbrug'!$A77,'Forbrug af biomasse'!$D$2:$D$425,'Resultat-Produktion &amp; forbrug'!$D77,'Forbrug af biomasse'!$A$2:$A$425,'Resultat-Produktion &amp; forbrug'!L$2,'Forbrug af biomasse'!$B$2:$B$425,$E77),F77)</f>
        <v>0</v>
      </c>
      <c r="M77" s="158">
        <f>SUMIFS('Forbrug af biomasse'!E:E,'Forbrug af biomasse'!C:C,'Resultat-Produktion &amp; forbrug'!$A77,'Forbrug af biomasse'!D:D,'Resultat-Produktion &amp; forbrug'!$D77,'Forbrug af biomasse'!G:G,1,'Forbrug af biomasse'!B:B,$E77)</f>
        <v>0</v>
      </c>
      <c r="N77" s="205">
        <f t="shared" si="9"/>
        <v>2011561.6525161136</v>
      </c>
      <c r="O77" s="196">
        <f t="shared" si="20"/>
        <v>1690869.0750561175</v>
      </c>
      <c r="P77" s="206">
        <f t="shared" si="10"/>
        <v>314692.31350359169</v>
      </c>
      <c r="Q77" s="193">
        <f>IFERROR(VLOOKUP(A77,[1]Energiindhold!$A$2:$C$11,3,FALSE),IFERROR(VLOOKUP(A77,[1]Biogasudbytte!$A$2:$B$18,2,FALSE)*[1]Energiindhold!$C$10,0))*O77</f>
        <v>6.070219979451462</v>
      </c>
      <c r="R77" s="193">
        <f>IF(A77&lt;&gt;"Biogas",IFERROR(VLOOKUP(A77,[1]Biogasudbytte!$A$2:$B$18,2,FALSE)*[1]Energiindhold!$C$10,0)*J77*IFERROR(VLOOKUP(A77,Biogasanlæg!$F$3:$G$8,2,FALSE),1)+IFERROR(VLOOKUP(A77,[1]Energiindhold!$A$2:$C$11,3,FALSE),0)*L77+IF(D77&lt;&gt;År1,Q77,0),0)</f>
        <v>7.1999653849293566</v>
      </c>
      <c r="S77" s="193">
        <f>IFERROR(VLOOKUP(A77,[1]Biogasudbytte!$A$2:$B$18,2,FALSE)*[1]Energiindhold!$C$10,0)*J77*IFERROR(VLOOKUP(A77,Biogasanlæg!$F$3:$G$8,2,FALSE),1)</f>
        <v>1.1297454054778944</v>
      </c>
      <c r="T77" s="194">
        <f t="shared" si="11"/>
        <v>6.070219979451462</v>
      </c>
      <c r="U77" s="192">
        <f>O77*IFERROR(VLOOKUP(A77,[1]Tørstofindhold!A$2:B$25,2,FALSE),0)</f>
        <v>507260.7225168352</v>
      </c>
      <c r="V77" s="193">
        <f>IF(D77=År1,P77,SUM(O77,P77))*IFERROR(VLOOKUP(A77,[1]Tørstofindhold!A$2:B$25,2,FALSE),0)</f>
        <v>601668.41656791279</v>
      </c>
      <c r="W77" s="193">
        <f>J77*IFERROR(VLOOKUP(A77,[1]Tørstofindhold!A$2:B$25,2,FALSE),0)</f>
        <v>94407.694051077502</v>
      </c>
      <c r="X77" s="194">
        <f t="shared" si="12"/>
        <v>507260.72251683532</v>
      </c>
      <c r="Y77" s="172">
        <f t="shared" si="21"/>
        <v>0</v>
      </c>
      <c r="Z77" s="104">
        <f t="shared" si="22"/>
        <v>1</v>
      </c>
    </row>
    <row r="78" spans="1:26" hidden="1" x14ac:dyDescent="0.55000000000000004">
      <c r="A78" s="195" t="str">
        <f t="shared" si="17"/>
        <v>Mejeriprodukter</v>
      </c>
      <c r="B78" s="195" t="str">
        <f t="shared" si="18"/>
        <v/>
      </c>
      <c r="C78" s="195">
        <f>IF(COUNTIFS('Resultater - Danmark'!$D$3:$D$482,'Resultat-Produktion &amp; forbrug'!A78,'Resultater - Danmark'!$A$3:$A$482,"Til energi")+COUNTIFS('Resultater - Danmark'!$D$3:$D$482,'Resultat-Produktion &amp; forbrug'!A78,'Resultater - Danmark'!$A$3:$A$482,"Biogasanlæg")&gt;0,1,0)</f>
        <v>0</v>
      </c>
      <c r="D78" s="195">
        <f t="shared" si="19"/>
        <v>2030</v>
      </c>
      <c r="E78" s="193" t="s">
        <v>23</v>
      </c>
      <c r="F78" s="196">
        <f>IF(E78="Vestdanmark",SUMIFS(IF(D78=År1,'Resultater - Vestdanmark'!H$3:H$482,IF(D78=År2,'Resultater - Vestdanmark'!I$3:I$482,'Resultater - Vestdanmark'!J$3:J$482)),'Resultater - Vestdanmark'!$F$3:$F$482,$A78,IF(D78=År1,'Resultater - Vestdanmark'!H$3:H$482,IF(D78=År2,'Resultater - Vestdanmark'!I$3:I$482,'Resultater - Vestdanmark'!J$3:J$482)),"&gt;0"),SUMIFS(IF(D78=År1,'Resultater - Østdanmark'!H$3:H$482,IF(D78=År2,'Resultater - Østdanmark'!I$3:I$482,'Resultater - Østdanmark'!J$3:J$482)),'Resultater - Østdanmark'!$F$3:$F$482,$A78,IF(D78=År1,'Resultater - Østdanmark'!H$3:H$482,IF(D78=År2,'Resultater - Østdanmark'!I$3:I$482,'Resultater - Østdanmark'!J$3:J$482)),"&gt;0"))</f>
        <v>3127676.8816170068</v>
      </c>
      <c r="G78" s="196">
        <f>SUMIFS('Forbrug af biomasse'!$E$2:$E$425,'Forbrug af biomasse'!$C$2:$C$425,'Resultat-Produktion &amp; forbrug'!$A78,'Forbrug af biomasse'!$D$2:$D$425,'Resultat-Produktion &amp; forbrug'!$D78,'Forbrug af biomasse'!$A$2:$A$425,'Resultat-Produktion &amp; forbrug'!G$2,'Forbrug af biomasse'!$B$2:$B$425,$E78)</f>
        <v>0</v>
      </c>
      <c r="H78" s="193">
        <f>IF(E78="Vestdanmark",-IF(A78="Halm",SUMIFS(IF(D78=År1,'Resultater - Vestdanmark'!H$3:H$482,IF(D78=År2,'Resultater - Vestdanmark'!I$3:I$482,'Resultater - Vestdanmark'!J$3:J$482)),'Resultater - Vestdanmark'!$F$3:$F$482,$A78,'Resultater - Vestdanmark'!H$3:H$482,"&lt;0"),0),-IF(A78="Halm",SUMIFS(IF(D78=År1,'Resultater - Østdanmark'!H$3:H$482,IF(D78=År2,'Resultater - Østdanmark'!I$3:I$482,'Resultater - Østdanmark'!J$3:J$482)),'Resultater - Østdanmark'!$F$3:$F$482,$A78,'Resultater - Østdanmark'!H$3:H$482,"&lt;0"),0))</f>
        <v>0</v>
      </c>
      <c r="I78" s="196">
        <f>SUMIFS('Forbrug af biomasse'!$E$2:$E$425,'Forbrug af biomasse'!$C$2:$C$425,'Resultat-Produktion &amp; forbrug'!$A78,'Forbrug af biomasse'!$D$2:$D$425,'Resultat-Produktion &amp; forbrug'!$D78,'Forbrug af biomasse'!$A$2:$A$425,'Resultat-Produktion &amp; forbrug'!I$2,'Forbrug af biomasse'!$B$2:$B$425,$E78)</f>
        <v>472406.87601849809</v>
      </c>
      <c r="J78" s="196">
        <f>SUMIFS('Forbrug af biomasse'!$E$2:$E$425,'Forbrug af biomasse'!$C$2:$C$425,'Resultat-Produktion &amp; forbrug'!$A78,'Forbrug af biomasse'!$D$2:$D$425,'Resultat-Produktion &amp; forbrug'!$D78,'Forbrug af biomasse'!$A$2:$A$425,'Resultat-Produktion &amp; forbrug'!J$2,'Forbrug af biomasse'!$B$2:$B$425,$E78)</f>
        <v>0</v>
      </c>
      <c r="K78" s="196">
        <f>SUMIFS('Forbrug af biomasse'!$E$2:$E$425,'Forbrug af biomasse'!$C$2:$C$425,'Resultat-Produktion &amp; forbrug'!$A78,'Forbrug af biomasse'!$D$2:$D$425,'Resultat-Produktion &amp; forbrug'!$D78,'Forbrug af biomasse'!$A$2:$A$425,'Resultat-Produktion &amp; forbrug'!K$2,'Forbrug af biomasse'!$B$2:$B$425,$E78)</f>
        <v>0</v>
      </c>
      <c r="L78" s="196">
        <f>IF(A78&lt;&gt;"Biogas",SUMIFS('Forbrug af biomasse'!$E$2:$E$425,'Forbrug af biomasse'!$C$2:$C$425,'Resultat-Produktion &amp; forbrug'!$A78,'Forbrug af biomasse'!$D$2:$D$425,'Resultat-Produktion &amp; forbrug'!$D78,'Forbrug af biomasse'!$A$2:$A$425,'Resultat-Produktion &amp; forbrug'!L$2,'Forbrug af biomasse'!$B$2:$B$425,$E78),F78)</f>
        <v>0</v>
      </c>
      <c r="M78" s="158">
        <f>SUMIFS('Forbrug af biomasse'!E:E,'Forbrug af biomasse'!C:C,'Resultat-Produktion &amp; forbrug'!$A78,'Forbrug af biomasse'!D:D,'Resultat-Produktion &amp; forbrug'!$D78,'Forbrug af biomasse'!G:G,1,'Forbrug af biomasse'!B:B,$E78)</f>
        <v>0</v>
      </c>
      <c r="N78" s="205">
        <f t="shared" si="9"/>
        <v>2655270.0055985088</v>
      </c>
      <c r="O78" s="196">
        <f t="shared" si="20"/>
        <v>0</v>
      </c>
      <c r="P78" s="206">
        <f t="shared" si="10"/>
        <v>0</v>
      </c>
      <c r="Q78" s="193">
        <f>IFERROR(VLOOKUP(A78,[1]Energiindhold!$A$2:$C$11,3,FALSE),IFERROR(VLOOKUP(A78,[1]Biogasudbytte!$A$2:$B$18,2,FALSE)*[1]Energiindhold!$C$10,0))*O78</f>
        <v>0</v>
      </c>
      <c r="R78" s="193">
        <f>IF(A78&lt;&gt;"Biogas",IFERROR(VLOOKUP(A78,[1]Biogasudbytte!$A$2:$B$18,2,FALSE)*[1]Energiindhold!$C$10,0)*J78*IFERROR(VLOOKUP(A78,Biogasanlæg!$F$3:$G$8,2,FALSE),1)+IFERROR(VLOOKUP(A78,[1]Energiindhold!$A$2:$C$11,3,FALSE),0)*L78+IF(D78&lt;&gt;År1,Q78,0),0)</f>
        <v>0</v>
      </c>
      <c r="S78" s="193">
        <f>IFERROR(VLOOKUP(A78,[1]Biogasudbytte!$A$2:$B$18,2,FALSE)*[1]Energiindhold!$C$10,0)*J78*IFERROR(VLOOKUP(A78,Biogasanlæg!$F$3:$G$8,2,FALSE),1)</f>
        <v>0</v>
      </c>
      <c r="T78" s="194">
        <f t="shared" si="11"/>
        <v>0</v>
      </c>
      <c r="U78" s="192">
        <f>O78*IFERROR(VLOOKUP(A78,[1]Tørstofindhold!A$2:B$25,2,FALSE),0)</f>
        <v>0</v>
      </c>
      <c r="V78" s="193">
        <f>IF(D78=År1,P78,SUM(O78,P78))*IFERROR(VLOOKUP(A78,[1]Tørstofindhold!A$2:B$25,2,FALSE),0)</f>
        <v>0</v>
      </c>
      <c r="W78" s="193">
        <f>J78*IFERROR(VLOOKUP(A78,[1]Tørstofindhold!A$2:B$25,2,FALSE),0)</f>
        <v>0</v>
      </c>
      <c r="X78" s="194">
        <f t="shared" si="12"/>
        <v>0</v>
      </c>
      <c r="Y78" s="172">
        <f t="shared" si="21"/>
        <v>0</v>
      </c>
      <c r="Z78" s="104">
        <f t="shared" si="22"/>
        <v>1</v>
      </c>
    </row>
    <row r="79" spans="1:26" x14ac:dyDescent="0.55000000000000004">
      <c r="A79" s="195" t="str">
        <f t="shared" si="17"/>
        <v>Muslinger</v>
      </c>
      <c r="B79" s="195" t="str">
        <f t="shared" si="18"/>
        <v>Havbiomasse</v>
      </c>
      <c r="C79" s="195">
        <f>IF(COUNTIFS('Resultater - Danmark'!$D$3:$D$482,'Resultat-Produktion &amp; forbrug'!A79,'Resultater - Danmark'!$A$3:$A$482,"Til energi")+COUNTIFS('Resultater - Danmark'!$D$3:$D$482,'Resultat-Produktion &amp; forbrug'!A79,'Resultater - Danmark'!$A$3:$A$482,"Biogasanlæg")&gt;0,1,0)</f>
        <v>1</v>
      </c>
      <c r="D79" s="195">
        <f t="shared" si="19"/>
        <v>2030</v>
      </c>
      <c r="E79" s="193" t="s">
        <v>23</v>
      </c>
      <c r="F79" s="196">
        <f>IF(E79="Vestdanmark",SUMIFS(IF(D79=År1,'Resultater - Vestdanmark'!H$3:H$482,IF(D79=År2,'Resultater - Vestdanmark'!I$3:I$482,'Resultater - Vestdanmark'!J$3:J$482)),'Resultater - Vestdanmark'!$F$3:$F$482,$A79,IF(D79=År1,'Resultater - Vestdanmark'!H$3:H$482,IF(D79=År2,'Resultater - Vestdanmark'!I$3:I$482,'Resultater - Vestdanmark'!J$3:J$482)),"&gt;0"),SUMIFS(IF(D79=År1,'Resultater - Østdanmark'!H$3:H$482,IF(D79=År2,'Resultater - Østdanmark'!I$3:I$482,'Resultater - Østdanmark'!J$3:J$482)),'Resultater - Østdanmark'!$F$3:$F$482,$A79,IF(D79=År1,'Resultater - Østdanmark'!H$3:H$482,IF(D79=År2,'Resultater - Østdanmark'!I$3:I$482,'Resultater - Østdanmark'!J$3:J$482)),"&gt;0"))</f>
        <v>144989.33878430488</v>
      </c>
      <c r="G79" s="196">
        <f>SUMIFS('Forbrug af biomasse'!$E$2:$E$425,'Forbrug af biomasse'!$C$2:$C$425,'Resultat-Produktion &amp; forbrug'!$A79,'Forbrug af biomasse'!$D$2:$D$425,'Resultat-Produktion &amp; forbrug'!$D79,'Forbrug af biomasse'!$A$2:$A$425,'Resultat-Produktion &amp; forbrug'!G$2,'Forbrug af biomasse'!$B$2:$B$425,$E79)</f>
        <v>0</v>
      </c>
      <c r="H79" s="193">
        <f>IF(E79="Vestdanmark",-IF(A79="Halm",SUMIFS(IF(D79=År1,'Resultater - Vestdanmark'!H$3:H$482,IF(D79=År2,'Resultater - Vestdanmark'!I$3:I$482,'Resultater - Vestdanmark'!J$3:J$482)),'Resultater - Vestdanmark'!$F$3:$F$482,$A79,'Resultater - Vestdanmark'!H$3:H$482,"&lt;0"),0),-IF(A79="Halm",SUMIFS(IF(D79=År1,'Resultater - Østdanmark'!H$3:H$482,IF(D79=År2,'Resultater - Østdanmark'!I$3:I$482,'Resultater - Østdanmark'!J$3:J$482)),'Resultater - Østdanmark'!$F$3:$F$482,$A79,'Resultater - Østdanmark'!H$3:H$482,"&lt;0"),0))</f>
        <v>0</v>
      </c>
      <c r="I79" s="196">
        <f>SUMIFS('Forbrug af biomasse'!$E$2:$E$425,'Forbrug af biomasse'!$C$2:$C$425,'Resultat-Produktion &amp; forbrug'!$A79,'Forbrug af biomasse'!$D$2:$D$425,'Resultat-Produktion &amp; forbrug'!$D79,'Forbrug af biomasse'!$A$2:$A$425,'Resultat-Produktion &amp; forbrug'!I$2,'Forbrug af biomasse'!$B$2:$B$425,$E79)</f>
        <v>0</v>
      </c>
      <c r="J79" s="196">
        <f>SUMIFS('Forbrug af biomasse'!$E$2:$E$425,'Forbrug af biomasse'!$C$2:$C$425,'Resultat-Produktion &amp; forbrug'!$A79,'Forbrug af biomasse'!$D$2:$D$425,'Resultat-Produktion &amp; forbrug'!$D79,'Forbrug af biomasse'!$A$2:$A$425,'Resultat-Produktion &amp; forbrug'!J$2,'Forbrug af biomasse'!$B$2:$B$425,$E79)</f>
        <v>0</v>
      </c>
      <c r="K79" s="196">
        <f>SUMIFS('Forbrug af biomasse'!$E$2:$E$425,'Forbrug af biomasse'!$C$2:$C$425,'Resultat-Produktion &amp; forbrug'!$A79,'Forbrug af biomasse'!$D$2:$D$425,'Resultat-Produktion &amp; forbrug'!$D79,'Forbrug af biomasse'!$A$2:$A$425,'Resultat-Produktion &amp; forbrug'!K$2,'Forbrug af biomasse'!$B$2:$B$425,$E79)</f>
        <v>0</v>
      </c>
      <c r="L79" s="196">
        <f>IF(A79&lt;&gt;"Biogas",SUMIFS('Forbrug af biomasse'!$E$2:$E$425,'Forbrug af biomasse'!$C$2:$C$425,'Resultat-Produktion &amp; forbrug'!$A79,'Forbrug af biomasse'!$D$2:$D$425,'Resultat-Produktion &amp; forbrug'!$D79,'Forbrug af biomasse'!$A$2:$A$425,'Resultat-Produktion &amp; forbrug'!L$2,'Forbrug af biomasse'!$B$2:$B$425,$E79),F79)</f>
        <v>0</v>
      </c>
      <c r="M79" s="158">
        <f>SUMIFS('Forbrug af biomasse'!E:E,'Forbrug af biomasse'!C:C,'Resultat-Produktion &amp; forbrug'!$A79,'Forbrug af biomasse'!D:D,'Resultat-Produktion &amp; forbrug'!$D79,'Forbrug af biomasse'!G:G,1,'Forbrug af biomasse'!B:B,$E79)</f>
        <v>0</v>
      </c>
      <c r="N79" s="205">
        <f t="shared" si="9"/>
        <v>144989.33878430488</v>
      </c>
      <c r="O79" s="196">
        <f t="shared" si="20"/>
        <v>144989.33878430488</v>
      </c>
      <c r="P79" s="206">
        <f t="shared" si="10"/>
        <v>0</v>
      </c>
      <c r="Q79" s="193">
        <f>IFERROR(VLOOKUP(A79,[1]Energiindhold!$A$2:$C$11,3,FALSE),IFERROR(VLOOKUP(A79,[1]Biogasudbytte!$A$2:$B$18,2,FALSE)*[1]Energiindhold!$C$10,0))*O79</f>
        <v>0.13012793155891364</v>
      </c>
      <c r="R79" s="193">
        <f>IF(A79&lt;&gt;"Biogas",IFERROR(VLOOKUP(A79,[1]Biogasudbytte!$A$2:$B$18,2,FALSE)*[1]Energiindhold!$C$10,0)*J79*IFERROR(VLOOKUP(A79,Biogasanlæg!$F$3:$G$8,2,FALSE),1)+IFERROR(VLOOKUP(A79,[1]Energiindhold!$A$2:$C$11,3,FALSE),0)*L79+IF(D79&lt;&gt;År1,Q79,0),0)</f>
        <v>0.13012793155891364</v>
      </c>
      <c r="S79" s="193">
        <f>IFERROR(VLOOKUP(A79,[1]Biogasudbytte!$A$2:$B$18,2,FALSE)*[1]Energiindhold!$C$10,0)*J79*IFERROR(VLOOKUP(A79,Biogasanlæg!$F$3:$G$8,2,FALSE),1)</f>
        <v>0</v>
      </c>
      <c r="T79" s="194">
        <f t="shared" si="11"/>
        <v>0.13012793155891364</v>
      </c>
      <c r="U79" s="192">
        <f>O79*IFERROR(VLOOKUP(A79,[1]Tørstofindhold!A$2:B$25,2,FALSE),0)</f>
        <v>21748.400817645732</v>
      </c>
      <c r="V79" s="193">
        <f>IF(D79=År1,P79,SUM(O79,P79))*IFERROR(VLOOKUP(A79,[1]Tørstofindhold!A$2:B$25,2,FALSE),0)</f>
        <v>21748.400817645732</v>
      </c>
      <c r="W79" s="193">
        <f>J79*IFERROR(VLOOKUP(A79,[1]Tørstofindhold!A$2:B$25,2,FALSE),0)</f>
        <v>0</v>
      </c>
      <c r="X79" s="194">
        <f t="shared" si="12"/>
        <v>21748.400817645732</v>
      </c>
      <c r="Y79" s="172">
        <f t="shared" si="21"/>
        <v>0</v>
      </c>
      <c r="Z79" s="104">
        <f t="shared" si="22"/>
        <v>1</v>
      </c>
    </row>
    <row r="80" spans="1:26" hidden="1" x14ac:dyDescent="0.55000000000000004">
      <c r="A80" s="195" t="str">
        <f t="shared" si="17"/>
        <v>Oksekød</v>
      </c>
      <c r="B80" s="195" t="str">
        <f t="shared" si="18"/>
        <v/>
      </c>
      <c r="C80" s="195">
        <f>IF(COUNTIFS('Resultater - Danmark'!$D$3:$D$482,'Resultat-Produktion &amp; forbrug'!A80,'Resultater - Danmark'!$A$3:$A$482,"Til energi")+COUNTIFS('Resultater - Danmark'!$D$3:$D$482,'Resultat-Produktion &amp; forbrug'!A80,'Resultater - Danmark'!$A$3:$A$482,"Biogasanlæg")&gt;0,1,0)</f>
        <v>0</v>
      </c>
      <c r="D80" s="195">
        <f t="shared" si="19"/>
        <v>2030</v>
      </c>
      <c r="E80" s="193" t="s">
        <v>23</v>
      </c>
      <c r="F80" s="196">
        <f>IF(E80="Vestdanmark",SUMIFS(IF(D80=År1,'Resultater - Vestdanmark'!H$3:H$482,IF(D80=År2,'Resultater - Vestdanmark'!I$3:I$482,'Resultater - Vestdanmark'!J$3:J$482)),'Resultater - Vestdanmark'!$F$3:$F$482,$A80,IF(D80=År1,'Resultater - Vestdanmark'!H$3:H$482,IF(D80=År2,'Resultater - Vestdanmark'!I$3:I$482,'Resultater - Vestdanmark'!J$3:J$482)),"&gt;0"),SUMIFS(IF(D80=År1,'Resultater - Østdanmark'!H$3:H$482,IF(D80=År2,'Resultater - Østdanmark'!I$3:I$482,'Resultater - Østdanmark'!J$3:J$482)),'Resultater - Østdanmark'!$F$3:$F$482,$A80,IF(D80=År1,'Resultater - Østdanmark'!H$3:H$482,IF(D80=År2,'Resultater - Østdanmark'!I$3:I$482,'Resultater - Østdanmark'!J$3:J$482)),"&gt;0"))</f>
        <v>106168.13854148486</v>
      </c>
      <c r="G80" s="196">
        <f>SUMIFS('Forbrug af biomasse'!$E$2:$E$425,'Forbrug af biomasse'!$C$2:$C$425,'Resultat-Produktion &amp; forbrug'!$A80,'Forbrug af biomasse'!$D$2:$D$425,'Resultat-Produktion &amp; forbrug'!$D80,'Forbrug af biomasse'!$A$2:$A$425,'Resultat-Produktion &amp; forbrug'!G$2,'Forbrug af biomasse'!$B$2:$B$425,$E80)</f>
        <v>0</v>
      </c>
      <c r="H80" s="193">
        <f>IF(E80="Vestdanmark",-IF(A80="Halm",SUMIFS(IF(D80=År1,'Resultater - Vestdanmark'!H$3:H$482,IF(D80=År2,'Resultater - Vestdanmark'!I$3:I$482,'Resultater - Vestdanmark'!J$3:J$482)),'Resultater - Vestdanmark'!$F$3:$F$482,$A80,'Resultater - Vestdanmark'!H$3:H$482,"&lt;0"),0),-IF(A80="Halm",SUMIFS(IF(D80=År1,'Resultater - Østdanmark'!H$3:H$482,IF(D80=År2,'Resultater - Østdanmark'!I$3:I$482,'Resultater - Østdanmark'!J$3:J$482)),'Resultater - Østdanmark'!$F$3:$F$482,$A80,'Resultater - Østdanmark'!H$3:H$482,"&lt;0"),0))</f>
        <v>0</v>
      </c>
      <c r="I80" s="196">
        <f>SUMIFS('Forbrug af biomasse'!$E$2:$E$425,'Forbrug af biomasse'!$C$2:$C$425,'Resultat-Produktion &amp; forbrug'!$A80,'Forbrug af biomasse'!$D$2:$D$425,'Resultat-Produktion &amp; forbrug'!$D80,'Forbrug af biomasse'!$A$2:$A$425,'Resultat-Produktion &amp; forbrug'!I$2,'Forbrug af biomasse'!$B$2:$B$425,$E80)</f>
        <v>60028.253038902265</v>
      </c>
      <c r="J80" s="196">
        <f>SUMIFS('Forbrug af biomasse'!$E$2:$E$425,'Forbrug af biomasse'!$C$2:$C$425,'Resultat-Produktion &amp; forbrug'!$A80,'Forbrug af biomasse'!$D$2:$D$425,'Resultat-Produktion &amp; forbrug'!$D80,'Forbrug af biomasse'!$A$2:$A$425,'Resultat-Produktion &amp; forbrug'!J$2,'Forbrug af biomasse'!$B$2:$B$425,$E80)</f>
        <v>0</v>
      </c>
      <c r="K80" s="196">
        <f>SUMIFS('Forbrug af biomasse'!$E$2:$E$425,'Forbrug af biomasse'!$C$2:$C$425,'Resultat-Produktion &amp; forbrug'!$A80,'Forbrug af biomasse'!$D$2:$D$425,'Resultat-Produktion &amp; forbrug'!$D80,'Forbrug af biomasse'!$A$2:$A$425,'Resultat-Produktion &amp; forbrug'!K$2,'Forbrug af biomasse'!$B$2:$B$425,$E80)</f>
        <v>0</v>
      </c>
      <c r="L80" s="196">
        <f>IF(A80&lt;&gt;"Biogas",SUMIFS('Forbrug af biomasse'!$E$2:$E$425,'Forbrug af biomasse'!$C$2:$C$425,'Resultat-Produktion &amp; forbrug'!$A80,'Forbrug af biomasse'!$D$2:$D$425,'Resultat-Produktion &amp; forbrug'!$D80,'Forbrug af biomasse'!$A$2:$A$425,'Resultat-Produktion &amp; forbrug'!L$2,'Forbrug af biomasse'!$B$2:$B$425,$E80),F80)</f>
        <v>0</v>
      </c>
      <c r="M80" s="158">
        <f>SUMIFS('Forbrug af biomasse'!E:E,'Forbrug af biomasse'!C:C,'Resultat-Produktion &amp; forbrug'!$A80,'Forbrug af biomasse'!D:D,'Resultat-Produktion &amp; forbrug'!$D80,'Forbrug af biomasse'!G:G,1,'Forbrug af biomasse'!B:B,$E80)</f>
        <v>0</v>
      </c>
      <c r="N80" s="205">
        <f t="shared" si="9"/>
        <v>46139.885502582598</v>
      </c>
      <c r="O80" s="196">
        <f t="shared" si="20"/>
        <v>0</v>
      </c>
      <c r="P80" s="206">
        <f t="shared" si="10"/>
        <v>0</v>
      </c>
      <c r="Q80" s="193">
        <f>IFERROR(VLOOKUP(A80,[1]Energiindhold!$A$2:$C$11,3,FALSE),IFERROR(VLOOKUP(A80,[1]Biogasudbytte!$A$2:$B$18,2,FALSE)*[1]Energiindhold!$C$10,0))*O80</f>
        <v>0</v>
      </c>
      <c r="R80" s="193">
        <f>IF(A80&lt;&gt;"Biogas",IFERROR(VLOOKUP(A80,[1]Biogasudbytte!$A$2:$B$18,2,FALSE)*[1]Energiindhold!$C$10,0)*J80*IFERROR(VLOOKUP(A80,Biogasanlæg!$F$3:$G$8,2,FALSE),1)+IFERROR(VLOOKUP(A80,[1]Energiindhold!$A$2:$C$11,3,FALSE),0)*L80+IF(D80&lt;&gt;År1,Q80,0),0)</f>
        <v>0</v>
      </c>
      <c r="S80" s="193">
        <f>IFERROR(VLOOKUP(A80,[1]Biogasudbytte!$A$2:$B$18,2,FALSE)*[1]Energiindhold!$C$10,0)*J80*IFERROR(VLOOKUP(A80,Biogasanlæg!$F$3:$G$8,2,FALSE),1)</f>
        <v>0</v>
      </c>
      <c r="T80" s="194">
        <f t="shared" si="11"/>
        <v>0</v>
      </c>
      <c r="U80" s="192">
        <f>O80*IFERROR(VLOOKUP(A80,[1]Tørstofindhold!A$2:B$25,2,FALSE),0)</f>
        <v>0</v>
      </c>
      <c r="V80" s="193">
        <f>IF(D80=År1,P80,SUM(O80,P80))*IFERROR(VLOOKUP(A80,[1]Tørstofindhold!A$2:B$25,2,FALSE),0)</f>
        <v>0</v>
      </c>
      <c r="W80" s="193">
        <f>J80*IFERROR(VLOOKUP(A80,[1]Tørstofindhold!A$2:B$25,2,FALSE),0)</f>
        <v>0</v>
      </c>
      <c r="X80" s="194">
        <f t="shared" si="12"/>
        <v>0</v>
      </c>
      <c r="Y80" s="172">
        <f t="shared" si="21"/>
        <v>0</v>
      </c>
      <c r="Z80" s="104">
        <f t="shared" si="22"/>
        <v>1</v>
      </c>
    </row>
    <row r="81" spans="1:26" hidden="1" x14ac:dyDescent="0.55000000000000004">
      <c r="A81" s="195" t="str">
        <f t="shared" si="17"/>
        <v>Øvrige</v>
      </c>
      <c r="B81" s="195" t="str">
        <f t="shared" si="18"/>
        <v/>
      </c>
      <c r="C81" s="195">
        <f>IF(COUNTIFS('Resultater - Danmark'!$D$3:$D$482,'Resultat-Produktion &amp; forbrug'!A81,'Resultater - Danmark'!$A$3:$A$482,"Til energi")+COUNTIFS('Resultater - Danmark'!$D$3:$D$482,'Resultat-Produktion &amp; forbrug'!A81,'Resultater - Danmark'!$A$3:$A$482,"Biogasanlæg")&gt;0,1,0)</f>
        <v>0</v>
      </c>
      <c r="D81" s="195">
        <f t="shared" si="19"/>
        <v>2030</v>
      </c>
      <c r="E81" s="193" t="s">
        <v>23</v>
      </c>
      <c r="F81" s="196">
        <f>IF(E81="Vestdanmark",SUMIFS(IF(D81=År1,'Resultater - Vestdanmark'!H$3:H$482,IF(D81=År2,'Resultater - Vestdanmark'!I$3:I$482,'Resultater - Vestdanmark'!J$3:J$482)),'Resultater - Vestdanmark'!$F$3:$F$482,$A81,IF(D81=År1,'Resultater - Vestdanmark'!H$3:H$482,IF(D81=År2,'Resultater - Vestdanmark'!I$3:I$482,'Resultater - Vestdanmark'!J$3:J$482)),"&gt;0"),SUMIFS(IF(D81=År1,'Resultater - Østdanmark'!H$3:H$482,IF(D81=År2,'Resultater - Østdanmark'!I$3:I$482,'Resultater - Østdanmark'!J$3:J$482)),'Resultater - Østdanmark'!$F$3:$F$482,$A81,IF(D81=År1,'Resultater - Østdanmark'!H$3:H$482,IF(D81=År2,'Resultater - Østdanmark'!I$3:I$482,'Resultater - Østdanmark'!J$3:J$482)),"&gt;0"))</f>
        <v>1683153.4103621913</v>
      </c>
      <c r="G81" s="196">
        <f>SUMIFS('Forbrug af biomasse'!$E$2:$E$425,'Forbrug af biomasse'!$C$2:$C$425,'Resultat-Produktion &amp; forbrug'!$A81,'Forbrug af biomasse'!$D$2:$D$425,'Resultat-Produktion &amp; forbrug'!$D81,'Forbrug af biomasse'!$A$2:$A$425,'Resultat-Produktion &amp; forbrug'!G$2,'Forbrug af biomasse'!$B$2:$B$425,$E81)</f>
        <v>0</v>
      </c>
      <c r="H81" s="193">
        <f>IF(E81="Vestdanmark",-IF(A81="Halm",SUMIFS(IF(D81=År1,'Resultater - Vestdanmark'!H$3:H$482,IF(D81=År2,'Resultater - Vestdanmark'!I$3:I$482,'Resultater - Vestdanmark'!J$3:J$482)),'Resultater - Vestdanmark'!$F$3:$F$482,$A81,'Resultater - Vestdanmark'!H$3:H$482,"&lt;0"),0),-IF(A81="Halm",SUMIFS(IF(D81=År1,'Resultater - Østdanmark'!H$3:H$482,IF(D81=År2,'Resultater - Østdanmark'!I$3:I$482,'Resultater - Østdanmark'!J$3:J$482)),'Resultater - Østdanmark'!$F$3:$F$482,$A81,'Resultater - Østdanmark'!H$3:H$482,"&lt;0"),0))</f>
        <v>0</v>
      </c>
      <c r="I81" s="196">
        <f>SUMIFS('Forbrug af biomasse'!$E$2:$E$425,'Forbrug af biomasse'!$C$2:$C$425,'Resultat-Produktion &amp; forbrug'!$A81,'Forbrug af biomasse'!$D$2:$D$425,'Resultat-Produktion &amp; forbrug'!$D81,'Forbrug af biomasse'!$A$2:$A$425,'Resultat-Produktion &amp; forbrug'!I$2,'Forbrug af biomasse'!$B$2:$B$425,$E81)</f>
        <v>0</v>
      </c>
      <c r="J81" s="196">
        <f>SUMIFS('Forbrug af biomasse'!$E$2:$E$425,'Forbrug af biomasse'!$C$2:$C$425,'Resultat-Produktion &amp; forbrug'!$A81,'Forbrug af biomasse'!$D$2:$D$425,'Resultat-Produktion &amp; forbrug'!$D81,'Forbrug af biomasse'!$A$2:$A$425,'Resultat-Produktion &amp; forbrug'!J$2,'Forbrug af biomasse'!$B$2:$B$425,$E81)</f>
        <v>0</v>
      </c>
      <c r="K81" s="196">
        <f>SUMIFS('Forbrug af biomasse'!$E$2:$E$425,'Forbrug af biomasse'!$C$2:$C$425,'Resultat-Produktion &amp; forbrug'!$A81,'Forbrug af biomasse'!$D$2:$D$425,'Resultat-Produktion &amp; forbrug'!$D81,'Forbrug af biomasse'!$A$2:$A$425,'Resultat-Produktion &amp; forbrug'!K$2,'Forbrug af biomasse'!$B$2:$B$425,$E81)</f>
        <v>0</v>
      </c>
      <c r="L81" s="196">
        <f>IF(A81&lt;&gt;"Biogas",SUMIFS('Forbrug af biomasse'!$E$2:$E$425,'Forbrug af biomasse'!$C$2:$C$425,'Resultat-Produktion &amp; forbrug'!$A81,'Forbrug af biomasse'!$D$2:$D$425,'Resultat-Produktion &amp; forbrug'!$D81,'Forbrug af biomasse'!$A$2:$A$425,'Resultat-Produktion &amp; forbrug'!L$2,'Forbrug af biomasse'!$B$2:$B$425,$E81),F81)</f>
        <v>0</v>
      </c>
      <c r="M81" s="158">
        <f>SUMIFS('Forbrug af biomasse'!E:E,'Forbrug af biomasse'!C:C,'Resultat-Produktion &amp; forbrug'!$A81,'Forbrug af biomasse'!D:D,'Resultat-Produktion &amp; forbrug'!$D81,'Forbrug af biomasse'!G:G,1,'Forbrug af biomasse'!B:B,$E81)</f>
        <v>0</v>
      </c>
      <c r="N81" s="205">
        <f t="shared" si="9"/>
        <v>1683153.4103621913</v>
      </c>
      <c r="O81" s="196">
        <f t="shared" si="20"/>
        <v>0</v>
      </c>
      <c r="P81" s="206">
        <f t="shared" si="10"/>
        <v>0</v>
      </c>
      <c r="Q81" s="193">
        <f>IFERROR(VLOOKUP(A81,[1]Energiindhold!$A$2:$C$11,3,FALSE),IFERROR(VLOOKUP(A81,[1]Biogasudbytte!$A$2:$B$18,2,FALSE)*[1]Energiindhold!$C$10,0))*O81</f>
        <v>0</v>
      </c>
      <c r="R81" s="193">
        <f>IF(A81&lt;&gt;"Biogas",IFERROR(VLOOKUP(A81,[1]Biogasudbytte!$A$2:$B$18,2,FALSE)*[1]Energiindhold!$C$10,0)*J81*IFERROR(VLOOKUP(A81,Biogasanlæg!$F$3:$G$8,2,FALSE),1)+IFERROR(VLOOKUP(A81,[1]Energiindhold!$A$2:$C$11,3,FALSE),0)*L81+IF(D81&lt;&gt;År1,Q81,0),0)</f>
        <v>0</v>
      </c>
      <c r="S81" s="193">
        <f>IFERROR(VLOOKUP(A81,[1]Biogasudbytte!$A$2:$B$18,2,FALSE)*[1]Energiindhold!$C$10,0)*J81*IFERROR(VLOOKUP(A81,Biogasanlæg!$F$3:$G$8,2,FALSE),1)</f>
        <v>0</v>
      </c>
      <c r="T81" s="194">
        <f t="shared" si="11"/>
        <v>0</v>
      </c>
      <c r="U81" s="192">
        <f>O81*IFERROR(VLOOKUP(A81,[1]Tørstofindhold!A$2:B$25,2,FALSE),0)</f>
        <v>0</v>
      </c>
      <c r="V81" s="193">
        <f>IF(D81=År1,P81,SUM(O81,P81))*IFERROR(VLOOKUP(A81,[1]Tørstofindhold!A$2:B$25,2,FALSE),0)</f>
        <v>0</v>
      </c>
      <c r="W81" s="193">
        <f>J81*IFERROR(VLOOKUP(A81,[1]Tørstofindhold!A$2:B$25,2,FALSE),0)</f>
        <v>0</v>
      </c>
      <c r="X81" s="194">
        <f t="shared" si="12"/>
        <v>0</v>
      </c>
      <c r="Y81" s="172">
        <f t="shared" si="21"/>
        <v>0</v>
      </c>
      <c r="Z81" s="104">
        <f t="shared" si="22"/>
        <v>1</v>
      </c>
    </row>
    <row r="82" spans="1:26" hidden="1" x14ac:dyDescent="0.55000000000000004">
      <c r="A82" s="195" t="str">
        <f t="shared" si="17"/>
        <v>Pil &amp; poppel</v>
      </c>
      <c r="B82" s="195" t="str">
        <f t="shared" si="18"/>
        <v>Vedmasse</v>
      </c>
      <c r="C82" s="195">
        <f>IF(COUNTIFS('Resultater - Danmark'!$D$3:$D$482,'Resultat-Produktion &amp; forbrug'!A82,'Resultater - Danmark'!$A$3:$A$482,"Til energi")+COUNTIFS('Resultater - Danmark'!$D$3:$D$482,'Resultat-Produktion &amp; forbrug'!A82,'Resultater - Danmark'!$A$3:$A$482,"Biogasanlæg")&gt;0,1,0)</f>
        <v>1</v>
      </c>
      <c r="D82" s="195">
        <f t="shared" si="19"/>
        <v>2030</v>
      </c>
      <c r="E82" s="193" t="s">
        <v>23</v>
      </c>
      <c r="F82" s="196">
        <f>IF(E82="Vestdanmark",SUMIFS(IF(D82=År1,'Resultater - Vestdanmark'!H$3:H$482,IF(D82=År2,'Resultater - Vestdanmark'!I$3:I$482,'Resultater - Vestdanmark'!J$3:J$482)),'Resultater - Vestdanmark'!$F$3:$F$482,$A82,IF(D82=År1,'Resultater - Vestdanmark'!H$3:H$482,IF(D82=År2,'Resultater - Vestdanmark'!I$3:I$482,'Resultater - Vestdanmark'!J$3:J$482)),"&gt;0"),SUMIFS(IF(D82=År1,'Resultater - Østdanmark'!H$3:H$482,IF(D82=År2,'Resultater - Østdanmark'!I$3:I$482,'Resultater - Østdanmark'!J$3:J$482)),'Resultater - Østdanmark'!$F$3:$F$482,$A82,IF(D82=År1,'Resultater - Østdanmark'!H$3:H$482,IF(D82=År2,'Resultater - Østdanmark'!I$3:I$482,'Resultater - Østdanmark'!J$3:J$482)),"&gt;0"))</f>
        <v>177516.46640303911</v>
      </c>
      <c r="G82" s="196">
        <f>SUMIFS('Forbrug af biomasse'!$E$2:$E$425,'Forbrug af biomasse'!$C$2:$C$425,'Resultat-Produktion &amp; forbrug'!$A82,'Forbrug af biomasse'!$D$2:$D$425,'Resultat-Produktion &amp; forbrug'!$D82,'Forbrug af biomasse'!$A$2:$A$425,'Resultat-Produktion &amp; forbrug'!G$2,'Forbrug af biomasse'!$B$2:$B$425,$E82)</f>
        <v>0</v>
      </c>
      <c r="H82" s="193">
        <f>IF(E82="Vestdanmark",-IF(A82="Halm",SUMIFS(IF(D82=År1,'Resultater - Vestdanmark'!H$3:H$482,IF(D82=År2,'Resultater - Vestdanmark'!I$3:I$482,'Resultater - Vestdanmark'!J$3:J$482)),'Resultater - Vestdanmark'!$F$3:$F$482,$A82,'Resultater - Vestdanmark'!H$3:H$482,"&lt;0"),0),-IF(A82="Halm",SUMIFS(IF(D82=År1,'Resultater - Østdanmark'!H$3:H$482,IF(D82=År2,'Resultater - Østdanmark'!I$3:I$482,'Resultater - Østdanmark'!J$3:J$482)),'Resultater - Østdanmark'!$F$3:$F$482,$A82,'Resultater - Østdanmark'!H$3:H$482,"&lt;0"),0))</f>
        <v>0</v>
      </c>
      <c r="I82" s="196">
        <f>SUMIFS('Forbrug af biomasse'!$E$2:$E$425,'Forbrug af biomasse'!$C$2:$C$425,'Resultat-Produktion &amp; forbrug'!$A82,'Forbrug af biomasse'!$D$2:$D$425,'Resultat-Produktion &amp; forbrug'!$D82,'Forbrug af biomasse'!$A$2:$A$425,'Resultat-Produktion &amp; forbrug'!I$2,'Forbrug af biomasse'!$B$2:$B$425,$E82)</f>
        <v>0</v>
      </c>
      <c r="J82" s="196">
        <f>SUMIFS('Forbrug af biomasse'!$E$2:$E$425,'Forbrug af biomasse'!$C$2:$C$425,'Resultat-Produktion &amp; forbrug'!$A82,'Forbrug af biomasse'!$D$2:$D$425,'Resultat-Produktion &amp; forbrug'!$D82,'Forbrug af biomasse'!$A$2:$A$425,'Resultat-Produktion &amp; forbrug'!J$2,'Forbrug af biomasse'!$B$2:$B$425,$E82)</f>
        <v>0</v>
      </c>
      <c r="K82" s="196">
        <f>SUMIFS('Forbrug af biomasse'!$E$2:$E$425,'Forbrug af biomasse'!$C$2:$C$425,'Resultat-Produktion &amp; forbrug'!$A82,'Forbrug af biomasse'!$D$2:$D$425,'Resultat-Produktion &amp; forbrug'!$D82,'Forbrug af biomasse'!$A$2:$A$425,'Resultat-Produktion &amp; forbrug'!K$2,'Forbrug af biomasse'!$B$2:$B$425,$E82)</f>
        <v>0</v>
      </c>
      <c r="L82" s="196">
        <f>IF(A82&lt;&gt;"Biogas",SUMIFS('Forbrug af biomasse'!$E$2:$E$425,'Forbrug af biomasse'!$C$2:$C$425,'Resultat-Produktion &amp; forbrug'!$A82,'Forbrug af biomasse'!$D$2:$D$425,'Resultat-Produktion &amp; forbrug'!$D82,'Forbrug af biomasse'!$A$2:$A$425,'Resultat-Produktion &amp; forbrug'!L$2,'Forbrug af biomasse'!$B$2:$B$425,$E82),F82)</f>
        <v>177516.46640303911</v>
      </c>
      <c r="M82" s="158">
        <f>SUMIFS('Forbrug af biomasse'!E:E,'Forbrug af biomasse'!C:C,'Resultat-Produktion &amp; forbrug'!$A82,'Forbrug af biomasse'!D:D,'Resultat-Produktion &amp; forbrug'!$D82,'Forbrug af biomasse'!G:G,1,'Forbrug af biomasse'!B:B,$E82)</f>
        <v>0</v>
      </c>
      <c r="N82" s="205">
        <f t="shared" ref="N82:N149" si="23">F82-SUM(G82:M82)</f>
        <v>0</v>
      </c>
      <c r="O82" s="196">
        <f t="shared" si="20"/>
        <v>0</v>
      </c>
      <c r="P82" s="206">
        <f t="shared" ref="P82:P149" si="24">SUM(J82,L82)</f>
        <v>177516.46640303911</v>
      </c>
      <c r="Q82" s="193">
        <f>IFERROR(VLOOKUP(A82,[1]Energiindhold!$A$2:$C$11,3,FALSE),IFERROR(VLOOKUP(A82,[1]Biogasudbytte!$A$2:$B$18,2,FALSE)*[1]Energiindhold!$C$10,0))*O82</f>
        <v>0</v>
      </c>
      <c r="R82" s="193">
        <f>IF(A82&lt;&gt;"Biogas",IFERROR(VLOOKUP(A82,[1]Biogasudbytte!$A$2:$B$18,2,FALSE)*[1]Energiindhold!$C$10,0)*J82*IFERROR(VLOOKUP(A82,Biogasanlæg!$F$3:$G$8,2,FALSE),1)+IFERROR(VLOOKUP(A82,[1]Energiindhold!$A$2:$C$11,3,FALSE),0)*L82+IF(D82&lt;&gt;År1,Q82,0),0)</f>
        <v>3.2663029818159193</v>
      </c>
      <c r="S82" s="193">
        <f>IFERROR(VLOOKUP(A82,[1]Biogasudbytte!$A$2:$B$18,2,FALSE)*[1]Energiindhold!$C$10,0)*J82*IFERROR(VLOOKUP(A82,Biogasanlæg!$F$3:$G$8,2,FALSE),1)</f>
        <v>0</v>
      </c>
      <c r="T82" s="194">
        <f t="shared" ref="T82:T149" si="25">R82-S82</f>
        <v>3.2663029818159193</v>
      </c>
      <c r="U82" s="192">
        <f>O82*IFERROR(VLOOKUP(A82,[1]Tørstofindhold!A$2:B$25,2,FALSE),0)</f>
        <v>0</v>
      </c>
      <c r="V82" s="193">
        <f>IF(D82=År1,P82,SUM(O82,P82))*IFERROR(VLOOKUP(A82,[1]Tørstofindhold!A$2:B$25,2,FALSE),0)</f>
        <v>73669.333557261241</v>
      </c>
      <c r="W82" s="193">
        <f>J82*IFERROR(VLOOKUP(A82,[1]Tørstofindhold!A$2:B$25,2,FALSE),0)</f>
        <v>0</v>
      </c>
      <c r="X82" s="194">
        <f t="shared" ref="X82:X149" si="26">V82-W82</f>
        <v>73669.333557261241</v>
      </c>
      <c r="Y82" s="172">
        <f t="shared" si="21"/>
        <v>0</v>
      </c>
      <c r="Z82" s="104">
        <f t="shared" si="22"/>
        <v>0</v>
      </c>
    </row>
    <row r="83" spans="1:26" hidden="1" x14ac:dyDescent="0.55000000000000004">
      <c r="A83" s="195" t="str">
        <f t="shared" ref="A83:A84" si="27">A35</f>
        <v>Pyrolysegas</v>
      </c>
      <c r="B83" s="195" t="str">
        <f t="shared" ref="B83:B84" si="28">IF(B35&lt;&gt;"",B35,"")</f>
        <v>Pyrolyseprodukter</v>
      </c>
      <c r="C83" s="195">
        <f>IF(COUNTIFS('Resultater - Danmark'!$D$3:$D$482,'Resultat-Produktion &amp; forbrug'!A83,'Resultater - Danmark'!$A$3:$A$482,"Til energi")+COUNTIFS('Resultater - Danmark'!$D$3:$D$482,'Resultat-Produktion &amp; forbrug'!A83,'Resultater - Danmark'!$A$3:$A$482,"Biogasanlæg")&gt;0,1,0)</f>
        <v>1</v>
      </c>
      <c r="D83" s="195">
        <f t="shared" si="19"/>
        <v>2030</v>
      </c>
      <c r="E83" s="193" t="s">
        <v>23</v>
      </c>
      <c r="F83" s="196">
        <f>IF(E83="Vestdanmark",SUMIFS(IF(D83=År1,'Resultater - Vestdanmark'!H$3:H$482,IF(D83=År2,'Resultater - Vestdanmark'!I$3:I$482,'Resultater - Vestdanmark'!J$3:J$482)),'Resultater - Vestdanmark'!$F$3:$F$482,$A83,IF(D83=År1,'Resultater - Vestdanmark'!H$3:H$482,IF(D83=År2,'Resultater - Vestdanmark'!I$3:I$482,'Resultater - Vestdanmark'!J$3:J$482)),"&gt;0"),SUMIFS(IF(D83=År1,'Resultater - Østdanmark'!H$3:H$482,IF(D83=År2,'Resultater - Østdanmark'!I$3:I$482,'Resultater - Østdanmark'!J$3:J$482)),'Resultater - Østdanmark'!$F$3:$F$482,$A83,IF(D83=År1,'Resultater - Østdanmark'!H$3:H$482,IF(D83=År2,'Resultater - Østdanmark'!I$3:I$482,'Resultater - Østdanmark'!J$3:J$482)),"&gt;0"))</f>
        <v>0</v>
      </c>
      <c r="G83" s="196">
        <f>SUMIFS('Forbrug af biomasse'!$E$2:$E$425,'Forbrug af biomasse'!$C$2:$C$425,'Resultat-Produktion &amp; forbrug'!$A83,'Forbrug af biomasse'!$D$2:$D$425,'Resultat-Produktion &amp; forbrug'!$D83,'Forbrug af biomasse'!$A$2:$A$425,'Resultat-Produktion &amp; forbrug'!G$2,'Forbrug af biomasse'!$B$2:$B$425,$E83)</f>
        <v>0</v>
      </c>
      <c r="H83" s="193">
        <f>IF(E83="Vestdanmark",-IF(A83="Halm",SUMIFS(IF(D83=År1,'Resultater - Vestdanmark'!H$3:H$482,IF(D83=År2,'Resultater - Vestdanmark'!I$3:I$482,'Resultater - Vestdanmark'!J$3:J$482)),'Resultater - Vestdanmark'!$F$3:$F$482,$A83,'Resultater - Vestdanmark'!H$3:H$482,"&lt;0"),0),-IF(A83="Halm",SUMIFS(IF(D83=År1,'Resultater - Østdanmark'!H$3:H$482,IF(D83=År2,'Resultater - Østdanmark'!I$3:I$482,'Resultater - Østdanmark'!J$3:J$482)),'Resultater - Østdanmark'!$F$3:$F$482,$A83,'Resultater - Østdanmark'!H$3:H$482,"&lt;0"),0))</f>
        <v>0</v>
      </c>
      <c r="I83" s="196">
        <f>SUMIFS('Forbrug af biomasse'!$E$2:$E$425,'Forbrug af biomasse'!$C$2:$C$425,'Resultat-Produktion &amp; forbrug'!$A83,'Forbrug af biomasse'!$D$2:$D$425,'Resultat-Produktion &amp; forbrug'!$D83,'Forbrug af biomasse'!$A$2:$A$425,'Resultat-Produktion &amp; forbrug'!I$2,'Forbrug af biomasse'!$B$2:$B$425,$E83)</f>
        <v>0</v>
      </c>
      <c r="J83" s="196">
        <f>SUMIFS('Forbrug af biomasse'!$E$2:$E$425,'Forbrug af biomasse'!$C$2:$C$425,'Resultat-Produktion &amp; forbrug'!$A83,'Forbrug af biomasse'!$D$2:$D$425,'Resultat-Produktion &amp; forbrug'!$D83,'Forbrug af biomasse'!$A$2:$A$425,'Resultat-Produktion &amp; forbrug'!J$2,'Forbrug af biomasse'!$B$2:$B$425,$E83)</f>
        <v>0</v>
      </c>
      <c r="K83" s="196">
        <f>SUMIFS('Forbrug af biomasse'!$E$2:$E$425,'Forbrug af biomasse'!$C$2:$C$425,'Resultat-Produktion &amp; forbrug'!$A83,'Forbrug af biomasse'!$D$2:$D$425,'Resultat-Produktion &amp; forbrug'!$D83,'Forbrug af biomasse'!$A$2:$A$425,'Resultat-Produktion &amp; forbrug'!K$2,'Forbrug af biomasse'!$B$2:$B$425,$E83)</f>
        <v>0</v>
      </c>
      <c r="L83" s="196">
        <f>IF(A83&lt;&gt;"Biogas",SUMIFS('Forbrug af biomasse'!$E$2:$E$425,'Forbrug af biomasse'!$C$2:$C$425,'Resultat-Produktion &amp; forbrug'!$A83,'Forbrug af biomasse'!$D$2:$D$425,'Resultat-Produktion &amp; forbrug'!$D83,'Forbrug af biomasse'!$A$2:$A$425,'Resultat-Produktion &amp; forbrug'!L$2,'Forbrug af biomasse'!$B$2:$B$425,$E83),F83)</f>
        <v>0</v>
      </c>
      <c r="M83" s="158">
        <f>SUMIFS('Forbrug af biomasse'!E:E,'Forbrug af biomasse'!C:C,'Resultat-Produktion &amp; forbrug'!$A83,'Forbrug af biomasse'!D:D,'Resultat-Produktion &amp; forbrug'!$D83,'Forbrug af biomasse'!G:G,1,'Forbrug af biomasse'!B:B,$E83)</f>
        <v>0</v>
      </c>
      <c r="N83" s="205">
        <f t="shared" ref="N83:N84" si="29">F83-SUM(G83:M83)</f>
        <v>0</v>
      </c>
      <c r="O83" s="196">
        <f t="shared" si="20"/>
        <v>0</v>
      </c>
      <c r="P83" s="206">
        <f t="shared" ref="P83:P84" si="30">SUM(J83,L83)</f>
        <v>0</v>
      </c>
      <c r="Q83" s="193">
        <f>IFERROR(VLOOKUP(A83,[1]Energiindhold!$A$2:$C$11,3,FALSE),IFERROR(VLOOKUP(A83,[1]Biogasudbytte!$A$2:$B$18,2,FALSE)*[1]Energiindhold!$C$10,0))*O83</f>
        <v>0</v>
      </c>
      <c r="R83" s="193">
        <f>IF(A83&lt;&gt;"Biogas",IFERROR(VLOOKUP(A83,[1]Biogasudbytte!$A$2:$B$18,2,FALSE)*[1]Energiindhold!$C$10,0)*J83*IFERROR(VLOOKUP(A83,Biogasanlæg!$F$3:$G$8,2,FALSE),1)+IFERROR(VLOOKUP(A83,[1]Energiindhold!$A$2:$C$11,3,FALSE),0)*L83+IF(D83&lt;&gt;År1,Q83,0),0)</f>
        <v>0</v>
      </c>
      <c r="S83" s="193">
        <f>IFERROR(VLOOKUP(A83,[1]Biogasudbytte!$A$2:$B$18,2,FALSE)*[1]Energiindhold!$C$10,0)*J83*IFERROR(VLOOKUP(A83,Biogasanlæg!$F$3:$G$8,2,FALSE),1)</f>
        <v>0</v>
      </c>
      <c r="T83" s="194">
        <f t="shared" ref="T83:T84" si="31">R83-S83</f>
        <v>0</v>
      </c>
      <c r="U83" s="192">
        <f>O83*IFERROR(VLOOKUP(A83,[1]Tørstofindhold!A$2:B$25,2,FALSE),0)</f>
        <v>0</v>
      </c>
      <c r="V83" s="193">
        <f>IF(D83=År1,P83,SUM(O83,P83))*IFERROR(VLOOKUP(A83,[1]Tørstofindhold!A$2:B$25,2,FALSE),0)</f>
        <v>0</v>
      </c>
      <c r="W83" s="193">
        <f>J83*IFERROR(VLOOKUP(A83,[1]Tørstofindhold!A$2:B$25,2,FALSE),0)</f>
        <v>0</v>
      </c>
      <c r="X83" s="194">
        <f t="shared" ref="X83:X84" si="32">V83-W83</f>
        <v>0</v>
      </c>
      <c r="Y83" s="172">
        <f t="shared" si="21"/>
        <v>0</v>
      </c>
      <c r="Z83" s="104">
        <f t="shared" si="22"/>
        <v>0</v>
      </c>
    </row>
    <row r="84" spans="1:26" hidden="1" x14ac:dyDescent="0.55000000000000004">
      <c r="A84" s="195" t="str">
        <f t="shared" si="27"/>
        <v>Pyrolyseolie</v>
      </c>
      <c r="B84" s="195" t="str">
        <f t="shared" si="28"/>
        <v>Pyrolyseprodukter</v>
      </c>
      <c r="C84" s="195">
        <f>IF(COUNTIFS('Resultater - Danmark'!$D$3:$D$482,'Resultat-Produktion &amp; forbrug'!A84,'Resultater - Danmark'!$A$3:$A$482,"Til energi")+COUNTIFS('Resultater - Danmark'!$D$3:$D$482,'Resultat-Produktion &amp; forbrug'!A84,'Resultater - Danmark'!$A$3:$A$482,"Biogasanlæg")&gt;0,1,0)</f>
        <v>1</v>
      </c>
      <c r="D84" s="195">
        <f t="shared" si="19"/>
        <v>2030</v>
      </c>
      <c r="E84" s="193" t="s">
        <v>23</v>
      </c>
      <c r="F84" s="196">
        <f>IF(E84="Vestdanmark",SUMIFS(IF(D84=År1,'Resultater - Vestdanmark'!H$3:H$482,IF(D84=År2,'Resultater - Vestdanmark'!I$3:I$482,'Resultater - Vestdanmark'!J$3:J$482)),'Resultater - Vestdanmark'!$F$3:$F$482,$A84,IF(D84=År1,'Resultater - Vestdanmark'!H$3:H$482,IF(D84=År2,'Resultater - Vestdanmark'!I$3:I$482,'Resultater - Vestdanmark'!J$3:J$482)),"&gt;0"),SUMIFS(IF(D84=År1,'Resultater - Østdanmark'!H$3:H$482,IF(D84=År2,'Resultater - Østdanmark'!I$3:I$482,'Resultater - Østdanmark'!J$3:J$482)),'Resultater - Østdanmark'!$F$3:$F$482,$A84,IF(D84=År1,'Resultater - Østdanmark'!H$3:H$482,IF(D84=År2,'Resultater - Østdanmark'!I$3:I$482,'Resultater - Østdanmark'!J$3:J$482)),"&gt;0"))</f>
        <v>0</v>
      </c>
      <c r="G84" s="196">
        <f>SUMIFS('Forbrug af biomasse'!$E$2:$E$425,'Forbrug af biomasse'!$C$2:$C$425,'Resultat-Produktion &amp; forbrug'!$A84,'Forbrug af biomasse'!$D$2:$D$425,'Resultat-Produktion &amp; forbrug'!$D84,'Forbrug af biomasse'!$A$2:$A$425,'Resultat-Produktion &amp; forbrug'!G$2,'Forbrug af biomasse'!$B$2:$B$425,$E84)</f>
        <v>0</v>
      </c>
      <c r="H84" s="193">
        <f>IF(E84="Vestdanmark",-IF(A84="Halm",SUMIFS(IF(D84=År1,'Resultater - Vestdanmark'!H$3:H$482,IF(D84=År2,'Resultater - Vestdanmark'!I$3:I$482,'Resultater - Vestdanmark'!J$3:J$482)),'Resultater - Vestdanmark'!$F$3:$F$482,$A84,'Resultater - Vestdanmark'!H$3:H$482,"&lt;0"),0),-IF(A84="Halm",SUMIFS(IF(D84=År1,'Resultater - Østdanmark'!H$3:H$482,IF(D84=År2,'Resultater - Østdanmark'!I$3:I$482,'Resultater - Østdanmark'!J$3:J$482)),'Resultater - Østdanmark'!$F$3:$F$482,$A84,'Resultater - Østdanmark'!H$3:H$482,"&lt;0"),0))</f>
        <v>0</v>
      </c>
      <c r="I84" s="196">
        <f>SUMIFS('Forbrug af biomasse'!$E$2:$E$425,'Forbrug af biomasse'!$C$2:$C$425,'Resultat-Produktion &amp; forbrug'!$A84,'Forbrug af biomasse'!$D$2:$D$425,'Resultat-Produktion &amp; forbrug'!$D84,'Forbrug af biomasse'!$A$2:$A$425,'Resultat-Produktion &amp; forbrug'!I$2,'Forbrug af biomasse'!$B$2:$B$425,$E84)</f>
        <v>0</v>
      </c>
      <c r="J84" s="196">
        <f>SUMIFS('Forbrug af biomasse'!$E$2:$E$425,'Forbrug af biomasse'!$C$2:$C$425,'Resultat-Produktion &amp; forbrug'!$A84,'Forbrug af biomasse'!$D$2:$D$425,'Resultat-Produktion &amp; forbrug'!$D84,'Forbrug af biomasse'!$A$2:$A$425,'Resultat-Produktion &amp; forbrug'!J$2,'Forbrug af biomasse'!$B$2:$B$425,$E84)</f>
        <v>0</v>
      </c>
      <c r="K84" s="196">
        <f>SUMIFS('Forbrug af biomasse'!$E$2:$E$425,'Forbrug af biomasse'!$C$2:$C$425,'Resultat-Produktion &amp; forbrug'!$A84,'Forbrug af biomasse'!$D$2:$D$425,'Resultat-Produktion &amp; forbrug'!$D84,'Forbrug af biomasse'!$A$2:$A$425,'Resultat-Produktion &amp; forbrug'!K$2,'Forbrug af biomasse'!$B$2:$B$425,$E84)</f>
        <v>0</v>
      </c>
      <c r="L84" s="196">
        <f>IF(A84&lt;&gt;"Biogas",SUMIFS('Forbrug af biomasse'!$E$2:$E$425,'Forbrug af biomasse'!$C$2:$C$425,'Resultat-Produktion &amp; forbrug'!$A84,'Forbrug af biomasse'!$D$2:$D$425,'Resultat-Produktion &amp; forbrug'!$D84,'Forbrug af biomasse'!$A$2:$A$425,'Resultat-Produktion &amp; forbrug'!L$2,'Forbrug af biomasse'!$B$2:$B$425,$E84),F84)</f>
        <v>0</v>
      </c>
      <c r="M84" s="158">
        <f>SUMIFS('Forbrug af biomasse'!E:E,'Forbrug af biomasse'!C:C,'Resultat-Produktion &amp; forbrug'!$A84,'Forbrug af biomasse'!D:D,'Resultat-Produktion &amp; forbrug'!$D84,'Forbrug af biomasse'!G:G,1,'Forbrug af biomasse'!B:B,$E84)</f>
        <v>0</v>
      </c>
      <c r="N84" s="205">
        <f t="shared" si="29"/>
        <v>0</v>
      </c>
      <c r="O84" s="196">
        <f t="shared" si="20"/>
        <v>0</v>
      </c>
      <c r="P84" s="206">
        <f t="shared" si="30"/>
        <v>0</v>
      </c>
      <c r="Q84" s="193">
        <f>IFERROR(VLOOKUP(A84,[1]Energiindhold!$A$2:$C$11,3,FALSE),IFERROR(VLOOKUP(A84,[1]Biogasudbytte!$A$2:$B$18,2,FALSE)*[1]Energiindhold!$C$10,0))*O84</f>
        <v>0</v>
      </c>
      <c r="R84" s="193">
        <f>IF(A84&lt;&gt;"Biogas",IFERROR(VLOOKUP(A84,[1]Biogasudbytte!$A$2:$B$18,2,FALSE)*[1]Energiindhold!$C$10,0)*J84*IFERROR(VLOOKUP(A84,Biogasanlæg!$F$3:$G$8,2,FALSE),1)+IFERROR(VLOOKUP(A84,[1]Energiindhold!$A$2:$C$11,3,FALSE),0)*L84+IF(D84&lt;&gt;År1,Q84,0),0)</f>
        <v>0</v>
      </c>
      <c r="S84" s="193">
        <f>IFERROR(VLOOKUP(A84,[1]Biogasudbytte!$A$2:$B$18,2,FALSE)*[1]Energiindhold!$C$10,0)*J84*IFERROR(VLOOKUP(A84,Biogasanlæg!$F$3:$G$8,2,FALSE),1)</f>
        <v>0</v>
      </c>
      <c r="T84" s="194">
        <f t="shared" si="31"/>
        <v>0</v>
      </c>
      <c r="U84" s="192">
        <f>O84*IFERROR(VLOOKUP(A84,[1]Tørstofindhold!A$2:B$25,2,FALSE),0)</f>
        <v>0</v>
      </c>
      <c r="V84" s="193">
        <f>IF(D84=År1,P84,SUM(O84,P84))*IFERROR(VLOOKUP(A84,[1]Tørstofindhold!A$2:B$25,2,FALSE),0)</f>
        <v>0</v>
      </c>
      <c r="W84" s="193">
        <f>J84*IFERROR(VLOOKUP(A84,[1]Tørstofindhold!A$2:B$25,2,FALSE),0)</f>
        <v>0</v>
      </c>
      <c r="X84" s="194">
        <f t="shared" si="32"/>
        <v>0</v>
      </c>
      <c r="Y84" s="172">
        <f t="shared" si="21"/>
        <v>0</v>
      </c>
      <c r="Z84" s="104">
        <f t="shared" si="22"/>
        <v>0</v>
      </c>
    </row>
    <row r="85" spans="1:26" hidden="1" x14ac:dyDescent="0.55000000000000004">
      <c r="A85" s="195" t="str">
        <f t="shared" ref="A85:A130" si="33">A37</f>
        <v>Råmælk</v>
      </c>
      <c r="B85" s="195" t="str">
        <f t="shared" ref="B85:B130" si="34">IF(B37&lt;&gt;"",B37,"")</f>
        <v/>
      </c>
      <c r="C85" s="195">
        <f>IF(COUNTIFS('Resultater - Danmark'!$D$3:$D$482,'Resultat-Produktion &amp; forbrug'!A85,'Resultater - Danmark'!$A$3:$A$482,"Til energi")+COUNTIFS('Resultater - Danmark'!$D$3:$D$482,'Resultat-Produktion &amp; forbrug'!A85,'Resultater - Danmark'!$A$3:$A$482,"Biogasanlæg")&gt;0,1,0)</f>
        <v>0</v>
      </c>
      <c r="D85" s="195">
        <f t="shared" si="19"/>
        <v>2030</v>
      </c>
      <c r="E85" s="193" t="s">
        <v>23</v>
      </c>
      <c r="F85" s="196">
        <f>IF(E85="Vestdanmark",SUMIFS(IF(D85=År1,'Resultater - Vestdanmark'!H$3:H$482,IF(D85=År2,'Resultater - Vestdanmark'!I$3:I$482,'Resultater - Vestdanmark'!J$3:J$482)),'Resultater - Vestdanmark'!$F$3:$F$482,$A85,IF(D85=År1,'Resultater - Vestdanmark'!H$3:H$482,IF(D85=År2,'Resultater - Vestdanmark'!I$3:I$482,'Resultater - Vestdanmark'!J$3:J$482)),"&gt;0"),SUMIFS(IF(D85=År1,'Resultater - Østdanmark'!H$3:H$482,IF(D85=År2,'Resultater - Østdanmark'!I$3:I$482,'Resultater - Østdanmark'!J$3:J$482)),'Resultater - Østdanmark'!$F$3:$F$482,$A85,IF(D85=År1,'Resultater - Østdanmark'!H$3:H$482,IF(D85=År2,'Resultater - Østdanmark'!I$3:I$482,'Resultater - Østdanmark'!J$3:J$482)),"&gt;0"))</f>
        <v>4870431.535367866</v>
      </c>
      <c r="G85" s="196">
        <f>SUMIFS('Forbrug af biomasse'!$E$2:$E$425,'Forbrug af biomasse'!$C$2:$C$425,'Resultat-Produktion &amp; forbrug'!$A85,'Forbrug af biomasse'!$D$2:$D$425,'Resultat-Produktion &amp; forbrug'!$D85,'Forbrug af biomasse'!$A$2:$A$425,'Resultat-Produktion &amp; forbrug'!G$2,'Forbrug af biomasse'!$B$2:$B$425,$E85)</f>
        <v>0</v>
      </c>
      <c r="H85" s="193">
        <f>IF(E85="Vestdanmark",-IF(A85="Halm",SUMIFS(IF(D85=År1,'Resultater - Vestdanmark'!H$3:H$482,IF(D85=År2,'Resultater - Vestdanmark'!I$3:I$482,'Resultater - Vestdanmark'!J$3:J$482)),'Resultater - Vestdanmark'!$F$3:$F$482,$A85,'Resultater - Vestdanmark'!H$3:H$482,"&lt;0"),0),-IF(A85="Halm",SUMIFS(IF(D85=År1,'Resultater - Østdanmark'!H$3:H$482,IF(D85=År2,'Resultater - Østdanmark'!I$3:I$482,'Resultater - Østdanmark'!J$3:J$482)),'Resultater - Østdanmark'!$F$3:$F$482,$A85,'Resultater - Østdanmark'!H$3:H$482,"&lt;0"),0))</f>
        <v>0</v>
      </c>
      <c r="I85" s="196">
        <f>SUMIFS('Forbrug af biomasse'!$E$2:$E$425,'Forbrug af biomasse'!$C$2:$C$425,'Resultat-Produktion &amp; forbrug'!$A85,'Forbrug af biomasse'!$D$2:$D$425,'Resultat-Produktion &amp; forbrug'!$D85,'Forbrug af biomasse'!$A$2:$A$425,'Resultat-Produktion &amp; forbrug'!I$2,'Forbrug af biomasse'!$B$2:$B$425,$E85)</f>
        <v>0</v>
      </c>
      <c r="J85" s="196">
        <f>SUMIFS('Forbrug af biomasse'!$E$2:$E$425,'Forbrug af biomasse'!$C$2:$C$425,'Resultat-Produktion &amp; forbrug'!$A85,'Forbrug af biomasse'!$D$2:$D$425,'Resultat-Produktion &amp; forbrug'!$D85,'Forbrug af biomasse'!$A$2:$A$425,'Resultat-Produktion &amp; forbrug'!J$2,'Forbrug af biomasse'!$B$2:$B$425,$E85)</f>
        <v>0</v>
      </c>
      <c r="K85" s="196">
        <f>SUMIFS('Forbrug af biomasse'!$E$2:$E$425,'Forbrug af biomasse'!$C$2:$C$425,'Resultat-Produktion &amp; forbrug'!$A85,'Forbrug af biomasse'!$D$2:$D$425,'Resultat-Produktion &amp; forbrug'!$D85,'Forbrug af biomasse'!$A$2:$A$425,'Resultat-Produktion &amp; forbrug'!K$2,'Forbrug af biomasse'!$B$2:$B$425,$E85)</f>
        <v>0</v>
      </c>
      <c r="L85" s="196">
        <f>IF(A85&lt;&gt;"Biogas",SUMIFS('Forbrug af biomasse'!$E$2:$E$425,'Forbrug af biomasse'!$C$2:$C$425,'Resultat-Produktion &amp; forbrug'!$A85,'Forbrug af biomasse'!$D$2:$D$425,'Resultat-Produktion &amp; forbrug'!$D85,'Forbrug af biomasse'!$A$2:$A$425,'Resultat-Produktion &amp; forbrug'!L$2,'Forbrug af biomasse'!$B$2:$B$425,$E85),F85)</f>
        <v>0</v>
      </c>
      <c r="M85" s="158">
        <f>SUMIFS('Forbrug af biomasse'!E:E,'Forbrug af biomasse'!C:C,'Resultat-Produktion &amp; forbrug'!$A85,'Forbrug af biomasse'!D:D,'Resultat-Produktion &amp; forbrug'!$D85,'Forbrug af biomasse'!G:G,1,'Forbrug af biomasse'!B:B,$E85)</f>
        <v>0</v>
      </c>
      <c r="N85" s="205">
        <f t="shared" si="23"/>
        <v>4870431.535367866</v>
      </c>
      <c r="O85" s="196">
        <f t="shared" si="20"/>
        <v>0</v>
      </c>
      <c r="P85" s="206">
        <f t="shared" si="24"/>
        <v>0</v>
      </c>
      <c r="Q85" s="193">
        <f>IFERROR(VLOOKUP(A85,[1]Energiindhold!$A$2:$C$11,3,FALSE),IFERROR(VLOOKUP(A85,[1]Biogasudbytte!$A$2:$B$18,2,FALSE)*[1]Energiindhold!$C$10,0))*O85</f>
        <v>0</v>
      </c>
      <c r="R85" s="193">
        <f>IF(A85&lt;&gt;"Biogas",IFERROR(VLOOKUP(A85,[1]Biogasudbytte!$A$2:$B$18,2,FALSE)*[1]Energiindhold!$C$10,0)*J85*IFERROR(VLOOKUP(A85,Biogasanlæg!$F$3:$G$8,2,FALSE),1)+IFERROR(VLOOKUP(A85,[1]Energiindhold!$A$2:$C$11,3,FALSE),0)*L85+IF(D85&lt;&gt;År1,Q85,0),0)</f>
        <v>0</v>
      </c>
      <c r="S85" s="193">
        <f>IFERROR(VLOOKUP(A85,[1]Biogasudbytte!$A$2:$B$18,2,FALSE)*[1]Energiindhold!$C$10,0)*J85*IFERROR(VLOOKUP(A85,Biogasanlæg!$F$3:$G$8,2,FALSE),1)</f>
        <v>0</v>
      </c>
      <c r="T85" s="194">
        <f t="shared" si="25"/>
        <v>0</v>
      </c>
      <c r="U85" s="192">
        <f>O85*IFERROR(VLOOKUP(A85,[1]Tørstofindhold!A$2:B$25,2,FALSE),0)</f>
        <v>0</v>
      </c>
      <c r="V85" s="193">
        <f>IF(D85=År1,P85,SUM(O85,P85))*IFERROR(VLOOKUP(A85,[1]Tørstofindhold!A$2:B$25,2,FALSE),0)</f>
        <v>0</v>
      </c>
      <c r="W85" s="193">
        <f>J85*IFERROR(VLOOKUP(A85,[1]Tørstofindhold!A$2:B$25,2,FALSE),0)</f>
        <v>0</v>
      </c>
      <c r="X85" s="194">
        <f t="shared" si="26"/>
        <v>0</v>
      </c>
      <c r="Y85" s="172">
        <f t="shared" si="21"/>
        <v>0</v>
      </c>
      <c r="Z85" s="104">
        <f t="shared" si="22"/>
        <v>1</v>
      </c>
    </row>
    <row r="86" spans="1:26" hidden="1" x14ac:dyDescent="0.55000000000000004">
      <c r="A86" s="195" t="str">
        <f t="shared" si="33"/>
        <v>Raps</v>
      </c>
      <c r="B86" s="195" t="str">
        <f t="shared" si="34"/>
        <v/>
      </c>
      <c r="C86" s="195">
        <f>IF(COUNTIFS('Resultater - Danmark'!$D$3:$D$482,'Resultat-Produktion &amp; forbrug'!A86,'Resultater - Danmark'!$A$3:$A$482,"Til energi")+COUNTIFS('Resultater - Danmark'!$D$3:$D$482,'Resultat-Produktion &amp; forbrug'!A86,'Resultater - Danmark'!$A$3:$A$482,"Biogasanlæg")&gt;0,1,0)</f>
        <v>0</v>
      </c>
      <c r="D86" s="195">
        <f t="shared" si="19"/>
        <v>2030</v>
      </c>
      <c r="E86" s="193" t="s">
        <v>23</v>
      </c>
      <c r="F86" s="196">
        <f>IF(E86="Vestdanmark",SUMIFS(IF(D86=År1,'Resultater - Vestdanmark'!H$3:H$482,IF(D86=År2,'Resultater - Vestdanmark'!I$3:I$482,'Resultater - Vestdanmark'!J$3:J$482)),'Resultater - Vestdanmark'!$F$3:$F$482,$A86,IF(D86=År1,'Resultater - Vestdanmark'!H$3:H$482,IF(D86=År2,'Resultater - Vestdanmark'!I$3:I$482,'Resultater - Vestdanmark'!J$3:J$482)),"&gt;0"),SUMIFS(IF(D86=År1,'Resultater - Østdanmark'!H$3:H$482,IF(D86=År2,'Resultater - Østdanmark'!I$3:I$482,'Resultater - Østdanmark'!J$3:J$482)),'Resultater - Østdanmark'!$F$3:$F$482,$A86,IF(D86=År1,'Resultater - Østdanmark'!H$3:H$482,IF(D86=År2,'Resultater - Østdanmark'!I$3:I$482,'Resultater - Østdanmark'!J$3:J$482)),"&gt;0"))</f>
        <v>507790.70515370794</v>
      </c>
      <c r="G86" s="196">
        <f>SUMIFS('Forbrug af biomasse'!$E$2:$E$425,'Forbrug af biomasse'!$C$2:$C$425,'Resultat-Produktion &amp; forbrug'!$A86,'Forbrug af biomasse'!$D$2:$D$425,'Resultat-Produktion &amp; forbrug'!$D86,'Forbrug af biomasse'!$A$2:$A$425,'Resultat-Produktion &amp; forbrug'!G$2,'Forbrug af biomasse'!$B$2:$B$425,$E86)</f>
        <v>0</v>
      </c>
      <c r="H86" s="193">
        <f>IF(E86="Vestdanmark",-IF(A86="Halm",SUMIFS(IF(D86=År1,'Resultater - Vestdanmark'!H$3:H$482,IF(D86=År2,'Resultater - Vestdanmark'!I$3:I$482,'Resultater - Vestdanmark'!J$3:J$482)),'Resultater - Vestdanmark'!$F$3:$F$482,$A86,'Resultater - Vestdanmark'!H$3:H$482,"&lt;0"),0),-IF(A86="Halm",SUMIFS(IF(D86=År1,'Resultater - Østdanmark'!H$3:H$482,IF(D86=År2,'Resultater - Østdanmark'!I$3:I$482,'Resultater - Østdanmark'!J$3:J$482)),'Resultater - Østdanmark'!$F$3:$F$482,$A86,'Resultater - Østdanmark'!H$3:H$482,"&lt;0"),0))</f>
        <v>0</v>
      </c>
      <c r="I86" s="196">
        <f>SUMIFS('Forbrug af biomasse'!$E$2:$E$425,'Forbrug af biomasse'!$C$2:$C$425,'Resultat-Produktion &amp; forbrug'!$A86,'Forbrug af biomasse'!$D$2:$D$425,'Resultat-Produktion &amp; forbrug'!$D86,'Forbrug af biomasse'!$A$2:$A$425,'Resultat-Produktion &amp; forbrug'!I$2,'Forbrug af biomasse'!$B$2:$B$425,$E86)</f>
        <v>0</v>
      </c>
      <c r="J86" s="196">
        <f>SUMIFS('Forbrug af biomasse'!$E$2:$E$425,'Forbrug af biomasse'!$C$2:$C$425,'Resultat-Produktion &amp; forbrug'!$A86,'Forbrug af biomasse'!$D$2:$D$425,'Resultat-Produktion &amp; forbrug'!$D86,'Forbrug af biomasse'!$A$2:$A$425,'Resultat-Produktion &amp; forbrug'!J$2,'Forbrug af biomasse'!$B$2:$B$425,$E86)</f>
        <v>0</v>
      </c>
      <c r="K86" s="196">
        <f>SUMIFS('Forbrug af biomasse'!$E$2:$E$425,'Forbrug af biomasse'!$C$2:$C$425,'Resultat-Produktion &amp; forbrug'!$A86,'Forbrug af biomasse'!$D$2:$D$425,'Resultat-Produktion &amp; forbrug'!$D86,'Forbrug af biomasse'!$A$2:$A$425,'Resultat-Produktion &amp; forbrug'!K$2,'Forbrug af biomasse'!$B$2:$B$425,$E86)</f>
        <v>0</v>
      </c>
      <c r="L86" s="196">
        <f>IF(A86&lt;&gt;"Biogas",SUMIFS('Forbrug af biomasse'!$E$2:$E$425,'Forbrug af biomasse'!$C$2:$C$425,'Resultat-Produktion &amp; forbrug'!$A86,'Forbrug af biomasse'!$D$2:$D$425,'Resultat-Produktion &amp; forbrug'!$D86,'Forbrug af biomasse'!$A$2:$A$425,'Resultat-Produktion &amp; forbrug'!L$2,'Forbrug af biomasse'!$B$2:$B$425,$E86),F86)</f>
        <v>0</v>
      </c>
      <c r="M86" s="158">
        <f>SUMIFS('Forbrug af biomasse'!E:E,'Forbrug af biomasse'!C:C,'Resultat-Produktion &amp; forbrug'!$A86,'Forbrug af biomasse'!D:D,'Resultat-Produktion &amp; forbrug'!$D86,'Forbrug af biomasse'!G:G,1,'Forbrug af biomasse'!B:B,$E86)</f>
        <v>507790.70515370794</v>
      </c>
      <c r="N86" s="205">
        <f t="shared" si="23"/>
        <v>0</v>
      </c>
      <c r="O86" s="196">
        <f t="shared" si="20"/>
        <v>0</v>
      </c>
      <c r="P86" s="206">
        <f t="shared" si="24"/>
        <v>0</v>
      </c>
      <c r="Q86" s="193">
        <f>IFERROR(VLOOKUP(A86,[1]Energiindhold!$A$2:$C$11,3,FALSE),IFERROR(VLOOKUP(A86,[1]Biogasudbytte!$A$2:$B$18,2,FALSE)*[1]Energiindhold!$C$10,0))*O86</f>
        <v>0</v>
      </c>
      <c r="R86" s="193">
        <f>IF(A86&lt;&gt;"Biogas",IFERROR(VLOOKUP(A86,[1]Biogasudbytte!$A$2:$B$18,2,FALSE)*[1]Energiindhold!$C$10,0)*J86*IFERROR(VLOOKUP(A86,Biogasanlæg!$F$3:$G$8,2,FALSE),1)+IFERROR(VLOOKUP(A86,[1]Energiindhold!$A$2:$C$11,3,FALSE),0)*L86+IF(D86&lt;&gt;År1,Q86,0),0)</f>
        <v>0</v>
      </c>
      <c r="S86" s="193">
        <f>IFERROR(VLOOKUP(A86,[1]Biogasudbytte!$A$2:$B$18,2,FALSE)*[1]Energiindhold!$C$10,0)*J86*IFERROR(VLOOKUP(A86,Biogasanlæg!$F$3:$G$8,2,FALSE),1)</f>
        <v>0</v>
      </c>
      <c r="T86" s="194">
        <f t="shared" si="25"/>
        <v>0</v>
      </c>
      <c r="U86" s="192">
        <f>O86*IFERROR(VLOOKUP(A86,[1]Tørstofindhold!A$2:B$25,2,FALSE),0)</f>
        <v>0</v>
      </c>
      <c r="V86" s="193">
        <f>IF(D86=År1,P86,SUM(O86,P86))*IFERROR(VLOOKUP(A86,[1]Tørstofindhold!A$2:B$25,2,FALSE),0)</f>
        <v>0</v>
      </c>
      <c r="W86" s="193">
        <f>J86*IFERROR(VLOOKUP(A86,[1]Tørstofindhold!A$2:B$25,2,FALSE),0)</f>
        <v>0</v>
      </c>
      <c r="X86" s="194">
        <f t="shared" si="26"/>
        <v>0</v>
      </c>
      <c r="Y86" s="172">
        <f t="shared" si="21"/>
        <v>0</v>
      </c>
      <c r="Z86" s="104">
        <f t="shared" si="22"/>
        <v>0</v>
      </c>
    </row>
    <row r="87" spans="1:26" hidden="1" x14ac:dyDescent="0.55000000000000004">
      <c r="A87" s="195" t="str">
        <f t="shared" si="33"/>
        <v>Rapskage</v>
      </c>
      <c r="B87" s="195" t="str">
        <f t="shared" si="34"/>
        <v/>
      </c>
      <c r="C87" s="195">
        <f>IF(COUNTIFS('Resultater - Danmark'!$D$3:$D$482,'Resultat-Produktion &amp; forbrug'!A87,'Resultater - Danmark'!$A$3:$A$482,"Til energi")+COUNTIFS('Resultater - Danmark'!$D$3:$D$482,'Resultat-Produktion &amp; forbrug'!A87,'Resultater - Danmark'!$A$3:$A$482,"Biogasanlæg")&gt;0,1,0)</f>
        <v>0</v>
      </c>
      <c r="D87" s="195">
        <f t="shared" si="19"/>
        <v>2030</v>
      </c>
      <c r="E87" s="193" t="s">
        <v>23</v>
      </c>
      <c r="F87" s="196">
        <f>IF(E87="Vestdanmark",SUMIFS(IF(D87=År1,'Resultater - Vestdanmark'!H$3:H$482,IF(D87=År2,'Resultater - Vestdanmark'!I$3:I$482,'Resultater - Vestdanmark'!J$3:J$482)),'Resultater - Vestdanmark'!$F$3:$F$482,$A87,IF(D87=År1,'Resultater - Vestdanmark'!H$3:H$482,IF(D87=År2,'Resultater - Vestdanmark'!I$3:I$482,'Resultater - Vestdanmark'!J$3:J$482)),"&gt;0"),SUMIFS(IF(D87=År1,'Resultater - Østdanmark'!H$3:H$482,IF(D87=År2,'Resultater - Østdanmark'!I$3:I$482,'Resultater - Østdanmark'!J$3:J$482)),'Resultater - Østdanmark'!$F$3:$F$482,$A87,IF(D87=År1,'Resultater - Østdanmark'!H$3:H$482,IF(D87=År2,'Resultater - Østdanmark'!I$3:I$482,'Resultater - Østdanmark'!J$3:J$482)),"&gt;0"))</f>
        <v>253895.35257685397</v>
      </c>
      <c r="G87" s="196">
        <f>SUMIFS('Forbrug af biomasse'!$E$2:$E$425,'Forbrug af biomasse'!$C$2:$C$425,'Resultat-Produktion &amp; forbrug'!$A87,'Forbrug af biomasse'!$D$2:$D$425,'Resultat-Produktion &amp; forbrug'!$D87,'Forbrug af biomasse'!$A$2:$A$425,'Resultat-Produktion &amp; forbrug'!G$2,'Forbrug af biomasse'!$B$2:$B$425,$E87)</f>
        <v>214099.10609126225</v>
      </c>
      <c r="H87" s="193">
        <f>IF(E87="Vestdanmark",-IF(A87="Halm",SUMIFS(IF(D87=År1,'Resultater - Vestdanmark'!H$3:H$482,IF(D87=År2,'Resultater - Vestdanmark'!I$3:I$482,'Resultater - Vestdanmark'!J$3:J$482)),'Resultater - Vestdanmark'!$F$3:$F$482,$A87,'Resultater - Vestdanmark'!H$3:H$482,"&lt;0"),0),-IF(A87="Halm",SUMIFS(IF(D87=År1,'Resultater - Østdanmark'!H$3:H$482,IF(D87=År2,'Resultater - Østdanmark'!I$3:I$482,'Resultater - Østdanmark'!J$3:J$482)),'Resultater - Østdanmark'!$F$3:$F$482,$A87,'Resultater - Østdanmark'!H$3:H$482,"&lt;0"),0))</f>
        <v>0</v>
      </c>
      <c r="I87" s="196">
        <f>SUMIFS('Forbrug af biomasse'!$E$2:$E$425,'Forbrug af biomasse'!$C$2:$C$425,'Resultat-Produktion &amp; forbrug'!$A87,'Forbrug af biomasse'!$D$2:$D$425,'Resultat-Produktion &amp; forbrug'!$D87,'Forbrug af biomasse'!$A$2:$A$425,'Resultat-Produktion &amp; forbrug'!I$2,'Forbrug af biomasse'!$B$2:$B$425,$E87)</f>
        <v>0</v>
      </c>
      <c r="J87" s="196">
        <f>SUMIFS('Forbrug af biomasse'!$E$2:$E$425,'Forbrug af biomasse'!$C$2:$C$425,'Resultat-Produktion &amp; forbrug'!$A87,'Forbrug af biomasse'!$D$2:$D$425,'Resultat-Produktion &amp; forbrug'!$D87,'Forbrug af biomasse'!$A$2:$A$425,'Resultat-Produktion &amp; forbrug'!J$2,'Forbrug af biomasse'!$B$2:$B$425,$E87)</f>
        <v>0</v>
      </c>
      <c r="K87" s="196">
        <f>SUMIFS('Forbrug af biomasse'!$E$2:$E$425,'Forbrug af biomasse'!$C$2:$C$425,'Resultat-Produktion &amp; forbrug'!$A87,'Forbrug af biomasse'!$D$2:$D$425,'Resultat-Produktion &amp; forbrug'!$D87,'Forbrug af biomasse'!$A$2:$A$425,'Resultat-Produktion &amp; forbrug'!K$2,'Forbrug af biomasse'!$B$2:$B$425,$E87)</f>
        <v>0</v>
      </c>
      <c r="L87" s="196">
        <f>IF(A87&lt;&gt;"Biogas",SUMIFS('Forbrug af biomasse'!$E$2:$E$425,'Forbrug af biomasse'!$C$2:$C$425,'Resultat-Produktion &amp; forbrug'!$A87,'Forbrug af biomasse'!$D$2:$D$425,'Resultat-Produktion &amp; forbrug'!$D87,'Forbrug af biomasse'!$A$2:$A$425,'Resultat-Produktion &amp; forbrug'!L$2,'Forbrug af biomasse'!$B$2:$B$425,$E87),F87)</f>
        <v>0</v>
      </c>
      <c r="M87" s="158">
        <f>SUMIFS('Forbrug af biomasse'!E:E,'Forbrug af biomasse'!C:C,'Resultat-Produktion &amp; forbrug'!$A87,'Forbrug af biomasse'!D:D,'Resultat-Produktion &amp; forbrug'!$D87,'Forbrug af biomasse'!G:G,1,'Forbrug af biomasse'!B:B,$E87)</f>
        <v>0</v>
      </c>
      <c r="N87" s="205">
        <f t="shared" si="23"/>
        <v>39796.246485591721</v>
      </c>
      <c r="O87" s="196">
        <f t="shared" si="20"/>
        <v>0</v>
      </c>
      <c r="P87" s="206">
        <f t="shared" si="24"/>
        <v>0</v>
      </c>
      <c r="Q87" s="193">
        <f>IFERROR(VLOOKUP(A87,[1]Energiindhold!$A$2:$C$11,3,FALSE),IFERROR(VLOOKUP(A87,[1]Biogasudbytte!$A$2:$B$18,2,FALSE)*[1]Energiindhold!$C$10,0))*O87</f>
        <v>0</v>
      </c>
      <c r="R87" s="193">
        <f>IF(A87&lt;&gt;"Biogas",IFERROR(VLOOKUP(A87,[1]Biogasudbytte!$A$2:$B$18,2,FALSE)*[1]Energiindhold!$C$10,0)*J87*IFERROR(VLOOKUP(A87,Biogasanlæg!$F$3:$G$8,2,FALSE),1)+IFERROR(VLOOKUP(A87,[1]Energiindhold!$A$2:$C$11,3,FALSE),0)*L87+IF(D87&lt;&gt;År1,Q87,0),0)</f>
        <v>0</v>
      </c>
      <c r="S87" s="193">
        <f>IFERROR(VLOOKUP(A87,[1]Biogasudbytte!$A$2:$B$18,2,FALSE)*[1]Energiindhold!$C$10,0)*J87*IFERROR(VLOOKUP(A87,Biogasanlæg!$F$3:$G$8,2,FALSE),1)</f>
        <v>0</v>
      </c>
      <c r="T87" s="194">
        <f t="shared" si="25"/>
        <v>0</v>
      </c>
      <c r="U87" s="192">
        <f>O87*IFERROR(VLOOKUP(A87,[1]Tørstofindhold!A$2:B$25,2,FALSE),0)</f>
        <v>0</v>
      </c>
      <c r="V87" s="193">
        <f>IF(D87=År1,P87,SUM(O87,P87))*IFERROR(VLOOKUP(A87,[1]Tørstofindhold!A$2:B$25,2,FALSE),0)</f>
        <v>0</v>
      </c>
      <c r="W87" s="193">
        <f>J87*IFERROR(VLOOKUP(A87,[1]Tørstofindhold!A$2:B$25,2,FALSE),0)</f>
        <v>0</v>
      </c>
      <c r="X87" s="194">
        <f t="shared" si="26"/>
        <v>0</v>
      </c>
      <c r="Y87" s="172">
        <f t="shared" si="21"/>
        <v>0</v>
      </c>
      <c r="Z87" s="104">
        <f t="shared" si="22"/>
        <v>1</v>
      </c>
    </row>
    <row r="88" spans="1:26" hidden="1" x14ac:dyDescent="0.55000000000000004">
      <c r="A88" s="195" t="str">
        <f t="shared" si="33"/>
        <v>Rapsolie</v>
      </c>
      <c r="B88" s="195" t="str">
        <f t="shared" si="34"/>
        <v>Rapsolie</v>
      </c>
      <c r="C88" s="195">
        <f>IF(COUNTIFS('Resultater - Danmark'!$D$3:$D$482,'Resultat-Produktion &amp; forbrug'!A88,'Resultater - Danmark'!$A$3:$A$482,"Til energi")+COUNTIFS('Resultater - Danmark'!$D$3:$D$482,'Resultat-Produktion &amp; forbrug'!A88,'Resultater - Danmark'!$A$3:$A$482,"Biogasanlæg")&gt;0,1,0)</f>
        <v>1</v>
      </c>
      <c r="D88" s="195">
        <f t="shared" si="19"/>
        <v>2030</v>
      </c>
      <c r="E88" s="193" t="s">
        <v>23</v>
      </c>
      <c r="F88" s="196">
        <f>IF(E88="Vestdanmark",SUMIFS(IF(D88=År1,'Resultater - Vestdanmark'!H$3:H$482,IF(D88=År2,'Resultater - Vestdanmark'!I$3:I$482,'Resultater - Vestdanmark'!J$3:J$482)),'Resultater - Vestdanmark'!$F$3:$F$482,$A88,IF(D88=År1,'Resultater - Vestdanmark'!H$3:H$482,IF(D88=År2,'Resultater - Vestdanmark'!I$3:I$482,'Resultater - Vestdanmark'!J$3:J$482)),"&gt;0"),SUMIFS(IF(D88=År1,'Resultater - Østdanmark'!H$3:H$482,IF(D88=År2,'Resultater - Østdanmark'!I$3:I$482,'Resultater - Østdanmark'!J$3:J$482)),'Resultater - Østdanmark'!$F$3:$F$482,$A88,IF(D88=År1,'Resultater - Østdanmark'!H$3:H$482,IF(D88=År2,'Resultater - Østdanmark'!I$3:I$482,'Resultater - Østdanmark'!J$3:J$482)),"&gt;0"))</f>
        <v>162493.02564918654</v>
      </c>
      <c r="G88" s="196">
        <f>SUMIFS('Forbrug af biomasse'!$E$2:$E$425,'Forbrug af biomasse'!$C$2:$C$425,'Resultat-Produktion &amp; forbrug'!$A88,'Forbrug af biomasse'!$D$2:$D$425,'Resultat-Produktion &amp; forbrug'!$D88,'Forbrug af biomasse'!$A$2:$A$425,'Resultat-Produktion &amp; forbrug'!G$2,'Forbrug af biomasse'!$B$2:$B$425,$E88)</f>
        <v>0</v>
      </c>
      <c r="H88" s="193">
        <f>IF(E88="Vestdanmark",-IF(A88="Halm",SUMIFS(IF(D88=År1,'Resultater - Vestdanmark'!H$3:H$482,IF(D88=År2,'Resultater - Vestdanmark'!I$3:I$482,'Resultater - Vestdanmark'!J$3:J$482)),'Resultater - Vestdanmark'!$F$3:$F$482,$A88,'Resultater - Vestdanmark'!H$3:H$482,"&lt;0"),0),-IF(A88="Halm",SUMIFS(IF(D88=År1,'Resultater - Østdanmark'!H$3:H$482,IF(D88=År2,'Resultater - Østdanmark'!I$3:I$482,'Resultater - Østdanmark'!J$3:J$482)),'Resultater - Østdanmark'!$F$3:$F$482,$A88,'Resultater - Østdanmark'!H$3:H$482,"&lt;0"),0))</f>
        <v>0</v>
      </c>
      <c r="I88" s="196">
        <f>SUMIFS('Forbrug af biomasse'!$E$2:$E$425,'Forbrug af biomasse'!$C$2:$C$425,'Resultat-Produktion &amp; forbrug'!$A88,'Forbrug af biomasse'!$D$2:$D$425,'Resultat-Produktion &amp; forbrug'!$D88,'Forbrug af biomasse'!$A$2:$A$425,'Resultat-Produktion &amp; forbrug'!I$2,'Forbrug af biomasse'!$B$2:$B$425,$E88)</f>
        <v>0</v>
      </c>
      <c r="J88" s="196">
        <f>SUMIFS('Forbrug af biomasse'!$E$2:$E$425,'Forbrug af biomasse'!$C$2:$C$425,'Resultat-Produktion &amp; forbrug'!$A88,'Forbrug af biomasse'!$D$2:$D$425,'Resultat-Produktion &amp; forbrug'!$D88,'Forbrug af biomasse'!$A$2:$A$425,'Resultat-Produktion &amp; forbrug'!J$2,'Forbrug af biomasse'!$B$2:$B$425,$E88)</f>
        <v>0</v>
      </c>
      <c r="K88" s="196">
        <f>SUMIFS('Forbrug af biomasse'!$E$2:$E$425,'Forbrug af biomasse'!$C$2:$C$425,'Resultat-Produktion &amp; forbrug'!$A88,'Forbrug af biomasse'!$D$2:$D$425,'Resultat-Produktion &amp; forbrug'!$D88,'Forbrug af biomasse'!$A$2:$A$425,'Resultat-Produktion &amp; forbrug'!K$2,'Forbrug af biomasse'!$B$2:$B$425,$E88)</f>
        <v>0</v>
      </c>
      <c r="L88" s="196">
        <f>IF(A88&lt;&gt;"Biogas",SUMIFS('Forbrug af biomasse'!$E$2:$E$425,'Forbrug af biomasse'!$C$2:$C$425,'Resultat-Produktion &amp; forbrug'!$A88,'Forbrug af biomasse'!$D$2:$D$425,'Resultat-Produktion &amp; forbrug'!$D88,'Forbrug af biomasse'!$A$2:$A$425,'Resultat-Produktion &amp; forbrug'!L$2,'Forbrug af biomasse'!$B$2:$B$425,$E88),F88)</f>
        <v>162493.02564918654</v>
      </c>
      <c r="M88" s="158">
        <f>SUMIFS('Forbrug af biomasse'!E:E,'Forbrug af biomasse'!C:C,'Resultat-Produktion &amp; forbrug'!$A88,'Forbrug af biomasse'!D:D,'Resultat-Produktion &amp; forbrug'!$D88,'Forbrug af biomasse'!G:G,1,'Forbrug af biomasse'!B:B,$E88)</f>
        <v>0</v>
      </c>
      <c r="N88" s="205">
        <f t="shared" si="23"/>
        <v>0</v>
      </c>
      <c r="O88" s="196">
        <f t="shared" si="20"/>
        <v>0</v>
      </c>
      <c r="P88" s="206">
        <f t="shared" si="24"/>
        <v>162493.02564918654</v>
      </c>
      <c r="Q88" s="193">
        <f>IFERROR(VLOOKUP(A88,[1]Energiindhold!$A$2:$C$11,3,FALSE),IFERROR(VLOOKUP(A88,[1]Biogasudbytte!$A$2:$B$18,2,FALSE)*[1]Energiindhold!$C$10,0))*O88</f>
        <v>0</v>
      </c>
      <c r="R88" s="193">
        <f>IF(A88&lt;&gt;"Biogas",IFERROR(VLOOKUP(A88,[1]Biogasudbytte!$A$2:$B$18,2,FALSE)*[1]Energiindhold!$C$10,0)*J88*IFERROR(VLOOKUP(A88,Biogasanlæg!$F$3:$G$8,2,FALSE),1)+IFERROR(VLOOKUP(A88,[1]Energiindhold!$A$2:$C$11,3,FALSE),0)*L88+IF(D88&lt;&gt;År1,Q88,0),0)</f>
        <v>5.6872558977215286</v>
      </c>
      <c r="S88" s="193">
        <f>IFERROR(VLOOKUP(A88,[1]Biogasudbytte!$A$2:$B$18,2,FALSE)*[1]Energiindhold!$C$10,0)*J88*IFERROR(VLOOKUP(A88,Biogasanlæg!$F$3:$G$8,2,FALSE),1)</f>
        <v>0</v>
      </c>
      <c r="T88" s="194">
        <f t="shared" si="25"/>
        <v>5.6872558977215286</v>
      </c>
      <c r="U88" s="192">
        <f>O88*IFERROR(VLOOKUP(A88,[1]Tørstofindhold!A$2:B$25,2,FALSE),0)</f>
        <v>0</v>
      </c>
      <c r="V88" s="193">
        <f>IF(D88=År1,P88,SUM(O88,P88))*IFERROR(VLOOKUP(A88,[1]Tørstofindhold!A$2:B$25,2,FALSE),0)</f>
        <v>147868.65334075977</v>
      </c>
      <c r="W88" s="193">
        <f>J88*IFERROR(VLOOKUP(A88,[1]Tørstofindhold!A$2:B$25,2,FALSE),0)</f>
        <v>0</v>
      </c>
      <c r="X88" s="194">
        <f t="shared" si="26"/>
        <v>147868.65334075977</v>
      </c>
      <c r="Y88" s="172">
        <f t="shared" si="21"/>
        <v>0</v>
      </c>
      <c r="Z88" s="104">
        <f t="shared" si="22"/>
        <v>0</v>
      </c>
    </row>
    <row r="89" spans="1:26" hidden="1" x14ac:dyDescent="0.55000000000000004">
      <c r="A89" s="195" t="str">
        <f t="shared" si="33"/>
        <v>Roer</v>
      </c>
      <c r="B89" s="195" t="str">
        <f t="shared" si="34"/>
        <v>Græs og urter</v>
      </c>
      <c r="C89" s="195">
        <f>IF(COUNTIFS('Resultater - Danmark'!$D$3:$D$482,'Resultat-Produktion &amp; forbrug'!A89,'Resultater - Danmark'!$A$3:$A$482,"Til energi")+COUNTIFS('Resultater - Danmark'!$D$3:$D$482,'Resultat-Produktion &amp; forbrug'!A89,'Resultater - Danmark'!$A$3:$A$482,"Biogasanlæg")&gt;0,1,0)</f>
        <v>1</v>
      </c>
      <c r="D89" s="195">
        <f t="shared" si="19"/>
        <v>2030</v>
      </c>
      <c r="E89" s="193" t="s">
        <v>23</v>
      </c>
      <c r="F89" s="196">
        <f>IF(E89="Vestdanmark",SUMIFS(IF(D89=År1,'Resultater - Vestdanmark'!H$3:H$482,IF(D89=År2,'Resultater - Vestdanmark'!I$3:I$482,'Resultater - Vestdanmark'!J$3:J$482)),'Resultater - Vestdanmark'!$F$3:$F$482,$A89,IF(D89=År1,'Resultater - Vestdanmark'!H$3:H$482,IF(D89=År2,'Resultater - Vestdanmark'!I$3:I$482,'Resultater - Vestdanmark'!J$3:J$482)),"&gt;0"),SUMIFS(IF(D89=År1,'Resultater - Østdanmark'!H$3:H$482,IF(D89=År2,'Resultater - Østdanmark'!I$3:I$482,'Resultater - Østdanmark'!J$3:J$482)),'Resultater - Østdanmark'!$F$3:$F$482,$A89,IF(D89=År1,'Resultater - Østdanmark'!H$3:H$482,IF(D89=År2,'Resultater - Østdanmark'!I$3:I$482,'Resultater - Østdanmark'!J$3:J$482)),"&gt;0"))</f>
        <v>395099.15710561507</v>
      </c>
      <c r="G89" s="196">
        <f>SUMIFS('Forbrug af biomasse'!$E$2:$E$425,'Forbrug af biomasse'!$C$2:$C$425,'Resultat-Produktion &amp; forbrug'!$A89,'Forbrug af biomasse'!$D$2:$D$425,'Resultat-Produktion &amp; forbrug'!$D89,'Forbrug af biomasse'!$A$2:$A$425,'Resultat-Produktion &amp; forbrug'!G$2,'Forbrug af biomasse'!$B$2:$B$425,$E89)</f>
        <v>841167.61765562883</v>
      </c>
      <c r="H89" s="193">
        <f>IF(E89="Vestdanmark",-IF(A89="Halm",SUMIFS(IF(D89=År1,'Resultater - Vestdanmark'!H$3:H$482,IF(D89=År2,'Resultater - Vestdanmark'!I$3:I$482,'Resultater - Vestdanmark'!J$3:J$482)),'Resultater - Vestdanmark'!$F$3:$F$482,$A89,'Resultater - Vestdanmark'!H$3:H$482,"&lt;0"),0),-IF(A89="Halm",SUMIFS(IF(D89=År1,'Resultater - Østdanmark'!H$3:H$482,IF(D89=År2,'Resultater - Østdanmark'!I$3:I$482,'Resultater - Østdanmark'!J$3:J$482)),'Resultater - Østdanmark'!$F$3:$F$482,$A89,'Resultater - Østdanmark'!H$3:H$482,"&lt;0"),0))</f>
        <v>0</v>
      </c>
      <c r="I89" s="196">
        <f>SUMIFS('Forbrug af biomasse'!$E$2:$E$425,'Forbrug af biomasse'!$C$2:$C$425,'Resultat-Produktion &amp; forbrug'!$A89,'Forbrug af biomasse'!$D$2:$D$425,'Resultat-Produktion &amp; forbrug'!$D89,'Forbrug af biomasse'!$A$2:$A$425,'Resultat-Produktion &amp; forbrug'!I$2,'Forbrug af biomasse'!$B$2:$B$425,$E89)</f>
        <v>0</v>
      </c>
      <c r="J89" s="196">
        <f>SUMIFS('Forbrug af biomasse'!$E$2:$E$425,'Forbrug af biomasse'!$C$2:$C$425,'Resultat-Produktion &amp; forbrug'!$A89,'Forbrug af biomasse'!$D$2:$D$425,'Resultat-Produktion &amp; forbrug'!$D89,'Forbrug af biomasse'!$A$2:$A$425,'Resultat-Produktion &amp; forbrug'!J$2,'Forbrug af biomasse'!$B$2:$B$425,$E89)</f>
        <v>4075.7207832735812</v>
      </c>
      <c r="K89" s="196">
        <f>SUMIFS('Forbrug af biomasse'!$E$2:$E$425,'Forbrug af biomasse'!$C$2:$C$425,'Resultat-Produktion &amp; forbrug'!$A89,'Forbrug af biomasse'!$D$2:$D$425,'Resultat-Produktion &amp; forbrug'!$D89,'Forbrug af biomasse'!$A$2:$A$425,'Resultat-Produktion &amp; forbrug'!K$2,'Forbrug af biomasse'!$B$2:$B$425,$E89)</f>
        <v>0</v>
      </c>
      <c r="L89" s="196">
        <f>IF(A89&lt;&gt;"Biogas",SUMIFS('Forbrug af biomasse'!$E$2:$E$425,'Forbrug af biomasse'!$C$2:$C$425,'Resultat-Produktion &amp; forbrug'!$A89,'Forbrug af biomasse'!$D$2:$D$425,'Resultat-Produktion &amp; forbrug'!$D89,'Forbrug af biomasse'!$A$2:$A$425,'Resultat-Produktion &amp; forbrug'!L$2,'Forbrug af biomasse'!$B$2:$B$425,$E89),F89)</f>
        <v>0</v>
      </c>
      <c r="M89" s="158">
        <f>SUMIFS('Forbrug af biomasse'!E:E,'Forbrug af biomasse'!C:C,'Resultat-Produktion &amp; forbrug'!$A89,'Forbrug af biomasse'!D:D,'Resultat-Produktion &amp; forbrug'!$D89,'Forbrug af biomasse'!G:G,1,'Forbrug af biomasse'!B:B,$E89)</f>
        <v>0</v>
      </c>
      <c r="N89" s="205">
        <f t="shared" si="23"/>
        <v>-450144.18133328733</v>
      </c>
      <c r="O89" s="196">
        <f t="shared" si="20"/>
        <v>0</v>
      </c>
      <c r="P89" s="206">
        <f t="shared" si="24"/>
        <v>4075.7207832735812</v>
      </c>
      <c r="Q89" s="193">
        <f>IFERROR(VLOOKUP(A89,[1]Energiindhold!$A$2:$C$11,3,FALSE),IFERROR(VLOOKUP(A89,[1]Biogasudbytte!$A$2:$B$18,2,FALSE)*[1]Energiindhold!$C$10,0))*O89</f>
        <v>0</v>
      </c>
      <c r="R89" s="193">
        <f>IF(A89&lt;&gt;"Biogas",IFERROR(VLOOKUP(A89,[1]Biogasudbytte!$A$2:$B$18,2,FALSE)*[1]Energiindhold!$C$10,0)*J89*IFERROR(VLOOKUP(A89,Biogasanlæg!$F$3:$G$8,2,FALSE),1)+IFERROR(VLOOKUP(A89,[1]Energiindhold!$A$2:$C$11,3,FALSE),0)*L89+IF(D89&lt;&gt;År1,Q89,0),0)</f>
        <v>1.1061669234635831E-2</v>
      </c>
      <c r="S89" s="193">
        <f>IFERROR(VLOOKUP(A89,[1]Biogasudbytte!$A$2:$B$18,2,FALSE)*[1]Energiindhold!$C$10,0)*J89*IFERROR(VLOOKUP(A89,Biogasanlæg!$F$3:$G$8,2,FALSE),1)</f>
        <v>1.1061669234635831E-2</v>
      </c>
      <c r="T89" s="194">
        <f t="shared" si="25"/>
        <v>0</v>
      </c>
      <c r="U89" s="192">
        <f>O89*IFERROR(VLOOKUP(A89,[1]Tørstofindhold!A$2:B$25,2,FALSE),0)</f>
        <v>0</v>
      </c>
      <c r="V89" s="193">
        <f>IF(D89=År1,P89,SUM(O89,P89))*IFERROR(VLOOKUP(A89,[1]Tørstofindhold!A$2:B$25,2,FALSE),0)</f>
        <v>815.14415665471631</v>
      </c>
      <c r="W89" s="193">
        <f>J89*IFERROR(VLOOKUP(A89,[1]Tørstofindhold!A$2:B$25,2,FALSE),0)</f>
        <v>815.14415665471631</v>
      </c>
      <c r="X89" s="194">
        <f t="shared" si="26"/>
        <v>0</v>
      </c>
      <c r="Y89" s="172">
        <f t="shared" si="21"/>
        <v>0</v>
      </c>
      <c r="Z89" s="104">
        <f t="shared" si="22"/>
        <v>1</v>
      </c>
    </row>
    <row r="90" spans="1:26" hidden="1" x14ac:dyDescent="0.55000000000000004">
      <c r="A90" s="195" t="str">
        <f t="shared" si="33"/>
        <v>Slagteriaffald til andet</v>
      </c>
      <c r="B90" s="195" t="str">
        <f t="shared" si="34"/>
        <v/>
      </c>
      <c r="C90" s="195">
        <f>IF(COUNTIFS('Resultater - Danmark'!$D$3:$D$482,'Resultat-Produktion &amp; forbrug'!A90,'Resultater - Danmark'!$A$3:$A$482,"Til energi")+COUNTIFS('Resultater - Danmark'!$D$3:$D$482,'Resultat-Produktion &amp; forbrug'!A90,'Resultater - Danmark'!$A$3:$A$482,"Biogasanlæg")&gt;0,1,0)</f>
        <v>0</v>
      </c>
      <c r="D90" s="195">
        <f t="shared" si="19"/>
        <v>2030</v>
      </c>
      <c r="E90" s="193" t="s">
        <v>23</v>
      </c>
      <c r="F90" s="196">
        <f>IF(E90="Vestdanmark",SUMIFS(IF(D90=År1,'Resultater - Vestdanmark'!H$3:H$482,IF(D90=År2,'Resultater - Vestdanmark'!I$3:I$482,'Resultater - Vestdanmark'!J$3:J$482)),'Resultater - Vestdanmark'!$F$3:$F$482,$A90,IF(D90=År1,'Resultater - Vestdanmark'!H$3:H$482,IF(D90=År2,'Resultater - Vestdanmark'!I$3:I$482,'Resultater - Vestdanmark'!J$3:J$482)),"&gt;0"),SUMIFS(IF(D90=År1,'Resultater - Østdanmark'!H$3:H$482,IF(D90=År2,'Resultater - Østdanmark'!I$3:I$482,'Resultater - Østdanmark'!J$3:J$482)),'Resultater - Østdanmark'!$F$3:$F$482,$A90,IF(D90=År1,'Resultater - Østdanmark'!H$3:H$482,IF(D90=År2,'Resultater - Østdanmark'!I$3:I$482,'Resultater - Østdanmark'!J$3:J$482)),"&gt;0"))</f>
        <v>191123.07715634341</v>
      </c>
      <c r="G90" s="196">
        <f>SUMIFS('Forbrug af biomasse'!$E$2:$E$425,'Forbrug af biomasse'!$C$2:$C$425,'Resultat-Produktion &amp; forbrug'!$A90,'Forbrug af biomasse'!$D$2:$D$425,'Resultat-Produktion &amp; forbrug'!$D90,'Forbrug af biomasse'!$A$2:$A$425,'Resultat-Produktion &amp; forbrug'!G$2,'Forbrug af biomasse'!$B$2:$B$425,$E90)</f>
        <v>0</v>
      </c>
      <c r="H90" s="193">
        <f>IF(E90="Vestdanmark",-IF(A90="Halm",SUMIFS(IF(D90=År1,'Resultater - Vestdanmark'!H$3:H$482,IF(D90=År2,'Resultater - Vestdanmark'!I$3:I$482,'Resultater - Vestdanmark'!J$3:J$482)),'Resultater - Vestdanmark'!$F$3:$F$482,$A90,'Resultater - Vestdanmark'!H$3:H$482,"&lt;0"),0),-IF(A90="Halm",SUMIFS(IF(D90=År1,'Resultater - Østdanmark'!H$3:H$482,IF(D90=År2,'Resultater - Østdanmark'!I$3:I$482,'Resultater - Østdanmark'!J$3:J$482)),'Resultater - Østdanmark'!$F$3:$F$482,$A90,'Resultater - Østdanmark'!H$3:H$482,"&lt;0"),0))</f>
        <v>0</v>
      </c>
      <c r="I90" s="196">
        <f>SUMIFS('Forbrug af biomasse'!$E$2:$E$425,'Forbrug af biomasse'!$C$2:$C$425,'Resultat-Produktion &amp; forbrug'!$A90,'Forbrug af biomasse'!$D$2:$D$425,'Resultat-Produktion &amp; forbrug'!$D90,'Forbrug af biomasse'!$A$2:$A$425,'Resultat-Produktion &amp; forbrug'!I$2,'Forbrug af biomasse'!$B$2:$B$425,$E90)</f>
        <v>0</v>
      </c>
      <c r="J90" s="196">
        <f>SUMIFS('Forbrug af biomasse'!$E$2:$E$425,'Forbrug af biomasse'!$C$2:$C$425,'Resultat-Produktion &amp; forbrug'!$A90,'Forbrug af biomasse'!$D$2:$D$425,'Resultat-Produktion &amp; forbrug'!$D90,'Forbrug af biomasse'!$A$2:$A$425,'Resultat-Produktion &amp; forbrug'!J$2,'Forbrug af biomasse'!$B$2:$B$425,$E90)</f>
        <v>0</v>
      </c>
      <c r="K90" s="196">
        <f>SUMIFS('Forbrug af biomasse'!$E$2:$E$425,'Forbrug af biomasse'!$C$2:$C$425,'Resultat-Produktion &amp; forbrug'!$A90,'Forbrug af biomasse'!$D$2:$D$425,'Resultat-Produktion &amp; forbrug'!$D90,'Forbrug af biomasse'!$A$2:$A$425,'Resultat-Produktion &amp; forbrug'!K$2,'Forbrug af biomasse'!$B$2:$B$425,$E90)</f>
        <v>0</v>
      </c>
      <c r="L90" s="196">
        <f>IF(A90&lt;&gt;"Biogas",SUMIFS('Forbrug af biomasse'!$E$2:$E$425,'Forbrug af biomasse'!$C$2:$C$425,'Resultat-Produktion &amp; forbrug'!$A90,'Forbrug af biomasse'!$D$2:$D$425,'Resultat-Produktion &amp; forbrug'!$D90,'Forbrug af biomasse'!$A$2:$A$425,'Resultat-Produktion &amp; forbrug'!L$2,'Forbrug af biomasse'!$B$2:$B$425,$E90),F90)</f>
        <v>0</v>
      </c>
      <c r="M90" s="158">
        <f>SUMIFS('Forbrug af biomasse'!E:E,'Forbrug af biomasse'!C:C,'Resultat-Produktion &amp; forbrug'!$A90,'Forbrug af biomasse'!D:D,'Resultat-Produktion &amp; forbrug'!$D90,'Forbrug af biomasse'!G:G,1,'Forbrug af biomasse'!B:B,$E90)</f>
        <v>0</v>
      </c>
      <c r="N90" s="205">
        <f t="shared" si="23"/>
        <v>191123.07715634341</v>
      </c>
      <c r="O90" s="196">
        <f t="shared" si="20"/>
        <v>0</v>
      </c>
      <c r="P90" s="206">
        <f t="shared" si="24"/>
        <v>0</v>
      </c>
      <c r="Q90" s="193">
        <f>IFERROR(VLOOKUP(A90,[1]Energiindhold!$A$2:$C$11,3,FALSE),IFERROR(VLOOKUP(A90,[1]Biogasudbytte!$A$2:$B$18,2,FALSE)*[1]Energiindhold!$C$10,0))*O90</f>
        <v>0</v>
      </c>
      <c r="R90" s="193">
        <f>IF(A90&lt;&gt;"Biogas",IFERROR(VLOOKUP(A90,[1]Biogasudbytte!$A$2:$B$18,2,FALSE)*[1]Energiindhold!$C$10,0)*J90*IFERROR(VLOOKUP(A90,Biogasanlæg!$F$3:$G$8,2,FALSE),1)+IFERROR(VLOOKUP(A90,[1]Energiindhold!$A$2:$C$11,3,FALSE),0)*L90+IF(D90&lt;&gt;År1,Q90,0),0)</f>
        <v>0</v>
      </c>
      <c r="S90" s="193">
        <f>IFERROR(VLOOKUP(A90,[1]Biogasudbytte!$A$2:$B$18,2,FALSE)*[1]Energiindhold!$C$10,0)*J90*IFERROR(VLOOKUP(A90,Biogasanlæg!$F$3:$G$8,2,FALSE),1)</f>
        <v>0</v>
      </c>
      <c r="T90" s="194">
        <f t="shared" si="25"/>
        <v>0</v>
      </c>
      <c r="U90" s="192">
        <f>O90*IFERROR(VLOOKUP(A90,[1]Tørstofindhold!A$2:B$25,2,FALSE),0)</f>
        <v>0</v>
      </c>
      <c r="V90" s="193">
        <f>IF(D90=År1,P90,SUM(O90,P90))*IFERROR(VLOOKUP(A90,[1]Tørstofindhold!A$2:B$25,2,FALSE),0)</f>
        <v>0</v>
      </c>
      <c r="W90" s="193">
        <f>J90*IFERROR(VLOOKUP(A90,[1]Tørstofindhold!A$2:B$25,2,FALSE),0)</f>
        <v>0</v>
      </c>
      <c r="X90" s="194">
        <f t="shared" si="26"/>
        <v>0</v>
      </c>
      <c r="Y90" s="172">
        <f t="shared" si="21"/>
        <v>0</v>
      </c>
      <c r="Z90" s="104">
        <f t="shared" si="22"/>
        <v>1</v>
      </c>
    </row>
    <row r="91" spans="1:26" hidden="1" x14ac:dyDescent="0.55000000000000004">
      <c r="A91" s="195" t="str">
        <f t="shared" si="33"/>
        <v>Slagteriaffald til foder</v>
      </c>
      <c r="B91" s="195" t="str">
        <f t="shared" si="34"/>
        <v/>
      </c>
      <c r="C91" s="195">
        <f>IF(COUNTIFS('Resultater - Danmark'!$D$3:$D$482,'Resultat-Produktion &amp; forbrug'!A91,'Resultater - Danmark'!$A$3:$A$482,"Til energi")+COUNTIFS('Resultater - Danmark'!$D$3:$D$482,'Resultat-Produktion &amp; forbrug'!A91,'Resultater - Danmark'!$A$3:$A$482,"Biogasanlæg")&gt;0,1,0)</f>
        <v>0</v>
      </c>
      <c r="D91" s="195">
        <f t="shared" si="19"/>
        <v>2030</v>
      </c>
      <c r="E91" s="193" t="s">
        <v>23</v>
      </c>
      <c r="F91" s="196">
        <f>IF(E91="Vestdanmark",SUMIFS(IF(D91=År1,'Resultater - Vestdanmark'!H$3:H$482,IF(D91=År2,'Resultater - Vestdanmark'!I$3:I$482,'Resultater - Vestdanmark'!J$3:J$482)),'Resultater - Vestdanmark'!$F$3:$F$482,$A91,IF(D91=År1,'Resultater - Vestdanmark'!H$3:H$482,IF(D91=År2,'Resultater - Vestdanmark'!I$3:I$482,'Resultater - Vestdanmark'!J$3:J$482)),"&gt;0"),SUMIFS(IF(D91=År1,'Resultater - Østdanmark'!H$3:H$482,IF(D91=År2,'Resultater - Østdanmark'!I$3:I$482,'Resultater - Østdanmark'!J$3:J$482)),'Resultater - Østdanmark'!$F$3:$F$482,$A91,IF(D91=År1,'Resultater - Østdanmark'!H$3:H$482,IF(D91=År2,'Resultater - Østdanmark'!I$3:I$482,'Resultater - Østdanmark'!J$3:J$482)),"&gt;0"))</f>
        <v>129693.32771377628</v>
      </c>
      <c r="G91" s="196">
        <f>SUMIFS('Forbrug af biomasse'!$E$2:$E$425,'Forbrug af biomasse'!$C$2:$C$425,'Resultat-Produktion &amp; forbrug'!$A91,'Forbrug af biomasse'!$D$2:$D$425,'Resultat-Produktion &amp; forbrug'!$D91,'Forbrug af biomasse'!$A$2:$A$425,'Resultat-Produktion &amp; forbrug'!G$2,'Forbrug af biomasse'!$B$2:$B$425,$E91)</f>
        <v>39415.735012617326</v>
      </c>
      <c r="H91" s="193">
        <f>IF(E91="Vestdanmark",-IF(A91="Halm",SUMIFS(IF(D91=År1,'Resultater - Vestdanmark'!H$3:H$482,IF(D91=År2,'Resultater - Vestdanmark'!I$3:I$482,'Resultater - Vestdanmark'!J$3:J$482)),'Resultater - Vestdanmark'!$F$3:$F$482,$A91,'Resultater - Vestdanmark'!H$3:H$482,"&lt;0"),0),-IF(A91="Halm",SUMIFS(IF(D91=År1,'Resultater - Østdanmark'!H$3:H$482,IF(D91=År2,'Resultater - Østdanmark'!I$3:I$482,'Resultater - Østdanmark'!J$3:J$482)),'Resultater - Østdanmark'!$F$3:$F$482,$A91,'Resultater - Østdanmark'!H$3:H$482,"&lt;0"),0))</f>
        <v>0</v>
      </c>
      <c r="I91" s="196">
        <f>SUMIFS('Forbrug af biomasse'!$E$2:$E$425,'Forbrug af biomasse'!$C$2:$C$425,'Resultat-Produktion &amp; forbrug'!$A91,'Forbrug af biomasse'!$D$2:$D$425,'Resultat-Produktion &amp; forbrug'!$D91,'Forbrug af biomasse'!$A$2:$A$425,'Resultat-Produktion &amp; forbrug'!I$2,'Forbrug af biomasse'!$B$2:$B$425,$E91)</f>
        <v>0</v>
      </c>
      <c r="J91" s="196">
        <f>SUMIFS('Forbrug af biomasse'!$E$2:$E$425,'Forbrug af biomasse'!$C$2:$C$425,'Resultat-Produktion &amp; forbrug'!$A91,'Forbrug af biomasse'!$D$2:$D$425,'Resultat-Produktion &amp; forbrug'!$D91,'Forbrug af biomasse'!$A$2:$A$425,'Resultat-Produktion &amp; forbrug'!J$2,'Forbrug af biomasse'!$B$2:$B$425,$E91)</f>
        <v>0</v>
      </c>
      <c r="K91" s="196">
        <f>SUMIFS('Forbrug af biomasse'!$E$2:$E$425,'Forbrug af biomasse'!$C$2:$C$425,'Resultat-Produktion &amp; forbrug'!$A91,'Forbrug af biomasse'!$D$2:$D$425,'Resultat-Produktion &amp; forbrug'!$D91,'Forbrug af biomasse'!$A$2:$A$425,'Resultat-Produktion &amp; forbrug'!K$2,'Forbrug af biomasse'!$B$2:$B$425,$E91)</f>
        <v>0</v>
      </c>
      <c r="L91" s="196">
        <f>IF(A91&lt;&gt;"Biogas",SUMIFS('Forbrug af biomasse'!$E$2:$E$425,'Forbrug af biomasse'!$C$2:$C$425,'Resultat-Produktion &amp; forbrug'!$A91,'Forbrug af biomasse'!$D$2:$D$425,'Resultat-Produktion &amp; forbrug'!$D91,'Forbrug af biomasse'!$A$2:$A$425,'Resultat-Produktion &amp; forbrug'!L$2,'Forbrug af biomasse'!$B$2:$B$425,$E91),F91)</f>
        <v>0</v>
      </c>
      <c r="M91" s="158">
        <f>SUMIFS('Forbrug af biomasse'!E:E,'Forbrug af biomasse'!C:C,'Resultat-Produktion &amp; forbrug'!$A91,'Forbrug af biomasse'!D:D,'Resultat-Produktion &amp; forbrug'!$D91,'Forbrug af biomasse'!G:G,1,'Forbrug af biomasse'!B:B,$E91)</f>
        <v>0</v>
      </c>
      <c r="N91" s="205">
        <f t="shared" si="23"/>
        <v>90277.592701158952</v>
      </c>
      <c r="O91" s="196">
        <f t="shared" si="20"/>
        <v>0</v>
      </c>
      <c r="P91" s="206">
        <f t="shared" si="24"/>
        <v>0</v>
      </c>
      <c r="Q91" s="193">
        <f>IFERROR(VLOOKUP(A91,[1]Energiindhold!$A$2:$C$11,3,FALSE),IFERROR(VLOOKUP(A91,[1]Biogasudbytte!$A$2:$B$18,2,FALSE)*[1]Energiindhold!$C$10,0))*O91</f>
        <v>0</v>
      </c>
      <c r="R91" s="193">
        <f>IF(A91&lt;&gt;"Biogas",IFERROR(VLOOKUP(A91,[1]Biogasudbytte!$A$2:$B$18,2,FALSE)*[1]Energiindhold!$C$10,0)*J91*IFERROR(VLOOKUP(A91,Biogasanlæg!$F$3:$G$8,2,FALSE),1)+IFERROR(VLOOKUP(A91,[1]Energiindhold!$A$2:$C$11,3,FALSE),0)*L91+IF(D91&lt;&gt;År1,Q91,0),0)</f>
        <v>0</v>
      </c>
      <c r="S91" s="193">
        <f>IFERROR(VLOOKUP(A91,[1]Biogasudbytte!$A$2:$B$18,2,FALSE)*[1]Energiindhold!$C$10,0)*J91*IFERROR(VLOOKUP(A91,Biogasanlæg!$F$3:$G$8,2,FALSE),1)</f>
        <v>0</v>
      </c>
      <c r="T91" s="194">
        <f t="shared" si="25"/>
        <v>0</v>
      </c>
      <c r="U91" s="192">
        <f>O91*IFERROR(VLOOKUP(A91,[1]Tørstofindhold!A$2:B$25,2,FALSE),0)</f>
        <v>0</v>
      </c>
      <c r="V91" s="193">
        <f>IF(D91=År1,P91,SUM(O91,P91))*IFERROR(VLOOKUP(A91,[1]Tørstofindhold!A$2:B$25,2,FALSE),0)</f>
        <v>0</v>
      </c>
      <c r="W91" s="193">
        <f>J91*IFERROR(VLOOKUP(A91,[1]Tørstofindhold!A$2:B$25,2,FALSE),0)</f>
        <v>0</v>
      </c>
      <c r="X91" s="194">
        <f t="shared" si="26"/>
        <v>0</v>
      </c>
      <c r="Y91" s="172">
        <f t="shared" si="21"/>
        <v>0</v>
      </c>
      <c r="Z91" s="104">
        <f t="shared" si="22"/>
        <v>1</v>
      </c>
    </row>
    <row r="92" spans="1:26" hidden="1" x14ac:dyDescent="0.55000000000000004">
      <c r="A92" s="195" t="str">
        <f t="shared" si="33"/>
        <v>Spildevandsslam</v>
      </c>
      <c r="B92" s="195" t="str">
        <f t="shared" si="34"/>
        <v>Bionedbrydeligt affald</v>
      </c>
      <c r="C92" s="195">
        <f>IF(COUNTIFS('Resultater - Danmark'!$D$3:$D$482,'Resultat-Produktion &amp; forbrug'!A92,'Resultater - Danmark'!$A$3:$A$482,"Til energi")+COUNTIFS('Resultater - Danmark'!$D$3:$D$482,'Resultat-Produktion &amp; forbrug'!A92,'Resultater - Danmark'!$A$3:$A$482,"Biogasanlæg")&gt;0,1,0)</f>
        <v>1</v>
      </c>
      <c r="D92" s="195">
        <f t="shared" si="19"/>
        <v>2030</v>
      </c>
      <c r="E92" s="193" t="s">
        <v>23</v>
      </c>
      <c r="F92" s="196">
        <f>IF(E92="Vestdanmark",SUMIFS(IF(D92=År1,'Resultater - Vestdanmark'!H$3:H$482,IF(D92=År2,'Resultater - Vestdanmark'!I$3:I$482,'Resultater - Vestdanmark'!J$3:J$482)),'Resultater - Vestdanmark'!$F$3:$F$482,$A92,IF(D92=År1,'Resultater - Vestdanmark'!H$3:H$482,IF(D92=År2,'Resultater - Vestdanmark'!I$3:I$482,'Resultater - Vestdanmark'!J$3:J$482)),"&gt;0"),SUMIFS(IF(D92=År1,'Resultater - Østdanmark'!H$3:H$482,IF(D92=År2,'Resultater - Østdanmark'!I$3:I$482,'Resultater - Østdanmark'!J$3:J$482)),'Resultater - Østdanmark'!$F$3:$F$482,$A92,IF(D92=År1,'Resultater - Østdanmark'!H$3:H$482,IF(D92=År2,'Resultater - Østdanmark'!I$3:I$482,'Resultater - Østdanmark'!J$3:J$482)),"&gt;0"))</f>
        <v>3973910.9975047</v>
      </c>
      <c r="G92" s="196">
        <f>SUMIFS('Forbrug af biomasse'!$E$2:$E$425,'Forbrug af biomasse'!$C$2:$C$425,'Resultat-Produktion &amp; forbrug'!$A92,'Forbrug af biomasse'!$D$2:$D$425,'Resultat-Produktion &amp; forbrug'!$D92,'Forbrug af biomasse'!$A$2:$A$425,'Resultat-Produktion &amp; forbrug'!G$2,'Forbrug af biomasse'!$B$2:$B$425,$E92)</f>
        <v>0</v>
      </c>
      <c r="H92" s="193">
        <f>IF(E92="Vestdanmark",-IF(A92="Halm",SUMIFS(IF(D92=År1,'Resultater - Vestdanmark'!H$3:H$482,IF(D92=År2,'Resultater - Vestdanmark'!I$3:I$482,'Resultater - Vestdanmark'!J$3:J$482)),'Resultater - Vestdanmark'!$F$3:$F$482,$A92,'Resultater - Vestdanmark'!H$3:H$482,"&lt;0"),0),-IF(A92="Halm",SUMIFS(IF(D92=År1,'Resultater - Østdanmark'!H$3:H$482,IF(D92=År2,'Resultater - Østdanmark'!I$3:I$482,'Resultater - Østdanmark'!J$3:J$482)),'Resultater - Østdanmark'!$F$3:$F$482,$A92,'Resultater - Østdanmark'!H$3:H$482,"&lt;0"),0))</f>
        <v>0</v>
      </c>
      <c r="I92" s="196">
        <f>SUMIFS('Forbrug af biomasse'!$E$2:$E$425,'Forbrug af biomasse'!$C$2:$C$425,'Resultat-Produktion &amp; forbrug'!$A92,'Forbrug af biomasse'!$D$2:$D$425,'Resultat-Produktion &amp; forbrug'!$D92,'Forbrug af biomasse'!$A$2:$A$425,'Resultat-Produktion &amp; forbrug'!I$2,'Forbrug af biomasse'!$B$2:$B$425,$E92)</f>
        <v>0</v>
      </c>
      <c r="J92" s="196">
        <f>SUMIFS('Forbrug af biomasse'!$E$2:$E$425,'Forbrug af biomasse'!$C$2:$C$425,'Resultat-Produktion &amp; forbrug'!$A92,'Forbrug af biomasse'!$D$2:$D$425,'Resultat-Produktion &amp; forbrug'!$D92,'Forbrug af biomasse'!$A$2:$A$425,'Resultat-Produktion &amp; forbrug'!J$2,'Forbrug af biomasse'!$B$2:$B$425,$E92)</f>
        <v>1507101.1523820646</v>
      </c>
      <c r="K92" s="196">
        <f>SUMIFS('Forbrug af biomasse'!$E$2:$E$425,'Forbrug af biomasse'!$C$2:$C$425,'Resultat-Produktion &amp; forbrug'!$A92,'Forbrug af biomasse'!$D$2:$D$425,'Resultat-Produktion &amp; forbrug'!$D92,'Forbrug af biomasse'!$A$2:$A$425,'Resultat-Produktion &amp; forbrug'!K$2,'Forbrug af biomasse'!$B$2:$B$425,$E92)</f>
        <v>0</v>
      </c>
      <c r="L92" s="196">
        <f>IF(A92&lt;&gt;"Biogas",SUMIFS('Forbrug af biomasse'!$E$2:$E$425,'Forbrug af biomasse'!$C$2:$C$425,'Resultat-Produktion &amp; forbrug'!$A92,'Forbrug af biomasse'!$D$2:$D$425,'Resultat-Produktion &amp; forbrug'!$D92,'Forbrug af biomasse'!$A$2:$A$425,'Resultat-Produktion &amp; forbrug'!L$2,'Forbrug af biomasse'!$B$2:$B$425,$E92),F92)</f>
        <v>0</v>
      </c>
      <c r="M92" s="158">
        <f>SUMIFS('Forbrug af biomasse'!E:E,'Forbrug af biomasse'!C:C,'Resultat-Produktion &amp; forbrug'!$A92,'Forbrug af biomasse'!D:D,'Resultat-Produktion &amp; forbrug'!$D92,'Forbrug af biomasse'!G:G,1,'Forbrug af biomasse'!B:B,$E92)</f>
        <v>0</v>
      </c>
      <c r="N92" s="205">
        <f t="shared" si="23"/>
        <v>2466809.8451226354</v>
      </c>
      <c r="O92" s="196">
        <f t="shared" si="20"/>
        <v>2466809.8451226354</v>
      </c>
      <c r="P92" s="206">
        <f t="shared" si="24"/>
        <v>1507101.1523820646</v>
      </c>
      <c r="Q92" s="193">
        <f>IFERROR(VLOOKUP(A92,[1]Energiindhold!$A$2:$C$11,3,FALSE),IFERROR(VLOOKUP(A92,[1]Biogasudbytte!$A$2:$B$18,2,FALSE)*[1]Energiindhold!$C$10,0))*O92</f>
        <v>1.2309627808146464</v>
      </c>
      <c r="R92" s="193">
        <f>IF(A92&lt;&gt;"Biogas",IFERROR(VLOOKUP(A92,[1]Biogasudbytte!$A$2:$B$18,2,FALSE)*[1]Energiindhold!$C$10,0)*J92*IFERROR(VLOOKUP(A92,Biogasanlæg!$F$3:$G$8,2,FALSE),1)+IFERROR(VLOOKUP(A92,[1]Energiindhold!$A$2:$C$11,3,FALSE),0)*L92+IF(D92&lt;&gt;År1,Q92,0),0)</f>
        <v>1.9830213268648205</v>
      </c>
      <c r="S92" s="193">
        <f>IFERROR(VLOOKUP(A92,[1]Biogasudbytte!$A$2:$B$18,2,FALSE)*[1]Energiindhold!$C$10,0)*J92*IFERROR(VLOOKUP(A92,Biogasanlæg!$F$3:$G$8,2,FALSE),1)</f>
        <v>0.75205854605017419</v>
      </c>
      <c r="T92" s="194">
        <f t="shared" si="25"/>
        <v>1.2309627808146462</v>
      </c>
      <c r="U92" s="192">
        <f>O92*IFERROR(VLOOKUP(A92,[1]Tørstofindhold!A$2:B$25,2,FALSE),0)</f>
        <v>148008.59070735812</v>
      </c>
      <c r="V92" s="193">
        <f>IF(D92=År1,P92,SUM(O92,P92))*IFERROR(VLOOKUP(A92,[1]Tørstofindhold!A$2:B$25,2,FALSE),0)</f>
        <v>238434.65985028198</v>
      </c>
      <c r="W92" s="193">
        <f>J92*IFERROR(VLOOKUP(A92,[1]Tørstofindhold!A$2:B$25,2,FALSE),0)</f>
        <v>90426.06914292388</v>
      </c>
      <c r="X92" s="194">
        <f t="shared" si="26"/>
        <v>148008.59070735809</v>
      </c>
      <c r="Y92" s="172">
        <f t="shared" si="21"/>
        <v>0</v>
      </c>
      <c r="Z92" s="104">
        <f t="shared" si="22"/>
        <v>1</v>
      </c>
    </row>
    <row r="93" spans="1:26" hidden="1" x14ac:dyDescent="0.55000000000000004">
      <c r="A93" s="195" t="str">
        <f t="shared" si="33"/>
        <v>Svinegylle</v>
      </c>
      <c r="B93" s="195" t="str">
        <f t="shared" si="34"/>
        <v>Husdyrgødning</v>
      </c>
      <c r="C93" s="195">
        <f>IF(COUNTIFS('Resultater - Danmark'!$D$3:$D$482,'Resultat-Produktion &amp; forbrug'!A93,'Resultater - Danmark'!$A$3:$A$482,"Til energi")+COUNTIFS('Resultater - Danmark'!$D$3:$D$482,'Resultat-Produktion &amp; forbrug'!A93,'Resultater - Danmark'!$A$3:$A$482,"Biogasanlæg")&gt;0,1,0)</f>
        <v>1</v>
      </c>
      <c r="D93" s="195">
        <f t="shared" si="19"/>
        <v>2030</v>
      </c>
      <c r="E93" s="193" t="s">
        <v>23</v>
      </c>
      <c r="F93" s="196">
        <f>IF(E93="Vestdanmark",SUMIFS(IF(D93=År1,'Resultater - Vestdanmark'!H$3:H$482,IF(D93=År2,'Resultater - Vestdanmark'!I$3:I$482,'Resultater - Vestdanmark'!J$3:J$482)),'Resultater - Vestdanmark'!$F$3:$F$482,$A93,IF(D93=År1,'Resultater - Vestdanmark'!H$3:H$482,IF(D93=År2,'Resultater - Vestdanmark'!I$3:I$482,'Resultater - Vestdanmark'!J$3:J$482)),"&gt;0"),SUMIFS(IF(D93=År1,'Resultater - Østdanmark'!H$3:H$482,IF(D93=År2,'Resultater - Østdanmark'!I$3:I$482,'Resultater - Østdanmark'!J$3:J$482)),'Resultater - Østdanmark'!$F$3:$F$482,$A93,IF(D93=År1,'Resultater - Østdanmark'!H$3:H$482,IF(D93=År2,'Resultater - Østdanmark'!I$3:I$482,'Resultater - Østdanmark'!J$3:J$482)),"&gt;0"))</f>
        <v>15074833.175881069</v>
      </c>
      <c r="G93" s="196">
        <f>SUMIFS('Forbrug af biomasse'!$E$2:$E$425,'Forbrug af biomasse'!$C$2:$C$425,'Resultat-Produktion &amp; forbrug'!$A93,'Forbrug af biomasse'!$D$2:$D$425,'Resultat-Produktion &amp; forbrug'!$D93,'Forbrug af biomasse'!$A$2:$A$425,'Resultat-Produktion &amp; forbrug'!G$2,'Forbrug af biomasse'!$B$2:$B$425,$E93)</f>
        <v>0</v>
      </c>
      <c r="H93" s="193">
        <f>IF(E93="Vestdanmark",-IF(A93="Halm",SUMIFS(IF(D93=År1,'Resultater - Vestdanmark'!H$3:H$482,IF(D93=År2,'Resultater - Vestdanmark'!I$3:I$482,'Resultater - Vestdanmark'!J$3:J$482)),'Resultater - Vestdanmark'!$F$3:$F$482,$A93,'Resultater - Vestdanmark'!H$3:H$482,"&lt;0"),0),-IF(A93="Halm",SUMIFS(IF(D93=År1,'Resultater - Østdanmark'!H$3:H$482,IF(D93=År2,'Resultater - Østdanmark'!I$3:I$482,'Resultater - Østdanmark'!J$3:J$482)),'Resultater - Østdanmark'!$F$3:$F$482,$A93,'Resultater - Østdanmark'!H$3:H$482,"&lt;0"),0))</f>
        <v>0</v>
      </c>
      <c r="I93" s="196">
        <f>SUMIFS('Forbrug af biomasse'!$E$2:$E$425,'Forbrug af biomasse'!$C$2:$C$425,'Resultat-Produktion &amp; forbrug'!$A93,'Forbrug af biomasse'!$D$2:$D$425,'Resultat-Produktion &amp; forbrug'!$D93,'Forbrug af biomasse'!$A$2:$A$425,'Resultat-Produktion &amp; forbrug'!I$2,'Forbrug af biomasse'!$B$2:$B$425,$E93)</f>
        <v>0</v>
      </c>
      <c r="J93" s="196">
        <f>SUMIFS('Forbrug af biomasse'!$E$2:$E$425,'Forbrug af biomasse'!$C$2:$C$425,'Resultat-Produktion &amp; forbrug'!$A93,'Forbrug af biomasse'!$D$2:$D$425,'Resultat-Produktion &amp; forbrug'!$D93,'Forbrug af biomasse'!$A$2:$A$425,'Resultat-Produktion &amp; forbrug'!J$2,'Forbrug af biomasse'!$B$2:$B$425,$E93)</f>
        <v>7989661.5832169671</v>
      </c>
      <c r="K93" s="196">
        <f>SUMIFS('Forbrug af biomasse'!$E$2:$E$425,'Forbrug af biomasse'!$C$2:$C$425,'Resultat-Produktion &amp; forbrug'!$A93,'Forbrug af biomasse'!$D$2:$D$425,'Resultat-Produktion &amp; forbrug'!$D93,'Forbrug af biomasse'!$A$2:$A$425,'Resultat-Produktion &amp; forbrug'!K$2,'Forbrug af biomasse'!$B$2:$B$425,$E93)</f>
        <v>7085171.5926641021</v>
      </c>
      <c r="L93" s="196">
        <f>IF(A93&lt;&gt;"Biogas",SUMIFS('Forbrug af biomasse'!$E$2:$E$425,'Forbrug af biomasse'!$C$2:$C$425,'Resultat-Produktion &amp; forbrug'!$A93,'Forbrug af biomasse'!$D$2:$D$425,'Resultat-Produktion &amp; forbrug'!$D93,'Forbrug af biomasse'!$A$2:$A$425,'Resultat-Produktion &amp; forbrug'!L$2,'Forbrug af biomasse'!$B$2:$B$425,$E93),F93)</f>
        <v>0</v>
      </c>
      <c r="M93" s="158">
        <f>SUMIFS('Forbrug af biomasse'!E:E,'Forbrug af biomasse'!C:C,'Resultat-Produktion &amp; forbrug'!$A93,'Forbrug af biomasse'!D:D,'Resultat-Produktion &amp; forbrug'!$D93,'Forbrug af biomasse'!G:G,1,'Forbrug af biomasse'!B:B,$E93)</f>
        <v>0</v>
      </c>
      <c r="N93" s="205">
        <f t="shared" si="23"/>
        <v>0</v>
      </c>
      <c r="O93" s="196">
        <f t="shared" si="20"/>
        <v>0</v>
      </c>
      <c r="P93" s="206">
        <f t="shared" si="24"/>
        <v>7989661.5832169671</v>
      </c>
      <c r="Q93" s="193">
        <f>IFERROR(VLOOKUP(A93,[1]Energiindhold!$A$2:$C$11,3,FALSE),IFERROR(VLOOKUP(A93,[1]Biogasudbytte!$A$2:$B$18,2,FALSE)*[1]Energiindhold!$C$10,0))*O93</f>
        <v>0</v>
      </c>
      <c r="R93" s="193">
        <f>IF(A93&lt;&gt;"Biogas",IFERROR(VLOOKUP(A93,[1]Biogasudbytte!$A$2:$B$18,2,FALSE)*[1]Energiindhold!$C$10,0)*J93*IFERROR(VLOOKUP(A93,Biogasanlæg!$F$3:$G$8,2,FALSE),1)+IFERROR(VLOOKUP(A93,[1]Energiindhold!$A$2:$C$11,3,FALSE),0)*L93+IF(D93&lt;&gt;År1,Q93,0),0)</f>
        <v>3.4419462100498701</v>
      </c>
      <c r="S93" s="193">
        <f>IFERROR(VLOOKUP(A93,[1]Biogasudbytte!$A$2:$B$18,2,FALSE)*[1]Energiindhold!$C$10,0)*J93*IFERROR(VLOOKUP(A93,Biogasanlæg!$F$3:$G$8,2,FALSE),1)</f>
        <v>3.4419462100498701</v>
      </c>
      <c r="T93" s="194">
        <f t="shared" si="25"/>
        <v>0</v>
      </c>
      <c r="U93" s="192">
        <f>O93*IFERROR(VLOOKUP(A93,[1]Tørstofindhold!A$2:B$25,2,FALSE),0)</f>
        <v>0</v>
      </c>
      <c r="V93" s="193">
        <f>IF(D93=År1,P93,SUM(O93,P93))*IFERROR(VLOOKUP(A93,[1]Tørstofindhold!A$2:B$25,2,FALSE),0)</f>
        <v>399483.0791608484</v>
      </c>
      <c r="W93" s="193">
        <f>J93*IFERROR(VLOOKUP(A93,[1]Tørstofindhold!A$2:B$25,2,FALSE),0)</f>
        <v>399483.0791608484</v>
      </c>
      <c r="X93" s="194">
        <f t="shared" si="26"/>
        <v>0</v>
      </c>
      <c r="Y93" s="172">
        <f t="shared" si="21"/>
        <v>0</v>
      </c>
      <c r="Z93" s="104">
        <f t="shared" si="22"/>
        <v>0</v>
      </c>
    </row>
    <row r="94" spans="1:26" hidden="1" x14ac:dyDescent="0.55000000000000004">
      <c r="A94" s="195" t="str">
        <f t="shared" si="33"/>
        <v>Svinekød</v>
      </c>
      <c r="B94" s="195" t="str">
        <f t="shared" si="34"/>
        <v/>
      </c>
      <c r="C94" s="195">
        <f>IF(COUNTIFS('Resultater - Danmark'!$D$3:$D$482,'Resultat-Produktion &amp; forbrug'!A94,'Resultater - Danmark'!$A$3:$A$482,"Til energi")+COUNTIFS('Resultater - Danmark'!$D$3:$D$482,'Resultat-Produktion &amp; forbrug'!A94,'Resultater - Danmark'!$A$3:$A$482,"Biogasanlæg")&gt;0,1,0)</f>
        <v>0</v>
      </c>
      <c r="D94" s="195">
        <f t="shared" si="19"/>
        <v>2030</v>
      </c>
      <c r="E94" s="193" t="s">
        <v>23</v>
      </c>
      <c r="F94" s="196">
        <f>IF(E94="Vestdanmark",SUMIFS(IF(D94=År1,'Resultater - Vestdanmark'!H$3:H$482,IF(D94=År2,'Resultater - Vestdanmark'!I$3:I$482,'Resultater - Vestdanmark'!J$3:J$482)),'Resultater - Vestdanmark'!$F$3:$F$482,$A94,IF(D94=År1,'Resultater - Vestdanmark'!H$3:H$482,IF(D94=År2,'Resultater - Vestdanmark'!I$3:I$482,'Resultater - Vestdanmark'!J$3:J$482)),"&gt;0"),SUMIFS(IF(D94=År1,'Resultater - Østdanmark'!H$3:H$482,IF(D94=År2,'Resultater - Østdanmark'!I$3:I$482,'Resultater - Østdanmark'!J$3:J$482)),'Resultater - Østdanmark'!$F$3:$F$482,$A94,IF(D94=År1,'Resultater - Østdanmark'!H$3:H$482,IF(D94=År2,'Resultater - Østdanmark'!I$3:I$482,'Resultater - Østdanmark'!J$3:J$482)),"&gt;0"))</f>
        <v>1378013.0257817972</v>
      </c>
      <c r="G94" s="196">
        <f>SUMIFS('Forbrug af biomasse'!$E$2:$E$425,'Forbrug af biomasse'!$C$2:$C$425,'Resultat-Produktion &amp; forbrug'!$A94,'Forbrug af biomasse'!$D$2:$D$425,'Resultat-Produktion &amp; forbrug'!$D94,'Forbrug af biomasse'!$A$2:$A$425,'Resultat-Produktion &amp; forbrug'!G$2,'Forbrug af biomasse'!$B$2:$B$425,$E94)</f>
        <v>0</v>
      </c>
      <c r="H94" s="193">
        <f>IF(E94="Vestdanmark",-IF(A94="Halm",SUMIFS(IF(D94=År1,'Resultater - Vestdanmark'!H$3:H$482,IF(D94=År2,'Resultater - Vestdanmark'!I$3:I$482,'Resultater - Vestdanmark'!J$3:J$482)),'Resultater - Vestdanmark'!$F$3:$F$482,$A94,'Resultater - Vestdanmark'!H$3:H$482,"&lt;0"),0),-IF(A94="Halm",SUMIFS(IF(D94=År1,'Resultater - Østdanmark'!H$3:H$482,IF(D94=År2,'Resultater - Østdanmark'!I$3:I$482,'Resultater - Østdanmark'!J$3:J$482)),'Resultater - Østdanmark'!$F$3:$F$482,$A94,'Resultater - Østdanmark'!H$3:H$482,"&lt;0"),0))</f>
        <v>0</v>
      </c>
      <c r="I94" s="196">
        <f>SUMIFS('Forbrug af biomasse'!$E$2:$E$425,'Forbrug af biomasse'!$C$2:$C$425,'Resultat-Produktion &amp; forbrug'!$A94,'Forbrug af biomasse'!$D$2:$D$425,'Resultat-Produktion &amp; forbrug'!$D94,'Forbrug af biomasse'!$A$2:$A$425,'Resultat-Produktion &amp; forbrug'!I$2,'Forbrug af biomasse'!$B$2:$B$425,$E94)</f>
        <v>121875.54404868034</v>
      </c>
      <c r="J94" s="196">
        <f>SUMIFS('Forbrug af biomasse'!$E$2:$E$425,'Forbrug af biomasse'!$C$2:$C$425,'Resultat-Produktion &amp; forbrug'!$A94,'Forbrug af biomasse'!$D$2:$D$425,'Resultat-Produktion &amp; forbrug'!$D94,'Forbrug af biomasse'!$A$2:$A$425,'Resultat-Produktion &amp; forbrug'!J$2,'Forbrug af biomasse'!$B$2:$B$425,$E94)</f>
        <v>0</v>
      </c>
      <c r="K94" s="196">
        <f>SUMIFS('Forbrug af biomasse'!$E$2:$E$425,'Forbrug af biomasse'!$C$2:$C$425,'Resultat-Produktion &amp; forbrug'!$A94,'Forbrug af biomasse'!$D$2:$D$425,'Resultat-Produktion &amp; forbrug'!$D94,'Forbrug af biomasse'!$A$2:$A$425,'Resultat-Produktion &amp; forbrug'!K$2,'Forbrug af biomasse'!$B$2:$B$425,$E94)</f>
        <v>0</v>
      </c>
      <c r="L94" s="196">
        <f>IF(A94&lt;&gt;"Biogas",SUMIFS('Forbrug af biomasse'!$E$2:$E$425,'Forbrug af biomasse'!$C$2:$C$425,'Resultat-Produktion &amp; forbrug'!$A94,'Forbrug af biomasse'!$D$2:$D$425,'Resultat-Produktion &amp; forbrug'!$D94,'Forbrug af biomasse'!$A$2:$A$425,'Resultat-Produktion &amp; forbrug'!L$2,'Forbrug af biomasse'!$B$2:$B$425,$E94),F94)</f>
        <v>0</v>
      </c>
      <c r="M94" s="158">
        <f>SUMIFS('Forbrug af biomasse'!E:E,'Forbrug af biomasse'!C:C,'Resultat-Produktion &amp; forbrug'!$A94,'Forbrug af biomasse'!D:D,'Resultat-Produktion &amp; forbrug'!$D94,'Forbrug af biomasse'!G:G,1,'Forbrug af biomasse'!B:B,$E94)</f>
        <v>0</v>
      </c>
      <c r="N94" s="205">
        <f t="shared" si="23"/>
        <v>1256137.4817331168</v>
      </c>
      <c r="O94" s="196">
        <f t="shared" si="20"/>
        <v>0</v>
      </c>
      <c r="P94" s="206">
        <f t="shared" si="24"/>
        <v>0</v>
      </c>
      <c r="Q94" s="193">
        <f>IFERROR(VLOOKUP(A94,[1]Energiindhold!$A$2:$C$11,3,FALSE),IFERROR(VLOOKUP(A94,[1]Biogasudbytte!$A$2:$B$18,2,FALSE)*[1]Energiindhold!$C$10,0))*O94</f>
        <v>0</v>
      </c>
      <c r="R94" s="193">
        <f>IF(A94&lt;&gt;"Biogas",IFERROR(VLOOKUP(A94,[1]Biogasudbytte!$A$2:$B$18,2,FALSE)*[1]Energiindhold!$C$10,0)*J94*IFERROR(VLOOKUP(A94,Biogasanlæg!$F$3:$G$8,2,FALSE),1)+IFERROR(VLOOKUP(A94,[1]Energiindhold!$A$2:$C$11,3,FALSE),0)*L94+IF(D94&lt;&gt;År1,Q94,0),0)</f>
        <v>0</v>
      </c>
      <c r="S94" s="193">
        <f>IFERROR(VLOOKUP(A94,[1]Biogasudbytte!$A$2:$B$18,2,FALSE)*[1]Energiindhold!$C$10,0)*J94*IFERROR(VLOOKUP(A94,Biogasanlæg!$F$3:$G$8,2,FALSE),1)</f>
        <v>0</v>
      </c>
      <c r="T94" s="194">
        <f t="shared" si="25"/>
        <v>0</v>
      </c>
      <c r="U94" s="192">
        <f>O94*IFERROR(VLOOKUP(A94,[1]Tørstofindhold!A$2:B$25,2,FALSE),0)</f>
        <v>0</v>
      </c>
      <c r="V94" s="193">
        <f>IF(D94=År1,P94,SUM(O94,P94))*IFERROR(VLOOKUP(A94,[1]Tørstofindhold!A$2:B$25,2,FALSE),0)</f>
        <v>0</v>
      </c>
      <c r="W94" s="193">
        <f>J94*IFERROR(VLOOKUP(A94,[1]Tørstofindhold!A$2:B$25,2,FALSE),0)</f>
        <v>0</v>
      </c>
      <c r="X94" s="194">
        <f t="shared" si="26"/>
        <v>0</v>
      </c>
      <c r="Y94" s="172">
        <f t="shared" si="21"/>
        <v>0</v>
      </c>
      <c r="Z94" s="104">
        <f t="shared" si="22"/>
        <v>1</v>
      </c>
    </row>
    <row r="95" spans="1:26" x14ac:dyDescent="0.55000000000000004">
      <c r="A95" s="195" t="str">
        <f t="shared" si="33"/>
        <v>Tang</v>
      </c>
      <c r="B95" s="195" t="str">
        <f t="shared" si="34"/>
        <v>Havbiomasse</v>
      </c>
      <c r="C95" s="195">
        <f>IF(COUNTIFS('Resultater - Danmark'!$D$3:$D$482,'Resultat-Produktion &amp; forbrug'!A95,'Resultater - Danmark'!$A$3:$A$482,"Til energi")+COUNTIFS('Resultater - Danmark'!$D$3:$D$482,'Resultat-Produktion &amp; forbrug'!A95,'Resultater - Danmark'!$A$3:$A$482,"Biogasanlæg")&gt;0,1,0)</f>
        <v>1</v>
      </c>
      <c r="D95" s="195">
        <f t="shared" si="19"/>
        <v>2030</v>
      </c>
      <c r="E95" s="193" t="s">
        <v>23</v>
      </c>
      <c r="F95" s="196">
        <f>IF(E95="Vestdanmark",SUMIFS(IF(D95=År1,'Resultater - Vestdanmark'!H$3:H$482,IF(D95=År2,'Resultater - Vestdanmark'!I$3:I$482,'Resultater - Vestdanmark'!J$3:J$482)),'Resultater - Vestdanmark'!$F$3:$F$482,$A95,IF(D95=År1,'Resultater - Vestdanmark'!H$3:H$482,IF(D95=År2,'Resultater - Vestdanmark'!I$3:I$482,'Resultater - Vestdanmark'!J$3:J$482)),"&gt;0"),SUMIFS(IF(D95=År1,'Resultater - Østdanmark'!H$3:H$482,IF(D95=År2,'Resultater - Østdanmark'!I$3:I$482,'Resultater - Østdanmark'!J$3:J$482)),'Resultater - Østdanmark'!$F$3:$F$482,$A95,IF(D95=År1,'Resultater - Østdanmark'!H$3:H$482,IF(D95=År2,'Resultater - Østdanmark'!I$3:I$482,'Resultater - Østdanmark'!J$3:J$482)),"&gt;0"))</f>
        <v>10800</v>
      </c>
      <c r="G95" s="196">
        <f>SUMIFS('Forbrug af biomasse'!$E$2:$E$425,'Forbrug af biomasse'!$C$2:$C$425,'Resultat-Produktion &amp; forbrug'!$A95,'Forbrug af biomasse'!$D$2:$D$425,'Resultat-Produktion &amp; forbrug'!$D95,'Forbrug af biomasse'!$A$2:$A$425,'Resultat-Produktion &amp; forbrug'!G$2,'Forbrug af biomasse'!$B$2:$B$425,$E95)</f>
        <v>0</v>
      </c>
      <c r="H95" s="193">
        <f>IF(E95="Vestdanmark",-IF(A95="Halm",SUMIFS(IF(D95=År1,'Resultater - Vestdanmark'!H$3:H$482,IF(D95=År2,'Resultater - Vestdanmark'!I$3:I$482,'Resultater - Vestdanmark'!J$3:J$482)),'Resultater - Vestdanmark'!$F$3:$F$482,$A95,'Resultater - Vestdanmark'!H$3:H$482,"&lt;0"),0),-IF(A95="Halm",SUMIFS(IF(D95=År1,'Resultater - Østdanmark'!H$3:H$482,IF(D95=År2,'Resultater - Østdanmark'!I$3:I$482,'Resultater - Østdanmark'!J$3:J$482)),'Resultater - Østdanmark'!$F$3:$F$482,$A95,'Resultater - Østdanmark'!H$3:H$482,"&lt;0"),0))</f>
        <v>0</v>
      </c>
      <c r="I95" s="196">
        <f>SUMIFS('Forbrug af biomasse'!$E$2:$E$425,'Forbrug af biomasse'!$C$2:$C$425,'Resultat-Produktion &amp; forbrug'!$A95,'Forbrug af biomasse'!$D$2:$D$425,'Resultat-Produktion &amp; forbrug'!$D95,'Forbrug af biomasse'!$A$2:$A$425,'Resultat-Produktion &amp; forbrug'!I$2,'Forbrug af biomasse'!$B$2:$B$425,$E95)</f>
        <v>0</v>
      </c>
      <c r="J95" s="196">
        <f>SUMIFS('Forbrug af biomasse'!$E$2:$E$425,'Forbrug af biomasse'!$C$2:$C$425,'Resultat-Produktion &amp; forbrug'!$A95,'Forbrug af biomasse'!$D$2:$D$425,'Resultat-Produktion &amp; forbrug'!$D95,'Forbrug af biomasse'!$A$2:$A$425,'Resultat-Produktion &amp; forbrug'!J$2,'Forbrug af biomasse'!$B$2:$B$425,$E95)</f>
        <v>0</v>
      </c>
      <c r="K95" s="196">
        <f>SUMIFS('Forbrug af biomasse'!$E$2:$E$425,'Forbrug af biomasse'!$C$2:$C$425,'Resultat-Produktion &amp; forbrug'!$A95,'Forbrug af biomasse'!$D$2:$D$425,'Resultat-Produktion &amp; forbrug'!$D95,'Forbrug af biomasse'!$A$2:$A$425,'Resultat-Produktion &amp; forbrug'!K$2,'Forbrug af biomasse'!$B$2:$B$425,$E95)</f>
        <v>0</v>
      </c>
      <c r="L95" s="196">
        <f>IF(A95&lt;&gt;"Biogas",SUMIFS('Forbrug af biomasse'!$E$2:$E$425,'Forbrug af biomasse'!$C$2:$C$425,'Resultat-Produktion &amp; forbrug'!$A95,'Forbrug af biomasse'!$D$2:$D$425,'Resultat-Produktion &amp; forbrug'!$D95,'Forbrug af biomasse'!$A$2:$A$425,'Resultat-Produktion &amp; forbrug'!L$2,'Forbrug af biomasse'!$B$2:$B$425,$E95),F95)</f>
        <v>0</v>
      </c>
      <c r="M95" s="158">
        <f>SUMIFS('Forbrug af biomasse'!E:E,'Forbrug af biomasse'!C:C,'Resultat-Produktion &amp; forbrug'!$A95,'Forbrug af biomasse'!D:D,'Resultat-Produktion &amp; forbrug'!$D95,'Forbrug af biomasse'!G:G,1,'Forbrug af biomasse'!B:B,$E95)</f>
        <v>0</v>
      </c>
      <c r="N95" s="205">
        <f t="shared" si="23"/>
        <v>10800</v>
      </c>
      <c r="O95" s="196">
        <f t="shared" si="20"/>
        <v>10800</v>
      </c>
      <c r="P95" s="206">
        <f t="shared" si="24"/>
        <v>0</v>
      </c>
      <c r="Q95" s="193">
        <f>IFERROR(VLOOKUP(A95,[1]Energiindhold!$A$2:$C$11,3,FALSE),IFERROR(VLOOKUP(A95,[1]Biogasudbytte!$A$2:$B$18,2,FALSE)*[1]Energiindhold!$C$10,0))*O95</f>
        <v>9.6930000000000002E-3</v>
      </c>
      <c r="R95" s="193">
        <f>IF(A95&lt;&gt;"Biogas",IFERROR(VLOOKUP(A95,[1]Biogasudbytte!$A$2:$B$18,2,FALSE)*[1]Energiindhold!$C$10,0)*J95*IFERROR(VLOOKUP(A95,Biogasanlæg!$F$3:$G$8,2,FALSE),1)+IFERROR(VLOOKUP(A95,[1]Energiindhold!$A$2:$C$11,3,FALSE),0)*L95+IF(D95&lt;&gt;År1,Q95,0),0)</f>
        <v>9.6930000000000002E-3</v>
      </c>
      <c r="S95" s="193">
        <f>IFERROR(VLOOKUP(A95,[1]Biogasudbytte!$A$2:$B$18,2,FALSE)*[1]Energiindhold!$C$10,0)*J95*IFERROR(VLOOKUP(A95,Biogasanlæg!$F$3:$G$8,2,FALSE),1)</f>
        <v>0</v>
      </c>
      <c r="T95" s="194">
        <f t="shared" si="25"/>
        <v>9.6930000000000002E-3</v>
      </c>
      <c r="U95" s="192">
        <f>O95*IFERROR(VLOOKUP(A95,[1]Tørstofindhold!A$2:B$25,2,FALSE),0)</f>
        <v>1620</v>
      </c>
      <c r="V95" s="193">
        <f>IF(D95=År1,P95,SUM(O95,P95))*IFERROR(VLOOKUP(A95,[1]Tørstofindhold!A$2:B$25,2,FALSE),0)</f>
        <v>1620</v>
      </c>
      <c r="W95" s="193">
        <f>J95*IFERROR(VLOOKUP(A95,[1]Tørstofindhold!A$2:B$25,2,FALSE),0)</f>
        <v>0</v>
      </c>
      <c r="X95" s="194">
        <f t="shared" si="26"/>
        <v>1620</v>
      </c>
      <c r="Y95" s="172">
        <f t="shared" si="21"/>
        <v>0</v>
      </c>
      <c r="Z95" s="104">
        <f t="shared" si="22"/>
        <v>1</v>
      </c>
    </row>
    <row r="96" spans="1:26" hidden="1" x14ac:dyDescent="0.55000000000000004">
      <c r="A96" s="195" t="str">
        <f t="shared" si="33"/>
        <v>Total til biogas</v>
      </c>
      <c r="B96" s="195" t="str">
        <f t="shared" si="34"/>
        <v/>
      </c>
      <c r="C96" s="195">
        <f>IF(COUNTIFS('Resultater - Danmark'!$D$3:$D$482,'Resultat-Produktion &amp; forbrug'!A96,'Resultater - Danmark'!$A$3:$A$482,"Til energi")+COUNTIFS('Resultater - Danmark'!$D$3:$D$482,'Resultat-Produktion &amp; forbrug'!A96,'Resultater - Danmark'!$A$3:$A$482,"Biogasanlæg")&gt;0,1,0)</f>
        <v>1</v>
      </c>
      <c r="D96" s="195">
        <f t="shared" si="19"/>
        <v>2030</v>
      </c>
      <c r="E96" s="193" t="s">
        <v>23</v>
      </c>
      <c r="F96" s="196">
        <f>IF(E96="Vestdanmark",SUMIFS(IF(D96=År1,'Resultater - Vestdanmark'!H$3:H$482,IF(D96=År2,'Resultater - Vestdanmark'!I$3:I$482,'Resultater - Vestdanmark'!J$3:J$482)),'Resultater - Vestdanmark'!$F$3:$F$482,$A96,IF(D96=År1,'Resultater - Vestdanmark'!H$3:H$482,IF(D96=År2,'Resultater - Vestdanmark'!I$3:I$482,'Resultater - Vestdanmark'!J$3:J$482)),"&gt;0"),SUMIFS(IF(D96=År1,'Resultater - Østdanmark'!H$3:H$482,IF(D96=År2,'Resultater - Østdanmark'!I$3:I$482,'Resultater - Østdanmark'!J$3:J$482)),'Resultater - Østdanmark'!$F$3:$F$482,$A96,IF(D96=År1,'Resultater - Østdanmark'!H$3:H$482,IF(D96=År2,'Resultater - Østdanmark'!I$3:I$482,'Resultater - Østdanmark'!J$3:J$482)),"&gt;0"))</f>
        <v>0</v>
      </c>
      <c r="G96" s="196">
        <f>SUMIFS('Forbrug af biomasse'!$E$2:$E$425,'Forbrug af biomasse'!$C$2:$C$425,'Resultat-Produktion &amp; forbrug'!$A96,'Forbrug af biomasse'!$D$2:$D$425,'Resultat-Produktion &amp; forbrug'!$D96,'Forbrug af biomasse'!$A$2:$A$425,'Resultat-Produktion &amp; forbrug'!G$2,'Forbrug af biomasse'!$B$2:$B$425,$E96)</f>
        <v>0</v>
      </c>
      <c r="H96" s="193">
        <f>IF(E96="Vestdanmark",-IF(A96="Halm",SUMIFS(IF(D96=År1,'Resultater - Vestdanmark'!H$3:H$482,IF(D96=År2,'Resultater - Vestdanmark'!I$3:I$482,'Resultater - Vestdanmark'!J$3:J$482)),'Resultater - Vestdanmark'!$F$3:$F$482,$A96,'Resultater - Vestdanmark'!H$3:H$482,"&lt;0"),0),-IF(A96="Halm",SUMIFS(IF(D96=År1,'Resultater - Østdanmark'!H$3:H$482,IF(D96=År2,'Resultater - Østdanmark'!I$3:I$482,'Resultater - Østdanmark'!J$3:J$482)),'Resultater - Østdanmark'!$F$3:$F$482,$A96,'Resultater - Østdanmark'!H$3:H$482,"&lt;0"),0))</f>
        <v>0</v>
      </c>
      <c r="I96" s="196">
        <f>SUMIFS('Forbrug af biomasse'!$E$2:$E$425,'Forbrug af biomasse'!$C$2:$C$425,'Resultat-Produktion &amp; forbrug'!$A96,'Forbrug af biomasse'!$D$2:$D$425,'Resultat-Produktion &amp; forbrug'!$D96,'Forbrug af biomasse'!$A$2:$A$425,'Resultat-Produktion &amp; forbrug'!I$2,'Forbrug af biomasse'!$B$2:$B$425,$E96)</f>
        <v>0</v>
      </c>
      <c r="J96" s="196">
        <f>SUMIFS('Forbrug af biomasse'!$E$2:$E$425,'Forbrug af biomasse'!$C$2:$C$425,'Resultat-Produktion &amp; forbrug'!$A96,'Forbrug af biomasse'!$D$2:$D$425,'Resultat-Produktion &amp; forbrug'!$D96,'Forbrug af biomasse'!$A$2:$A$425,'Resultat-Produktion &amp; forbrug'!J$2,'Forbrug af biomasse'!$B$2:$B$425,$E96)</f>
        <v>0</v>
      </c>
      <c r="K96" s="196">
        <f>SUMIFS('Forbrug af biomasse'!$E$2:$E$425,'Forbrug af biomasse'!$C$2:$C$425,'Resultat-Produktion &amp; forbrug'!$A96,'Forbrug af biomasse'!$D$2:$D$425,'Resultat-Produktion &amp; forbrug'!$D96,'Forbrug af biomasse'!$A$2:$A$425,'Resultat-Produktion &amp; forbrug'!K$2,'Forbrug af biomasse'!$B$2:$B$425,$E96)</f>
        <v>0</v>
      </c>
      <c r="L96" s="196">
        <f>IF(A96&lt;&gt;"Biogas",SUMIFS('Forbrug af biomasse'!$E$2:$E$425,'Forbrug af biomasse'!$C$2:$C$425,'Resultat-Produktion &amp; forbrug'!$A96,'Forbrug af biomasse'!$D$2:$D$425,'Resultat-Produktion &amp; forbrug'!$D96,'Forbrug af biomasse'!$A$2:$A$425,'Resultat-Produktion &amp; forbrug'!L$2,'Forbrug af biomasse'!$B$2:$B$425,$E96),F96)</f>
        <v>0</v>
      </c>
      <c r="M96" s="158">
        <f>SUMIFS('Forbrug af biomasse'!E:E,'Forbrug af biomasse'!C:C,'Resultat-Produktion &amp; forbrug'!$A96,'Forbrug af biomasse'!D:D,'Resultat-Produktion &amp; forbrug'!$D96,'Forbrug af biomasse'!G:G,1,'Forbrug af biomasse'!B:B,$E96)</f>
        <v>0</v>
      </c>
      <c r="N96" s="205">
        <f t="shared" si="23"/>
        <v>0</v>
      </c>
      <c r="O96" s="196">
        <f t="shared" si="20"/>
        <v>0</v>
      </c>
      <c r="P96" s="206">
        <f t="shared" si="24"/>
        <v>0</v>
      </c>
      <c r="Q96" s="193">
        <f>IFERROR(VLOOKUP(A96,[1]Energiindhold!$A$2:$C$11,3,FALSE),IFERROR(VLOOKUP(A96,[1]Biogasudbytte!$A$2:$B$18,2,FALSE)*[1]Energiindhold!$C$10,0))*O96</f>
        <v>0</v>
      </c>
      <c r="R96" s="193">
        <f>IF(A96&lt;&gt;"Biogas",IFERROR(VLOOKUP(A96,[1]Biogasudbytte!$A$2:$B$18,2,FALSE)*[1]Energiindhold!$C$10,0)*J96*IFERROR(VLOOKUP(A96,Biogasanlæg!$F$3:$G$8,2,FALSE),1)+IFERROR(VLOOKUP(A96,[1]Energiindhold!$A$2:$C$11,3,FALSE),0)*L96+IF(D96&lt;&gt;År1,Q96,0),0)</f>
        <v>0</v>
      </c>
      <c r="S96" s="193">
        <f>IFERROR(VLOOKUP(A96,[1]Biogasudbytte!$A$2:$B$18,2,FALSE)*[1]Energiindhold!$C$10,0)*J96*IFERROR(VLOOKUP(A96,Biogasanlæg!$F$3:$G$8,2,FALSE),1)</f>
        <v>0</v>
      </c>
      <c r="T96" s="194">
        <f t="shared" si="25"/>
        <v>0</v>
      </c>
      <c r="U96" s="192">
        <f>O96*IFERROR(VLOOKUP(A96,[1]Tørstofindhold!A$2:B$25,2,FALSE),0)</f>
        <v>0</v>
      </c>
      <c r="V96" s="193">
        <f>IF(D96=År1,P96,SUM(O96,P96))*IFERROR(VLOOKUP(A96,[1]Tørstofindhold!A$2:B$25,2,FALSE),0)</f>
        <v>0</v>
      </c>
      <c r="W96" s="193">
        <f>J96*IFERROR(VLOOKUP(A96,[1]Tørstofindhold!A$2:B$25,2,FALSE),0)</f>
        <v>0</v>
      </c>
      <c r="X96" s="194">
        <f t="shared" si="26"/>
        <v>0</v>
      </c>
      <c r="Y96" s="172">
        <f t="shared" si="21"/>
        <v>0</v>
      </c>
      <c r="Z96" s="104">
        <f t="shared" si="22"/>
        <v>0</v>
      </c>
    </row>
    <row r="97" spans="1:26" hidden="1" x14ac:dyDescent="0.55000000000000004">
      <c r="A97" s="195" t="str">
        <f t="shared" si="33"/>
        <v>Træ til energi</v>
      </c>
      <c r="B97" s="195" t="str">
        <f t="shared" si="34"/>
        <v>Vedmasse</v>
      </c>
      <c r="C97" s="195">
        <f>IF(COUNTIFS('Resultater - Danmark'!$D$3:$D$482,'Resultat-Produktion &amp; forbrug'!A97,'Resultater - Danmark'!$A$3:$A$482,"Til energi")+COUNTIFS('Resultater - Danmark'!$D$3:$D$482,'Resultat-Produktion &amp; forbrug'!A97,'Resultater - Danmark'!$A$3:$A$482,"Biogasanlæg")&gt;0,1,0)</f>
        <v>1</v>
      </c>
      <c r="D97" s="195">
        <f t="shared" si="19"/>
        <v>2030</v>
      </c>
      <c r="E97" s="193" t="s">
        <v>23</v>
      </c>
      <c r="F97" s="196">
        <f>IF(E97="Vestdanmark",SUMIFS(IF(D97=År1,'Resultater - Vestdanmark'!H$3:H$482,IF(D97=År2,'Resultater - Vestdanmark'!I$3:I$482,'Resultater - Vestdanmark'!J$3:J$482)),'Resultater - Vestdanmark'!$F$3:$F$482,$A97,IF(D97=År1,'Resultater - Vestdanmark'!H$3:H$482,IF(D97=År2,'Resultater - Vestdanmark'!I$3:I$482,'Resultater - Vestdanmark'!J$3:J$482)),"&gt;0"),SUMIFS(IF(D97=År1,'Resultater - Østdanmark'!H$3:H$482,IF(D97=År2,'Resultater - Østdanmark'!I$3:I$482,'Resultater - Østdanmark'!J$3:J$482)),'Resultater - Østdanmark'!$F$3:$F$482,$A97,IF(D97=År1,'Resultater - Østdanmark'!H$3:H$482,IF(D97=År2,'Resultater - Østdanmark'!I$3:I$482,'Resultater - Østdanmark'!J$3:J$482)),"&gt;0"))</f>
        <v>2203715.0015238998</v>
      </c>
      <c r="G97" s="196">
        <f>SUMIFS('Forbrug af biomasse'!$E$2:$E$425,'Forbrug af biomasse'!$C$2:$C$425,'Resultat-Produktion &amp; forbrug'!$A97,'Forbrug af biomasse'!$D$2:$D$425,'Resultat-Produktion &amp; forbrug'!$D97,'Forbrug af biomasse'!$A$2:$A$425,'Resultat-Produktion &amp; forbrug'!G$2,'Forbrug af biomasse'!$B$2:$B$425,$E97)</f>
        <v>0</v>
      </c>
      <c r="H97" s="193">
        <f>IF(E97="Vestdanmark",-IF(A97="Halm",SUMIFS(IF(D97=År1,'Resultater - Vestdanmark'!H$3:H$482,IF(D97=År2,'Resultater - Vestdanmark'!I$3:I$482,'Resultater - Vestdanmark'!J$3:J$482)),'Resultater - Vestdanmark'!$F$3:$F$482,$A97,'Resultater - Vestdanmark'!H$3:H$482,"&lt;0"),0),-IF(A97="Halm",SUMIFS(IF(D97=År1,'Resultater - Østdanmark'!H$3:H$482,IF(D97=År2,'Resultater - Østdanmark'!I$3:I$482,'Resultater - Østdanmark'!J$3:J$482)),'Resultater - Østdanmark'!$F$3:$F$482,$A97,'Resultater - Østdanmark'!H$3:H$482,"&lt;0"),0))</f>
        <v>0</v>
      </c>
      <c r="I97" s="196">
        <f>SUMIFS('Forbrug af biomasse'!$E$2:$E$425,'Forbrug af biomasse'!$C$2:$C$425,'Resultat-Produktion &amp; forbrug'!$A97,'Forbrug af biomasse'!$D$2:$D$425,'Resultat-Produktion &amp; forbrug'!$D97,'Forbrug af biomasse'!$A$2:$A$425,'Resultat-Produktion &amp; forbrug'!I$2,'Forbrug af biomasse'!$B$2:$B$425,$E97)</f>
        <v>0</v>
      </c>
      <c r="J97" s="196">
        <f>SUMIFS('Forbrug af biomasse'!$E$2:$E$425,'Forbrug af biomasse'!$C$2:$C$425,'Resultat-Produktion &amp; forbrug'!$A97,'Forbrug af biomasse'!$D$2:$D$425,'Resultat-Produktion &amp; forbrug'!$D97,'Forbrug af biomasse'!$A$2:$A$425,'Resultat-Produktion &amp; forbrug'!J$2,'Forbrug af biomasse'!$B$2:$B$425,$E97)</f>
        <v>0</v>
      </c>
      <c r="K97" s="196">
        <f>SUMIFS('Forbrug af biomasse'!$E$2:$E$425,'Forbrug af biomasse'!$C$2:$C$425,'Resultat-Produktion &amp; forbrug'!$A97,'Forbrug af biomasse'!$D$2:$D$425,'Resultat-Produktion &amp; forbrug'!$D97,'Forbrug af biomasse'!$A$2:$A$425,'Resultat-Produktion &amp; forbrug'!K$2,'Forbrug af biomasse'!$B$2:$B$425,$E97)</f>
        <v>0</v>
      </c>
      <c r="L97" s="196">
        <f>IF(A97&lt;&gt;"Biogas",SUMIFS('Forbrug af biomasse'!$E$2:$E$425,'Forbrug af biomasse'!$C$2:$C$425,'Resultat-Produktion &amp; forbrug'!$A97,'Forbrug af biomasse'!$D$2:$D$425,'Resultat-Produktion &amp; forbrug'!$D97,'Forbrug af biomasse'!$A$2:$A$425,'Resultat-Produktion &amp; forbrug'!L$2,'Forbrug af biomasse'!$B$2:$B$425,$E97),F97)</f>
        <v>2203715.0015238998</v>
      </c>
      <c r="M97" s="158">
        <f>SUMIFS('Forbrug af biomasse'!E:E,'Forbrug af biomasse'!C:C,'Resultat-Produktion &amp; forbrug'!$A97,'Forbrug af biomasse'!D:D,'Resultat-Produktion &amp; forbrug'!$D97,'Forbrug af biomasse'!G:G,1,'Forbrug af biomasse'!B:B,$E97)</f>
        <v>0</v>
      </c>
      <c r="N97" s="205">
        <f t="shared" si="23"/>
        <v>0</v>
      </c>
      <c r="O97" s="196">
        <f t="shared" si="20"/>
        <v>0</v>
      </c>
      <c r="P97" s="206">
        <f t="shared" si="24"/>
        <v>2203715.0015238998</v>
      </c>
      <c r="Q97" s="193">
        <f>IFERROR(VLOOKUP(A97,[1]Energiindhold!$A$2:$C$11,3,FALSE),IFERROR(VLOOKUP(A97,[1]Biogasudbytte!$A$2:$B$18,2,FALSE)*[1]Energiindhold!$C$10,0))*O97</f>
        <v>0</v>
      </c>
      <c r="R97" s="193">
        <f>IF(A97&lt;&gt;"Biogas",IFERROR(VLOOKUP(A97,[1]Biogasudbytte!$A$2:$B$18,2,FALSE)*[1]Energiindhold!$C$10,0)*J97*IFERROR(VLOOKUP(A97,Biogasanlæg!$F$3:$G$8,2,FALSE),1)+IFERROR(VLOOKUP(A97,[1]Energiindhold!$A$2:$C$11,3,FALSE),0)*L97+IF(D97&lt;&gt;År1,Q97,0),0)</f>
        <v>31.93969521225883</v>
      </c>
      <c r="S97" s="193">
        <f>IFERROR(VLOOKUP(A97,[1]Biogasudbytte!$A$2:$B$18,2,FALSE)*[1]Energiindhold!$C$10,0)*J97*IFERROR(VLOOKUP(A97,Biogasanlæg!$F$3:$G$8,2,FALSE),1)</f>
        <v>0</v>
      </c>
      <c r="T97" s="194">
        <f t="shared" si="25"/>
        <v>31.93969521225883</v>
      </c>
      <c r="U97" s="192">
        <f>O97*IFERROR(VLOOKUP(A97,[1]Tørstofindhold!A$2:B$25,2,FALSE),0)</f>
        <v>0</v>
      </c>
      <c r="V97" s="193">
        <f>IF(D97=År1,P97,SUM(O97,P97))*IFERROR(VLOOKUP(A97,[1]Tørstofindhold!A$2:B$25,2,FALSE),0)</f>
        <v>1089920.7111703621</v>
      </c>
      <c r="W97" s="193">
        <f>J97*IFERROR(VLOOKUP(A97,[1]Tørstofindhold!A$2:B$25,2,FALSE),0)</f>
        <v>0</v>
      </c>
      <c r="X97" s="194">
        <f t="shared" si="26"/>
        <v>1089920.7111703621</v>
      </c>
      <c r="Y97" s="172">
        <f t="shared" si="21"/>
        <v>0</v>
      </c>
      <c r="Z97" s="104">
        <f t="shared" si="22"/>
        <v>0</v>
      </c>
    </row>
    <row r="98" spans="1:26" hidden="1" x14ac:dyDescent="0.55000000000000004">
      <c r="A98" s="195" t="str">
        <f t="shared" si="33"/>
        <v>Træmaterialer</v>
      </c>
      <c r="B98" s="195" t="str">
        <f t="shared" si="34"/>
        <v/>
      </c>
      <c r="C98" s="195">
        <f>IF(COUNTIFS('Resultater - Danmark'!$D$3:$D$482,'Resultat-Produktion &amp; forbrug'!A98,'Resultater - Danmark'!$A$3:$A$482,"Til energi")+COUNTIFS('Resultater - Danmark'!$D$3:$D$482,'Resultat-Produktion &amp; forbrug'!A98,'Resultater - Danmark'!$A$3:$A$482,"Biogasanlæg")&gt;0,1,0)</f>
        <v>0</v>
      </c>
      <c r="D98" s="195">
        <f t="shared" si="19"/>
        <v>2030</v>
      </c>
      <c r="E98" s="193" t="s">
        <v>23</v>
      </c>
      <c r="F98" s="196">
        <f>IF(E98="Vestdanmark",SUMIFS(IF(D98=År1,'Resultater - Vestdanmark'!H$3:H$482,IF(D98=År2,'Resultater - Vestdanmark'!I$3:I$482,'Resultater - Vestdanmark'!J$3:J$482)),'Resultater - Vestdanmark'!$F$3:$F$482,$A98,IF(D98=År1,'Resultater - Vestdanmark'!H$3:H$482,IF(D98=År2,'Resultater - Vestdanmark'!I$3:I$482,'Resultater - Vestdanmark'!J$3:J$482)),"&gt;0"),SUMIFS(IF(D98=År1,'Resultater - Østdanmark'!H$3:H$482,IF(D98=År2,'Resultater - Østdanmark'!I$3:I$482,'Resultater - Østdanmark'!J$3:J$482)),'Resultater - Østdanmark'!$F$3:$F$482,$A98,IF(D98=År1,'Resultater - Østdanmark'!H$3:H$482,IF(D98=År2,'Resultater - Østdanmark'!I$3:I$482,'Resultater - Østdanmark'!J$3:J$482)),"&gt;0"))</f>
        <v>605932.0339558397</v>
      </c>
      <c r="G98" s="196">
        <f>SUMIFS('Forbrug af biomasse'!$E$2:$E$425,'Forbrug af biomasse'!$C$2:$C$425,'Resultat-Produktion &amp; forbrug'!$A98,'Forbrug af biomasse'!$D$2:$D$425,'Resultat-Produktion &amp; forbrug'!$D98,'Forbrug af biomasse'!$A$2:$A$425,'Resultat-Produktion &amp; forbrug'!G$2,'Forbrug af biomasse'!$B$2:$B$425,$E98)</f>
        <v>0</v>
      </c>
      <c r="H98" s="193">
        <f>IF(E98="Vestdanmark",-IF(A98="Halm",SUMIFS(IF(D98=År1,'Resultater - Vestdanmark'!H$3:H$482,IF(D98=År2,'Resultater - Vestdanmark'!I$3:I$482,'Resultater - Vestdanmark'!J$3:J$482)),'Resultater - Vestdanmark'!$F$3:$F$482,$A98,'Resultater - Vestdanmark'!H$3:H$482,"&lt;0"),0),-IF(A98="Halm",SUMIFS(IF(D98=År1,'Resultater - Østdanmark'!H$3:H$482,IF(D98=År2,'Resultater - Østdanmark'!I$3:I$482,'Resultater - Østdanmark'!J$3:J$482)),'Resultater - Østdanmark'!$F$3:$F$482,$A98,'Resultater - Østdanmark'!H$3:H$482,"&lt;0"),0))</f>
        <v>0</v>
      </c>
      <c r="I98" s="196">
        <f>SUMIFS('Forbrug af biomasse'!$E$2:$E$425,'Forbrug af biomasse'!$C$2:$C$425,'Resultat-Produktion &amp; forbrug'!$A98,'Forbrug af biomasse'!$D$2:$D$425,'Resultat-Produktion &amp; forbrug'!$D98,'Forbrug af biomasse'!$A$2:$A$425,'Resultat-Produktion &amp; forbrug'!I$2,'Forbrug af biomasse'!$B$2:$B$425,$E98)</f>
        <v>0</v>
      </c>
      <c r="J98" s="196">
        <f>SUMIFS('Forbrug af biomasse'!$E$2:$E$425,'Forbrug af biomasse'!$C$2:$C$425,'Resultat-Produktion &amp; forbrug'!$A98,'Forbrug af biomasse'!$D$2:$D$425,'Resultat-Produktion &amp; forbrug'!$D98,'Forbrug af biomasse'!$A$2:$A$425,'Resultat-Produktion &amp; forbrug'!J$2,'Forbrug af biomasse'!$B$2:$B$425,$E98)</f>
        <v>0</v>
      </c>
      <c r="K98" s="196">
        <f>SUMIFS('Forbrug af biomasse'!$E$2:$E$425,'Forbrug af biomasse'!$C$2:$C$425,'Resultat-Produktion &amp; forbrug'!$A98,'Forbrug af biomasse'!$D$2:$D$425,'Resultat-Produktion &amp; forbrug'!$D98,'Forbrug af biomasse'!$A$2:$A$425,'Resultat-Produktion &amp; forbrug'!K$2,'Forbrug af biomasse'!$B$2:$B$425,$E98)</f>
        <v>0</v>
      </c>
      <c r="L98" s="196">
        <f>IF(A98&lt;&gt;"Biogas",SUMIFS('Forbrug af biomasse'!$E$2:$E$425,'Forbrug af biomasse'!$C$2:$C$425,'Resultat-Produktion &amp; forbrug'!$A98,'Forbrug af biomasse'!$D$2:$D$425,'Resultat-Produktion &amp; forbrug'!$D98,'Forbrug af biomasse'!$A$2:$A$425,'Resultat-Produktion &amp; forbrug'!L$2,'Forbrug af biomasse'!$B$2:$B$425,$E98),F98)</f>
        <v>0</v>
      </c>
      <c r="M98" s="158">
        <f>SUMIFS('Forbrug af biomasse'!E:E,'Forbrug af biomasse'!C:C,'Resultat-Produktion &amp; forbrug'!$A98,'Forbrug af biomasse'!D:D,'Resultat-Produktion &amp; forbrug'!$D98,'Forbrug af biomasse'!G:G,1,'Forbrug af biomasse'!B:B,$E98)</f>
        <v>0</v>
      </c>
      <c r="N98" s="205">
        <f t="shared" si="23"/>
        <v>605932.0339558397</v>
      </c>
      <c r="O98" s="196">
        <f t="shared" si="20"/>
        <v>0</v>
      </c>
      <c r="P98" s="206">
        <f t="shared" si="24"/>
        <v>0</v>
      </c>
      <c r="Q98" s="193">
        <f>IFERROR(VLOOKUP(A98,[1]Energiindhold!$A$2:$C$11,3,FALSE),IFERROR(VLOOKUP(A98,[1]Biogasudbytte!$A$2:$B$18,2,FALSE)*[1]Energiindhold!$C$10,0))*O98</f>
        <v>0</v>
      </c>
      <c r="R98" s="193">
        <f>IF(A98&lt;&gt;"Biogas",IFERROR(VLOOKUP(A98,[1]Biogasudbytte!$A$2:$B$18,2,FALSE)*[1]Energiindhold!$C$10,0)*J98*IFERROR(VLOOKUP(A98,Biogasanlæg!$F$3:$G$8,2,FALSE),1)+IFERROR(VLOOKUP(A98,[1]Energiindhold!$A$2:$C$11,3,FALSE),0)*L98+IF(D98&lt;&gt;År1,Q98,0),0)</f>
        <v>0</v>
      </c>
      <c r="S98" s="193">
        <f>IFERROR(VLOOKUP(A98,[1]Biogasudbytte!$A$2:$B$18,2,FALSE)*[1]Energiindhold!$C$10,0)*J98*IFERROR(VLOOKUP(A98,Biogasanlæg!$F$3:$G$8,2,FALSE),1)</f>
        <v>0</v>
      </c>
      <c r="T98" s="194">
        <f t="shared" si="25"/>
        <v>0</v>
      </c>
      <c r="U98" s="192">
        <f>O98*IFERROR(VLOOKUP(A98,[1]Tørstofindhold!A$2:B$25,2,FALSE),0)</f>
        <v>0</v>
      </c>
      <c r="V98" s="193">
        <f>IF(D98=År1,P98,SUM(O98,P98))*IFERROR(VLOOKUP(A98,[1]Tørstofindhold!A$2:B$25,2,FALSE),0)</f>
        <v>0</v>
      </c>
      <c r="W98" s="193">
        <f>J98*IFERROR(VLOOKUP(A98,[1]Tørstofindhold!A$2:B$25,2,FALSE),0)</f>
        <v>0</v>
      </c>
      <c r="X98" s="194">
        <f t="shared" si="26"/>
        <v>0</v>
      </c>
      <c r="Y98" s="172">
        <f t="shared" si="21"/>
        <v>0</v>
      </c>
      <c r="Z98" s="104">
        <f t="shared" si="22"/>
        <v>1</v>
      </c>
    </row>
    <row r="99" spans="1:26" hidden="1" x14ac:dyDescent="0.55000000000000004">
      <c r="A99" s="195" t="str">
        <f t="shared" si="33"/>
        <v>Æg</v>
      </c>
      <c r="B99" s="195" t="str">
        <f t="shared" si="34"/>
        <v/>
      </c>
      <c r="C99" s="195">
        <f>IF(COUNTIFS('Resultater - Danmark'!$D$3:$D$482,'Resultat-Produktion &amp; forbrug'!A99,'Resultater - Danmark'!$A$3:$A$482,"Til energi")+COUNTIFS('Resultater - Danmark'!$D$3:$D$482,'Resultat-Produktion &amp; forbrug'!A99,'Resultater - Danmark'!$A$3:$A$482,"Biogasanlæg")&gt;0,1,0)</f>
        <v>0</v>
      </c>
      <c r="D99" s="195">
        <f t="shared" ref="D99:D146" si="35">År3</f>
        <v>2050</v>
      </c>
      <c r="E99" s="193" t="s">
        <v>23</v>
      </c>
      <c r="F99" s="196">
        <f>IF(E99="Vestdanmark",SUMIFS(IF(D99=År1,'Resultater - Vestdanmark'!H$3:H$482,IF(D99=År2,'Resultater - Vestdanmark'!I$3:I$482,'Resultater - Vestdanmark'!J$3:J$482)),'Resultater - Vestdanmark'!$F$3:$F$482,$A99,IF(D99=År1,'Resultater - Vestdanmark'!H$3:H$482,IF(D99=År2,'Resultater - Vestdanmark'!I$3:I$482,'Resultater - Vestdanmark'!J$3:J$482)),"&gt;0"),SUMIFS(IF(D99=År1,'Resultater - Østdanmark'!H$3:H$482,IF(D99=År2,'Resultater - Østdanmark'!I$3:I$482,'Resultater - Østdanmark'!J$3:J$482)),'Resultater - Østdanmark'!$F$3:$F$482,$A99,IF(D99=År1,'Resultater - Østdanmark'!H$3:H$482,IF(D99=År2,'Resultater - Østdanmark'!I$3:I$482,'Resultater - Østdanmark'!J$3:J$482)),"&gt;0"))</f>
        <v>208223.23899291924</v>
      </c>
      <c r="G99" s="196">
        <f>SUMIFS('Forbrug af biomasse'!$E$2:$E$425,'Forbrug af biomasse'!$C$2:$C$425,'Resultat-Produktion &amp; forbrug'!$A99,'Forbrug af biomasse'!$D$2:$D$425,'Resultat-Produktion &amp; forbrug'!$D99,'Forbrug af biomasse'!$A$2:$A$425,'Resultat-Produktion &amp; forbrug'!G$2,'Forbrug af biomasse'!$B$2:$B$425,$E99)</f>
        <v>0</v>
      </c>
      <c r="H99" s="193">
        <f>IF(E99="Vestdanmark",-IF(A99="Halm",SUMIFS(IF(D99=År1,'Resultater - Vestdanmark'!H$3:H$482,IF(D99=År2,'Resultater - Vestdanmark'!I$3:I$482,'Resultater - Vestdanmark'!J$3:J$482)),'Resultater - Vestdanmark'!$F$3:$F$482,$A99,'Resultater - Vestdanmark'!H$3:H$482,"&lt;0"),0),-IF(A99="Halm",SUMIFS(IF(D99=År1,'Resultater - Østdanmark'!H$3:H$482,IF(D99=År2,'Resultater - Østdanmark'!I$3:I$482,'Resultater - Østdanmark'!J$3:J$482)),'Resultater - Østdanmark'!$F$3:$F$482,$A99,'Resultater - Østdanmark'!H$3:H$482,"&lt;0"),0))</f>
        <v>0</v>
      </c>
      <c r="I99" s="196">
        <f>SUMIFS('Forbrug af biomasse'!$E$2:$E$425,'Forbrug af biomasse'!$C$2:$C$425,'Resultat-Produktion &amp; forbrug'!$A99,'Forbrug af biomasse'!$D$2:$D$425,'Resultat-Produktion &amp; forbrug'!$D99,'Forbrug af biomasse'!$A$2:$A$425,'Resultat-Produktion &amp; forbrug'!I$2,'Forbrug af biomasse'!$B$2:$B$425,$E99)</f>
        <v>33849.968886444818</v>
      </c>
      <c r="J99" s="196">
        <f>SUMIFS('Forbrug af biomasse'!$E$2:$E$425,'Forbrug af biomasse'!$C$2:$C$425,'Resultat-Produktion &amp; forbrug'!$A99,'Forbrug af biomasse'!$D$2:$D$425,'Resultat-Produktion &amp; forbrug'!$D99,'Forbrug af biomasse'!$A$2:$A$425,'Resultat-Produktion &amp; forbrug'!J$2,'Forbrug af biomasse'!$B$2:$B$425,$E99)</f>
        <v>0</v>
      </c>
      <c r="K99" s="196">
        <f>SUMIFS('Forbrug af biomasse'!$E$2:$E$425,'Forbrug af biomasse'!$C$2:$C$425,'Resultat-Produktion &amp; forbrug'!$A99,'Forbrug af biomasse'!$D$2:$D$425,'Resultat-Produktion &amp; forbrug'!$D99,'Forbrug af biomasse'!$A$2:$A$425,'Resultat-Produktion &amp; forbrug'!K$2,'Forbrug af biomasse'!$B$2:$B$425,$E99)</f>
        <v>0</v>
      </c>
      <c r="L99" s="196">
        <f>IF(A99&lt;&gt;"Biogas",SUMIFS('Forbrug af biomasse'!$E$2:$E$425,'Forbrug af biomasse'!$C$2:$C$425,'Resultat-Produktion &amp; forbrug'!$A99,'Forbrug af biomasse'!$D$2:$D$425,'Resultat-Produktion &amp; forbrug'!$D99,'Forbrug af biomasse'!$A$2:$A$425,'Resultat-Produktion &amp; forbrug'!L$2,'Forbrug af biomasse'!$B$2:$B$425,$E99),F99)</f>
        <v>0</v>
      </c>
      <c r="M99" s="158">
        <f>SUMIFS('Forbrug af biomasse'!E:E,'Forbrug af biomasse'!C:C,'Resultat-Produktion &amp; forbrug'!$A99,'Forbrug af biomasse'!D:D,'Resultat-Produktion &amp; forbrug'!$D99,'Forbrug af biomasse'!G:G,1,'Forbrug af biomasse'!B:B,$E99)</f>
        <v>0</v>
      </c>
      <c r="N99" s="205">
        <f t="shared" si="23"/>
        <v>174373.27010647443</v>
      </c>
      <c r="O99" s="196">
        <f t="shared" si="20"/>
        <v>0</v>
      </c>
      <c r="P99" s="206">
        <f t="shared" si="24"/>
        <v>0</v>
      </c>
      <c r="Q99" s="193">
        <f>IFERROR(VLOOKUP(A99,[1]Energiindhold!$A$2:$C$11,3,FALSE),IFERROR(VLOOKUP(A99,[1]Biogasudbytte!$A$2:$B$18,2,FALSE)*[1]Energiindhold!$C$10,0))*O99</f>
        <v>0</v>
      </c>
      <c r="R99" s="193">
        <f>IF(A99&lt;&gt;"Biogas",IFERROR(VLOOKUP(A99,[1]Biogasudbytte!$A$2:$B$18,2,FALSE)*[1]Energiindhold!$C$10,0)*J99*IFERROR(VLOOKUP(A99,Biogasanlæg!$F$3:$G$8,2,FALSE),1)+IFERROR(VLOOKUP(A99,[1]Energiindhold!$A$2:$C$11,3,FALSE),0)*L99+IF(D99&lt;&gt;År1,Q99,0),0)</f>
        <v>0</v>
      </c>
      <c r="S99" s="193">
        <f>IFERROR(VLOOKUP(A99,[1]Biogasudbytte!$A$2:$B$18,2,FALSE)*[1]Energiindhold!$C$10,0)*J99*IFERROR(VLOOKUP(A99,Biogasanlæg!$F$3:$G$8,2,FALSE),1)</f>
        <v>0</v>
      </c>
      <c r="T99" s="194">
        <f t="shared" si="25"/>
        <v>0</v>
      </c>
      <c r="U99" s="192">
        <f>O99*IFERROR(VLOOKUP(A99,[1]Tørstofindhold!A$2:B$25,2,FALSE),0)</f>
        <v>0</v>
      </c>
      <c r="V99" s="193">
        <f>IF(D99=År1,P99,SUM(O99,P99))*IFERROR(VLOOKUP(A99,[1]Tørstofindhold!A$2:B$25,2,FALSE),0)</f>
        <v>0</v>
      </c>
      <c r="W99" s="193">
        <f>J99*IFERROR(VLOOKUP(A99,[1]Tørstofindhold!A$2:B$25,2,FALSE),0)</f>
        <v>0</v>
      </c>
      <c r="X99" s="194">
        <f t="shared" si="26"/>
        <v>0</v>
      </c>
      <c r="Y99" s="172">
        <f t="shared" si="21"/>
        <v>0</v>
      </c>
      <c r="Z99" s="104">
        <f t="shared" si="22"/>
        <v>1</v>
      </c>
    </row>
    <row r="100" spans="1:26" x14ac:dyDescent="0.55000000000000004">
      <c r="A100" s="195" t="str">
        <f t="shared" si="33"/>
        <v>Bælgsæd</v>
      </c>
      <c r="B100" s="195" t="str">
        <f t="shared" si="34"/>
        <v/>
      </c>
      <c r="C100" s="195">
        <f>IF(COUNTIFS('Resultater - Danmark'!$D$3:$D$482,'Resultat-Produktion &amp; forbrug'!A100,'Resultater - Danmark'!$A$3:$A$482,"Til energi")+COUNTIFS('Resultater - Danmark'!$D$3:$D$482,'Resultat-Produktion &amp; forbrug'!A100,'Resultater - Danmark'!$A$3:$A$482,"Biogasanlæg")&gt;0,1,0)</f>
        <v>0</v>
      </c>
      <c r="D100" s="195">
        <f t="shared" si="35"/>
        <v>2050</v>
      </c>
      <c r="E100" s="193" t="s">
        <v>23</v>
      </c>
      <c r="F100" s="196">
        <f>IF(E100="Vestdanmark",SUMIFS(IF(D100=År1,'Resultater - Vestdanmark'!H$3:H$482,IF(D100=År2,'Resultater - Vestdanmark'!I$3:I$482,'Resultater - Vestdanmark'!J$3:J$482)),'Resultater - Vestdanmark'!$F$3:$F$482,$A100,IF(D100=År1,'Resultater - Vestdanmark'!H$3:H$482,IF(D100=År2,'Resultater - Vestdanmark'!I$3:I$482,'Resultater - Vestdanmark'!J$3:J$482)),"&gt;0"),SUMIFS(IF(D100=År1,'Resultater - Østdanmark'!H$3:H$482,IF(D100=År2,'Resultater - Østdanmark'!I$3:I$482,'Resultater - Østdanmark'!J$3:J$482)),'Resultater - Østdanmark'!$F$3:$F$482,$A100,IF(D100=År1,'Resultater - Østdanmark'!H$3:H$482,IF(D100=År2,'Resultater - Østdanmark'!I$3:I$482,'Resultater - Østdanmark'!J$3:J$482)),"&gt;0"))</f>
        <v>260463.0327135307</v>
      </c>
      <c r="G100" s="196">
        <f>SUMIFS('Forbrug af biomasse'!$E$2:$E$425,'Forbrug af biomasse'!$C$2:$C$425,'Resultat-Produktion &amp; forbrug'!$A100,'Forbrug af biomasse'!$D$2:$D$425,'Resultat-Produktion &amp; forbrug'!$D100,'Forbrug af biomasse'!$A$2:$A$425,'Resultat-Produktion &amp; forbrug'!G$2,'Forbrug af biomasse'!$B$2:$B$425,$E100)</f>
        <v>64498.475475191975</v>
      </c>
      <c r="H100" s="193">
        <f>IF(E100="Vestdanmark",-IF(A100="Halm",SUMIFS(IF(D100=År1,'Resultater - Vestdanmark'!H$3:H$482,IF(D100=År2,'Resultater - Vestdanmark'!I$3:I$482,'Resultater - Vestdanmark'!J$3:J$482)),'Resultater - Vestdanmark'!$F$3:$F$482,$A100,'Resultater - Vestdanmark'!H$3:H$482,"&lt;0"),0),-IF(A100="Halm",SUMIFS(IF(D100=År1,'Resultater - Østdanmark'!H$3:H$482,IF(D100=År2,'Resultater - Østdanmark'!I$3:I$482,'Resultater - Østdanmark'!J$3:J$482)),'Resultater - Østdanmark'!$F$3:$F$482,$A100,'Resultater - Østdanmark'!H$3:H$482,"&lt;0"),0))</f>
        <v>0</v>
      </c>
      <c r="I100" s="196">
        <f>SUMIFS('Forbrug af biomasse'!$E$2:$E$425,'Forbrug af biomasse'!$C$2:$C$425,'Resultat-Produktion &amp; forbrug'!$A100,'Forbrug af biomasse'!$D$2:$D$425,'Resultat-Produktion &amp; forbrug'!$D100,'Forbrug af biomasse'!$A$2:$A$425,'Resultat-Produktion &amp; forbrug'!I$2,'Forbrug af biomasse'!$B$2:$B$425,$E100)</f>
        <v>0</v>
      </c>
      <c r="J100" s="196">
        <f>SUMIFS('Forbrug af biomasse'!$E$2:$E$425,'Forbrug af biomasse'!$C$2:$C$425,'Resultat-Produktion &amp; forbrug'!$A100,'Forbrug af biomasse'!$D$2:$D$425,'Resultat-Produktion &amp; forbrug'!$D100,'Forbrug af biomasse'!$A$2:$A$425,'Resultat-Produktion &amp; forbrug'!J$2,'Forbrug af biomasse'!$B$2:$B$425,$E100)</f>
        <v>0</v>
      </c>
      <c r="K100" s="196">
        <f>SUMIFS('Forbrug af biomasse'!$E$2:$E$425,'Forbrug af biomasse'!$C$2:$C$425,'Resultat-Produktion &amp; forbrug'!$A100,'Forbrug af biomasse'!$D$2:$D$425,'Resultat-Produktion &amp; forbrug'!$D100,'Forbrug af biomasse'!$A$2:$A$425,'Resultat-Produktion &amp; forbrug'!K$2,'Forbrug af biomasse'!$B$2:$B$425,$E100)</f>
        <v>0</v>
      </c>
      <c r="L100" s="196">
        <f>IF(A100&lt;&gt;"Biogas",SUMIFS('Forbrug af biomasse'!$E$2:$E$425,'Forbrug af biomasse'!$C$2:$C$425,'Resultat-Produktion &amp; forbrug'!$A100,'Forbrug af biomasse'!$D$2:$D$425,'Resultat-Produktion &amp; forbrug'!$D100,'Forbrug af biomasse'!$A$2:$A$425,'Resultat-Produktion &amp; forbrug'!L$2,'Forbrug af biomasse'!$B$2:$B$425,$E100),F100)</f>
        <v>0</v>
      </c>
      <c r="M100" s="158">
        <f>SUMIFS('Forbrug af biomasse'!E:E,'Forbrug af biomasse'!C:C,'Resultat-Produktion &amp; forbrug'!$A100,'Forbrug af biomasse'!D:D,'Resultat-Produktion &amp; forbrug'!$D100,'Forbrug af biomasse'!G:G,1,'Forbrug af biomasse'!B:B,$E100)</f>
        <v>0</v>
      </c>
      <c r="N100" s="205">
        <f t="shared" si="23"/>
        <v>195964.55723833872</v>
      </c>
      <c r="O100" s="196">
        <f t="shared" si="20"/>
        <v>0</v>
      </c>
      <c r="P100" s="206">
        <f t="shared" si="24"/>
        <v>0</v>
      </c>
      <c r="Q100" s="193">
        <f>IFERROR(VLOOKUP(A100,[1]Energiindhold!$A$2:$C$11,3,FALSE),IFERROR(VLOOKUP(A100,[1]Biogasudbytte!$A$2:$B$18,2,FALSE)*[1]Energiindhold!$C$10,0))*O100</f>
        <v>0</v>
      </c>
      <c r="R100" s="193">
        <f>IF(A100&lt;&gt;"Biogas",IFERROR(VLOOKUP(A100,[1]Biogasudbytte!$A$2:$B$18,2,FALSE)*[1]Energiindhold!$C$10,0)*J100*IFERROR(VLOOKUP(A100,Biogasanlæg!$F$3:$G$8,2,FALSE),1)+IFERROR(VLOOKUP(A100,[1]Energiindhold!$A$2:$C$11,3,FALSE),0)*L100+IF(D100&lt;&gt;År1,Q100,0),0)</f>
        <v>0</v>
      </c>
      <c r="S100" s="193">
        <f>IFERROR(VLOOKUP(A100,[1]Biogasudbytte!$A$2:$B$18,2,FALSE)*[1]Energiindhold!$C$10,0)*J100*IFERROR(VLOOKUP(A100,Biogasanlæg!$F$3:$G$8,2,FALSE),1)</f>
        <v>0</v>
      </c>
      <c r="T100" s="194">
        <f t="shared" si="25"/>
        <v>0</v>
      </c>
      <c r="U100" s="192">
        <f>O100*IFERROR(VLOOKUP(A100,[1]Tørstofindhold!A$2:B$25,2,FALSE),0)</f>
        <v>0</v>
      </c>
      <c r="V100" s="193">
        <f>IF(D100=År1,P100,SUM(O100,P100))*IFERROR(VLOOKUP(A100,[1]Tørstofindhold!A$2:B$25,2,FALSE),0)</f>
        <v>0</v>
      </c>
      <c r="W100" s="193">
        <f>J100*IFERROR(VLOOKUP(A100,[1]Tørstofindhold!A$2:B$25,2,FALSE),0)</f>
        <v>0</v>
      </c>
      <c r="X100" s="194">
        <f t="shared" si="26"/>
        <v>0</v>
      </c>
      <c r="Y100" s="172">
        <f t="shared" si="21"/>
        <v>0</v>
      </c>
      <c r="Z100" s="104">
        <f t="shared" si="22"/>
        <v>1</v>
      </c>
    </row>
    <row r="101" spans="1:26" hidden="1" x14ac:dyDescent="0.55000000000000004">
      <c r="A101" s="195" t="str">
        <f t="shared" si="33"/>
        <v>Bioaffald</v>
      </c>
      <c r="B101" s="195" t="str">
        <f t="shared" si="34"/>
        <v>Bionedbrydeligt affald</v>
      </c>
      <c r="C101" s="195">
        <f>IF(COUNTIFS('Resultater - Danmark'!$D$3:$D$482,'Resultat-Produktion &amp; forbrug'!A101,'Resultater - Danmark'!$A$3:$A$482,"Til energi")+COUNTIFS('Resultater - Danmark'!$D$3:$D$482,'Resultat-Produktion &amp; forbrug'!A101,'Resultater - Danmark'!$A$3:$A$482,"Biogasanlæg")&gt;0,1,0)</f>
        <v>1</v>
      </c>
      <c r="D101" s="195">
        <f t="shared" si="35"/>
        <v>2050</v>
      </c>
      <c r="E101" s="193" t="s">
        <v>23</v>
      </c>
      <c r="F101" s="196">
        <f ca="1">IF(E101="Vestdanmark",SUMIFS(IF(D101=År1,'Resultater - Vestdanmark'!H$3:H$482,IF(D101=År2,'Resultater - Vestdanmark'!I$3:I$482,'Resultater - Vestdanmark'!J$3:J$482)),'Resultater - Vestdanmark'!$F$3:$F$482,$A101,IF(D101=År1,'Resultater - Vestdanmark'!H$3:H$482,IF(D101=År2,'Resultater - Vestdanmark'!I$3:I$482,'Resultater - Vestdanmark'!J$3:J$482)),"&gt;0"),SUMIFS(IF(D101=År1,'Resultater - Østdanmark'!H$3:H$482,IF(D101=År2,'Resultater - Østdanmark'!I$3:I$482,'Resultater - Østdanmark'!J$3:J$482)),'Resultater - Østdanmark'!$F$3:$F$482,$A101,IF(D101=År1,'Resultater - Østdanmark'!H$3:H$482,IF(D101=År2,'Resultater - Østdanmark'!I$3:I$482,'Resultater - Østdanmark'!J$3:J$482)),"&gt;0"))</f>
        <v>197484.13479984918</v>
      </c>
      <c r="G101" s="196">
        <f>SUMIFS('Forbrug af biomasse'!$E$2:$E$425,'Forbrug af biomasse'!$C$2:$C$425,'Resultat-Produktion &amp; forbrug'!$A101,'Forbrug af biomasse'!$D$2:$D$425,'Resultat-Produktion &amp; forbrug'!$D101,'Forbrug af biomasse'!$A$2:$A$425,'Resultat-Produktion &amp; forbrug'!G$2,'Forbrug af biomasse'!$B$2:$B$425,$E101)</f>
        <v>0</v>
      </c>
      <c r="H101" s="193">
        <f>IF(E101="Vestdanmark",-IF(A101="Halm",SUMIFS(IF(D101=År1,'Resultater - Vestdanmark'!H$3:H$482,IF(D101=År2,'Resultater - Vestdanmark'!I$3:I$482,'Resultater - Vestdanmark'!J$3:J$482)),'Resultater - Vestdanmark'!$F$3:$F$482,$A101,'Resultater - Vestdanmark'!H$3:H$482,"&lt;0"),0),-IF(A101="Halm",SUMIFS(IF(D101=År1,'Resultater - Østdanmark'!H$3:H$482,IF(D101=År2,'Resultater - Østdanmark'!I$3:I$482,'Resultater - Østdanmark'!J$3:J$482)),'Resultater - Østdanmark'!$F$3:$F$482,$A101,'Resultater - Østdanmark'!H$3:H$482,"&lt;0"),0))</f>
        <v>0</v>
      </c>
      <c r="I101" s="196">
        <f>SUMIFS('Forbrug af biomasse'!$E$2:$E$425,'Forbrug af biomasse'!$C$2:$C$425,'Resultat-Produktion &amp; forbrug'!$A101,'Forbrug af biomasse'!$D$2:$D$425,'Resultat-Produktion &amp; forbrug'!$D101,'Forbrug af biomasse'!$A$2:$A$425,'Resultat-Produktion &amp; forbrug'!I$2,'Forbrug af biomasse'!$B$2:$B$425,$E101)</f>
        <v>0</v>
      </c>
      <c r="J101" s="196">
        <f ca="1">SUMIFS('Forbrug af biomasse'!$E$2:$E$425,'Forbrug af biomasse'!$C$2:$C$425,'Resultat-Produktion &amp; forbrug'!$A101,'Forbrug af biomasse'!$D$2:$D$425,'Resultat-Produktion &amp; forbrug'!$D101,'Forbrug af biomasse'!$A$2:$A$425,'Resultat-Produktion &amp; forbrug'!J$2,'Forbrug af biomasse'!$B$2:$B$425,$E101)</f>
        <v>197484.23354298095</v>
      </c>
      <c r="K101" s="196">
        <f>SUMIFS('Forbrug af biomasse'!$E$2:$E$425,'Forbrug af biomasse'!$C$2:$C$425,'Resultat-Produktion &amp; forbrug'!$A101,'Forbrug af biomasse'!$D$2:$D$425,'Resultat-Produktion &amp; forbrug'!$D101,'Forbrug af biomasse'!$A$2:$A$425,'Resultat-Produktion &amp; forbrug'!K$2,'Forbrug af biomasse'!$B$2:$B$425,$E101)</f>
        <v>0</v>
      </c>
      <c r="L101" s="196">
        <f ca="1">IF(A101&lt;&gt;"Biogas",SUMIFS('Forbrug af biomasse'!$E$2:$E$425,'Forbrug af biomasse'!$C$2:$C$425,'Resultat-Produktion &amp; forbrug'!$A101,'Forbrug af biomasse'!$D$2:$D$425,'Resultat-Produktion &amp; forbrug'!$D101,'Forbrug af biomasse'!$A$2:$A$425,'Resultat-Produktion &amp; forbrug'!L$2,'Forbrug af biomasse'!$B$2:$B$425,$E101),F101)</f>
        <v>0</v>
      </c>
      <c r="M101" s="158">
        <f ca="1">SUMIFS('Forbrug af biomasse'!E:E,'Forbrug af biomasse'!C:C,'Resultat-Produktion &amp; forbrug'!$A101,'Forbrug af biomasse'!D:D,'Resultat-Produktion &amp; forbrug'!$D101,'Forbrug af biomasse'!G:G,1,'Forbrug af biomasse'!B:B,$E101)</f>
        <v>0</v>
      </c>
      <c r="N101" s="205">
        <f t="shared" ca="1" si="23"/>
        <v>-9.8743131762603298E-2</v>
      </c>
      <c r="O101" s="196">
        <f t="shared" ca="1" si="20"/>
        <v>0</v>
      </c>
      <c r="P101" s="206">
        <f t="shared" ca="1" si="24"/>
        <v>197484.23354298095</v>
      </c>
      <c r="Q101" s="193">
        <f ca="1">IFERROR(VLOOKUP(A101,[1]Energiindhold!$A$2:$C$11,3,FALSE),IFERROR(VLOOKUP(A101,[1]Biogasudbytte!$A$2:$B$18,2,FALSE)*[1]Energiindhold!$C$10,0))*O101</f>
        <v>0</v>
      </c>
      <c r="R101" s="193">
        <f ca="1">IF(A101&lt;&gt;"Biogas",IFERROR(VLOOKUP(A101,[1]Biogasudbytte!$A$2:$B$18,2,FALSE)*[1]Energiindhold!$C$10,0)*J101*IFERROR(VLOOKUP(A101,Biogasanlæg!$F$3:$G$8,2,FALSE),1)+IFERROR(VLOOKUP(A101,[1]Energiindhold!$A$2:$C$11,3,FALSE),0)*L101+IF(D101&lt;&gt;År1,Q101,0),0)</f>
        <v>0.60552990908992566</v>
      </c>
      <c r="S101" s="193">
        <f ca="1">IFERROR(VLOOKUP(A101,[1]Biogasudbytte!$A$2:$B$18,2,FALSE)*[1]Energiindhold!$C$10,0)*J101*IFERROR(VLOOKUP(A101,Biogasanlæg!$F$3:$G$8,2,FALSE),1)</f>
        <v>0.60552990908992566</v>
      </c>
      <c r="T101" s="194">
        <f t="shared" ca="1" si="25"/>
        <v>0</v>
      </c>
      <c r="U101" s="192">
        <f ca="1">O101*IFERROR(VLOOKUP(A101,[1]Tørstofindhold!A$2:B$25,2,FALSE),0)</f>
        <v>0</v>
      </c>
      <c r="V101" s="193">
        <f ca="1">IF(D101=År1,P101,SUM(O101,P101))*IFERROR(VLOOKUP(A101,[1]Tørstofindhold!A$2:B$25,2,FALSE),0)</f>
        <v>55295.585392034671</v>
      </c>
      <c r="W101" s="193">
        <f ca="1">J101*IFERROR(VLOOKUP(A101,[1]Tørstofindhold!A$2:B$25,2,FALSE),0)</f>
        <v>55295.585392034671</v>
      </c>
      <c r="X101" s="194">
        <f t="shared" ca="1" si="26"/>
        <v>0</v>
      </c>
      <c r="Y101" s="172">
        <f t="shared" ca="1" si="21"/>
        <v>1</v>
      </c>
      <c r="Z101" s="104">
        <f t="shared" ca="1" si="22"/>
        <v>0</v>
      </c>
    </row>
    <row r="102" spans="1:26" hidden="1" x14ac:dyDescent="0.55000000000000004">
      <c r="A102" s="195" t="str">
        <f t="shared" si="33"/>
        <v>Biogas</v>
      </c>
      <c r="B102" s="195" t="str">
        <f t="shared" si="34"/>
        <v/>
      </c>
      <c r="C102" s="195">
        <f>IF(COUNTIFS('Resultater - Danmark'!$D$3:$D$482,'Resultat-Produktion &amp; forbrug'!A102,'Resultater - Danmark'!$A$3:$A$482,"Til energi")+COUNTIFS('Resultater - Danmark'!$D$3:$D$482,'Resultat-Produktion &amp; forbrug'!A102,'Resultater - Danmark'!$A$3:$A$482,"Biogasanlæg")&gt;0,1,0)</f>
        <v>1</v>
      </c>
      <c r="D102" s="195">
        <f t="shared" si="35"/>
        <v>2050</v>
      </c>
      <c r="E102" s="193" t="s">
        <v>23</v>
      </c>
      <c r="F102" s="196">
        <f ca="1">IF(E102="Vestdanmark",SUMIFS(IF(D102=År1,'Resultater - Vestdanmark'!H$3:H$482,IF(D102=År2,'Resultater - Vestdanmark'!I$3:I$482,'Resultater - Vestdanmark'!J$3:J$482)),'Resultater - Vestdanmark'!$F$3:$F$482,$A102,IF(D102=År1,'Resultater - Vestdanmark'!H$3:H$482,IF(D102=År2,'Resultater - Vestdanmark'!I$3:I$482,'Resultater - Vestdanmark'!J$3:J$482)),"&gt;0"),SUMIFS(IF(D102=År1,'Resultater - Østdanmark'!H$3:H$482,IF(D102=År2,'Resultater - Østdanmark'!I$3:I$482,'Resultater - Østdanmark'!J$3:J$482)),'Resultater - Østdanmark'!$F$3:$F$482,$A102,IF(D102=År1,'Resultater - Østdanmark'!H$3:H$482,IF(D102=År2,'Resultater - Østdanmark'!I$3:I$482,'Resultater - Østdanmark'!J$3:J$482)),"&gt;0"))</f>
        <v>499391420.10060036</v>
      </c>
      <c r="G102" s="196">
        <f>SUMIFS('Forbrug af biomasse'!$E$2:$E$425,'Forbrug af biomasse'!$C$2:$C$425,'Resultat-Produktion &amp; forbrug'!$A102,'Forbrug af biomasse'!$D$2:$D$425,'Resultat-Produktion &amp; forbrug'!$D102,'Forbrug af biomasse'!$A$2:$A$425,'Resultat-Produktion &amp; forbrug'!G$2,'Forbrug af biomasse'!$B$2:$B$425,$E102)</f>
        <v>0</v>
      </c>
      <c r="H102" s="193">
        <f>IF(E102="Vestdanmark",-IF(A102="Halm",SUMIFS(IF(D102=År1,'Resultater - Vestdanmark'!H$3:H$482,IF(D102=År2,'Resultater - Vestdanmark'!I$3:I$482,'Resultater - Vestdanmark'!J$3:J$482)),'Resultater - Vestdanmark'!$F$3:$F$482,$A102,'Resultater - Vestdanmark'!H$3:H$482,"&lt;0"),0),-IF(A102="Halm",SUMIFS(IF(D102=År1,'Resultater - Østdanmark'!H$3:H$482,IF(D102=År2,'Resultater - Østdanmark'!I$3:I$482,'Resultater - Østdanmark'!J$3:J$482)),'Resultater - Østdanmark'!$F$3:$F$482,$A102,'Resultater - Østdanmark'!H$3:H$482,"&lt;0"),0))</f>
        <v>0</v>
      </c>
      <c r="I102" s="196">
        <f>SUMIFS('Forbrug af biomasse'!$E$2:$E$425,'Forbrug af biomasse'!$C$2:$C$425,'Resultat-Produktion &amp; forbrug'!$A102,'Forbrug af biomasse'!$D$2:$D$425,'Resultat-Produktion &amp; forbrug'!$D102,'Forbrug af biomasse'!$A$2:$A$425,'Resultat-Produktion &amp; forbrug'!I$2,'Forbrug af biomasse'!$B$2:$B$425,$E102)</f>
        <v>0</v>
      </c>
      <c r="J102" s="196">
        <f>SUMIFS('Forbrug af biomasse'!$E$2:$E$425,'Forbrug af biomasse'!$C$2:$C$425,'Resultat-Produktion &amp; forbrug'!$A102,'Forbrug af biomasse'!$D$2:$D$425,'Resultat-Produktion &amp; forbrug'!$D102,'Forbrug af biomasse'!$A$2:$A$425,'Resultat-Produktion &amp; forbrug'!J$2,'Forbrug af biomasse'!$B$2:$B$425,$E102)</f>
        <v>0</v>
      </c>
      <c r="K102" s="196">
        <f>SUMIFS('Forbrug af biomasse'!$E$2:$E$425,'Forbrug af biomasse'!$C$2:$C$425,'Resultat-Produktion &amp; forbrug'!$A102,'Forbrug af biomasse'!$D$2:$D$425,'Resultat-Produktion &amp; forbrug'!$D102,'Forbrug af biomasse'!$A$2:$A$425,'Resultat-Produktion &amp; forbrug'!K$2,'Forbrug af biomasse'!$B$2:$B$425,$E102)</f>
        <v>0</v>
      </c>
      <c r="L102" s="196">
        <f ca="1">IF(A102&lt;&gt;"Biogas",SUMIFS('Forbrug af biomasse'!$E$2:$E$425,'Forbrug af biomasse'!$C$2:$C$425,'Resultat-Produktion &amp; forbrug'!$A102,'Forbrug af biomasse'!$D$2:$D$425,'Resultat-Produktion &amp; forbrug'!$D102,'Forbrug af biomasse'!$A$2:$A$425,'Resultat-Produktion &amp; forbrug'!L$2,'Forbrug af biomasse'!$B$2:$B$425,$E102),F102)</f>
        <v>499391420.10060036</v>
      </c>
      <c r="M102" s="158">
        <f>SUMIFS('Forbrug af biomasse'!E:E,'Forbrug af biomasse'!C:C,'Resultat-Produktion &amp; forbrug'!$A102,'Forbrug af biomasse'!D:D,'Resultat-Produktion &amp; forbrug'!$D102,'Forbrug af biomasse'!G:G,1,'Forbrug af biomasse'!B:B,$E102)</f>
        <v>0</v>
      </c>
      <c r="N102" s="205">
        <f t="shared" ca="1" si="23"/>
        <v>0</v>
      </c>
      <c r="O102" s="196">
        <f t="shared" ca="1" si="20"/>
        <v>0</v>
      </c>
      <c r="P102" s="206">
        <f t="shared" ca="1" si="24"/>
        <v>499391420.10060036</v>
      </c>
      <c r="Q102" s="193">
        <f ca="1">IFERROR(VLOOKUP(A102,[1]Energiindhold!$A$2:$C$11,3,FALSE),IFERROR(VLOOKUP(A102,[1]Biogasudbytte!$A$2:$B$18,2,FALSE)*[1]Energiindhold!$C$10,0))*O102</f>
        <v>0</v>
      </c>
      <c r="R102" s="193">
        <f>IF(A102&lt;&gt;"Biogas",IFERROR(VLOOKUP(A102,[1]Biogasudbytte!$A$2:$B$18,2,FALSE)*[1]Energiindhold!$C$10,0)*J102*IFERROR(VLOOKUP(A102,Biogasanlæg!$F$3:$G$8,2,FALSE),1)+IFERROR(VLOOKUP(A102,[1]Energiindhold!$A$2:$C$11,3,FALSE),0)*L102+IF(D102&lt;&gt;År1,Q102,0),0)</f>
        <v>0</v>
      </c>
      <c r="S102" s="193">
        <f>IFERROR(VLOOKUP(A102,[1]Biogasudbytte!$A$2:$B$18,2,FALSE)*[1]Energiindhold!$C$10,0)*J102*IFERROR(VLOOKUP(A102,Biogasanlæg!$F$3:$G$8,2,FALSE),1)</f>
        <v>0</v>
      </c>
      <c r="T102" s="194">
        <f t="shared" si="25"/>
        <v>0</v>
      </c>
      <c r="U102" s="192">
        <f ca="1">O102*IFERROR(VLOOKUP(A102,[1]Tørstofindhold!A$2:B$25,2,FALSE),0)</f>
        <v>0</v>
      </c>
      <c r="V102" s="193">
        <f ca="1">IF(D102=År1,P102,SUM(O102,P102))*IFERROR(VLOOKUP(A102,[1]Tørstofindhold!A$2:B$25,2,FALSE),0)</f>
        <v>0</v>
      </c>
      <c r="W102" s="193">
        <f>J102*IFERROR(VLOOKUP(A102,[1]Tørstofindhold!A$2:B$25,2,FALSE),0)</f>
        <v>0</v>
      </c>
      <c r="X102" s="194">
        <f t="shared" ca="1" si="26"/>
        <v>0</v>
      </c>
      <c r="Y102" s="172">
        <f t="shared" ca="1" si="21"/>
        <v>0</v>
      </c>
      <c r="Z102" s="104">
        <f t="shared" ca="1" si="22"/>
        <v>0</v>
      </c>
    </row>
    <row r="103" spans="1:26" hidden="1" x14ac:dyDescent="0.55000000000000004">
      <c r="A103" s="195" t="str">
        <f t="shared" si="33"/>
        <v>Biogasgylle</v>
      </c>
      <c r="B103" s="195" t="str">
        <f t="shared" si="34"/>
        <v/>
      </c>
      <c r="C103" s="195">
        <f>IF(COUNTIFS('Resultater - Danmark'!$D$3:$D$482,'Resultat-Produktion &amp; forbrug'!A103,'Resultater - Danmark'!$A$3:$A$482,"Til energi")+COUNTIFS('Resultater - Danmark'!$D$3:$D$482,'Resultat-Produktion &amp; forbrug'!A103,'Resultater - Danmark'!$A$3:$A$482,"Biogasanlæg")&gt;0,1,0)</f>
        <v>0</v>
      </c>
      <c r="D103" s="195">
        <f t="shared" si="35"/>
        <v>2050</v>
      </c>
      <c r="E103" s="193" t="s">
        <v>23</v>
      </c>
      <c r="F103" s="196">
        <f ca="1">IF(E103="Vestdanmark",SUMIFS(IF(D103=År1,'Resultater - Vestdanmark'!H$3:H$482,IF(D103=År2,'Resultater - Vestdanmark'!I$3:I$482,'Resultater - Vestdanmark'!J$3:J$482)),'Resultater - Vestdanmark'!$F$3:$F$482,$A103,IF(D103=År1,'Resultater - Vestdanmark'!H$3:H$482,IF(D103=År2,'Resultater - Vestdanmark'!I$3:I$482,'Resultater - Vestdanmark'!J$3:J$482)),"&gt;0"),SUMIFS(IF(D103=År1,'Resultater - Østdanmark'!H$3:H$482,IF(D103=År2,'Resultater - Østdanmark'!I$3:I$482,'Resultater - Østdanmark'!J$3:J$482)),'Resultater - Østdanmark'!$F$3:$F$482,$A103,IF(D103=År1,'Resultater - Østdanmark'!H$3:H$482,IF(D103=År2,'Resultater - Østdanmark'!I$3:I$482,'Resultater - Østdanmark'!J$3:J$482)),"&gt;0"))</f>
        <v>19825065.796666823</v>
      </c>
      <c r="G103" s="196">
        <f>SUMIFS('Forbrug af biomasse'!$E$2:$E$425,'Forbrug af biomasse'!$C$2:$C$425,'Resultat-Produktion &amp; forbrug'!$A103,'Forbrug af biomasse'!$D$2:$D$425,'Resultat-Produktion &amp; forbrug'!$D103,'Forbrug af biomasse'!$A$2:$A$425,'Resultat-Produktion &amp; forbrug'!G$2,'Forbrug af biomasse'!$B$2:$B$425,$E103)</f>
        <v>0</v>
      </c>
      <c r="H103" s="193">
        <f>IF(E103="Vestdanmark",-IF(A103="Halm",SUMIFS(IF(D103=År1,'Resultater - Vestdanmark'!H$3:H$482,IF(D103=År2,'Resultater - Vestdanmark'!I$3:I$482,'Resultater - Vestdanmark'!J$3:J$482)),'Resultater - Vestdanmark'!$F$3:$F$482,$A103,'Resultater - Vestdanmark'!H$3:H$482,"&lt;0"),0),-IF(A103="Halm",SUMIFS(IF(D103=År1,'Resultater - Østdanmark'!H$3:H$482,IF(D103=År2,'Resultater - Østdanmark'!I$3:I$482,'Resultater - Østdanmark'!J$3:J$482)),'Resultater - Østdanmark'!$F$3:$F$482,$A103,'Resultater - Østdanmark'!H$3:H$482,"&lt;0"),0))</f>
        <v>0</v>
      </c>
      <c r="I103" s="196">
        <f>SUMIFS('Forbrug af biomasse'!$E$2:$E$425,'Forbrug af biomasse'!$C$2:$C$425,'Resultat-Produktion &amp; forbrug'!$A103,'Forbrug af biomasse'!$D$2:$D$425,'Resultat-Produktion &amp; forbrug'!$D103,'Forbrug af biomasse'!$A$2:$A$425,'Resultat-Produktion &amp; forbrug'!I$2,'Forbrug af biomasse'!$B$2:$B$425,$E103)</f>
        <v>0</v>
      </c>
      <c r="J103" s="196">
        <f>SUMIFS('Forbrug af biomasse'!$E$2:$E$425,'Forbrug af biomasse'!$C$2:$C$425,'Resultat-Produktion &amp; forbrug'!$A103,'Forbrug af biomasse'!$D$2:$D$425,'Resultat-Produktion &amp; forbrug'!$D103,'Forbrug af biomasse'!$A$2:$A$425,'Resultat-Produktion &amp; forbrug'!J$2,'Forbrug af biomasse'!$B$2:$B$425,$E103)</f>
        <v>0</v>
      </c>
      <c r="K103" s="196">
        <f ca="1">SUMIFS('Forbrug af biomasse'!$E$2:$E$425,'Forbrug af biomasse'!$C$2:$C$425,'Resultat-Produktion &amp; forbrug'!$A103,'Forbrug af biomasse'!$D$2:$D$425,'Resultat-Produktion &amp; forbrug'!$D103,'Forbrug af biomasse'!$A$2:$A$425,'Resultat-Produktion &amp; forbrug'!K$2,'Forbrug af biomasse'!$B$2:$B$425,$E103)</f>
        <v>17222483.674164686</v>
      </c>
      <c r="L103" s="196">
        <f>IF(A103&lt;&gt;"Biogas",SUMIFS('Forbrug af biomasse'!$E$2:$E$425,'Forbrug af biomasse'!$C$2:$C$425,'Resultat-Produktion &amp; forbrug'!$A103,'Forbrug af biomasse'!$D$2:$D$425,'Resultat-Produktion &amp; forbrug'!$D103,'Forbrug af biomasse'!$A$2:$A$425,'Resultat-Produktion &amp; forbrug'!L$2,'Forbrug af biomasse'!$B$2:$B$425,$E103),F103)</f>
        <v>0</v>
      </c>
      <c r="M103" s="158">
        <f>SUMIFS('Forbrug af biomasse'!E:E,'Forbrug af biomasse'!C:C,'Resultat-Produktion &amp; forbrug'!$A103,'Forbrug af biomasse'!D:D,'Resultat-Produktion &amp; forbrug'!$D103,'Forbrug af biomasse'!G:G,1,'Forbrug af biomasse'!B:B,$E103)</f>
        <v>0</v>
      </c>
      <c r="N103" s="205">
        <f t="shared" ca="1" si="23"/>
        <v>2602582.122502137</v>
      </c>
      <c r="O103" s="196">
        <f t="shared" si="20"/>
        <v>0</v>
      </c>
      <c r="P103" s="206">
        <f t="shared" si="24"/>
        <v>0</v>
      </c>
      <c r="Q103" s="193">
        <f>IFERROR(VLOOKUP(A103,[1]Energiindhold!$A$2:$C$11,3,FALSE),IFERROR(VLOOKUP(A103,[1]Biogasudbytte!$A$2:$B$18,2,FALSE)*[1]Energiindhold!$C$10,0))*O103</f>
        <v>0</v>
      </c>
      <c r="R103" s="193">
        <f>IF(A103&lt;&gt;"Biogas",IFERROR(VLOOKUP(A103,[1]Biogasudbytte!$A$2:$B$18,2,FALSE)*[1]Energiindhold!$C$10,0)*J103*IFERROR(VLOOKUP(A103,Biogasanlæg!$F$3:$G$8,2,FALSE),1)+IFERROR(VLOOKUP(A103,[1]Energiindhold!$A$2:$C$11,3,FALSE),0)*L103+IF(D103&lt;&gt;År1,Q103,0),0)</f>
        <v>0</v>
      </c>
      <c r="S103" s="193">
        <f>IFERROR(VLOOKUP(A103,[1]Biogasudbytte!$A$2:$B$18,2,FALSE)*[1]Energiindhold!$C$10,0)*J103*IFERROR(VLOOKUP(A103,Biogasanlæg!$F$3:$G$8,2,FALSE),1)</f>
        <v>0</v>
      </c>
      <c r="T103" s="194">
        <f t="shared" si="25"/>
        <v>0</v>
      </c>
      <c r="U103" s="192">
        <f>O103*IFERROR(VLOOKUP(A103,[1]Tørstofindhold!A$2:B$25,2,FALSE),0)</f>
        <v>0</v>
      </c>
      <c r="V103" s="193">
        <f>IF(D103=År1,P103,SUM(O103,P103))*IFERROR(VLOOKUP(A103,[1]Tørstofindhold!A$2:B$25,2,FALSE),0)</f>
        <v>0</v>
      </c>
      <c r="W103" s="193">
        <f>J103*IFERROR(VLOOKUP(A103,[1]Tørstofindhold!A$2:B$25,2,FALSE),0)</f>
        <v>0</v>
      </c>
      <c r="X103" s="194">
        <f t="shared" si="26"/>
        <v>0</v>
      </c>
      <c r="Y103" s="172">
        <f t="shared" ca="1" si="21"/>
        <v>0</v>
      </c>
      <c r="Z103" s="104">
        <f t="shared" ca="1" si="22"/>
        <v>1</v>
      </c>
    </row>
    <row r="104" spans="1:26" hidden="1" x14ac:dyDescent="0.55000000000000004">
      <c r="A104" s="195" t="str">
        <f t="shared" si="33"/>
        <v>Brun saft</v>
      </c>
      <c r="B104" s="195" t="str">
        <f t="shared" si="34"/>
        <v>Bionedbrydeligt affald</v>
      </c>
      <c r="C104" s="195">
        <f>IF(COUNTIFS('Resultater - Danmark'!$D$3:$D$482,'Resultat-Produktion &amp; forbrug'!A104,'Resultater - Danmark'!$A$3:$A$482,"Til energi")+COUNTIFS('Resultater - Danmark'!$D$3:$D$482,'Resultat-Produktion &amp; forbrug'!A104,'Resultater - Danmark'!$A$3:$A$482,"Biogasanlæg")&gt;0,1,0)</f>
        <v>1</v>
      </c>
      <c r="D104" s="195">
        <f t="shared" si="35"/>
        <v>2050</v>
      </c>
      <c r="E104" s="193" t="s">
        <v>23</v>
      </c>
      <c r="F104" s="196">
        <f>IF(E104="Vestdanmark",SUMIFS(IF(D104=År1,'Resultater - Vestdanmark'!H$3:H$482,IF(D104=År2,'Resultater - Vestdanmark'!I$3:I$482,'Resultater - Vestdanmark'!J$3:J$482)),'Resultater - Vestdanmark'!$F$3:$F$482,$A104,IF(D104=År1,'Resultater - Vestdanmark'!H$3:H$482,IF(D104=År2,'Resultater - Vestdanmark'!I$3:I$482,'Resultater - Vestdanmark'!J$3:J$482)),"&gt;0"),SUMIFS(IF(D104=År1,'Resultater - Østdanmark'!H$3:H$482,IF(D104=År2,'Resultater - Østdanmark'!I$3:I$482,'Resultater - Østdanmark'!J$3:J$482)),'Resultater - Østdanmark'!$F$3:$F$482,$A104,IF(D104=År1,'Resultater - Østdanmark'!H$3:H$482,IF(D104=År2,'Resultater - Østdanmark'!I$3:I$482,'Resultater - Østdanmark'!J$3:J$482)),"&gt;0"))</f>
        <v>0</v>
      </c>
      <c r="G104" s="196">
        <f>SUMIFS('Forbrug af biomasse'!$E$2:$E$425,'Forbrug af biomasse'!$C$2:$C$425,'Resultat-Produktion &amp; forbrug'!$A104,'Forbrug af biomasse'!$D$2:$D$425,'Resultat-Produktion &amp; forbrug'!$D104,'Forbrug af biomasse'!$A$2:$A$425,'Resultat-Produktion &amp; forbrug'!G$2,'Forbrug af biomasse'!$B$2:$B$425,$E104)</f>
        <v>0</v>
      </c>
      <c r="H104" s="193">
        <f>IF(E104="Vestdanmark",-IF(A104="Halm",SUMIFS(IF(D104=År1,'Resultater - Vestdanmark'!H$3:H$482,IF(D104=År2,'Resultater - Vestdanmark'!I$3:I$482,'Resultater - Vestdanmark'!J$3:J$482)),'Resultater - Vestdanmark'!$F$3:$F$482,$A104,'Resultater - Vestdanmark'!H$3:H$482,"&lt;0"),0),-IF(A104="Halm",SUMIFS(IF(D104=År1,'Resultater - Østdanmark'!H$3:H$482,IF(D104=År2,'Resultater - Østdanmark'!I$3:I$482,'Resultater - Østdanmark'!J$3:J$482)),'Resultater - Østdanmark'!$F$3:$F$482,$A104,'Resultater - Østdanmark'!H$3:H$482,"&lt;0"),0))</f>
        <v>0</v>
      </c>
      <c r="I104" s="196">
        <f>SUMIFS('Forbrug af biomasse'!$E$2:$E$425,'Forbrug af biomasse'!$C$2:$C$425,'Resultat-Produktion &amp; forbrug'!$A104,'Forbrug af biomasse'!$D$2:$D$425,'Resultat-Produktion &amp; forbrug'!$D104,'Forbrug af biomasse'!$A$2:$A$425,'Resultat-Produktion &amp; forbrug'!I$2,'Forbrug af biomasse'!$B$2:$B$425,$E104)</f>
        <v>0</v>
      </c>
      <c r="J104" s="196">
        <f>SUMIFS('Forbrug af biomasse'!$E$2:$E$425,'Forbrug af biomasse'!$C$2:$C$425,'Resultat-Produktion &amp; forbrug'!$A104,'Forbrug af biomasse'!$D$2:$D$425,'Resultat-Produktion &amp; forbrug'!$D104,'Forbrug af biomasse'!$A$2:$A$425,'Resultat-Produktion &amp; forbrug'!J$2,'Forbrug af biomasse'!$B$2:$B$425,$E104)</f>
        <v>0</v>
      </c>
      <c r="K104" s="196">
        <f>SUMIFS('Forbrug af biomasse'!$E$2:$E$425,'Forbrug af biomasse'!$C$2:$C$425,'Resultat-Produktion &amp; forbrug'!$A104,'Forbrug af biomasse'!$D$2:$D$425,'Resultat-Produktion &amp; forbrug'!$D104,'Forbrug af biomasse'!$A$2:$A$425,'Resultat-Produktion &amp; forbrug'!K$2,'Forbrug af biomasse'!$B$2:$B$425,$E104)</f>
        <v>0</v>
      </c>
      <c r="L104" s="196">
        <f>IF(A104&lt;&gt;"Biogas",SUMIFS('Forbrug af biomasse'!$E$2:$E$425,'Forbrug af biomasse'!$C$2:$C$425,'Resultat-Produktion &amp; forbrug'!$A104,'Forbrug af biomasse'!$D$2:$D$425,'Resultat-Produktion &amp; forbrug'!$D104,'Forbrug af biomasse'!$A$2:$A$425,'Resultat-Produktion &amp; forbrug'!L$2,'Forbrug af biomasse'!$B$2:$B$425,$E104),F104)</f>
        <v>0</v>
      </c>
      <c r="M104" s="158">
        <f>SUMIFS('Forbrug af biomasse'!E:E,'Forbrug af biomasse'!C:C,'Resultat-Produktion &amp; forbrug'!$A104,'Forbrug af biomasse'!D:D,'Resultat-Produktion &amp; forbrug'!$D104,'Forbrug af biomasse'!G:G,1,'Forbrug af biomasse'!B:B,$E104)</f>
        <v>0</v>
      </c>
      <c r="N104" s="205">
        <f t="shared" si="23"/>
        <v>0</v>
      </c>
      <c r="O104" s="196">
        <f t="shared" si="20"/>
        <v>0</v>
      </c>
      <c r="P104" s="206">
        <f t="shared" si="24"/>
        <v>0</v>
      </c>
      <c r="Q104" s="193">
        <f>IFERROR(VLOOKUP(A104,[1]Energiindhold!$A$2:$C$11,3,FALSE),IFERROR(VLOOKUP(A104,[1]Biogasudbytte!$A$2:$B$18,2,FALSE)*[1]Energiindhold!$C$10,0))*O104</f>
        <v>0</v>
      </c>
      <c r="R104" s="193">
        <f>IF(A104&lt;&gt;"Biogas",IFERROR(VLOOKUP(A104,[1]Biogasudbytte!$A$2:$B$18,2,FALSE)*[1]Energiindhold!$C$10,0)*J104*IFERROR(VLOOKUP(A104,Biogasanlæg!$F$3:$G$8,2,FALSE),1)+IFERROR(VLOOKUP(A104,[1]Energiindhold!$A$2:$C$11,3,FALSE),0)*L104+IF(D104&lt;&gt;År1,Q104,0),0)</f>
        <v>0</v>
      </c>
      <c r="S104" s="193">
        <f>IFERROR(VLOOKUP(A104,[1]Biogasudbytte!$A$2:$B$18,2,FALSE)*[1]Energiindhold!$C$10,0)*J104*IFERROR(VLOOKUP(A104,Biogasanlæg!$F$3:$G$8,2,FALSE),1)</f>
        <v>0</v>
      </c>
      <c r="T104" s="194">
        <f t="shared" si="25"/>
        <v>0</v>
      </c>
      <c r="U104" s="192">
        <f>O104*IFERROR(VLOOKUP(A104,[1]Tørstofindhold!A$2:B$25,2,FALSE),0)</f>
        <v>0</v>
      </c>
      <c r="V104" s="193">
        <f>IF(D104=År1,P104,SUM(O104,P104))*IFERROR(VLOOKUP(A104,[1]Tørstofindhold!A$2:B$25,2,FALSE),0)</f>
        <v>0</v>
      </c>
      <c r="W104" s="193">
        <f>J104*IFERROR(VLOOKUP(A104,[1]Tørstofindhold!A$2:B$25,2,FALSE),0)</f>
        <v>0</v>
      </c>
      <c r="X104" s="194">
        <f t="shared" si="26"/>
        <v>0</v>
      </c>
      <c r="Y104" s="172">
        <f t="shared" si="21"/>
        <v>0</v>
      </c>
      <c r="Z104" s="104">
        <f t="shared" si="22"/>
        <v>0</v>
      </c>
    </row>
    <row r="105" spans="1:26" hidden="1" x14ac:dyDescent="0.55000000000000004">
      <c r="A105" s="195" t="str">
        <f t="shared" si="33"/>
        <v>Dybstrøelse</v>
      </c>
      <c r="B105" s="195" t="str">
        <f t="shared" si="34"/>
        <v>Husdyrgødning</v>
      </c>
      <c r="C105" s="195">
        <f>IF(COUNTIFS('Resultater - Danmark'!$D$3:$D$482,'Resultat-Produktion &amp; forbrug'!A105,'Resultater - Danmark'!$A$3:$A$482,"Til energi")+COUNTIFS('Resultater - Danmark'!$D$3:$D$482,'Resultat-Produktion &amp; forbrug'!A105,'Resultater - Danmark'!$A$3:$A$482,"Biogasanlæg")&gt;0,1,0)</f>
        <v>1</v>
      </c>
      <c r="D105" s="195">
        <f t="shared" si="35"/>
        <v>2050</v>
      </c>
      <c r="E105" s="193" t="s">
        <v>23</v>
      </c>
      <c r="F105" s="196">
        <f>IF(E105="Vestdanmark",SUMIFS(IF(D105=År1,'Resultater - Vestdanmark'!H$3:H$482,IF(D105=År2,'Resultater - Vestdanmark'!I$3:I$482,'Resultater - Vestdanmark'!J$3:J$482)),'Resultater - Vestdanmark'!$F$3:$F$482,$A105,IF(D105=År1,'Resultater - Vestdanmark'!H$3:H$482,IF(D105=År2,'Resultater - Vestdanmark'!I$3:I$482,'Resultater - Vestdanmark'!J$3:J$482)),"&gt;0"),SUMIFS(IF(D105=År1,'Resultater - Østdanmark'!H$3:H$482,IF(D105=År2,'Resultater - Østdanmark'!I$3:I$482,'Resultater - Østdanmark'!J$3:J$482)),'Resultater - Østdanmark'!$F$3:$F$482,$A105,IF(D105=År1,'Resultater - Østdanmark'!H$3:H$482,IF(D105=År2,'Resultater - Østdanmark'!I$3:I$482,'Resultater - Østdanmark'!J$3:J$482)),"&gt;0"))</f>
        <v>2777977.7276885756</v>
      </c>
      <c r="G105" s="196">
        <f>SUMIFS('Forbrug af biomasse'!$E$2:$E$425,'Forbrug af biomasse'!$C$2:$C$425,'Resultat-Produktion &amp; forbrug'!$A105,'Forbrug af biomasse'!$D$2:$D$425,'Resultat-Produktion &amp; forbrug'!$D105,'Forbrug af biomasse'!$A$2:$A$425,'Resultat-Produktion &amp; forbrug'!G$2,'Forbrug af biomasse'!$B$2:$B$425,$E105)</f>
        <v>0</v>
      </c>
      <c r="H105" s="193">
        <f>IF(E105="Vestdanmark",-IF(A105="Halm",SUMIFS(IF(D105=År1,'Resultater - Vestdanmark'!H$3:H$482,IF(D105=År2,'Resultater - Vestdanmark'!I$3:I$482,'Resultater - Vestdanmark'!J$3:J$482)),'Resultater - Vestdanmark'!$F$3:$F$482,$A105,'Resultater - Vestdanmark'!H$3:H$482,"&lt;0"),0),-IF(A105="Halm",SUMIFS(IF(D105=År1,'Resultater - Østdanmark'!H$3:H$482,IF(D105=År2,'Resultater - Østdanmark'!I$3:I$482,'Resultater - Østdanmark'!J$3:J$482)),'Resultater - Østdanmark'!$F$3:$F$482,$A105,'Resultater - Østdanmark'!H$3:H$482,"&lt;0"),0))</f>
        <v>0</v>
      </c>
      <c r="I105" s="196">
        <f>SUMIFS('Forbrug af biomasse'!$E$2:$E$425,'Forbrug af biomasse'!$C$2:$C$425,'Resultat-Produktion &amp; forbrug'!$A105,'Forbrug af biomasse'!$D$2:$D$425,'Resultat-Produktion &amp; forbrug'!$D105,'Forbrug af biomasse'!$A$2:$A$425,'Resultat-Produktion &amp; forbrug'!I$2,'Forbrug af biomasse'!$B$2:$B$425,$E105)</f>
        <v>0</v>
      </c>
      <c r="J105" s="196">
        <f>SUMIFS('Forbrug af biomasse'!$E$2:$E$425,'Forbrug af biomasse'!$C$2:$C$425,'Resultat-Produktion &amp; forbrug'!$A105,'Forbrug af biomasse'!$D$2:$D$425,'Resultat-Produktion &amp; forbrug'!$D105,'Forbrug af biomasse'!$A$2:$A$425,'Resultat-Produktion &amp; forbrug'!J$2,'Forbrug af biomasse'!$B$2:$B$425,$E105)</f>
        <v>1388988.8638442878</v>
      </c>
      <c r="K105" s="196">
        <f>SUMIFS('Forbrug af biomasse'!$E$2:$E$425,'Forbrug af biomasse'!$C$2:$C$425,'Resultat-Produktion &amp; forbrug'!$A105,'Forbrug af biomasse'!$D$2:$D$425,'Resultat-Produktion &amp; forbrug'!$D105,'Forbrug af biomasse'!$A$2:$A$425,'Resultat-Produktion &amp; forbrug'!K$2,'Forbrug af biomasse'!$B$2:$B$425,$E105)</f>
        <v>525831.49845533748</v>
      </c>
      <c r="L105" s="196">
        <f>IF(A105&lt;&gt;"Biogas",SUMIFS('Forbrug af biomasse'!$E$2:$E$425,'Forbrug af biomasse'!$C$2:$C$425,'Resultat-Produktion &amp; forbrug'!$A105,'Forbrug af biomasse'!$D$2:$D$425,'Resultat-Produktion &amp; forbrug'!$D105,'Forbrug af biomasse'!$A$2:$A$425,'Resultat-Produktion &amp; forbrug'!L$2,'Forbrug af biomasse'!$B$2:$B$425,$E105),F105)</f>
        <v>0</v>
      </c>
      <c r="M105" s="158">
        <f>SUMIFS('Forbrug af biomasse'!E:E,'Forbrug af biomasse'!C:C,'Resultat-Produktion &amp; forbrug'!$A105,'Forbrug af biomasse'!D:D,'Resultat-Produktion &amp; forbrug'!$D105,'Forbrug af biomasse'!G:G,1,'Forbrug af biomasse'!B:B,$E105)</f>
        <v>0</v>
      </c>
      <c r="N105" s="205">
        <f t="shared" si="23"/>
        <v>863157.36538895033</v>
      </c>
      <c r="O105" s="196">
        <f t="shared" si="20"/>
        <v>863157.36538895033</v>
      </c>
      <c r="P105" s="206">
        <f t="shared" si="24"/>
        <v>1388988.8638442878</v>
      </c>
      <c r="Q105" s="193">
        <f>IFERROR(VLOOKUP(A105,[1]Energiindhold!$A$2:$C$11,3,FALSE),IFERROR(VLOOKUP(A105,[1]Biogasudbytte!$A$2:$B$18,2,FALSE)*[1]Energiindhold!$C$10,0))*O105</f>
        <v>1.859240965047799</v>
      </c>
      <c r="R105" s="193">
        <f>IF(A105&lt;&gt;"Biogas",IFERROR(VLOOKUP(A105,[1]Biogasudbytte!$A$2:$B$18,2,FALSE)*[1]Energiindhold!$C$10,0)*J105*IFERROR(VLOOKUP(A105,Biogasanlæg!$F$3:$G$8,2,FALSE),1)+IFERROR(VLOOKUP(A105,[1]Energiindhold!$A$2:$C$11,3,FALSE),0)*L105+IF(D105&lt;&gt;År1,Q105,0),0)</f>
        <v>4.8511229777683953</v>
      </c>
      <c r="S105" s="193">
        <f>IFERROR(VLOOKUP(A105,[1]Biogasudbytte!$A$2:$B$18,2,FALSE)*[1]Energiindhold!$C$10,0)*J105*IFERROR(VLOOKUP(A105,Biogasanlæg!$F$3:$G$8,2,FALSE),1)</f>
        <v>2.9918820127205961</v>
      </c>
      <c r="T105" s="194">
        <f t="shared" si="25"/>
        <v>1.8592409650477992</v>
      </c>
      <c r="U105" s="192">
        <f>O105*IFERROR(VLOOKUP(A105,[1]Tørstofindhold!A$2:B$25,2,FALSE),0)</f>
        <v>258947.20961668508</v>
      </c>
      <c r="V105" s="193">
        <f>IF(D105=År1,P105,SUM(O105,P105))*IFERROR(VLOOKUP(A105,[1]Tørstofindhold!A$2:B$25,2,FALSE),0)</f>
        <v>675643.8687699713</v>
      </c>
      <c r="W105" s="193">
        <f>J105*IFERROR(VLOOKUP(A105,[1]Tørstofindhold!A$2:B$25,2,FALSE),0)</f>
        <v>416696.65915328631</v>
      </c>
      <c r="X105" s="194">
        <f t="shared" si="26"/>
        <v>258947.209616685</v>
      </c>
      <c r="Y105" s="172">
        <f t="shared" si="21"/>
        <v>0</v>
      </c>
      <c r="Z105" s="104">
        <f t="shared" si="22"/>
        <v>1</v>
      </c>
    </row>
    <row r="106" spans="1:26" hidden="1" x14ac:dyDescent="0.55000000000000004">
      <c r="A106" s="195" t="str">
        <f t="shared" si="33"/>
        <v>Fiberfraktion</v>
      </c>
      <c r="B106" s="195" t="str">
        <f t="shared" si="34"/>
        <v/>
      </c>
      <c r="C106" s="195">
        <f>IF(COUNTIFS('Resultater - Danmark'!$D$3:$D$482,'Resultat-Produktion &amp; forbrug'!A106,'Resultater - Danmark'!$A$3:$A$482,"Til energi")+COUNTIFS('Resultater - Danmark'!$D$3:$D$482,'Resultat-Produktion &amp; forbrug'!A106,'Resultater - Danmark'!$A$3:$A$482,"Biogasanlæg")&gt;0,1,0)</f>
        <v>0</v>
      </c>
      <c r="D106" s="195">
        <f t="shared" si="35"/>
        <v>2050</v>
      </c>
      <c r="E106" s="193" t="s">
        <v>23</v>
      </c>
      <c r="F106" s="196">
        <f>IF(E106="Vestdanmark",SUMIFS(IF(D106=År1,'Resultater - Vestdanmark'!H$3:H$482,IF(D106=År2,'Resultater - Vestdanmark'!I$3:I$482,'Resultater - Vestdanmark'!J$3:J$482)),'Resultater - Vestdanmark'!$F$3:$F$482,$A106,IF(D106=År1,'Resultater - Vestdanmark'!H$3:H$482,IF(D106=År2,'Resultater - Vestdanmark'!I$3:I$482,'Resultater - Vestdanmark'!J$3:J$482)),"&gt;0"),SUMIFS(IF(D106=År1,'Resultater - Østdanmark'!H$3:H$482,IF(D106=År2,'Resultater - Østdanmark'!I$3:I$482,'Resultater - Østdanmark'!J$3:J$482)),'Resultater - Østdanmark'!$F$3:$F$482,$A106,IF(D106=År1,'Resultater - Østdanmark'!H$3:H$482,IF(D106=År2,'Resultater - Østdanmark'!I$3:I$482,'Resultater - Østdanmark'!J$3:J$482)),"&gt;0"))</f>
        <v>0</v>
      </c>
      <c r="G106" s="196">
        <f>SUMIFS('Forbrug af biomasse'!$E$2:$E$425,'Forbrug af biomasse'!$C$2:$C$425,'Resultat-Produktion &amp; forbrug'!$A106,'Forbrug af biomasse'!$D$2:$D$425,'Resultat-Produktion &amp; forbrug'!$D106,'Forbrug af biomasse'!$A$2:$A$425,'Resultat-Produktion &amp; forbrug'!G$2,'Forbrug af biomasse'!$B$2:$B$425,$E106)</f>
        <v>0</v>
      </c>
      <c r="H106" s="193">
        <f>IF(E106="Vestdanmark",-IF(A106="Halm",SUMIFS(IF(D106=År1,'Resultater - Vestdanmark'!H$3:H$482,IF(D106=År2,'Resultater - Vestdanmark'!I$3:I$482,'Resultater - Vestdanmark'!J$3:J$482)),'Resultater - Vestdanmark'!$F$3:$F$482,$A106,'Resultater - Vestdanmark'!H$3:H$482,"&lt;0"),0),-IF(A106="Halm",SUMIFS(IF(D106=År1,'Resultater - Østdanmark'!H$3:H$482,IF(D106=År2,'Resultater - Østdanmark'!I$3:I$482,'Resultater - Østdanmark'!J$3:J$482)),'Resultater - Østdanmark'!$F$3:$F$482,$A106,'Resultater - Østdanmark'!H$3:H$482,"&lt;0"),0))</f>
        <v>0</v>
      </c>
      <c r="I106" s="196">
        <f>SUMIFS('Forbrug af biomasse'!$E$2:$E$425,'Forbrug af biomasse'!$C$2:$C$425,'Resultat-Produktion &amp; forbrug'!$A106,'Forbrug af biomasse'!$D$2:$D$425,'Resultat-Produktion &amp; forbrug'!$D106,'Forbrug af biomasse'!$A$2:$A$425,'Resultat-Produktion &amp; forbrug'!I$2,'Forbrug af biomasse'!$B$2:$B$425,$E106)</f>
        <v>0</v>
      </c>
      <c r="J106" s="196">
        <f>SUMIFS('Forbrug af biomasse'!$E$2:$E$425,'Forbrug af biomasse'!$C$2:$C$425,'Resultat-Produktion &amp; forbrug'!$A106,'Forbrug af biomasse'!$D$2:$D$425,'Resultat-Produktion &amp; forbrug'!$D106,'Forbrug af biomasse'!$A$2:$A$425,'Resultat-Produktion &amp; forbrug'!J$2,'Forbrug af biomasse'!$B$2:$B$425,$E106)</f>
        <v>0</v>
      </c>
      <c r="K106" s="196">
        <f>SUMIFS('Forbrug af biomasse'!$E$2:$E$425,'Forbrug af biomasse'!$C$2:$C$425,'Resultat-Produktion &amp; forbrug'!$A106,'Forbrug af biomasse'!$D$2:$D$425,'Resultat-Produktion &amp; forbrug'!$D106,'Forbrug af biomasse'!$A$2:$A$425,'Resultat-Produktion &amp; forbrug'!K$2,'Forbrug af biomasse'!$B$2:$B$425,$E106)</f>
        <v>0</v>
      </c>
      <c r="L106" s="196">
        <f>IF(A106&lt;&gt;"Biogas",SUMIFS('Forbrug af biomasse'!$E$2:$E$425,'Forbrug af biomasse'!$C$2:$C$425,'Resultat-Produktion &amp; forbrug'!$A106,'Forbrug af biomasse'!$D$2:$D$425,'Resultat-Produktion &amp; forbrug'!$D106,'Forbrug af biomasse'!$A$2:$A$425,'Resultat-Produktion &amp; forbrug'!L$2,'Forbrug af biomasse'!$B$2:$B$425,$E106),F106)</f>
        <v>0</v>
      </c>
      <c r="M106" s="158">
        <f>SUMIFS('Forbrug af biomasse'!E:E,'Forbrug af biomasse'!C:C,'Resultat-Produktion &amp; forbrug'!$A106,'Forbrug af biomasse'!D:D,'Resultat-Produktion &amp; forbrug'!$D106,'Forbrug af biomasse'!G:G,1,'Forbrug af biomasse'!B:B,$E106)</f>
        <v>0</v>
      </c>
      <c r="N106" s="205">
        <f t="shared" si="23"/>
        <v>0</v>
      </c>
      <c r="O106" s="196">
        <f t="shared" si="20"/>
        <v>0</v>
      </c>
      <c r="P106" s="206">
        <f t="shared" si="24"/>
        <v>0</v>
      </c>
      <c r="Q106" s="193">
        <f>IFERROR(VLOOKUP(A106,[1]Energiindhold!$A$2:$C$11,3,FALSE),IFERROR(VLOOKUP(A106,[1]Biogasudbytte!$A$2:$B$18,2,FALSE)*[1]Energiindhold!$C$10,0))*O106</f>
        <v>0</v>
      </c>
      <c r="R106" s="193">
        <f>IF(A106&lt;&gt;"Biogas",IFERROR(VLOOKUP(A106,[1]Biogasudbytte!$A$2:$B$18,2,FALSE)*[1]Energiindhold!$C$10,0)*J106*IFERROR(VLOOKUP(A106,Biogasanlæg!$F$3:$G$8,2,FALSE),1)+IFERROR(VLOOKUP(A106,[1]Energiindhold!$A$2:$C$11,3,FALSE),0)*L106+IF(D106&lt;&gt;År1,Q106,0),0)</f>
        <v>0</v>
      </c>
      <c r="S106" s="193">
        <f>IFERROR(VLOOKUP(A106,[1]Biogasudbytte!$A$2:$B$18,2,FALSE)*[1]Energiindhold!$C$10,0)*J106*IFERROR(VLOOKUP(A106,Biogasanlæg!$F$3:$G$8,2,FALSE),1)</f>
        <v>0</v>
      </c>
      <c r="T106" s="194">
        <f t="shared" si="25"/>
        <v>0</v>
      </c>
      <c r="U106" s="192">
        <f>O106*IFERROR(VLOOKUP(A106,[1]Tørstofindhold!A$2:B$25,2,FALSE),0)</f>
        <v>0</v>
      </c>
      <c r="V106" s="193">
        <f>IF(D106=År1,P106,SUM(O106,P106))*IFERROR(VLOOKUP(A106,[1]Tørstofindhold!A$2:B$25,2,FALSE),0)</f>
        <v>0</v>
      </c>
      <c r="W106" s="193">
        <f>J106*IFERROR(VLOOKUP(A106,[1]Tørstofindhold!A$2:B$25,2,FALSE),0)</f>
        <v>0</v>
      </c>
      <c r="X106" s="194">
        <f t="shared" si="26"/>
        <v>0</v>
      </c>
      <c r="Y106" s="172">
        <f t="shared" si="21"/>
        <v>0</v>
      </c>
      <c r="Z106" s="104">
        <f t="shared" si="22"/>
        <v>0</v>
      </c>
    </row>
    <row r="107" spans="1:26" hidden="1" x14ac:dyDescent="0.55000000000000004">
      <c r="A107" s="195" t="str">
        <f t="shared" si="33"/>
        <v>Fjerkrægylle</v>
      </c>
      <c r="B107" s="195" t="str">
        <f t="shared" si="34"/>
        <v>Husdyrgødning</v>
      </c>
      <c r="C107" s="195">
        <f>IF(COUNTIFS('Resultater - Danmark'!$D$3:$D$482,'Resultat-Produktion &amp; forbrug'!A107,'Resultater - Danmark'!$A$3:$A$482,"Til energi")+COUNTIFS('Resultater - Danmark'!$D$3:$D$482,'Resultat-Produktion &amp; forbrug'!A107,'Resultater - Danmark'!$A$3:$A$482,"Biogasanlæg")&gt;0,1,0)</f>
        <v>1</v>
      </c>
      <c r="D107" s="195">
        <f t="shared" si="35"/>
        <v>2050</v>
      </c>
      <c r="E107" s="193" t="s">
        <v>23</v>
      </c>
      <c r="F107" s="196">
        <f>IF(E107="Vestdanmark",SUMIFS(IF(D107=År1,'Resultater - Vestdanmark'!H$3:H$482,IF(D107=År2,'Resultater - Vestdanmark'!I$3:I$482,'Resultater - Vestdanmark'!J$3:J$482)),'Resultater - Vestdanmark'!$F$3:$F$482,$A107,IF(D107=År1,'Resultater - Vestdanmark'!H$3:H$482,IF(D107=År2,'Resultater - Vestdanmark'!I$3:I$482,'Resultater - Vestdanmark'!J$3:J$482)),"&gt;0"),SUMIFS(IF(D107=År1,'Resultater - Østdanmark'!H$3:H$482,IF(D107=År2,'Resultater - Østdanmark'!I$3:I$482,'Resultater - Østdanmark'!J$3:J$482)),'Resultater - Østdanmark'!$F$3:$F$482,$A107,IF(D107=År1,'Resultater - Østdanmark'!H$3:H$482,IF(D107=År2,'Resultater - Østdanmark'!I$3:I$482,'Resultater - Østdanmark'!J$3:J$482)),"&gt;0"))</f>
        <v>8615.5317224824212</v>
      </c>
      <c r="G107" s="196">
        <f>SUMIFS('Forbrug af biomasse'!$E$2:$E$425,'Forbrug af biomasse'!$C$2:$C$425,'Resultat-Produktion &amp; forbrug'!$A107,'Forbrug af biomasse'!$D$2:$D$425,'Resultat-Produktion &amp; forbrug'!$D107,'Forbrug af biomasse'!$A$2:$A$425,'Resultat-Produktion &amp; forbrug'!G$2,'Forbrug af biomasse'!$B$2:$B$425,$E107)</f>
        <v>0</v>
      </c>
      <c r="H107" s="193">
        <f>IF(E107="Vestdanmark",-IF(A107="Halm",SUMIFS(IF(D107=År1,'Resultater - Vestdanmark'!H$3:H$482,IF(D107=År2,'Resultater - Vestdanmark'!I$3:I$482,'Resultater - Vestdanmark'!J$3:J$482)),'Resultater - Vestdanmark'!$F$3:$F$482,$A107,'Resultater - Vestdanmark'!H$3:H$482,"&lt;0"),0),-IF(A107="Halm",SUMIFS(IF(D107=År1,'Resultater - Østdanmark'!H$3:H$482,IF(D107=År2,'Resultater - Østdanmark'!I$3:I$482,'Resultater - Østdanmark'!J$3:J$482)),'Resultater - Østdanmark'!$F$3:$F$482,$A107,'Resultater - Østdanmark'!H$3:H$482,"&lt;0"),0))</f>
        <v>0</v>
      </c>
      <c r="I107" s="196">
        <f>SUMIFS('Forbrug af biomasse'!$E$2:$E$425,'Forbrug af biomasse'!$C$2:$C$425,'Resultat-Produktion &amp; forbrug'!$A107,'Forbrug af biomasse'!$D$2:$D$425,'Resultat-Produktion &amp; forbrug'!$D107,'Forbrug af biomasse'!$A$2:$A$425,'Resultat-Produktion &amp; forbrug'!I$2,'Forbrug af biomasse'!$B$2:$B$425,$E107)</f>
        <v>0</v>
      </c>
      <c r="J107" s="196">
        <f>SUMIFS('Forbrug af biomasse'!$E$2:$E$425,'Forbrug af biomasse'!$C$2:$C$425,'Resultat-Produktion &amp; forbrug'!$A107,'Forbrug af biomasse'!$D$2:$D$425,'Resultat-Produktion &amp; forbrug'!$D107,'Forbrug af biomasse'!$A$2:$A$425,'Resultat-Produktion &amp; forbrug'!J$2,'Forbrug af biomasse'!$B$2:$B$425,$E107)</f>
        <v>4307.7658612412106</v>
      </c>
      <c r="K107" s="196">
        <f>SUMIFS('Forbrug af biomasse'!$E$2:$E$425,'Forbrug af biomasse'!$C$2:$C$425,'Resultat-Produktion &amp; forbrug'!$A107,'Forbrug af biomasse'!$D$2:$D$425,'Resultat-Produktion &amp; forbrug'!$D107,'Forbrug af biomasse'!$A$2:$A$425,'Resultat-Produktion &amp; forbrug'!K$2,'Forbrug af biomasse'!$B$2:$B$425,$E107)</f>
        <v>3261.5941520826309</v>
      </c>
      <c r="L107" s="196">
        <f>IF(A107&lt;&gt;"Biogas",SUMIFS('Forbrug af biomasse'!$E$2:$E$425,'Forbrug af biomasse'!$C$2:$C$425,'Resultat-Produktion &amp; forbrug'!$A107,'Forbrug af biomasse'!$D$2:$D$425,'Resultat-Produktion &amp; forbrug'!$D107,'Forbrug af biomasse'!$A$2:$A$425,'Resultat-Produktion &amp; forbrug'!L$2,'Forbrug af biomasse'!$B$2:$B$425,$E107),F107)</f>
        <v>0</v>
      </c>
      <c r="M107" s="158">
        <f>SUMIFS('Forbrug af biomasse'!E:E,'Forbrug af biomasse'!C:C,'Resultat-Produktion &amp; forbrug'!$A107,'Forbrug af biomasse'!D:D,'Resultat-Produktion &amp; forbrug'!$D107,'Forbrug af biomasse'!G:G,1,'Forbrug af biomasse'!B:B,$E107)</f>
        <v>0</v>
      </c>
      <c r="N107" s="205">
        <f t="shared" si="23"/>
        <v>1046.1717091585797</v>
      </c>
      <c r="O107" s="196">
        <f t="shared" si="20"/>
        <v>1046.1717091585797</v>
      </c>
      <c r="P107" s="206">
        <f t="shared" si="24"/>
        <v>4307.7658612412106</v>
      </c>
      <c r="Q107" s="193">
        <f>IFERROR(VLOOKUP(A107,[1]Energiindhold!$A$2:$C$11,3,FALSE),IFERROR(VLOOKUP(A107,[1]Biogasudbytte!$A$2:$B$18,2,FALSE)*[1]Energiindhold!$C$10,0))*O107</f>
        <v>4.9200409310018846E-4</v>
      </c>
      <c r="R107" s="193">
        <f>IF(A107&lt;&gt;"Biogas",IFERROR(VLOOKUP(A107,[1]Biogasudbytte!$A$2:$B$18,2,FALSE)*[1]Energiindhold!$C$10,0)*J107*IFERROR(VLOOKUP(A107,Biogasanlæg!$F$3:$G$8,2,FALSE),1)+IFERROR(VLOOKUP(A107,[1]Energiindhold!$A$2:$C$11,3,FALSE),0)*L107+IF(D107&lt;&gt;År1,Q107,0),0)</f>
        <v>2.5179032999833174E-3</v>
      </c>
      <c r="S107" s="193">
        <f>IFERROR(VLOOKUP(A107,[1]Biogasudbytte!$A$2:$B$18,2,FALSE)*[1]Energiindhold!$C$10,0)*J107*IFERROR(VLOOKUP(A107,Biogasanlæg!$F$3:$G$8,2,FALSE),1)</f>
        <v>2.025899206883129E-3</v>
      </c>
      <c r="T107" s="194">
        <f t="shared" si="25"/>
        <v>4.9200409310018846E-4</v>
      </c>
      <c r="U107" s="192">
        <f>O107*IFERROR(VLOOKUP(A107,[1]Tørstofindhold!A$2:B$25,2,FALSE),0)</f>
        <v>65.908817676990523</v>
      </c>
      <c r="V107" s="193">
        <f>IF(D107=År1,P107,SUM(O107,P107))*IFERROR(VLOOKUP(A107,[1]Tørstofindhold!A$2:B$25,2,FALSE),0)</f>
        <v>337.2980669351868</v>
      </c>
      <c r="W107" s="193">
        <f>J107*IFERROR(VLOOKUP(A107,[1]Tørstofindhold!A$2:B$25,2,FALSE),0)</f>
        <v>271.38924925819629</v>
      </c>
      <c r="X107" s="194">
        <f t="shared" si="26"/>
        <v>65.908817676990509</v>
      </c>
      <c r="Y107" s="172">
        <f t="shared" si="21"/>
        <v>0</v>
      </c>
      <c r="Z107" s="104">
        <f t="shared" si="22"/>
        <v>1</v>
      </c>
    </row>
    <row r="108" spans="1:26" hidden="1" x14ac:dyDescent="0.55000000000000004">
      <c r="A108" s="195" t="str">
        <f t="shared" si="33"/>
        <v>Fjerkrækød</v>
      </c>
      <c r="B108" s="195" t="str">
        <f t="shared" si="34"/>
        <v/>
      </c>
      <c r="C108" s="195">
        <f>IF(COUNTIFS('Resultater - Danmark'!$D$3:$D$482,'Resultat-Produktion &amp; forbrug'!A108,'Resultater - Danmark'!$A$3:$A$482,"Til energi")+COUNTIFS('Resultater - Danmark'!$D$3:$D$482,'Resultat-Produktion &amp; forbrug'!A108,'Resultater - Danmark'!$A$3:$A$482,"Biogasanlæg")&gt;0,1,0)</f>
        <v>0</v>
      </c>
      <c r="D108" s="195">
        <f t="shared" si="35"/>
        <v>2050</v>
      </c>
      <c r="E108" s="193" t="s">
        <v>23</v>
      </c>
      <c r="F108" s="196">
        <f>IF(E108="Vestdanmark",SUMIFS(IF(D108=År1,'Resultater - Vestdanmark'!H$3:H$482,IF(D108=År2,'Resultater - Vestdanmark'!I$3:I$482,'Resultater - Vestdanmark'!J$3:J$482)),'Resultater - Vestdanmark'!$F$3:$F$482,$A108,IF(D108=År1,'Resultater - Vestdanmark'!H$3:H$482,IF(D108=År2,'Resultater - Vestdanmark'!I$3:I$482,'Resultater - Vestdanmark'!J$3:J$482)),"&gt;0"),SUMIFS(IF(D108=År1,'Resultater - Østdanmark'!H$3:H$482,IF(D108=År2,'Resultater - Østdanmark'!I$3:I$482,'Resultater - Østdanmark'!J$3:J$482)),'Resultater - Østdanmark'!$F$3:$F$482,$A108,IF(D108=År1,'Resultater - Østdanmark'!H$3:H$482,IF(D108=År2,'Resultater - Østdanmark'!I$3:I$482,'Resultater - Østdanmark'!J$3:J$482)),"&gt;0"))</f>
        <v>173658.75124992887</v>
      </c>
      <c r="G108" s="196">
        <f>SUMIFS('Forbrug af biomasse'!$E$2:$E$425,'Forbrug af biomasse'!$C$2:$C$425,'Resultat-Produktion &amp; forbrug'!$A108,'Forbrug af biomasse'!$D$2:$D$425,'Resultat-Produktion &amp; forbrug'!$D108,'Forbrug af biomasse'!$A$2:$A$425,'Resultat-Produktion &amp; forbrug'!G$2,'Forbrug af biomasse'!$B$2:$B$425,$E108)</f>
        <v>0</v>
      </c>
      <c r="H108" s="193">
        <f>IF(E108="Vestdanmark",-IF(A108="Halm",SUMIFS(IF(D108=År1,'Resultater - Vestdanmark'!H$3:H$482,IF(D108=År2,'Resultater - Vestdanmark'!I$3:I$482,'Resultater - Vestdanmark'!J$3:J$482)),'Resultater - Vestdanmark'!$F$3:$F$482,$A108,'Resultater - Vestdanmark'!H$3:H$482,"&lt;0"),0),-IF(A108="Halm",SUMIFS(IF(D108=År1,'Resultater - Østdanmark'!H$3:H$482,IF(D108=År2,'Resultater - Østdanmark'!I$3:I$482,'Resultater - Østdanmark'!J$3:J$482)),'Resultater - Østdanmark'!$F$3:$F$482,$A108,'Resultater - Østdanmark'!H$3:H$482,"&lt;0"),0))</f>
        <v>0</v>
      </c>
      <c r="I108" s="196">
        <f>SUMIFS('Forbrug af biomasse'!$E$2:$E$425,'Forbrug af biomasse'!$C$2:$C$425,'Resultat-Produktion &amp; forbrug'!$A108,'Forbrug af biomasse'!$D$2:$D$425,'Resultat-Produktion &amp; forbrug'!$D108,'Forbrug af biomasse'!$A$2:$A$425,'Resultat-Produktion &amp; forbrug'!I$2,'Forbrug af biomasse'!$B$2:$B$425,$E108)</f>
        <v>36670.799626981883</v>
      </c>
      <c r="J108" s="196">
        <f>SUMIFS('Forbrug af biomasse'!$E$2:$E$425,'Forbrug af biomasse'!$C$2:$C$425,'Resultat-Produktion &amp; forbrug'!$A108,'Forbrug af biomasse'!$D$2:$D$425,'Resultat-Produktion &amp; forbrug'!$D108,'Forbrug af biomasse'!$A$2:$A$425,'Resultat-Produktion &amp; forbrug'!J$2,'Forbrug af biomasse'!$B$2:$B$425,$E108)</f>
        <v>0</v>
      </c>
      <c r="K108" s="196">
        <f>SUMIFS('Forbrug af biomasse'!$E$2:$E$425,'Forbrug af biomasse'!$C$2:$C$425,'Resultat-Produktion &amp; forbrug'!$A108,'Forbrug af biomasse'!$D$2:$D$425,'Resultat-Produktion &amp; forbrug'!$D108,'Forbrug af biomasse'!$A$2:$A$425,'Resultat-Produktion &amp; forbrug'!K$2,'Forbrug af biomasse'!$B$2:$B$425,$E108)</f>
        <v>0</v>
      </c>
      <c r="L108" s="196">
        <f>IF(A108&lt;&gt;"Biogas",SUMIFS('Forbrug af biomasse'!$E$2:$E$425,'Forbrug af biomasse'!$C$2:$C$425,'Resultat-Produktion &amp; forbrug'!$A108,'Forbrug af biomasse'!$D$2:$D$425,'Resultat-Produktion &amp; forbrug'!$D108,'Forbrug af biomasse'!$A$2:$A$425,'Resultat-Produktion &amp; forbrug'!L$2,'Forbrug af biomasse'!$B$2:$B$425,$E108),F108)</f>
        <v>0</v>
      </c>
      <c r="M108" s="158">
        <f>SUMIFS('Forbrug af biomasse'!E:E,'Forbrug af biomasse'!C:C,'Resultat-Produktion &amp; forbrug'!$A108,'Forbrug af biomasse'!D:D,'Resultat-Produktion &amp; forbrug'!$D108,'Forbrug af biomasse'!G:G,1,'Forbrug af biomasse'!B:B,$E108)</f>
        <v>0</v>
      </c>
      <c r="N108" s="205">
        <f t="shared" si="23"/>
        <v>136987.951622947</v>
      </c>
      <c r="O108" s="196">
        <f t="shared" si="20"/>
        <v>0</v>
      </c>
      <c r="P108" s="206">
        <f t="shared" si="24"/>
        <v>0</v>
      </c>
      <c r="Q108" s="193">
        <f>IFERROR(VLOOKUP(A108,[1]Energiindhold!$A$2:$C$11,3,FALSE),IFERROR(VLOOKUP(A108,[1]Biogasudbytte!$A$2:$B$18,2,FALSE)*[1]Energiindhold!$C$10,0))*O108</f>
        <v>0</v>
      </c>
      <c r="R108" s="193">
        <f>IF(A108&lt;&gt;"Biogas",IFERROR(VLOOKUP(A108,[1]Biogasudbytte!$A$2:$B$18,2,FALSE)*[1]Energiindhold!$C$10,0)*J108*IFERROR(VLOOKUP(A108,Biogasanlæg!$F$3:$G$8,2,FALSE),1)+IFERROR(VLOOKUP(A108,[1]Energiindhold!$A$2:$C$11,3,FALSE),0)*L108+IF(D108&lt;&gt;År1,Q108,0),0)</f>
        <v>0</v>
      </c>
      <c r="S108" s="193">
        <f>IFERROR(VLOOKUP(A108,[1]Biogasudbytte!$A$2:$B$18,2,FALSE)*[1]Energiindhold!$C$10,0)*J108*IFERROR(VLOOKUP(A108,Biogasanlæg!$F$3:$G$8,2,FALSE),1)</f>
        <v>0</v>
      </c>
      <c r="T108" s="194">
        <f t="shared" si="25"/>
        <v>0</v>
      </c>
      <c r="U108" s="192">
        <f>O108*IFERROR(VLOOKUP(A108,[1]Tørstofindhold!A$2:B$25,2,FALSE),0)</f>
        <v>0</v>
      </c>
      <c r="V108" s="193">
        <f>IF(D108=År1,P108,SUM(O108,P108))*IFERROR(VLOOKUP(A108,[1]Tørstofindhold!A$2:B$25,2,FALSE),0)</f>
        <v>0</v>
      </c>
      <c r="W108" s="193">
        <f>J108*IFERROR(VLOOKUP(A108,[1]Tørstofindhold!A$2:B$25,2,FALSE),0)</f>
        <v>0</v>
      </c>
      <c r="X108" s="194">
        <f t="shared" si="26"/>
        <v>0</v>
      </c>
      <c r="Y108" s="172">
        <f t="shared" si="21"/>
        <v>0</v>
      </c>
      <c r="Z108" s="104">
        <f t="shared" si="22"/>
        <v>1</v>
      </c>
    </row>
    <row r="109" spans="1:26" hidden="1" x14ac:dyDescent="0.55000000000000004">
      <c r="A109" s="195" t="str">
        <f t="shared" si="33"/>
        <v>Frø</v>
      </c>
      <c r="B109" s="195" t="str">
        <f t="shared" si="34"/>
        <v/>
      </c>
      <c r="C109" s="195">
        <f>IF(COUNTIFS('Resultater - Danmark'!$D$3:$D$482,'Resultat-Produktion &amp; forbrug'!A109,'Resultater - Danmark'!$A$3:$A$482,"Til energi")+COUNTIFS('Resultater - Danmark'!$D$3:$D$482,'Resultat-Produktion &amp; forbrug'!A109,'Resultater - Danmark'!$A$3:$A$482,"Biogasanlæg")&gt;0,1,0)</f>
        <v>0</v>
      </c>
      <c r="D109" s="195">
        <f t="shared" si="35"/>
        <v>2050</v>
      </c>
      <c r="E109" s="193" t="s">
        <v>23</v>
      </c>
      <c r="F109" s="196">
        <f>IF(E109="Vestdanmark",SUMIFS(IF(D109=År1,'Resultater - Vestdanmark'!H$3:H$482,IF(D109=År2,'Resultater - Vestdanmark'!I$3:I$482,'Resultater - Vestdanmark'!J$3:J$482)),'Resultater - Vestdanmark'!$F$3:$F$482,$A109,IF(D109=År1,'Resultater - Vestdanmark'!H$3:H$482,IF(D109=År2,'Resultater - Vestdanmark'!I$3:I$482,'Resultater - Vestdanmark'!J$3:J$482)),"&gt;0"),SUMIFS(IF(D109=År1,'Resultater - Østdanmark'!H$3:H$482,IF(D109=År2,'Resultater - Østdanmark'!I$3:I$482,'Resultater - Østdanmark'!J$3:J$482)),'Resultater - Østdanmark'!$F$3:$F$482,$A109,IF(D109=År1,'Resultater - Østdanmark'!H$3:H$482,IF(D109=År2,'Resultater - Østdanmark'!I$3:I$482,'Resultater - Østdanmark'!J$3:J$482)),"&gt;0"))</f>
        <v>893493.81900150096</v>
      </c>
      <c r="G109" s="196">
        <f>SUMIFS('Forbrug af biomasse'!$E$2:$E$425,'Forbrug af biomasse'!$C$2:$C$425,'Resultat-Produktion &amp; forbrug'!$A109,'Forbrug af biomasse'!$D$2:$D$425,'Resultat-Produktion &amp; forbrug'!$D109,'Forbrug af biomasse'!$A$2:$A$425,'Resultat-Produktion &amp; forbrug'!G$2,'Forbrug af biomasse'!$B$2:$B$425,$E109)</f>
        <v>0</v>
      </c>
      <c r="H109" s="193">
        <f>IF(E109="Vestdanmark",-IF(A109="Halm",SUMIFS(IF(D109=År1,'Resultater - Vestdanmark'!H$3:H$482,IF(D109=År2,'Resultater - Vestdanmark'!I$3:I$482,'Resultater - Vestdanmark'!J$3:J$482)),'Resultater - Vestdanmark'!$F$3:$F$482,$A109,'Resultater - Vestdanmark'!H$3:H$482,"&lt;0"),0),-IF(A109="Halm",SUMIFS(IF(D109=År1,'Resultater - Østdanmark'!H$3:H$482,IF(D109=År2,'Resultater - Østdanmark'!I$3:I$482,'Resultater - Østdanmark'!J$3:J$482)),'Resultater - Østdanmark'!$F$3:$F$482,$A109,'Resultater - Østdanmark'!H$3:H$482,"&lt;0"),0))</f>
        <v>0</v>
      </c>
      <c r="I109" s="196">
        <f>SUMIFS('Forbrug af biomasse'!$E$2:$E$425,'Forbrug af biomasse'!$C$2:$C$425,'Resultat-Produktion &amp; forbrug'!$A109,'Forbrug af biomasse'!$D$2:$D$425,'Resultat-Produktion &amp; forbrug'!$D109,'Forbrug af biomasse'!$A$2:$A$425,'Resultat-Produktion &amp; forbrug'!I$2,'Forbrug af biomasse'!$B$2:$B$425,$E109)</f>
        <v>0</v>
      </c>
      <c r="J109" s="196">
        <f>SUMIFS('Forbrug af biomasse'!$E$2:$E$425,'Forbrug af biomasse'!$C$2:$C$425,'Resultat-Produktion &amp; forbrug'!$A109,'Forbrug af biomasse'!$D$2:$D$425,'Resultat-Produktion &amp; forbrug'!$D109,'Forbrug af biomasse'!$A$2:$A$425,'Resultat-Produktion &amp; forbrug'!J$2,'Forbrug af biomasse'!$B$2:$B$425,$E109)</f>
        <v>0</v>
      </c>
      <c r="K109" s="196">
        <f>SUMIFS('Forbrug af biomasse'!$E$2:$E$425,'Forbrug af biomasse'!$C$2:$C$425,'Resultat-Produktion &amp; forbrug'!$A109,'Forbrug af biomasse'!$D$2:$D$425,'Resultat-Produktion &amp; forbrug'!$D109,'Forbrug af biomasse'!$A$2:$A$425,'Resultat-Produktion &amp; forbrug'!K$2,'Forbrug af biomasse'!$B$2:$B$425,$E109)</f>
        <v>0</v>
      </c>
      <c r="L109" s="196">
        <f>IF(A109&lt;&gt;"Biogas",SUMIFS('Forbrug af biomasse'!$E$2:$E$425,'Forbrug af biomasse'!$C$2:$C$425,'Resultat-Produktion &amp; forbrug'!$A109,'Forbrug af biomasse'!$D$2:$D$425,'Resultat-Produktion &amp; forbrug'!$D109,'Forbrug af biomasse'!$A$2:$A$425,'Resultat-Produktion &amp; forbrug'!L$2,'Forbrug af biomasse'!$B$2:$B$425,$E109),F109)</f>
        <v>0</v>
      </c>
      <c r="M109" s="158">
        <f>SUMIFS('Forbrug af biomasse'!E:E,'Forbrug af biomasse'!C:C,'Resultat-Produktion &amp; forbrug'!$A109,'Forbrug af biomasse'!D:D,'Resultat-Produktion &amp; forbrug'!$D109,'Forbrug af biomasse'!G:G,1,'Forbrug af biomasse'!B:B,$E109)</f>
        <v>0</v>
      </c>
      <c r="N109" s="205">
        <f t="shared" si="23"/>
        <v>893493.81900150096</v>
      </c>
      <c r="O109" s="196">
        <f t="shared" si="20"/>
        <v>0</v>
      </c>
      <c r="P109" s="206">
        <f t="shared" si="24"/>
        <v>0</v>
      </c>
      <c r="Q109" s="193">
        <f>IFERROR(VLOOKUP(A109,[1]Energiindhold!$A$2:$C$11,3,FALSE),IFERROR(VLOOKUP(A109,[1]Biogasudbytte!$A$2:$B$18,2,FALSE)*[1]Energiindhold!$C$10,0))*O109</f>
        <v>0</v>
      </c>
      <c r="R109" s="193">
        <f>IF(A109&lt;&gt;"Biogas",IFERROR(VLOOKUP(A109,[1]Biogasudbytte!$A$2:$B$18,2,FALSE)*[1]Energiindhold!$C$10,0)*J109*IFERROR(VLOOKUP(A109,Biogasanlæg!$F$3:$G$8,2,FALSE),1)+IFERROR(VLOOKUP(A109,[1]Energiindhold!$A$2:$C$11,3,FALSE),0)*L109+IF(D109&lt;&gt;År1,Q109,0),0)</f>
        <v>0</v>
      </c>
      <c r="S109" s="193">
        <f>IFERROR(VLOOKUP(A109,[1]Biogasudbytte!$A$2:$B$18,2,FALSE)*[1]Energiindhold!$C$10,0)*J109*IFERROR(VLOOKUP(A109,Biogasanlæg!$F$3:$G$8,2,FALSE),1)</f>
        <v>0</v>
      </c>
      <c r="T109" s="194">
        <f t="shared" si="25"/>
        <v>0</v>
      </c>
      <c r="U109" s="192">
        <f>O109*IFERROR(VLOOKUP(A109,[1]Tørstofindhold!A$2:B$25,2,FALSE),0)</f>
        <v>0</v>
      </c>
      <c r="V109" s="193">
        <f>IF(D109=År1,P109,SUM(O109,P109))*IFERROR(VLOOKUP(A109,[1]Tørstofindhold!A$2:B$25,2,FALSE),0)</f>
        <v>0</v>
      </c>
      <c r="W109" s="193">
        <f>J109*IFERROR(VLOOKUP(A109,[1]Tørstofindhold!A$2:B$25,2,FALSE),0)</f>
        <v>0</v>
      </c>
      <c r="X109" s="194">
        <f t="shared" si="26"/>
        <v>0</v>
      </c>
      <c r="Y109" s="172">
        <f t="shared" si="21"/>
        <v>0</v>
      </c>
      <c r="Z109" s="104">
        <f t="shared" si="22"/>
        <v>1</v>
      </c>
    </row>
    <row r="110" spans="1:26" hidden="1" x14ac:dyDescent="0.55000000000000004">
      <c r="A110" s="195" t="str">
        <f t="shared" si="33"/>
        <v>Frugt</v>
      </c>
      <c r="B110" s="195" t="str">
        <f t="shared" si="34"/>
        <v/>
      </c>
      <c r="C110" s="195">
        <f>IF(COUNTIFS('Resultater - Danmark'!$D$3:$D$482,'Resultat-Produktion &amp; forbrug'!A110,'Resultater - Danmark'!$A$3:$A$482,"Til energi")+COUNTIFS('Resultater - Danmark'!$D$3:$D$482,'Resultat-Produktion &amp; forbrug'!A110,'Resultater - Danmark'!$A$3:$A$482,"Biogasanlæg")&gt;0,1,0)</f>
        <v>0</v>
      </c>
      <c r="D110" s="195">
        <f t="shared" si="35"/>
        <v>2050</v>
      </c>
      <c r="E110" s="193" t="s">
        <v>23</v>
      </c>
      <c r="F110" s="196">
        <f>IF(E110="Vestdanmark",SUMIFS(IF(D110=År1,'Resultater - Vestdanmark'!H$3:H$482,IF(D110=År2,'Resultater - Vestdanmark'!I$3:I$482,'Resultater - Vestdanmark'!J$3:J$482)),'Resultater - Vestdanmark'!$F$3:$F$482,$A110,IF(D110=År1,'Resultater - Vestdanmark'!H$3:H$482,IF(D110=År2,'Resultater - Vestdanmark'!I$3:I$482,'Resultater - Vestdanmark'!J$3:J$482)),"&gt;0"),SUMIFS(IF(D110=År1,'Resultater - Østdanmark'!H$3:H$482,IF(D110=År2,'Resultater - Østdanmark'!I$3:I$482,'Resultater - Østdanmark'!J$3:J$482)),'Resultater - Østdanmark'!$F$3:$F$482,$A110,IF(D110=År1,'Resultater - Østdanmark'!H$3:H$482,IF(D110=År2,'Resultater - Østdanmark'!I$3:I$482,'Resultater - Østdanmark'!J$3:J$482)),"&gt;0"))</f>
        <v>26150.496751056631</v>
      </c>
      <c r="G110" s="196">
        <f>SUMIFS('Forbrug af biomasse'!$E$2:$E$425,'Forbrug af biomasse'!$C$2:$C$425,'Resultat-Produktion &amp; forbrug'!$A110,'Forbrug af biomasse'!$D$2:$D$425,'Resultat-Produktion &amp; forbrug'!$D110,'Forbrug af biomasse'!$A$2:$A$425,'Resultat-Produktion &amp; forbrug'!G$2,'Forbrug af biomasse'!$B$2:$B$425,$E110)</f>
        <v>0</v>
      </c>
      <c r="H110" s="193">
        <f>IF(E110="Vestdanmark",-IF(A110="Halm",SUMIFS(IF(D110=År1,'Resultater - Vestdanmark'!H$3:H$482,IF(D110=År2,'Resultater - Vestdanmark'!I$3:I$482,'Resultater - Vestdanmark'!J$3:J$482)),'Resultater - Vestdanmark'!$F$3:$F$482,$A110,'Resultater - Vestdanmark'!H$3:H$482,"&lt;0"),0),-IF(A110="Halm",SUMIFS(IF(D110=År1,'Resultater - Østdanmark'!H$3:H$482,IF(D110=År2,'Resultater - Østdanmark'!I$3:I$482,'Resultater - Østdanmark'!J$3:J$482)),'Resultater - Østdanmark'!$F$3:$F$482,$A110,'Resultater - Østdanmark'!H$3:H$482,"&lt;0"),0))</f>
        <v>0</v>
      </c>
      <c r="I110" s="196">
        <f>SUMIFS('Forbrug af biomasse'!$E$2:$E$425,'Forbrug af biomasse'!$C$2:$C$425,'Resultat-Produktion &amp; forbrug'!$A110,'Forbrug af biomasse'!$D$2:$D$425,'Resultat-Produktion &amp; forbrug'!$D110,'Forbrug af biomasse'!$A$2:$A$425,'Resultat-Produktion &amp; forbrug'!I$2,'Forbrug af biomasse'!$B$2:$B$425,$E110)</f>
        <v>267978.92035102146</v>
      </c>
      <c r="J110" s="196">
        <f>SUMIFS('Forbrug af biomasse'!$E$2:$E$425,'Forbrug af biomasse'!$C$2:$C$425,'Resultat-Produktion &amp; forbrug'!$A110,'Forbrug af biomasse'!$D$2:$D$425,'Resultat-Produktion &amp; forbrug'!$D110,'Forbrug af biomasse'!$A$2:$A$425,'Resultat-Produktion &amp; forbrug'!J$2,'Forbrug af biomasse'!$B$2:$B$425,$E110)</f>
        <v>0</v>
      </c>
      <c r="K110" s="196">
        <f>SUMIFS('Forbrug af biomasse'!$E$2:$E$425,'Forbrug af biomasse'!$C$2:$C$425,'Resultat-Produktion &amp; forbrug'!$A110,'Forbrug af biomasse'!$D$2:$D$425,'Resultat-Produktion &amp; forbrug'!$D110,'Forbrug af biomasse'!$A$2:$A$425,'Resultat-Produktion &amp; forbrug'!K$2,'Forbrug af biomasse'!$B$2:$B$425,$E110)</f>
        <v>0</v>
      </c>
      <c r="L110" s="196">
        <f>IF(A110&lt;&gt;"Biogas",SUMIFS('Forbrug af biomasse'!$E$2:$E$425,'Forbrug af biomasse'!$C$2:$C$425,'Resultat-Produktion &amp; forbrug'!$A110,'Forbrug af biomasse'!$D$2:$D$425,'Resultat-Produktion &amp; forbrug'!$D110,'Forbrug af biomasse'!$A$2:$A$425,'Resultat-Produktion &amp; forbrug'!L$2,'Forbrug af biomasse'!$B$2:$B$425,$E110),F110)</f>
        <v>0</v>
      </c>
      <c r="M110" s="158">
        <f>SUMIFS('Forbrug af biomasse'!E:E,'Forbrug af biomasse'!C:C,'Resultat-Produktion &amp; forbrug'!$A110,'Forbrug af biomasse'!D:D,'Resultat-Produktion &amp; forbrug'!$D110,'Forbrug af biomasse'!G:G,1,'Forbrug af biomasse'!B:B,$E110)</f>
        <v>0</v>
      </c>
      <c r="N110" s="205">
        <f t="shared" si="23"/>
        <v>-241828.42359996482</v>
      </c>
      <c r="O110" s="196">
        <f t="shared" si="20"/>
        <v>0</v>
      </c>
      <c r="P110" s="206">
        <f t="shared" si="24"/>
        <v>0</v>
      </c>
      <c r="Q110" s="193">
        <f>IFERROR(VLOOKUP(A110,[1]Energiindhold!$A$2:$C$11,3,FALSE),IFERROR(VLOOKUP(A110,[1]Biogasudbytte!$A$2:$B$18,2,FALSE)*[1]Energiindhold!$C$10,0))*O110</f>
        <v>0</v>
      </c>
      <c r="R110" s="193">
        <f>IF(A110&lt;&gt;"Biogas",IFERROR(VLOOKUP(A110,[1]Biogasudbytte!$A$2:$B$18,2,FALSE)*[1]Energiindhold!$C$10,0)*J110*IFERROR(VLOOKUP(A110,Biogasanlæg!$F$3:$G$8,2,FALSE),1)+IFERROR(VLOOKUP(A110,[1]Energiindhold!$A$2:$C$11,3,FALSE),0)*L110+IF(D110&lt;&gt;År1,Q110,0),0)</f>
        <v>0</v>
      </c>
      <c r="S110" s="193">
        <f>IFERROR(VLOOKUP(A110,[1]Biogasudbytte!$A$2:$B$18,2,FALSE)*[1]Energiindhold!$C$10,0)*J110*IFERROR(VLOOKUP(A110,Biogasanlæg!$F$3:$G$8,2,FALSE),1)</f>
        <v>0</v>
      </c>
      <c r="T110" s="194">
        <f t="shared" si="25"/>
        <v>0</v>
      </c>
      <c r="U110" s="192">
        <f>O110*IFERROR(VLOOKUP(A110,[1]Tørstofindhold!A$2:B$25,2,FALSE),0)</f>
        <v>0</v>
      </c>
      <c r="V110" s="193">
        <f>IF(D110=År1,P110,SUM(O110,P110))*IFERROR(VLOOKUP(A110,[1]Tørstofindhold!A$2:B$25,2,FALSE),0)</f>
        <v>0</v>
      </c>
      <c r="W110" s="193">
        <f>J110*IFERROR(VLOOKUP(A110,[1]Tørstofindhold!A$2:B$25,2,FALSE),0)</f>
        <v>0</v>
      </c>
      <c r="X110" s="194">
        <f t="shared" si="26"/>
        <v>0</v>
      </c>
      <c r="Y110" s="172">
        <f t="shared" si="21"/>
        <v>1</v>
      </c>
      <c r="Z110" s="104">
        <f t="shared" si="22"/>
        <v>0</v>
      </c>
    </row>
    <row r="111" spans="1:26" hidden="1" x14ac:dyDescent="0.55000000000000004">
      <c r="A111" s="195" t="str">
        <f t="shared" si="33"/>
        <v>Glycerin</v>
      </c>
      <c r="B111" s="195" t="str">
        <f t="shared" si="34"/>
        <v>Glycerin</v>
      </c>
      <c r="C111" s="195">
        <f>IF(COUNTIFS('Resultater - Danmark'!$D$3:$D$482,'Resultat-Produktion &amp; forbrug'!A111,'Resultater - Danmark'!$A$3:$A$482,"Til energi")+COUNTIFS('Resultater - Danmark'!$D$3:$D$482,'Resultat-Produktion &amp; forbrug'!A111,'Resultater - Danmark'!$A$3:$A$482,"Biogasanlæg")&gt;0,1,0)</f>
        <v>1</v>
      </c>
      <c r="D111" s="195">
        <f t="shared" si="35"/>
        <v>2050</v>
      </c>
      <c r="E111" s="193" t="s">
        <v>23</v>
      </c>
      <c r="F111" s="196">
        <f>IF(E111="Vestdanmark",SUMIFS(IF(D111=År1,'Resultater - Vestdanmark'!H$3:H$482,IF(D111=År2,'Resultater - Vestdanmark'!I$3:I$482,'Resultater - Vestdanmark'!J$3:J$482)),'Resultater - Vestdanmark'!$F$3:$F$482,$A111,IF(D111=År1,'Resultater - Vestdanmark'!H$3:H$482,IF(D111=År2,'Resultater - Vestdanmark'!I$3:I$482,'Resultater - Vestdanmark'!J$3:J$482)),"&gt;0"),SUMIFS(IF(D111=År1,'Resultater - Østdanmark'!H$3:H$482,IF(D111=År2,'Resultater - Østdanmark'!I$3:I$482,'Resultater - Østdanmark'!J$3:J$482)),'Resultater - Østdanmark'!$F$3:$F$482,$A111,IF(D111=År1,'Resultater - Østdanmark'!H$3:H$482,IF(D111=År2,'Resultater - Østdanmark'!I$3:I$482,'Resultater - Østdanmark'!J$3:J$482)),"&gt;0"))</f>
        <v>0</v>
      </c>
      <c r="G111" s="196">
        <f>SUMIFS('Forbrug af biomasse'!$E$2:$E$425,'Forbrug af biomasse'!$C$2:$C$425,'Resultat-Produktion &amp; forbrug'!$A111,'Forbrug af biomasse'!$D$2:$D$425,'Resultat-Produktion &amp; forbrug'!$D111,'Forbrug af biomasse'!$A$2:$A$425,'Resultat-Produktion &amp; forbrug'!G$2,'Forbrug af biomasse'!$B$2:$B$425,$E111)</f>
        <v>0</v>
      </c>
      <c r="H111" s="193">
        <f>IF(E111="Vestdanmark",-IF(A111="Halm",SUMIFS(IF(D111=År1,'Resultater - Vestdanmark'!H$3:H$482,IF(D111=År2,'Resultater - Vestdanmark'!I$3:I$482,'Resultater - Vestdanmark'!J$3:J$482)),'Resultater - Vestdanmark'!$F$3:$F$482,$A111,'Resultater - Vestdanmark'!H$3:H$482,"&lt;0"),0),-IF(A111="Halm",SUMIFS(IF(D111=År1,'Resultater - Østdanmark'!H$3:H$482,IF(D111=År2,'Resultater - Østdanmark'!I$3:I$482,'Resultater - Østdanmark'!J$3:J$482)),'Resultater - Østdanmark'!$F$3:$F$482,$A111,'Resultater - Østdanmark'!H$3:H$482,"&lt;0"),0))</f>
        <v>0</v>
      </c>
      <c r="I111" s="196">
        <f>SUMIFS('Forbrug af biomasse'!$E$2:$E$425,'Forbrug af biomasse'!$C$2:$C$425,'Resultat-Produktion &amp; forbrug'!$A111,'Forbrug af biomasse'!$D$2:$D$425,'Resultat-Produktion &amp; forbrug'!$D111,'Forbrug af biomasse'!$A$2:$A$425,'Resultat-Produktion &amp; forbrug'!I$2,'Forbrug af biomasse'!$B$2:$B$425,$E111)</f>
        <v>0</v>
      </c>
      <c r="J111" s="196">
        <f>SUMIFS('Forbrug af biomasse'!$E$2:$E$425,'Forbrug af biomasse'!$C$2:$C$425,'Resultat-Produktion &amp; forbrug'!$A111,'Forbrug af biomasse'!$D$2:$D$425,'Resultat-Produktion &amp; forbrug'!$D111,'Forbrug af biomasse'!$A$2:$A$425,'Resultat-Produktion &amp; forbrug'!J$2,'Forbrug af biomasse'!$B$2:$B$425,$E111)</f>
        <v>114193.60000000001</v>
      </c>
      <c r="K111" s="196">
        <f>SUMIFS('Forbrug af biomasse'!$E$2:$E$425,'Forbrug af biomasse'!$C$2:$C$425,'Resultat-Produktion &amp; forbrug'!$A111,'Forbrug af biomasse'!$D$2:$D$425,'Resultat-Produktion &amp; forbrug'!$D111,'Forbrug af biomasse'!$A$2:$A$425,'Resultat-Produktion &amp; forbrug'!K$2,'Forbrug af biomasse'!$B$2:$B$425,$E111)</f>
        <v>0</v>
      </c>
      <c r="L111" s="196">
        <f>IF(A111&lt;&gt;"Biogas",SUMIFS('Forbrug af biomasse'!$E$2:$E$425,'Forbrug af biomasse'!$C$2:$C$425,'Resultat-Produktion &amp; forbrug'!$A111,'Forbrug af biomasse'!$D$2:$D$425,'Resultat-Produktion &amp; forbrug'!$D111,'Forbrug af biomasse'!$A$2:$A$425,'Resultat-Produktion &amp; forbrug'!L$2,'Forbrug af biomasse'!$B$2:$B$425,$E111),F111)</f>
        <v>0</v>
      </c>
      <c r="M111" s="158">
        <f>SUMIFS('Forbrug af biomasse'!E:E,'Forbrug af biomasse'!C:C,'Resultat-Produktion &amp; forbrug'!$A111,'Forbrug af biomasse'!D:D,'Resultat-Produktion &amp; forbrug'!$D111,'Forbrug af biomasse'!G:G,1,'Forbrug af biomasse'!B:B,$E111)</f>
        <v>0</v>
      </c>
      <c r="N111" s="205">
        <f t="shared" si="23"/>
        <v>-114193.60000000001</v>
      </c>
      <c r="O111" s="196">
        <f t="shared" si="20"/>
        <v>0</v>
      </c>
      <c r="P111" s="206">
        <f t="shared" si="24"/>
        <v>114193.60000000001</v>
      </c>
      <c r="Q111" s="193">
        <f>IFERROR(VLOOKUP(A111,[1]Energiindhold!$A$2:$C$11,3,FALSE),IFERROR(VLOOKUP(A111,[1]Biogasudbytte!$A$2:$B$18,2,FALSE)*[1]Energiindhold!$C$10,0))*O111</f>
        <v>0</v>
      </c>
      <c r="R111" s="193">
        <f>IF(A111&lt;&gt;"Biogas",IFERROR(VLOOKUP(A111,[1]Biogasudbytte!$A$2:$B$18,2,FALSE)*[1]Energiindhold!$C$10,0)*J111*IFERROR(VLOOKUP(A111,Biogasanlæg!$F$3:$G$8,2,FALSE),1)+IFERROR(VLOOKUP(A111,[1]Energiindhold!$A$2:$C$11,3,FALSE),0)*L111+IF(D111&lt;&gt;År1,Q111,0),0)</f>
        <v>1.7355855896064003</v>
      </c>
      <c r="S111" s="193">
        <f>IFERROR(VLOOKUP(A111,[1]Biogasudbytte!$A$2:$B$18,2,FALSE)*[1]Energiindhold!$C$10,0)*J111*IFERROR(VLOOKUP(A111,Biogasanlæg!$F$3:$G$8,2,FALSE),1)</f>
        <v>1.7355855896064003</v>
      </c>
      <c r="T111" s="194">
        <f t="shared" si="25"/>
        <v>0</v>
      </c>
      <c r="U111" s="192">
        <f>O111*IFERROR(VLOOKUP(A111,[1]Tørstofindhold!A$2:B$25,2,FALSE),0)</f>
        <v>0</v>
      </c>
      <c r="V111" s="193">
        <f>IF(D111=År1,P111,SUM(O111,P111))*IFERROR(VLOOKUP(A111,[1]Tørstofindhold!A$2:B$25,2,FALSE),0)</f>
        <v>102774.24</v>
      </c>
      <c r="W111" s="193">
        <f>J111*IFERROR(VLOOKUP(A111,[1]Tørstofindhold!A$2:B$25,2,FALSE),0)</f>
        <v>102774.24</v>
      </c>
      <c r="X111" s="194">
        <f t="shared" si="26"/>
        <v>0</v>
      </c>
      <c r="Y111" s="172">
        <f t="shared" si="21"/>
        <v>1</v>
      </c>
      <c r="Z111" s="104">
        <f t="shared" si="22"/>
        <v>0</v>
      </c>
    </row>
    <row r="112" spans="1:26" hidden="1" x14ac:dyDescent="0.55000000000000004">
      <c r="A112" s="195" t="str">
        <f t="shared" si="33"/>
        <v>Græs</v>
      </c>
      <c r="B112" s="195" t="str">
        <f t="shared" si="34"/>
        <v>Græs og urter</v>
      </c>
      <c r="C112" s="195">
        <f>IF(COUNTIFS('Resultater - Danmark'!$D$3:$D$482,'Resultat-Produktion &amp; forbrug'!A112,'Resultater - Danmark'!$A$3:$A$482,"Til energi")+COUNTIFS('Resultater - Danmark'!$D$3:$D$482,'Resultat-Produktion &amp; forbrug'!A112,'Resultater - Danmark'!$A$3:$A$482,"Biogasanlæg")&gt;0,1,0)</f>
        <v>1</v>
      </c>
      <c r="D112" s="195">
        <f t="shared" si="35"/>
        <v>2050</v>
      </c>
      <c r="E112" s="193" t="s">
        <v>23</v>
      </c>
      <c r="F112" s="196">
        <f>IF(E112="Vestdanmark",SUMIFS(IF(D112=År1,'Resultater - Vestdanmark'!H$3:H$482,IF(D112=År2,'Resultater - Vestdanmark'!I$3:I$482,'Resultater - Vestdanmark'!J$3:J$482)),'Resultater - Vestdanmark'!$F$3:$F$482,$A112,IF(D112=År1,'Resultater - Vestdanmark'!H$3:H$482,IF(D112=År2,'Resultater - Vestdanmark'!I$3:I$482,'Resultater - Vestdanmark'!J$3:J$482)),"&gt;0"),SUMIFS(IF(D112=År1,'Resultater - Østdanmark'!H$3:H$482,IF(D112=År2,'Resultater - Østdanmark'!I$3:I$482,'Resultater - Østdanmark'!J$3:J$482)),'Resultater - Østdanmark'!$F$3:$F$482,$A112,IF(D112=År1,'Resultater - Østdanmark'!H$3:H$482,IF(D112=År2,'Resultater - Østdanmark'!I$3:I$482,'Resultater - Østdanmark'!J$3:J$482)),"&gt;0"))</f>
        <v>16099999.551723864</v>
      </c>
      <c r="G112" s="196">
        <f>SUMIFS('Forbrug af biomasse'!$E$2:$E$425,'Forbrug af biomasse'!$C$2:$C$425,'Resultat-Produktion &amp; forbrug'!$A112,'Forbrug af biomasse'!$D$2:$D$425,'Resultat-Produktion &amp; forbrug'!$D112,'Forbrug af biomasse'!$A$2:$A$425,'Resultat-Produktion &amp; forbrug'!G$2,'Forbrug af biomasse'!$B$2:$B$425,$E112)</f>
        <v>12237689.909258299</v>
      </c>
      <c r="H112" s="193">
        <f>IF(E112="Vestdanmark",-IF(A112="Halm",SUMIFS(IF(D112=År1,'Resultater - Vestdanmark'!H$3:H$482,IF(D112=År2,'Resultater - Vestdanmark'!I$3:I$482,'Resultater - Vestdanmark'!J$3:J$482)),'Resultater - Vestdanmark'!$F$3:$F$482,$A112,'Resultater - Vestdanmark'!H$3:H$482,"&lt;0"),0),-IF(A112="Halm",SUMIFS(IF(D112=År1,'Resultater - Østdanmark'!H$3:H$482,IF(D112=År2,'Resultater - Østdanmark'!I$3:I$482,'Resultater - Østdanmark'!J$3:J$482)),'Resultater - Østdanmark'!$F$3:$F$482,$A112,'Resultater - Østdanmark'!H$3:H$482,"&lt;0"),0))</f>
        <v>0</v>
      </c>
      <c r="I112" s="196">
        <f>SUMIFS('Forbrug af biomasse'!$E$2:$E$425,'Forbrug af biomasse'!$C$2:$C$425,'Resultat-Produktion &amp; forbrug'!$A112,'Forbrug af biomasse'!$D$2:$D$425,'Resultat-Produktion &amp; forbrug'!$D112,'Forbrug af biomasse'!$A$2:$A$425,'Resultat-Produktion &amp; forbrug'!I$2,'Forbrug af biomasse'!$B$2:$B$425,$E112)</f>
        <v>0</v>
      </c>
      <c r="J112" s="196">
        <f>SUMIFS('Forbrug af biomasse'!$E$2:$E$425,'Forbrug af biomasse'!$C$2:$C$425,'Resultat-Produktion &amp; forbrug'!$A112,'Forbrug af biomasse'!$D$2:$D$425,'Resultat-Produktion &amp; forbrug'!$D112,'Forbrug af biomasse'!$A$2:$A$425,'Resultat-Produktion &amp; forbrug'!J$2,'Forbrug af biomasse'!$B$2:$B$425,$E112)</f>
        <v>75527.053678542041</v>
      </c>
      <c r="K112" s="196">
        <f>SUMIFS('Forbrug af biomasse'!$E$2:$E$425,'Forbrug af biomasse'!$C$2:$C$425,'Resultat-Produktion &amp; forbrug'!$A112,'Forbrug af biomasse'!$D$2:$D$425,'Resultat-Produktion &amp; forbrug'!$D112,'Forbrug af biomasse'!$A$2:$A$425,'Resultat-Produktion &amp; forbrug'!K$2,'Forbrug af biomasse'!$B$2:$B$425,$E112)</f>
        <v>0</v>
      </c>
      <c r="L112" s="196">
        <f>IF(A112&lt;&gt;"Biogas",SUMIFS('Forbrug af biomasse'!$E$2:$E$425,'Forbrug af biomasse'!$C$2:$C$425,'Resultat-Produktion &amp; forbrug'!$A112,'Forbrug af biomasse'!$D$2:$D$425,'Resultat-Produktion &amp; forbrug'!$D112,'Forbrug af biomasse'!$A$2:$A$425,'Resultat-Produktion &amp; forbrug'!L$2,'Forbrug af biomasse'!$B$2:$B$425,$E112),F112)</f>
        <v>0</v>
      </c>
      <c r="M112" s="158">
        <f>SUMIFS('Forbrug af biomasse'!E:E,'Forbrug af biomasse'!C:C,'Resultat-Produktion &amp; forbrug'!$A112,'Forbrug af biomasse'!D:D,'Resultat-Produktion &amp; forbrug'!$D112,'Forbrug af biomasse'!G:G,1,'Forbrug af biomasse'!B:B,$E112)</f>
        <v>0</v>
      </c>
      <c r="N112" s="205">
        <f t="shared" si="23"/>
        <v>3786782.588787023</v>
      </c>
      <c r="O112" s="196">
        <f t="shared" si="20"/>
        <v>3786782.588787023</v>
      </c>
      <c r="P112" s="206">
        <f t="shared" si="24"/>
        <v>75527.053678542041</v>
      </c>
      <c r="Q112" s="193">
        <f>IFERROR(VLOOKUP(A112,[1]Energiindhold!$A$2:$C$11,3,FALSE),IFERROR(VLOOKUP(A112,[1]Biogasudbytte!$A$2:$B$18,2,FALSE)*[1]Energiindhold!$C$10,0))*O112</f>
        <v>6.9672066155445247</v>
      </c>
      <c r="R112" s="193">
        <f>IF(A112&lt;&gt;"Biogas",IFERROR(VLOOKUP(A112,[1]Biogasudbytte!$A$2:$B$18,2,FALSE)*[1]Energiindhold!$C$10,0)*J112*IFERROR(VLOOKUP(A112,Biogasanlæg!$F$3:$G$8,2,FALSE),1)+IFERROR(VLOOKUP(A112,[1]Energiindhold!$A$2:$C$11,3,FALSE),0)*L112+IF(D112&lt;&gt;År1,Q112,0),0)</f>
        <v>7.1061669534313321</v>
      </c>
      <c r="S112" s="193">
        <f>IFERROR(VLOOKUP(A112,[1]Biogasudbytte!$A$2:$B$18,2,FALSE)*[1]Energiindhold!$C$10,0)*J112*IFERROR(VLOOKUP(A112,Biogasanlæg!$F$3:$G$8,2,FALSE),1)</f>
        <v>0.13896033788680753</v>
      </c>
      <c r="T112" s="194">
        <f t="shared" si="25"/>
        <v>6.9672066155445247</v>
      </c>
      <c r="U112" s="192">
        <f>O112*IFERROR(VLOOKUP(A112,[1]Tørstofindhold!A$2:B$25,2,FALSE),0)</f>
        <v>1060299.1248603666</v>
      </c>
      <c r="V112" s="193">
        <f>IF(D112=År1,P112,SUM(O112,P112))*IFERROR(VLOOKUP(A112,[1]Tørstofindhold!A$2:B$25,2,FALSE),0)</f>
        <v>1081446.6998903584</v>
      </c>
      <c r="W112" s="193">
        <f>J112*IFERROR(VLOOKUP(A112,[1]Tørstofindhold!A$2:B$25,2,FALSE),0)</f>
        <v>21147.575029991774</v>
      </c>
      <c r="X112" s="194">
        <f t="shared" si="26"/>
        <v>1060299.1248603666</v>
      </c>
      <c r="Y112" s="172">
        <f t="shared" si="21"/>
        <v>0</v>
      </c>
      <c r="Z112" s="104">
        <f t="shared" si="22"/>
        <v>1</v>
      </c>
    </row>
    <row r="113" spans="1:26" hidden="1" x14ac:dyDescent="0.55000000000000004">
      <c r="A113" s="195" t="str">
        <f t="shared" si="33"/>
        <v>Græsprotein</v>
      </c>
      <c r="B113" s="195" t="str">
        <f t="shared" si="34"/>
        <v/>
      </c>
      <c r="C113" s="195">
        <f>IF(COUNTIFS('Resultater - Danmark'!$D$3:$D$482,'Resultat-Produktion &amp; forbrug'!A113,'Resultater - Danmark'!$A$3:$A$482,"Til energi")+COUNTIFS('Resultater - Danmark'!$D$3:$D$482,'Resultat-Produktion &amp; forbrug'!A113,'Resultater - Danmark'!$A$3:$A$482,"Biogasanlæg")&gt;0,1,0)</f>
        <v>0</v>
      </c>
      <c r="D113" s="195">
        <f t="shared" si="35"/>
        <v>2050</v>
      </c>
      <c r="E113" s="193" t="s">
        <v>23</v>
      </c>
      <c r="F113" s="196">
        <f>IF(E113="Vestdanmark",SUMIFS(IF(D113=År1,'Resultater - Vestdanmark'!H$3:H$482,IF(D113=År2,'Resultater - Vestdanmark'!I$3:I$482,'Resultater - Vestdanmark'!J$3:J$482)),'Resultater - Vestdanmark'!$F$3:$F$482,$A113,IF(D113=År1,'Resultater - Vestdanmark'!H$3:H$482,IF(D113=År2,'Resultater - Vestdanmark'!I$3:I$482,'Resultater - Vestdanmark'!J$3:J$482)),"&gt;0"),SUMIFS(IF(D113=År1,'Resultater - Østdanmark'!H$3:H$482,IF(D113=År2,'Resultater - Østdanmark'!I$3:I$482,'Resultater - Østdanmark'!J$3:J$482)),'Resultater - Østdanmark'!$F$3:$F$482,$A113,IF(D113=År1,'Resultater - Østdanmark'!H$3:H$482,IF(D113=År2,'Resultater - Østdanmark'!I$3:I$482,'Resultater - Østdanmark'!J$3:J$482)),"&gt;0"))</f>
        <v>0</v>
      </c>
      <c r="G113" s="196">
        <f>SUMIFS('Forbrug af biomasse'!$E$2:$E$425,'Forbrug af biomasse'!$C$2:$C$425,'Resultat-Produktion &amp; forbrug'!$A113,'Forbrug af biomasse'!$D$2:$D$425,'Resultat-Produktion &amp; forbrug'!$D113,'Forbrug af biomasse'!$A$2:$A$425,'Resultat-Produktion &amp; forbrug'!G$2,'Forbrug af biomasse'!$B$2:$B$425,$E113)</f>
        <v>0</v>
      </c>
      <c r="H113" s="193">
        <f>IF(E113="Vestdanmark",-IF(A113="Halm",SUMIFS(IF(D113=År1,'Resultater - Vestdanmark'!H$3:H$482,IF(D113=År2,'Resultater - Vestdanmark'!I$3:I$482,'Resultater - Vestdanmark'!J$3:J$482)),'Resultater - Vestdanmark'!$F$3:$F$482,$A113,'Resultater - Vestdanmark'!H$3:H$482,"&lt;0"),0),-IF(A113="Halm",SUMIFS(IF(D113=År1,'Resultater - Østdanmark'!H$3:H$482,IF(D113=År2,'Resultater - Østdanmark'!I$3:I$482,'Resultater - Østdanmark'!J$3:J$482)),'Resultater - Østdanmark'!$F$3:$F$482,$A113,'Resultater - Østdanmark'!H$3:H$482,"&lt;0"),0))</f>
        <v>0</v>
      </c>
      <c r="I113" s="196">
        <f>SUMIFS('Forbrug af biomasse'!$E$2:$E$425,'Forbrug af biomasse'!$C$2:$C$425,'Resultat-Produktion &amp; forbrug'!$A113,'Forbrug af biomasse'!$D$2:$D$425,'Resultat-Produktion &amp; forbrug'!$D113,'Forbrug af biomasse'!$A$2:$A$425,'Resultat-Produktion &amp; forbrug'!I$2,'Forbrug af biomasse'!$B$2:$B$425,$E113)</f>
        <v>0</v>
      </c>
      <c r="J113" s="196">
        <f>SUMIFS('Forbrug af biomasse'!$E$2:$E$425,'Forbrug af biomasse'!$C$2:$C$425,'Resultat-Produktion &amp; forbrug'!$A113,'Forbrug af biomasse'!$D$2:$D$425,'Resultat-Produktion &amp; forbrug'!$D113,'Forbrug af biomasse'!$A$2:$A$425,'Resultat-Produktion &amp; forbrug'!J$2,'Forbrug af biomasse'!$B$2:$B$425,$E113)</f>
        <v>0</v>
      </c>
      <c r="K113" s="196">
        <f>SUMIFS('Forbrug af biomasse'!$E$2:$E$425,'Forbrug af biomasse'!$C$2:$C$425,'Resultat-Produktion &amp; forbrug'!$A113,'Forbrug af biomasse'!$D$2:$D$425,'Resultat-Produktion &amp; forbrug'!$D113,'Forbrug af biomasse'!$A$2:$A$425,'Resultat-Produktion &amp; forbrug'!K$2,'Forbrug af biomasse'!$B$2:$B$425,$E113)</f>
        <v>0</v>
      </c>
      <c r="L113" s="196">
        <f>IF(A113&lt;&gt;"Biogas",SUMIFS('Forbrug af biomasse'!$E$2:$E$425,'Forbrug af biomasse'!$C$2:$C$425,'Resultat-Produktion &amp; forbrug'!$A113,'Forbrug af biomasse'!$D$2:$D$425,'Resultat-Produktion &amp; forbrug'!$D113,'Forbrug af biomasse'!$A$2:$A$425,'Resultat-Produktion &amp; forbrug'!L$2,'Forbrug af biomasse'!$B$2:$B$425,$E113),F113)</f>
        <v>0</v>
      </c>
      <c r="M113" s="158">
        <f>SUMIFS('Forbrug af biomasse'!E:E,'Forbrug af biomasse'!C:C,'Resultat-Produktion &amp; forbrug'!$A113,'Forbrug af biomasse'!D:D,'Resultat-Produktion &amp; forbrug'!$D113,'Forbrug af biomasse'!G:G,1,'Forbrug af biomasse'!B:B,$E113)</f>
        <v>0</v>
      </c>
      <c r="N113" s="205">
        <f t="shared" si="23"/>
        <v>0</v>
      </c>
      <c r="O113" s="196">
        <f t="shared" si="20"/>
        <v>0</v>
      </c>
      <c r="P113" s="206">
        <f t="shared" si="24"/>
        <v>0</v>
      </c>
      <c r="Q113" s="193">
        <f>IFERROR(VLOOKUP(A113,[1]Energiindhold!$A$2:$C$11,3,FALSE),IFERROR(VLOOKUP(A113,[1]Biogasudbytte!$A$2:$B$18,2,FALSE)*[1]Energiindhold!$C$10,0))*O113</f>
        <v>0</v>
      </c>
      <c r="R113" s="193">
        <f>IF(A113&lt;&gt;"Biogas",IFERROR(VLOOKUP(A113,[1]Biogasudbytte!$A$2:$B$18,2,FALSE)*[1]Energiindhold!$C$10,0)*J113*IFERROR(VLOOKUP(A113,Biogasanlæg!$F$3:$G$8,2,FALSE),1)+IFERROR(VLOOKUP(A113,[1]Energiindhold!$A$2:$C$11,3,FALSE),0)*L113+IF(D113&lt;&gt;År1,Q113,0),0)</f>
        <v>0</v>
      </c>
      <c r="S113" s="193">
        <f>IFERROR(VLOOKUP(A113,[1]Biogasudbytte!$A$2:$B$18,2,FALSE)*[1]Energiindhold!$C$10,0)*J113*IFERROR(VLOOKUP(A113,Biogasanlæg!$F$3:$G$8,2,FALSE),1)</f>
        <v>0</v>
      </c>
      <c r="T113" s="194">
        <f t="shared" si="25"/>
        <v>0</v>
      </c>
      <c r="U113" s="192">
        <f>O113*IFERROR(VLOOKUP(A113,[1]Tørstofindhold!A$2:B$25,2,FALSE),0)</f>
        <v>0</v>
      </c>
      <c r="V113" s="193">
        <f>IF(D113=År1,P113,SUM(O113,P113))*IFERROR(VLOOKUP(A113,[1]Tørstofindhold!A$2:B$25,2,FALSE),0)</f>
        <v>0</v>
      </c>
      <c r="W113" s="193">
        <f>J113*IFERROR(VLOOKUP(A113,[1]Tørstofindhold!A$2:B$25,2,FALSE),0)</f>
        <v>0</v>
      </c>
      <c r="X113" s="194">
        <f t="shared" si="26"/>
        <v>0</v>
      </c>
      <c r="Y113" s="172">
        <f t="shared" si="21"/>
        <v>0</v>
      </c>
      <c r="Z113" s="104">
        <f t="shared" si="22"/>
        <v>0</v>
      </c>
    </row>
    <row r="114" spans="1:26" hidden="1" x14ac:dyDescent="0.55000000000000004">
      <c r="A114" s="195" t="str">
        <f t="shared" si="33"/>
        <v>Grøntsager</v>
      </c>
      <c r="B114" s="195" t="str">
        <f t="shared" si="34"/>
        <v/>
      </c>
      <c r="C114" s="195">
        <f>IF(COUNTIFS('Resultater - Danmark'!$D$3:$D$482,'Resultat-Produktion &amp; forbrug'!A114,'Resultater - Danmark'!$A$3:$A$482,"Til energi")+COUNTIFS('Resultater - Danmark'!$D$3:$D$482,'Resultat-Produktion &amp; forbrug'!A114,'Resultater - Danmark'!$A$3:$A$482,"Biogasanlæg")&gt;0,1,0)</f>
        <v>0</v>
      </c>
      <c r="D114" s="195">
        <f t="shared" si="35"/>
        <v>2050</v>
      </c>
      <c r="E114" s="193" t="s">
        <v>23</v>
      </c>
      <c r="F114" s="196">
        <f>IF(E114="Vestdanmark",SUMIFS(IF(D114=År1,'Resultater - Vestdanmark'!H$3:H$482,IF(D114=År2,'Resultater - Vestdanmark'!I$3:I$482,'Resultater - Vestdanmark'!J$3:J$482)),'Resultater - Vestdanmark'!$F$3:$F$482,$A114,IF(D114=År1,'Resultater - Vestdanmark'!H$3:H$482,IF(D114=År2,'Resultater - Vestdanmark'!I$3:I$482,'Resultater - Vestdanmark'!J$3:J$482)),"&gt;0"),SUMIFS(IF(D114=År1,'Resultater - Østdanmark'!H$3:H$482,IF(D114=År2,'Resultater - Østdanmark'!I$3:I$482,'Resultater - Østdanmark'!J$3:J$482)),'Resultater - Østdanmark'!$F$3:$F$482,$A114,IF(D114=År1,'Resultater - Østdanmark'!H$3:H$482,IF(D114=År2,'Resultater - Østdanmark'!I$3:I$482,'Resultater - Østdanmark'!J$3:J$482)),"&gt;0"))</f>
        <v>185255.23058853028</v>
      </c>
      <c r="G114" s="196">
        <f>SUMIFS('Forbrug af biomasse'!$E$2:$E$425,'Forbrug af biomasse'!$C$2:$C$425,'Resultat-Produktion &amp; forbrug'!$A114,'Forbrug af biomasse'!$D$2:$D$425,'Resultat-Produktion &amp; forbrug'!$D114,'Forbrug af biomasse'!$A$2:$A$425,'Resultat-Produktion &amp; forbrug'!G$2,'Forbrug af biomasse'!$B$2:$B$425,$E114)</f>
        <v>0</v>
      </c>
      <c r="H114" s="193">
        <f>IF(E114="Vestdanmark",-IF(A114="Halm",SUMIFS(IF(D114=År1,'Resultater - Vestdanmark'!H$3:H$482,IF(D114=År2,'Resultater - Vestdanmark'!I$3:I$482,'Resultater - Vestdanmark'!J$3:J$482)),'Resultater - Vestdanmark'!$F$3:$F$482,$A114,'Resultater - Vestdanmark'!H$3:H$482,"&lt;0"),0),-IF(A114="Halm",SUMIFS(IF(D114=År1,'Resultater - Østdanmark'!H$3:H$482,IF(D114=År2,'Resultater - Østdanmark'!I$3:I$482,'Resultater - Østdanmark'!J$3:J$482)),'Resultater - Østdanmark'!$F$3:$F$482,$A114,'Resultater - Østdanmark'!H$3:H$482,"&lt;0"),0))</f>
        <v>0</v>
      </c>
      <c r="I114" s="196">
        <f>SUMIFS('Forbrug af biomasse'!$E$2:$E$425,'Forbrug af biomasse'!$C$2:$C$425,'Resultat-Produktion &amp; forbrug'!$A114,'Forbrug af biomasse'!$D$2:$D$425,'Resultat-Produktion &amp; forbrug'!$D114,'Forbrug af biomasse'!$A$2:$A$425,'Resultat-Produktion &amp; forbrug'!I$2,'Forbrug af biomasse'!$B$2:$B$425,$E114)</f>
        <v>280672.65868343826</v>
      </c>
      <c r="J114" s="196">
        <f>SUMIFS('Forbrug af biomasse'!$E$2:$E$425,'Forbrug af biomasse'!$C$2:$C$425,'Resultat-Produktion &amp; forbrug'!$A114,'Forbrug af biomasse'!$D$2:$D$425,'Resultat-Produktion &amp; forbrug'!$D114,'Forbrug af biomasse'!$A$2:$A$425,'Resultat-Produktion &amp; forbrug'!J$2,'Forbrug af biomasse'!$B$2:$B$425,$E114)</f>
        <v>0</v>
      </c>
      <c r="K114" s="196">
        <f>SUMIFS('Forbrug af biomasse'!$E$2:$E$425,'Forbrug af biomasse'!$C$2:$C$425,'Resultat-Produktion &amp; forbrug'!$A114,'Forbrug af biomasse'!$D$2:$D$425,'Resultat-Produktion &amp; forbrug'!$D114,'Forbrug af biomasse'!$A$2:$A$425,'Resultat-Produktion &amp; forbrug'!K$2,'Forbrug af biomasse'!$B$2:$B$425,$E114)</f>
        <v>0</v>
      </c>
      <c r="L114" s="196">
        <f>IF(A114&lt;&gt;"Biogas",SUMIFS('Forbrug af biomasse'!$E$2:$E$425,'Forbrug af biomasse'!$C$2:$C$425,'Resultat-Produktion &amp; forbrug'!$A114,'Forbrug af biomasse'!$D$2:$D$425,'Resultat-Produktion &amp; forbrug'!$D114,'Forbrug af biomasse'!$A$2:$A$425,'Resultat-Produktion &amp; forbrug'!L$2,'Forbrug af biomasse'!$B$2:$B$425,$E114),F114)</f>
        <v>0</v>
      </c>
      <c r="M114" s="158">
        <f>SUMIFS('Forbrug af biomasse'!E:E,'Forbrug af biomasse'!C:C,'Resultat-Produktion &amp; forbrug'!$A114,'Forbrug af biomasse'!D:D,'Resultat-Produktion &amp; forbrug'!$D114,'Forbrug af biomasse'!G:G,1,'Forbrug af biomasse'!B:B,$E114)</f>
        <v>0</v>
      </c>
      <c r="N114" s="205">
        <f t="shared" si="23"/>
        <v>-95417.428094907984</v>
      </c>
      <c r="O114" s="196">
        <f t="shared" si="20"/>
        <v>0</v>
      </c>
      <c r="P114" s="206">
        <f t="shared" si="24"/>
        <v>0</v>
      </c>
      <c r="Q114" s="193">
        <f>IFERROR(VLOOKUP(A114,[1]Energiindhold!$A$2:$C$11,3,FALSE),IFERROR(VLOOKUP(A114,[1]Biogasudbytte!$A$2:$B$18,2,FALSE)*[1]Energiindhold!$C$10,0))*O114</f>
        <v>0</v>
      </c>
      <c r="R114" s="193">
        <f>IF(A114&lt;&gt;"Biogas",IFERROR(VLOOKUP(A114,[1]Biogasudbytte!$A$2:$B$18,2,FALSE)*[1]Energiindhold!$C$10,0)*J114*IFERROR(VLOOKUP(A114,Biogasanlæg!$F$3:$G$8,2,FALSE),1)+IFERROR(VLOOKUP(A114,[1]Energiindhold!$A$2:$C$11,3,FALSE),0)*L114+IF(D114&lt;&gt;År1,Q114,0),0)</f>
        <v>0</v>
      </c>
      <c r="S114" s="193">
        <f>IFERROR(VLOOKUP(A114,[1]Biogasudbytte!$A$2:$B$18,2,FALSE)*[1]Energiindhold!$C$10,0)*J114*IFERROR(VLOOKUP(A114,Biogasanlæg!$F$3:$G$8,2,FALSE),1)</f>
        <v>0</v>
      </c>
      <c r="T114" s="194">
        <f t="shared" si="25"/>
        <v>0</v>
      </c>
      <c r="U114" s="192">
        <f>O114*IFERROR(VLOOKUP(A114,[1]Tørstofindhold!A$2:B$25,2,FALSE),0)</f>
        <v>0</v>
      </c>
      <c r="V114" s="193">
        <f>IF(D114=År1,P114,SUM(O114,P114))*IFERROR(VLOOKUP(A114,[1]Tørstofindhold!A$2:B$25,2,FALSE),0)</f>
        <v>0</v>
      </c>
      <c r="W114" s="193">
        <f>J114*IFERROR(VLOOKUP(A114,[1]Tørstofindhold!A$2:B$25,2,FALSE),0)</f>
        <v>0</v>
      </c>
      <c r="X114" s="194">
        <f t="shared" si="26"/>
        <v>0</v>
      </c>
      <c r="Y114" s="172">
        <f t="shared" si="21"/>
        <v>1</v>
      </c>
      <c r="Z114" s="104">
        <f t="shared" si="22"/>
        <v>0</v>
      </c>
    </row>
    <row r="115" spans="1:26" hidden="1" x14ac:dyDescent="0.55000000000000004">
      <c r="A115" s="195" t="str">
        <f t="shared" si="33"/>
        <v>Halm</v>
      </c>
      <c r="B115" s="195" t="str">
        <f t="shared" si="34"/>
        <v>Halm og strå</v>
      </c>
      <c r="C115" s="195">
        <f>IF(COUNTIFS('Resultater - Danmark'!$D$3:$D$482,'Resultat-Produktion &amp; forbrug'!A115,'Resultater - Danmark'!$A$3:$A$482,"Til energi")+COUNTIFS('Resultater - Danmark'!$D$3:$D$482,'Resultat-Produktion &amp; forbrug'!A115,'Resultater - Danmark'!$A$3:$A$482,"Biogasanlæg")&gt;0,1,0)</f>
        <v>1</v>
      </c>
      <c r="D115" s="195">
        <f t="shared" si="35"/>
        <v>2050</v>
      </c>
      <c r="E115" s="193" t="s">
        <v>23</v>
      </c>
      <c r="F115" s="196">
        <f>IF(E115="Vestdanmark",SUMIFS(IF(D115=År1,'Resultater - Vestdanmark'!H$3:H$482,IF(D115=År2,'Resultater - Vestdanmark'!I$3:I$482,'Resultater - Vestdanmark'!J$3:J$482)),'Resultater - Vestdanmark'!$F$3:$F$482,$A115,IF(D115=År1,'Resultater - Vestdanmark'!H$3:H$482,IF(D115=År2,'Resultater - Vestdanmark'!I$3:I$482,'Resultater - Vestdanmark'!J$3:J$482)),"&gt;0"),SUMIFS(IF(D115=År1,'Resultater - Østdanmark'!H$3:H$482,IF(D115=År2,'Resultater - Østdanmark'!I$3:I$482,'Resultater - Østdanmark'!J$3:J$482)),'Resultater - Østdanmark'!$F$3:$F$482,$A115,IF(D115=År1,'Resultater - Østdanmark'!H$3:H$482,IF(D115=År2,'Resultater - Østdanmark'!I$3:I$482,'Resultater - Østdanmark'!J$3:J$482)),"&gt;0"))</f>
        <v>2554079.4309541653</v>
      </c>
      <c r="G115" s="196">
        <f>SUMIFS('Forbrug af biomasse'!$E$2:$E$425,'Forbrug af biomasse'!$C$2:$C$425,'Resultat-Produktion &amp; forbrug'!$A115,'Forbrug af biomasse'!$D$2:$D$425,'Resultat-Produktion &amp; forbrug'!$D115,'Forbrug af biomasse'!$A$2:$A$425,'Resultat-Produktion &amp; forbrug'!G$2,'Forbrug af biomasse'!$B$2:$B$425,$E115)</f>
        <v>773085.89354292606</v>
      </c>
      <c r="H115" s="193">
        <f>IF(E115="Vestdanmark",-IF(A115="Halm",SUMIFS(IF(D115=År1,'Resultater - Vestdanmark'!H$3:H$482,IF(D115=År2,'Resultater - Vestdanmark'!I$3:I$482,'Resultater - Vestdanmark'!J$3:J$482)),'Resultater - Vestdanmark'!$F$3:$F$482,$A115,'Resultater - Vestdanmark'!H$3:H$482,"&lt;0"),0),-IF(A115="Halm",SUMIFS(IF(D115=År1,'Resultater - Østdanmark'!H$3:H$482,IF(D115=År2,'Resultater - Østdanmark'!I$3:I$482,'Resultater - Østdanmark'!J$3:J$482)),'Resultater - Østdanmark'!$F$3:$F$482,$A115,'Resultater - Østdanmark'!H$3:H$482,"&lt;0"),0))</f>
        <v>724013.50560011622</v>
      </c>
      <c r="I115" s="196">
        <f>SUMIFS('Forbrug af biomasse'!$E$2:$E$425,'Forbrug af biomasse'!$C$2:$C$425,'Resultat-Produktion &amp; forbrug'!$A115,'Forbrug af biomasse'!$D$2:$D$425,'Resultat-Produktion &amp; forbrug'!$D115,'Forbrug af biomasse'!$A$2:$A$425,'Resultat-Produktion &amp; forbrug'!I$2,'Forbrug af biomasse'!$B$2:$B$425,$E115)</f>
        <v>0</v>
      </c>
      <c r="J115" s="196">
        <f>SUMIFS('Forbrug af biomasse'!$E$2:$E$425,'Forbrug af biomasse'!$C$2:$C$425,'Resultat-Produktion &amp; forbrug'!$A115,'Forbrug af biomasse'!$D$2:$D$425,'Resultat-Produktion &amp; forbrug'!$D115,'Forbrug af biomasse'!$A$2:$A$425,'Resultat-Produktion &amp; forbrug'!J$2,'Forbrug af biomasse'!$B$2:$B$425,$E115)</f>
        <v>52543.907435919093</v>
      </c>
      <c r="K115" s="196">
        <f>SUMIFS('Forbrug af biomasse'!$E$2:$E$425,'Forbrug af biomasse'!$C$2:$C$425,'Resultat-Produktion &amp; forbrug'!$A115,'Forbrug af biomasse'!$D$2:$D$425,'Resultat-Produktion &amp; forbrug'!$D115,'Forbrug af biomasse'!$A$2:$A$425,'Resultat-Produktion &amp; forbrug'!K$2,'Forbrug af biomasse'!$B$2:$B$425,$E115)</f>
        <v>0</v>
      </c>
      <c r="L115" s="196">
        <f>IF(A115&lt;&gt;"Biogas",SUMIFS('Forbrug af biomasse'!$E$2:$E$425,'Forbrug af biomasse'!$C$2:$C$425,'Resultat-Produktion &amp; forbrug'!$A115,'Forbrug af biomasse'!$D$2:$D$425,'Resultat-Produktion &amp; forbrug'!$D115,'Forbrug af biomasse'!$A$2:$A$425,'Resultat-Produktion &amp; forbrug'!L$2,'Forbrug af biomasse'!$B$2:$B$425,$E115),F115)</f>
        <v>1004436.1243752033</v>
      </c>
      <c r="M115" s="158">
        <f>SUMIFS('Forbrug af biomasse'!E:E,'Forbrug af biomasse'!C:C,'Resultat-Produktion &amp; forbrug'!$A115,'Forbrug af biomasse'!D:D,'Resultat-Produktion &amp; forbrug'!$D115,'Forbrug af biomasse'!G:G,1,'Forbrug af biomasse'!B:B,$E115)</f>
        <v>0</v>
      </c>
      <c r="N115" s="205">
        <f t="shared" si="23"/>
        <v>0</v>
      </c>
      <c r="O115" s="196">
        <f t="shared" si="20"/>
        <v>0</v>
      </c>
      <c r="P115" s="206">
        <f t="shared" si="24"/>
        <v>1056980.0318111223</v>
      </c>
      <c r="Q115" s="193">
        <f>IFERROR(VLOOKUP(A115,[1]Energiindhold!$A$2:$C$11,3,FALSE),IFERROR(VLOOKUP(A115,[1]Biogasudbytte!$A$2:$B$18,2,FALSE)*[1]Energiindhold!$C$10,0))*O115</f>
        <v>0</v>
      </c>
      <c r="R115" s="193">
        <f>IF(A115&lt;&gt;"Biogas",IFERROR(VLOOKUP(A115,[1]Biogasudbytte!$A$2:$B$18,2,FALSE)*[1]Energiindhold!$C$10,0)*J115*IFERROR(VLOOKUP(A115,Biogasanlæg!$F$3:$G$8,2,FALSE),1)+IFERROR(VLOOKUP(A115,[1]Energiindhold!$A$2:$C$11,3,FALSE),0)*L115+IF(D115&lt;&gt;År1,Q115,0),0)</f>
        <v>10.684601261650869</v>
      </c>
      <c r="S115" s="193">
        <f>IFERROR(VLOOKUP(A115,[1]Biogasudbytte!$A$2:$B$18,2,FALSE)*[1]Energiindhold!$C$10,0)*J115*IFERROR(VLOOKUP(A115,Biogasanlæg!$F$3:$G$8,2,FALSE),1)</f>
        <v>0.30294400007808897</v>
      </c>
      <c r="T115" s="194">
        <f t="shared" si="25"/>
        <v>10.38165726157278</v>
      </c>
      <c r="U115" s="192">
        <f>O115*IFERROR(VLOOKUP(A115,[1]Tørstofindhold!A$2:B$25,2,FALSE),0)</f>
        <v>0</v>
      </c>
      <c r="V115" s="193">
        <f>IF(D115=År1,P115,SUM(O115,P115))*IFERROR(VLOOKUP(A115,[1]Tørstofindhold!A$2:B$25,2,FALSE),0)</f>
        <v>898433.02703945397</v>
      </c>
      <c r="W115" s="193">
        <f>J115*IFERROR(VLOOKUP(A115,[1]Tørstofindhold!A$2:B$25,2,FALSE),0)</f>
        <v>44662.321320531228</v>
      </c>
      <c r="X115" s="194">
        <f t="shared" si="26"/>
        <v>853770.70571892278</v>
      </c>
      <c r="Y115" s="172">
        <f t="shared" si="21"/>
        <v>0</v>
      </c>
      <c r="Z115" s="104">
        <f t="shared" si="22"/>
        <v>0</v>
      </c>
    </row>
    <row r="116" spans="1:26" hidden="1" x14ac:dyDescent="0.55000000000000004">
      <c r="A116" s="195" t="str">
        <f t="shared" si="33"/>
        <v>Have/parkaffald</v>
      </c>
      <c r="B116" s="195" t="str">
        <f t="shared" si="34"/>
        <v>Bionedbrydeligt affald</v>
      </c>
      <c r="C116" s="195">
        <f>IF(COUNTIFS('Resultater - Danmark'!$D$3:$D$482,'Resultat-Produktion &amp; forbrug'!A116,'Resultater - Danmark'!$A$3:$A$482,"Til energi")+COUNTIFS('Resultater - Danmark'!$D$3:$D$482,'Resultat-Produktion &amp; forbrug'!A116,'Resultater - Danmark'!$A$3:$A$482,"Biogasanlæg")&gt;0,1,0)</f>
        <v>1</v>
      </c>
      <c r="D116" s="195">
        <f t="shared" si="35"/>
        <v>2050</v>
      </c>
      <c r="E116" s="193" t="s">
        <v>23</v>
      </c>
      <c r="F116" s="196">
        <f>IF(E116="Vestdanmark",SUMIFS(IF(D116=År1,'Resultater - Vestdanmark'!H$3:H$482,IF(D116=År2,'Resultater - Vestdanmark'!I$3:I$482,'Resultater - Vestdanmark'!J$3:J$482)),'Resultater - Vestdanmark'!$F$3:$F$482,$A116,IF(D116=År1,'Resultater - Vestdanmark'!H$3:H$482,IF(D116=År2,'Resultater - Vestdanmark'!I$3:I$482,'Resultater - Vestdanmark'!J$3:J$482)),"&gt;0"),SUMIFS(IF(D116=År1,'Resultater - Østdanmark'!H$3:H$482,IF(D116=År2,'Resultater - Østdanmark'!I$3:I$482,'Resultater - Østdanmark'!J$3:J$482)),'Resultater - Østdanmark'!$F$3:$F$482,$A116,IF(D116=År1,'Resultater - Østdanmark'!H$3:H$482,IF(D116=År2,'Resultater - Østdanmark'!I$3:I$482,'Resultater - Østdanmark'!J$3:J$482)),"&gt;0"))</f>
        <v>524881.97503939818</v>
      </c>
      <c r="G116" s="196">
        <f>SUMIFS('Forbrug af biomasse'!$E$2:$E$425,'Forbrug af biomasse'!$C$2:$C$425,'Resultat-Produktion &amp; forbrug'!$A116,'Forbrug af biomasse'!$D$2:$D$425,'Resultat-Produktion &amp; forbrug'!$D116,'Forbrug af biomasse'!$A$2:$A$425,'Resultat-Produktion &amp; forbrug'!G$2,'Forbrug af biomasse'!$B$2:$B$425,$E116)</f>
        <v>0</v>
      </c>
      <c r="H116" s="193">
        <f>IF(E116="Vestdanmark",-IF(A116="Halm",SUMIFS(IF(D116=År1,'Resultater - Vestdanmark'!H$3:H$482,IF(D116=År2,'Resultater - Vestdanmark'!I$3:I$482,'Resultater - Vestdanmark'!J$3:J$482)),'Resultater - Vestdanmark'!$F$3:$F$482,$A116,'Resultater - Vestdanmark'!H$3:H$482,"&lt;0"),0),-IF(A116="Halm",SUMIFS(IF(D116=År1,'Resultater - Østdanmark'!H$3:H$482,IF(D116=År2,'Resultater - Østdanmark'!I$3:I$482,'Resultater - Østdanmark'!J$3:J$482)),'Resultater - Østdanmark'!$F$3:$F$482,$A116,'Resultater - Østdanmark'!H$3:H$482,"&lt;0"),0))</f>
        <v>0</v>
      </c>
      <c r="I116" s="196">
        <f>SUMIFS('Forbrug af biomasse'!$E$2:$E$425,'Forbrug af biomasse'!$C$2:$C$425,'Resultat-Produktion &amp; forbrug'!$A116,'Forbrug af biomasse'!$D$2:$D$425,'Resultat-Produktion &amp; forbrug'!$D116,'Forbrug af biomasse'!$A$2:$A$425,'Resultat-Produktion &amp; forbrug'!I$2,'Forbrug af biomasse'!$B$2:$B$425,$E116)</f>
        <v>0</v>
      </c>
      <c r="J116" s="196">
        <f>SUMIFS('Forbrug af biomasse'!$E$2:$E$425,'Forbrug af biomasse'!$C$2:$C$425,'Resultat-Produktion &amp; forbrug'!$A116,'Forbrug af biomasse'!$D$2:$D$425,'Resultat-Produktion &amp; forbrug'!$D116,'Forbrug af biomasse'!$A$2:$A$425,'Resultat-Produktion &amp; forbrug'!J$2,'Forbrug af biomasse'!$B$2:$B$425,$E116)</f>
        <v>41.656918132692169</v>
      </c>
      <c r="K116" s="196">
        <f>SUMIFS('Forbrug af biomasse'!$E$2:$E$425,'Forbrug af biomasse'!$C$2:$C$425,'Resultat-Produktion &amp; forbrug'!$A116,'Forbrug af biomasse'!$D$2:$D$425,'Resultat-Produktion &amp; forbrug'!$D116,'Forbrug af biomasse'!$A$2:$A$425,'Resultat-Produktion &amp; forbrug'!K$2,'Forbrug af biomasse'!$B$2:$B$425,$E116)</f>
        <v>0</v>
      </c>
      <c r="L116" s="196">
        <f>IF(A116&lt;&gt;"Biogas",SUMIFS('Forbrug af biomasse'!$E$2:$E$425,'Forbrug af biomasse'!$C$2:$C$425,'Resultat-Produktion &amp; forbrug'!$A116,'Forbrug af biomasse'!$D$2:$D$425,'Resultat-Produktion &amp; forbrug'!$D116,'Forbrug af biomasse'!$A$2:$A$425,'Resultat-Produktion &amp; forbrug'!L$2,'Forbrug af biomasse'!$B$2:$B$425,$E116),F116)</f>
        <v>524840.3181212655</v>
      </c>
      <c r="M116" s="158">
        <f>SUMIFS('Forbrug af biomasse'!E:E,'Forbrug af biomasse'!C:C,'Resultat-Produktion &amp; forbrug'!$A116,'Forbrug af biomasse'!D:D,'Resultat-Produktion &amp; forbrug'!$D116,'Forbrug af biomasse'!G:G,1,'Forbrug af biomasse'!B:B,$E116)</f>
        <v>0</v>
      </c>
      <c r="N116" s="205">
        <f t="shared" si="23"/>
        <v>0</v>
      </c>
      <c r="O116" s="196">
        <f t="shared" si="20"/>
        <v>0</v>
      </c>
      <c r="P116" s="206">
        <f t="shared" si="24"/>
        <v>524881.97503939818</v>
      </c>
      <c r="Q116" s="193">
        <f>IFERROR(VLOOKUP(A116,[1]Energiindhold!$A$2:$C$11,3,FALSE),IFERROR(VLOOKUP(A116,[1]Biogasudbytte!$A$2:$B$18,2,FALSE)*[1]Energiindhold!$C$10,0))*O116</f>
        <v>0</v>
      </c>
      <c r="R116" s="193">
        <f>IF(A116&lt;&gt;"Biogas",IFERROR(VLOOKUP(A116,[1]Biogasudbytte!$A$2:$B$18,2,FALSE)*[1]Energiindhold!$C$10,0)*J116*IFERROR(VLOOKUP(A116,Biogasanlæg!$F$3:$G$8,2,FALSE),1)+IFERROR(VLOOKUP(A116,[1]Energiindhold!$A$2:$C$11,3,FALSE),0)*L116+IF(D116&lt;&gt;År1,Q116,0),0)</f>
        <v>9.3696358336044021</v>
      </c>
      <c r="S116" s="193">
        <f>IFERROR(VLOOKUP(A116,[1]Biogasudbytte!$A$2:$B$18,2,FALSE)*[1]Energiindhold!$C$10,0)*J116*IFERROR(VLOOKUP(A116,Biogasanlæg!$F$3:$G$8,2,FALSE),1)</f>
        <v>7.0736362973580603E-5</v>
      </c>
      <c r="T116" s="194">
        <f t="shared" si="25"/>
        <v>9.3695650972414288</v>
      </c>
      <c r="U116" s="192">
        <f>O116*IFERROR(VLOOKUP(A116,[1]Tørstofindhold!A$2:B$25,2,FALSE),0)</f>
        <v>0</v>
      </c>
      <c r="V116" s="193">
        <f>IF(D116=År1,P116,SUM(O116,P116))*IFERROR(VLOOKUP(A116,[1]Tørstofindhold!A$2:B$25,2,FALSE),0)</f>
        <v>157464.59251181944</v>
      </c>
      <c r="W116" s="193">
        <f>J116*IFERROR(VLOOKUP(A116,[1]Tørstofindhold!A$2:B$25,2,FALSE),0)</f>
        <v>12.49707543980765</v>
      </c>
      <c r="X116" s="194">
        <f t="shared" si="26"/>
        <v>157452.09543637963</v>
      </c>
      <c r="Y116" s="172">
        <f t="shared" si="21"/>
        <v>0</v>
      </c>
      <c r="Z116" s="104">
        <f t="shared" si="22"/>
        <v>0</v>
      </c>
    </row>
    <row r="117" spans="1:26" hidden="1" x14ac:dyDescent="0.55000000000000004">
      <c r="A117" s="195" t="str">
        <f t="shared" si="33"/>
        <v>Import af foder</v>
      </c>
      <c r="B117" s="195" t="str">
        <f t="shared" si="34"/>
        <v/>
      </c>
      <c r="C117" s="195">
        <f>IF(COUNTIFS('Resultater - Danmark'!$D$3:$D$482,'Resultat-Produktion &amp; forbrug'!A117,'Resultater - Danmark'!$A$3:$A$482,"Til energi")+COUNTIFS('Resultater - Danmark'!$D$3:$D$482,'Resultat-Produktion &amp; forbrug'!A117,'Resultater - Danmark'!$A$3:$A$482,"Biogasanlæg")&gt;0,1,0)</f>
        <v>0</v>
      </c>
      <c r="D117" s="195">
        <f t="shared" si="35"/>
        <v>2050</v>
      </c>
      <c r="E117" s="193" t="s">
        <v>23</v>
      </c>
      <c r="F117" s="196">
        <f>IF(E117="Vestdanmark",SUMIFS(IF(D117=År1,'Resultater - Vestdanmark'!H$3:H$482,IF(D117=År2,'Resultater - Vestdanmark'!I$3:I$482,'Resultater - Vestdanmark'!J$3:J$482)),'Resultater - Vestdanmark'!$F$3:$F$482,$A117,IF(D117=År1,'Resultater - Vestdanmark'!H$3:H$482,IF(D117=År2,'Resultater - Vestdanmark'!I$3:I$482,'Resultater - Vestdanmark'!J$3:J$482)),"&gt;0"),SUMIFS(IF(D117=År1,'Resultater - Østdanmark'!H$3:H$482,IF(D117=År2,'Resultater - Østdanmark'!I$3:I$482,'Resultater - Østdanmark'!J$3:J$482)),'Resultater - Østdanmark'!$F$3:$F$482,$A117,IF(D117=År1,'Resultater - Østdanmark'!H$3:H$482,IF(D117=År2,'Resultater - Østdanmark'!I$3:I$482,'Resultater - Østdanmark'!J$3:J$482)),"&gt;0"))</f>
        <v>0</v>
      </c>
      <c r="G117" s="196">
        <f>SUMIFS('Forbrug af biomasse'!$E$2:$E$425,'Forbrug af biomasse'!$C$2:$C$425,'Resultat-Produktion &amp; forbrug'!$A117,'Forbrug af biomasse'!$D$2:$D$425,'Resultat-Produktion &amp; forbrug'!$D117,'Forbrug af biomasse'!$A$2:$A$425,'Resultat-Produktion &amp; forbrug'!G$2,'Forbrug af biomasse'!$B$2:$B$425,$E117)</f>
        <v>4828427.5390456226</v>
      </c>
      <c r="H117" s="193">
        <f>IF(E117="Vestdanmark",-IF(A117="Halm",SUMIFS(IF(D117=År1,'Resultater - Vestdanmark'!H$3:H$482,IF(D117=År2,'Resultater - Vestdanmark'!I$3:I$482,'Resultater - Vestdanmark'!J$3:J$482)),'Resultater - Vestdanmark'!$F$3:$F$482,$A117,'Resultater - Vestdanmark'!H$3:H$482,"&lt;0"),0),-IF(A117="Halm",SUMIFS(IF(D117=År1,'Resultater - Østdanmark'!H$3:H$482,IF(D117=År2,'Resultater - Østdanmark'!I$3:I$482,'Resultater - Østdanmark'!J$3:J$482)),'Resultater - Østdanmark'!$F$3:$F$482,$A117,'Resultater - Østdanmark'!H$3:H$482,"&lt;0"),0))</f>
        <v>0</v>
      </c>
      <c r="I117" s="196">
        <f>SUMIFS('Forbrug af biomasse'!$E$2:$E$425,'Forbrug af biomasse'!$C$2:$C$425,'Resultat-Produktion &amp; forbrug'!$A117,'Forbrug af biomasse'!$D$2:$D$425,'Resultat-Produktion &amp; forbrug'!$D117,'Forbrug af biomasse'!$A$2:$A$425,'Resultat-Produktion &amp; forbrug'!I$2,'Forbrug af biomasse'!$B$2:$B$425,$E117)</f>
        <v>0</v>
      </c>
      <c r="J117" s="196">
        <f>SUMIFS('Forbrug af biomasse'!$E$2:$E$425,'Forbrug af biomasse'!$C$2:$C$425,'Resultat-Produktion &amp; forbrug'!$A117,'Forbrug af biomasse'!$D$2:$D$425,'Resultat-Produktion &amp; forbrug'!$D117,'Forbrug af biomasse'!$A$2:$A$425,'Resultat-Produktion &amp; forbrug'!J$2,'Forbrug af biomasse'!$B$2:$B$425,$E117)</f>
        <v>0</v>
      </c>
      <c r="K117" s="196">
        <f>SUMIFS('Forbrug af biomasse'!$E$2:$E$425,'Forbrug af biomasse'!$C$2:$C$425,'Resultat-Produktion &amp; forbrug'!$A117,'Forbrug af biomasse'!$D$2:$D$425,'Resultat-Produktion &amp; forbrug'!$D117,'Forbrug af biomasse'!$A$2:$A$425,'Resultat-Produktion &amp; forbrug'!K$2,'Forbrug af biomasse'!$B$2:$B$425,$E117)</f>
        <v>0</v>
      </c>
      <c r="L117" s="196">
        <f>IF(A117&lt;&gt;"Biogas",SUMIFS('Forbrug af biomasse'!$E$2:$E$425,'Forbrug af biomasse'!$C$2:$C$425,'Resultat-Produktion &amp; forbrug'!$A117,'Forbrug af biomasse'!$D$2:$D$425,'Resultat-Produktion &amp; forbrug'!$D117,'Forbrug af biomasse'!$A$2:$A$425,'Resultat-Produktion &amp; forbrug'!L$2,'Forbrug af biomasse'!$B$2:$B$425,$E117),F117)</f>
        <v>0</v>
      </c>
      <c r="M117" s="158">
        <f>SUMIFS('Forbrug af biomasse'!E:E,'Forbrug af biomasse'!C:C,'Resultat-Produktion &amp; forbrug'!$A117,'Forbrug af biomasse'!D:D,'Resultat-Produktion &amp; forbrug'!$D117,'Forbrug af biomasse'!G:G,1,'Forbrug af biomasse'!B:B,$E117)</f>
        <v>0</v>
      </c>
      <c r="N117" s="205">
        <f t="shared" si="23"/>
        <v>-4828427.5390456226</v>
      </c>
      <c r="O117" s="196">
        <f t="shared" si="20"/>
        <v>0</v>
      </c>
      <c r="P117" s="206">
        <f t="shared" si="24"/>
        <v>0</v>
      </c>
      <c r="Q117" s="193">
        <f>IFERROR(VLOOKUP(A117,[1]Energiindhold!$A$2:$C$11,3,FALSE),IFERROR(VLOOKUP(A117,[1]Biogasudbytte!$A$2:$B$18,2,FALSE)*[1]Energiindhold!$C$10,0))*O117</f>
        <v>0</v>
      </c>
      <c r="R117" s="193">
        <f>IF(A117&lt;&gt;"Biogas",IFERROR(VLOOKUP(A117,[1]Biogasudbytte!$A$2:$B$18,2,FALSE)*[1]Energiindhold!$C$10,0)*J117*IFERROR(VLOOKUP(A117,Biogasanlæg!$F$3:$G$8,2,FALSE),1)+IFERROR(VLOOKUP(A117,[1]Energiindhold!$A$2:$C$11,3,FALSE),0)*L117+IF(D117&lt;&gt;År1,Q117,0),0)</f>
        <v>0</v>
      </c>
      <c r="S117" s="193">
        <f>IFERROR(VLOOKUP(A117,[1]Biogasudbytte!$A$2:$B$18,2,FALSE)*[1]Energiindhold!$C$10,0)*J117*IFERROR(VLOOKUP(A117,Biogasanlæg!$F$3:$G$8,2,FALSE),1)</f>
        <v>0</v>
      </c>
      <c r="T117" s="194">
        <f t="shared" si="25"/>
        <v>0</v>
      </c>
      <c r="U117" s="192">
        <f>O117*IFERROR(VLOOKUP(A117,[1]Tørstofindhold!A$2:B$25,2,FALSE),0)</f>
        <v>0</v>
      </c>
      <c r="V117" s="193">
        <f>IF(D117=År1,P117,SUM(O117,P117))*IFERROR(VLOOKUP(A117,[1]Tørstofindhold!A$2:B$25,2,FALSE),0)</f>
        <v>0</v>
      </c>
      <c r="W117" s="193">
        <f>J117*IFERROR(VLOOKUP(A117,[1]Tørstofindhold!A$2:B$25,2,FALSE),0)</f>
        <v>0</v>
      </c>
      <c r="X117" s="194">
        <f t="shared" si="26"/>
        <v>0</v>
      </c>
      <c r="Y117" s="172">
        <f t="shared" si="21"/>
        <v>1</v>
      </c>
      <c r="Z117" s="104">
        <f t="shared" si="22"/>
        <v>0</v>
      </c>
    </row>
    <row r="118" spans="1:26" hidden="1" x14ac:dyDescent="0.55000000000000004">
      <c r="A118" s="195" t="str">
        <f t="shared" si="33"/>
        <v>Industriaffald</v>
      </c>
      <c r="B118" s="195" t="str">
        <f t="shared" si="34"/>
        <v>Bionedbrydeligt affald</v>
      </c>
      <c r="C118" s="195">
        <f>IF(COUNTIFS('Resultater - Danmark'!$D$3:$D$482,'Resultat-Produktion &amp; forbrug'!A118,'Resultater - Danmark'!$A$3:$A$482,"Til energi")+COUNTIFS('Resultater - Danmark'!$D$3:$D$482,'Resultat-Produktion &amp; forbrug'!A118,'Resultater - Danmark'!$A$3:$A$482,"Biogasanlæg")&gt;0,1,0)</f>
        <v>1</v>
      </c>
      <c r="D118" s="195">
        <f t="shared" si="35"/>
        <v>2050</v>
      </c>
      <c r="E118" s="193" t="s">
        <v>23</v>
      </c>
      <c r="F118" s="196">
        <f>IF(E118="Vestdanmark",SUMIFS(IF(D118=År1,'Resultater - Vestdanmark'!H$3:H$482,IF(D118=År2,'Resultater - Vestdanmark'!I$3:I$482,'Resultater - Vestdanmark'!J$3:J$482)),'Resultater - Vestdanmark'!$F$3:$F$482,$A118,IF(D118=År1,'Resultater - Vestdanmark'!H$3:H$482,IF(D118=År2,'Resultater - Vestdanmark'!I$3:I$482,'Resultater - Vestdanmark'!J$3:J$482)),"&gt;0"),SUMIFS(IF(D118=År1,'Resultater - Østdanmark'!H$3:H$482,IF(D118=År2,'Resultater - Østdanmark'!I$3:I$482,'Resultater - Østdanmark'!J$3:J$482)),'Resultater - Østdanmark'!$F$3:$F$482,$A118,IF(D118=År1,'Resultater - Østdanmark'!H$3:H$482,IF(D118=År2,'Resultater - Østdanmark'!I$3:I$482,'Resultater - Østdanmark'!J$3:J$482)),"&gt;0"))</f>
        <v>519697.07047323068</v>
      </c>
      <c r="G118" s="196">
        <f>SUMIFS('Forbrug af biomasse'!$E$2:$E$425,'Forbrug af biomasse'!$C$2:$C$425,'Resultat-Produktion &amp; forbrug'!$A118,'Forbrug af biomasse'!$D$2:$D$425,'Resultat-Produktion &amp; forbrug'!$D118,'Forbrug af biomasse'!$A$2:$A$425,'Resultat-Produktion &amp; forbrug'!G$2,'Forbrug af biomasse'!$B$2:$B$425,$E118)</f>
        <v>0</v>
      </c>
      <c r="H118" s="193">
        <f>IF(E118="Vestdanmark",-IF(A118="Halm",SUMIFS(IF(D118=År1,'Resultater - Vestdanmark'!H$3:H$482,IF(D118=År2,'Resultater - Vestdanmark'!I$3:I$482,'Resultater - Vestdanmark'!J$3:J$482)),'Resultater - Vestdanmark'!$F$3:$F$482,$A118,'Resultater - Vestdanmark'!H$3:H$482,"&lt;0"),0),-IF(A118="Halm",SUMIFS(IF(D118=År1,'Resultater - Østdanmark'!H$3:H$482,IF(D118=År2,'Resultater - Østdanmark'!I$3:I$482,'Resultater - Østdanmark'!J$3:J$482)),'Resultater - Østdanmark'!$F$3:$F$482,$A118,'Resultater - Østdanmark'!H$3:H$482,"&lt;0"),0))</f>
        <v>0</v>
      </c>
      <c r="I118" s="196">
        <f>SUMIFS('Forbrug af biomasse'!$E$2:$E$425,'Forbrug af biomasse'!$C$2:$C$425,'Resultat-Produktion &amp; forbrug'!$A118,'Forbrug af biomasse'!$D$2:$D$425,'Resultat-Produktion &amp; forbrug'!$D118,'Forbrug af biomasse'!$A$2:$A$425,'Resultat-Produktion &amp; forbrug'!I$2,'Forbrug af biomasse'!$B$2:$B$425,$E118)</f>
        <v>0</v>
      </c>
      <c r="J118" s="196">
        <f>SUMIFS('Forbrug af biomasse'!$E$2:$E$425,'Forbrug af biomasse'!$C$2:$C$425,'Resultat-Produktion &amp; forbrug'!$A118,'Forbrug af biomasse'!$D$2:$D$425,'Resultat-Produktion &amp; forbrug'!$D118,'Forbrug af biomasse'!$A$2:$A$425,'Resultat-Produktion &amp; forbrug'!J$2,'Forbrug af biomasse'!$B$2:$B$425,$E118)</f>
        <v>519697.15308066551</v>
      </c>
      <c r="K118" s="196">
        <f>SUMIFS('Forbrug af biomasse'!$E$2:$E$425,'Forbrug af biomasse'!$C$2:$C$425,'Resultat-Produktion &amp; forbrug'!$A118,'Forbrug af biomasse'!$D$2:$D$425,'Resultat-Produktion &amp; forbrug'!$D118,'Forbrug af biomasse'!$A$2:$A$425,'Resultat-Produktion &amp; forbrug'!K$2,'Forbrug af biomasse'!$B$2:$B$425,$E118)</f>
        <v>0</v>
      </c>
      <c r="L118" s="196">
        <f>IF(A118&lt;&gt;"Biogas",SUMIFS('Forbrug af biomasse'!$E$2:$E$425,'Forbrug af biomasse'!$C$2:$C$425,'Resultat-Produktion &amp; forbrug'!$A118,'Forbrug af biomasse'!$D$2:$D$425,'Resultat-Produktion &amp; forbrug'!$D118,'Forbrug af biomasse'!$A$2:$A$425,'Resultat-Produktion &amp; forbrug'!L$2,'Forbrug af biomasse'!$B$2:$B$425,$E118),F118)</f>
        <v>0</v>
      </c>
      <c r="M118" s="158">
        <f>SUMIFS('Forbrug af biomasse'!E:E,'Forbrug af biomasse'!C:C,'Resultat-Produktion &amp; forbrug'!$A118,'Forbrug af biomasse'!D:D,'Resultat-Produktion &amp; forbrug'!$D118,'Forbrug af biomasse'!G:G,1,'Forbrug af biomasse'!B:B,$E118)</f>
        <v>0</v>
      </c>
      <c r="N118" s="205">
        <f t="shared" si="23"/>
        <v>-8.2607434829697013E-2</v>
      </c>
      <c r="O118" s="196">
        <f t="shared" si="20"/>
        <v>0</v>
      </c>
      <c r="P118" s="206">
        <f t="shared" si="24"/>
        <v>519697.15308066551</v>
      </c>
      <c r="Q118" s="193">
        <f>IFERROR(VLOOKUP(A118,[1]Energiindhold!$A$2:$C$11,3,FALSE),IFERROR(VLOOKUP(A118,[1]Biogasudbytte!$A$2:$B$18,2,FALSE)*[1]Energiindhold!$C$10,0))*O118</f>
        <v>0</v>
      </c>
      <c r="R118" s="193">
        <f>IF(A118&lt;&gt;"Biogas",IFERROR(VLOOKUP(A118,[1]Biogasudbytte!$A$2:$B$18,2,FALSE)*[1]Energiindhold!$C$10,0)*J118*IFERROR(VLOOKUP(A118,Biogasanlæg!$F$3:$G$8,2,FALSE),1)+IFERROR(VLOOKUP(A118,[1]Energiindhold!$A$2:$C$11,3,FALSE),0)*L118+IF(D118&lt;&gt;År1,Q118,0),0)</f>
        <v>2.0267237924355821</v>
      </c>
      <c r="S118" s="193">
        <f>IFERROR(VLOOKUP(A118,[1]Biogasudbytte!$A$2:$B$18,2,FALSE)*[1]Energiindhold!$C$10,0)*J118*IFERROR(VLOOKUP(A118,Biogasanlæg!$F$3:$G$8,2,FALSE),1)</f>
        <v>2.0267237924355821</v>
      </c>
      <c r="T118" s="194">
        <f t="shared" si="25"/>
        <v>0</v>
      </c>
      <c r="U118" s="192">
        <f>O118*IFERROR(VLOOKUP(A118,[1]Tørstofindhold!A$2:B$25,2,FALSE),0)</f>
        <v>0</v>
      </c>
      <c r="V118" s="193">
        <f>IF(D118=År1,P118,SUM(O118,P118))*IFERROR(VLOOKUP(A118,[1]Tørstofindhold!A$2:B$25,2,FALSE),0)</f>
        <v>218272.80429387951</v>
      </c>
      <c r="W118" s="193">
        <f>J118*IFERROR(VLOOKUP(A118,[1]Tørstofindhold!A$2:B$25,2,FALSE),0)</f>
        <v>218272.80429387951</v>
      </c>
      <c r="X118" s="194">
        <f t="shared" si="26"/>
        <v>0</v>
      </c>
      <c r="Y118" s="172">
        <f t="shared" si="21"/>
        <v>1</v>
      </c>
      <c r="Z118" s="104">
        <f t="shared" si="22"/>
        <v>0</v>
      </c>
    </row>
    <row r="119" spans="1:26" hidden="1" x14ac:dyDescent="0.55000000000000004">
      <c r="A119" s="195" t="str">
        <f t="shared" si="33"/>
        <v>Juletræer</v>
      </c>
      <c r="B119" s="195" t="str">
        <f t="shared" si="34"/>
        <v/>
      </c>
      <c r="C119" s="195">
        <f>IF(COUNTIFS('Resultater - Danmark'!$D$3:$D$482,'Resultat-Produktion &amp; forbrug'!A119,'Resultater - Danmark'!$A$3:$A$482,"Til energi")+COUNTIFS('Resultater - Danmark'!$D$3:$D$482,'Resultat-Produktion &amp; forbrug'!A119,'Resultater - Danmark'!$A$3:$A$482,"Biogasanlæg")&gt;0,1,0)</f>
        <v>0</v>
      </c>
      <c r="D119" s="195">
        <f t="shared" si="35"/>
        <v>2050</v>
      </c>
      <c r="E119" s="193" t="s">
        <v>23</v>
      </c>
      <c r="F119" s="196">
        <f>IF(E119="Vestdanmark",SUMIFS(IF(D119=År1,'Resultater - Vestdanmark'!H$3:H$482,IF(D119=År2,'Resultater - Vestdanmark'!I$3:I$482,'Resultater - Vestdanmark'!J$3:J$482)),'Resultater - Vestdanmark'!$F$3:$F$482,$A119,IF(D119=År1,'Resultater - Vestdanmark'!H$3:H$482,IF(D119=År2,'Resultater - Vestdanmark'!I$3:I$482,'Resultater - Vestdanmark'!J$3:J$482)),"&gt;0"),SUMIFS(IF(D119=År1,'Resultater - Østdanmark'!H$3:H$482,IF(D119=År2,'Resultater - Østdanmark'!I$3:I$482,'Resultater - Østdanmark'!J$3:J$482)),'Resultater - Østdanmark'!$F$3:$F$482,$A119,IF(D119=År1,'Resultater - Østdanmark'!H$3:H$482,IF(D119=År2,'Resultater - Østdanmark'!I$3:I$482,'Resultater - Østdanmark'!J$3:J$482)),"&gt;0"))</f>
        <v>772432.08575229661</v>
      </c>
      <c r="G119" s="196">
        <f>SUMIFS('Forbrug af biomasse'!$E$2:$E$425,'Forbrug af biomasse'!$C$2:$C$425,'Resultat-Produktion &amp; forbrug'!$A119,'Forbrug af biomasse'!$D$2:$D$425,'Resultat-Produktion &amp; forbrug'!$D119,'Forbrug af biomasse'!$A$2:$A$425,'Resultat-Produktion &amp; forbrug'!G$2,'Forbrug af biomasse'!$B$2:$B$425,$E119)</f>
        <v>0</v>
      </c>
      <c r="H119" s="193">
        <f>IF(E119="Vestdanmark",-IF(A119="Halm",SUMIFS(IF(D119=År1,'Resultater - Vestdanmark'!H$3:H$482,IF(D119=År2,'Resultater - Vestdanmark'!I$3:I$482,'Resultater - Vestdanmark'!J$3:J$482)),'Resultater - Vestdanmark'!$F$3:$F$482,$A119,'Resultater - Vestdanmark'!H$3:H$482,"&lt;0"),0),-IF(A119="Halm",SUMIFS(IF(D119=År1,'Resultater - Østdanmark'!H$3:H$482,IF(D119=År2,'Resultater - Østdanmark'!I$3:I$482,'Resultater - Østdanmark'!J$3:J$482)),'Resultater - Østdanmark'!$F$3:$F$482,$A119,'Resultater - Østdanmark'!H$3:H$482,"&lt;0"),0))</f>
        <v>0</v>
      </c>
      <c r="I119" s="196">
        <f>SUMIFS('Forbrug af biomasse'!$E$2:$E$425,'Forbrug af biomasse'!$C$2:$C$425,'Resultat-Produktion &amp; forbrug'!$A119,'Forbrug af biomasse'!$D$2:$D$425,'Resultat-Produktion &amp; forbrug'!$D119,'Forbrug af biomasse'!$A$2:$A$425,'Resultat-Produktion &amp; forbrug'!I$2,'Forbrug af biomasse'!$B$2:$B$425,$E119)</f>
        <v>0</v>
      </c>
      <c r="J119" s="196">
        <f>SUMIFS('Forbrug af biomasse'!$E$2:$E$425,'Forbrug af biomasse'!$C$2:$C$425,'Resultat-Produktion &amp; forbrug'!$A119,'Forbrug af biomasse'!$D$2:$D$425,'Resultat-Produktion &amp; forbrug'!$D119,'Forbrug af biomasse'!$A$2:$A$425,'Resultat-Produktion &amp; forbrug'!J$2,'Forbrug af biomasse'!$B$2:$B$425,$E119)</f>
        <v>0</v>
      </c>
      <c r="K119" s="196">
        <f>SUMIFS('Forbrug af biomasse'!$E$2:$E$425,'Forbrug af biomasse'!$C$2:$C$425,'Resultat-Produktion &amp; forbrug'!$A119,'Forbrug af biomasse'!$D$2:$D$425,'Resultat-Produktion &amp; forbrug'!$D119,'Forbrug af biomasse'!$A$2:$A$425,'Resultat-Produktion &amp; forbrug'!K$2,'Forbrug af biomasse'!$B$2:$B$425,$E119)</f>
        <v>0</v>
      </c>
      <c r="L119" s="196">
        <f>IF(A119&lt;&gt;"Biogas",SUMIFS('Forbrug af biomasse'!$E$2:$E$425,'Forbrug af biomasse'!$C$2:$C$425,'Resultat-Produktion &amp; forbrug'!$A119,'Forbrug af biomasse'!$D$2:$D$425,'Resultat-Produktion &amp; forbrug'!$D119,'Forbrug af biomasse'!$A$2:$A$425,'Resultat-Produktion &amp; forbrug'!L$2,'Forbrug af biomasse'!$B$2:$B$425,$E119),F119)</f>
        <v>0</v>
      </c>
      <c r="M119" s="158">
        <f>SUMIFS('Forbrug af biomasse'!E:E,'Forbrug af biomasse'!C:C,'Resultat-Produktion &amp; forbrug'!$A119,'Forbrug af biomasse'!D:D,'Resultat-Produktion &amp; forbrug'!$D119,'Forbrug af biomasse'!G:G,1,'Forbrug af biomasse'!B:B,$E119)</f>
        <v>0</v>
      </c>
      <c r="N119" s="205">
        <f t="shared" si="23"/>
        <v>772432.08575229661</v>
      </c>
      <c r="O119" s="196">
        <f t="shared" si="20"/>
        <v>0</v>
      </c>
      <c r="P119" s="206">
        <f t="shared" si="24"/>
        <v>0</v>
      </c>
      <c r="Q119" s="193">
        <f>IFERROR(VLOOKUP(A119,[1]Energiindhold!$A$2:$C$11,3,FALSE),IFERROR(VLOOKUP(A119,[1]Biogasudbytte!$A$2:$B$18,2,FALSE)*[1]Energiindhold!$C$10,0))*O119</f>
        <v>0</v>
      </c>
      <c r="R119" s="193">
        <f>IF(A119&lt;&gt;"Biogas",IFERROR(VLOOKUP(A119,[1]Biogasudbytte!$A$2:$B$18,2,FALSE)*[1]Energiindhold!$C$10,0)*J119*IFERROR(VLOOKUP(A119,Biogasanlæg!$F$3:$G$8,2,FALSE),1)+IFERROR(VLOOKUP(A119,[1]Energiindhold!$A$2:$C$11,3,FALSE),0)*L119+IF(D119&lt;&gt;År1,Q119,0),0)</f>
        <v>0</v>
      </c>
      <c r="S119" s="193">
        <f>IFERROR(VLOOKUP(A119,[1]Biogasudbytte!$A$2:$B$18,2,FALSE)*[1]Energiindhold!$C$10,0)*J119*IFERROR(VLOOKUP(A119,Biogasanlæg!$F$3:$G$8,2,FALSE),1)</f>
        <v>0</v>
      </c>
      <c r="T119" s="194">
        <f t="shared" si="25"/>
        <v>0</v>
      </c>
      <c r="U119" s="192">
        <f>O119*IFERROR(VLOOKUP(A119,[1]Tørstofindhold!A$2:B$25,2,FALSE),0)</f>
        <v>0</v>
      </c>
      <c r="V119" s="193">
        <f>IF(D119=År1,P119,SUM(O119,P119))*IFERROR(VLOOKUP(A119,[1]Tørstofindhold!A$2:B$25,2,FALSE),0)</f>
        <v>0</v>
      </c>
      <c r="W119" s="193">
        <f>J119*IFERROR(VLOOKUP(A119,[1]Tørstofindhold!A$2:B$25,2,FALSE),0)</f>
        <v>0</v>
      </c>
      <c r="X119" s="194">
        <f t="shared" si="26"/>
        <v>0</v>
      </c>
      <c r="Y119" s="172">
        <f t="shared" si="21"/>
        <v>0</v>
      </c>
      <c r="Z119" s="104">
        <f t="shared" si="22"/>
        <v>1</v>
      </c>
    </row>
    <row r="120" spans="1:26" hidden="1" x14ac:dyDescent="0.55000000000000004">
      <c r="A120" s="195" t="str">
        <f t="shared" si="33"/>
        <v>Kartofler</v>
      </c>
      <c r="B120" s="195" t="str">
        <f t="shared" si="34"/>
        <v/>
      </c>
      <c r="C120" s="195">
        <f>IF(COUNTIFS('Resultater - Danmark'!$D$3:$D$482,'Resultat-Produktion &amp; forbrug'!A120,'Resultater - Danmark'!$A$3:$A$482,"Til energi")+COUNTIFS('Resultater - Danmark'!$D$3:$D$482,'Resultat-Produktion &amp; forbrug'!A120,'Resultater - Danmark'!$A$3:$A$482,"Biogasanlæg")&gt;0,1,0)</f>
        <v>0</v>
      </c>
      <c r="D120" s="195">
        <f t="shared" si="35"/>
        <v>2050</v>
      </c>
      <c r="E120" s="193" t="s">
        <v>23</v>
      </c>
      <c r="F120" s="196">
        <f>IF(E120="Vestdanmark",SUMIFS(IF(D120=År1,'Resultater - Vestdanmark'!H$3:H$482,IF(D120=År2,'Resultater - Vestdanmark'!I$3:I$482,'Resultater - Vestdanmark'!J$3:J$482)),'Resultater - Vestdanmark'!$F$3:$F$482,$A120,IF(D120=År1,'Resultater - Vestdanmark'!H$3:H$482,IF(D120=År2,'Resultater - Vestdanmark'!I$3:I$482,'Resultater - Vestdanmark'!J$3:J$482)),"&gt;0"),SUMIFS(IF(D120=År1,'Resultater - Østdanmark'!H$3:H$482,IF(D120=År2,'Resultater - Østdanmark'!I$3:I$482,'Resultater - Østdanmark'!J$3:J$482)),'Resultater - Østdanmark'!$F$3:$F$482,$A120,IF(D120=År1,'Resultater - Østdanmark'!H$3:H$482,IF(D120=År2,'Resultater - Østdanmark'!I$3:I$482,'Resultater - Østdanmark'!J$3:J$482)),"&gt;0"))</f>
        <v>2162497.7416876755</v>
      </c>
      <c r="G120" s="196">
        <f>SUMIFS('Forbrug af biomasse'!$E$2:$E$425,'Forbrug af biomasse'!$C$2:$C$425,'Resultat-Produktion &amp; forbrug'!$A120,'Forbrug af biomasse'!$D$2:$D$425,'Resultat-Produktion &amp; forbrug'!$D120,'Forbrug af biomasse'!$A$2:$A$425,'Resultat-Produktion &amp; forbrug'!G$2,'Forbrug af biomasse'!$B$2:$B$425,$E120)</f>
        <v>0</v>
      </c>
      <c r="H120" s="193">
        <f>IF(E120="Vestdanmark",-IF(A120="Halm",SUMIFS(IF(D120=År1,'Resultater - Vestdanmark'!H$3:H$482,IF(D120=År2,'Resultater - Vestdanmark'!I$3:I$482,'Resultater - Vestdanmark'!J$3:J$482)),'Resultater - Vestdanmark'!$F$3:$F$482,$A120,'Resultater - Vestdanmark'!H$3:H$482,"&lt;0"),0),-IF(A120="Halm",SUMIFS(IF(D120=År1,'Resultater - Østdanmark'!H$3:H$482,IF(D120=År2,'Resultater - Østdanmark'!I$3:I$482,'Resultater - Østdanmark'!J$3:J$482)),'Resultater - Østdanmark'!$F$3:$F$482,$A120,'Resultater - Østdanmark'!H$3:H$482,"&lt;0"),0))</f>
        <v>0</v>
      </c>
      <c r="I120" s="196">
        <f>SUMIFS('Forbrug af biomasse'!$E$2:$E$425,'Forbrug af biomasse'!$C$2:$C$425,'Resultat-Produktion &amp; forbrug'!$A120,'Forbrug af biomasse'!$D$2:$D$425,'Resultat-Produktion &amp; forbrug'!$D120,'Forbrug af biomasse'!$A$2:$A$425,'Resultat-Produktion &amp; forbrug'!I$2,'Forbrug af biomasse'!$B$2:$B$425,$E120)</f>
        <v>128347.79869443661</v>
      </c>
      <c r="J120" s="196">
        <f>SUMIFS('Forbrug af biomasse'!$E$2:$E$425,'Forbrug af biomasse'!$C$2:$C$425,'Resultat-Produktion &amp; forbrug'!$A120,'Forbrug af biomasse'!$D$2:$D$425,'Resultat-Produktion &amp; forbrug'!$D120,'Forbrug af biomasse'!$A$2:$A$425,'Resultat-Produktion &amp; forbrug'!J$2,'Forbrug af biomasse'!$B$2:$B$425,$E120)</f>
        <v>0</v>
      </c>
      <c r="K120" s="196">
        <f>SUMIFS('Forbrug af biomasse'!$E$2:$E$425,'Forbrug af biomasse'!$C$2:$C$425,'Resultat-Produktion &amp; forbrug'!$A120,'Forbrug af biomasse'!$D$2:$D$425,'Resultat-Produktion &amp; forbrug'!$D120,'Forbrug af biomasse'!$A$2:$A$425,'Resultat-Produktion &amp; forbrug'!K$2,'Forbrug af biomasse'!$B$2:$B$425,$E120)</f>
        <v>0</v>
      </c>
      <c r="L120" s="196">
        <f>IF(A120&lt;&gt;"Biogas",SUMIFS('Forbrug af biomasse'!$E$2:$E$425,'Forbrug af biomasse'!$C$2:$C$425,'Resultat-Produktion &amp; forbrug'!$A120,'Forbrug af biomasse'!$D$2:$D$425,'Resultat-Produktion &amp; forbrug'!$D120,'Forbrug af biomasse'!$A$2:$A$425,'Resultat-Produktion &amp; forbrug'!L$2,'Forbrug af biomasse'!$B$2:$B$425,$E120),F120)</f>
        <v>0</v>
      </c>
      <c r="M120" s="158">
        <f>SUMIFS('Forbrug af biomasse'!E:E,'Forbrug af biomasse'!C:C,'Resultat-Produktion &amp; forbrug'!$A120,'Forbrug af biomasse'!D:D,'Resultat-Produktion &amp; forbrug'!$D120,'Forbrug af biomasse'!G:G,1,'Forbrug af biomasse'!B:B,$E120)</f>
        <v>0</v>
      </c>
      <c r="N120" s="205">
        <f t="shared" si="23"/>
        <v>2034149.9429932388</v>
      </c>
      <c r="O120" s="196">
        <f t="shared" si="20"/>
        <v>0</v>
      </c>
      <c r="P120" s="206">
        <f t="shared" si="24"/>
        <v>0</v>
      </c>
      <c r="Q120" s="193">
        <f>IFERROR(VLOOKUP(A120,[1]Energiindhold!$A$2:$C$11,3,FALSE),IFERROR(VLOOKUP(A120,[1]Biogasudbytte!$A$2:$B$18,2,FALSE)*[1]Energiindhold!$C$10,0))*O120</f>
        <v>0</v>
      </c>
      <c r="R120" s="193">
        <f>IF(A120&lt;&gt;"Biogas",IFERROR(VLOOKUP(A120,[1]Biogasudbytte!$A$2:$B$18,2,FALSE)*[1]Energiindhold!$C$10,0)*J120*IFERROR(VLOOKUP(A120,Biogasanlæg!$F$3:$G$8,2,FALSE),1)+IFERROR(VLOOKUP(A120,[1]Energiindhold!$A$2:$C$11,3,FALSE),0)*L120+IF(D120&lt;&gt;År1,Q120,0),0)</f>
        <v>0</v>
      </c>
      <c r="S120" s="193">
        <f>IFERROR(VLOOKUP(A120,[1]Biogasudbytte!$A$2:$B$18,2,FALSE)*[1]Energiindhold!$C$10,0)*J120*IFERROR(VLOOKUP(A120,Biogasanlæg!$F$3:$G$8,2,FALSE),1)</f>
        <v>0</v>
      </c>
      <c r="T120" s="194">
        <f t="shared" si="25"/>
        <v>0</v>
      </c>
      <c r="U120" s="192">
        <f>O120*IFERROR(VLOOKUP(A120,[1]Tørstofindhold!A$2:B$25,2,FALSE),0)</f>
        <v>0</v>
      </c>
      <c r="V120" s="193">
        <f>IF(D120=År1,P120,SUM(O120,P120))*IFERROR(VLOOKUP(A120,[1]Tørstofindhold!A$2:B$25,2,FALSE),0)</f>
        <v>0</v>
      </c>
      <c r="W120" s="193">
        <f>J120*IFERROR(VLOOKUP(A120,[1]Tørstofindhold!A$2:B$25,2,FALSE),0)</f>
        <v>0</v>
      </c>
      <c r="X120" s="194">
        <f t="shared" si="26"/>
        <v>0</v>
      </c>
      <c r="Y120" s="172">
        <f t="shared" si="21"/>
        <v>0</v>
      </c>
      <c r="Z120" s="104">
        <f t="shared" si="22"/>
        <v>1</v>
      </c>
    </row>
    <row r="121" spans="1:26" hidden="1" x14ac:dyDescent="0.55000000000000004">
      <c r="A121" s="195" t="str">
        <f t="shared" si="33"/>
        <v>Korn</v>
      </c>
      <c r="B121" s="195" t="str">
        <f t="shared" si="34"/>
        <v>Halm og strå</v>
      </c>
      <c r="C121" s="195">
        <f>IF(COUNTIFS('Resultater - Danmark'!$D$3:$D$482,'Resultat-Produktion &amp; forbrug'!A121,'Resultater - Danmark'!$A$3:$A$482,"Til energi")+COUNTIFS('Resultater - Danmark'!$D$3:$D$482,'Resultat-Produktion &amp; forbrug'!A121,'Resultater - Danmark'!$A$3:$A$482,"Biogasanlæg")&gt;0,1,0)</f>
        <v>1</v>
      </c>
      <c r="D121" s="195">
        <f t="shared" si="35"/>
        <v>2050</v>
      </c>
      <c r="E121" s="193" t="s">
        <v>23</v>
      </c>
      <c r="F121" s="196">
        <f>IF(E121="Vestdanmark",SUMIFS(IF(D121=År1,'Resultater - Vestdanmark'!H$3:H$482,IF(D121=År2,'Resultater - Vestdanmark'!I$3:I$482,'Resultater - Vestdanmark'!J$3:J$482)),'Resultater - Vestdanmark'!$F$3:$F$482,$A121,IF(D121=År1,'Resultater - Vestdanmark'!H$3:H$482,IF(D121=År2,'Resultater - Vestdanmark'!I$3:I$482,'Resultater - Vestdanmark'!J$3:J$482)),"&gt;0"),SUMIFS(IF(D121=År1,'Resultater - Østdanmark'!H$3:H$482,IF(D121=År2,'Resultater - Østdanmark'!I$3:I$482,'Resultater - Østdanmark'!J$3:J$482)),'Resultater - Østdanmark'!$F$3:$F$482,$A121,IF(D121=År1,'Resultater - Østdanmark'!H$3:H$482,IF(D121=År2,'Resultater - Østdanmark'!I$3:I$482,'Resultater - Østdanmark'!J$3:J$482)),"&gt;0"))</f>
        <v>6945589.6789912721</v>
      </c>
      <c r="G121" s="196">
        <f>SUMIFS('Forbrug af biomasse'!$E$2:$E$425,'Forbrug af biomasse'!$C$2:$C$425,'Resultat-Produktion &amp; forbrug'!$A121,'Forbrug af biomasse'!$D$2:$D$425,'Resultat-Produktion &amp; forbrug'!$D121,'Forbrug af biomasse'!$A$2:$A$425,'Resultat-Produktion &amp; forbrug'!G$2,'Forbrug af biomasse'!$B$2:$B$425,$E121)</f>
        <v>5879215.2019956233</v>
      </c>
      <c r="H121" s="193">
        <f>IF(E121="Vestdanmark",-IF(A121="Halm",SUMIFS(IF(D121=År1,'Resultater - Vestdanmark'!H$3:H$482,IF(D121=År2,'Resultater - Vestdanmark'!I$3:I$482,'Resultater - Vestdanmark'!J$3:J$482)),'Resultater - Vestdanmark'!$F$3:$F$482,$A121,'Resultater - Vestdanmark'!H$3:H$482,"&lt;0"),0),-IF(A121="Halm",SUMIFS(IF(D121=År1,'Resultater - Østdanmark'!H$3:H$482,IF(D121=År2,'Resultater - Østdanmark'!I$3:I$482,'Resultater - Østdanmark'!J$3:J$482)),'Resultater - Østdanmark'!$F$3:$F$482,$A121,'Resultater - Østdanmark'!H$3:H$482,"&lt;0"),0))</f>
        <v>0</v>
      </c>
      <c r="I121" s="196">
        <f>SUMIFS('Forbrug af biomasse'!$E$2:$E$425,'Forbrug af biomasse'!$C$2:$C$425,'Resultat-Produktion &amp; forbrug'!$A121,'Forbrug af biomasse'!$D$2:$D$425,'Resultat-Produktion &amp; forbrug'!$D121,'Forbrug af biomasse'!$A$2:$A$425,'Resultat-Produktion &amp; forbrug'!I$2,'Forbrug af biomasse'!$B$2:$B$425,$E121)</f>
        <v>307470.55071854044</v>
      </c>
      <c r="J121" s="196">
        <f>SUMIFS('Forbrug af biomasse'!$E$2:$E$425,'Forbrug af biomasse'!$C$2:$C$425,'Resultat-Produktion &amp; forbrug'!$A121,'Forbrug af biomasse'!$D$2:$D$425,'Resultat-Produktion &amp; forbrug'!$D121,'Forbrug af biomasse'!$A$2:$A$425,'Resultat-Produktion &amp; forbrug'!J$2,'Forbrug af biomasse'!$B$2:$B$425,$E121)</f>
        <v>2825.7560217041437</v>
      </c>
      <c r="K121" s="196">
        <f>SUMIFS('Forbrug af biomasse'!$E$2:$E$425,'Forbrug af biomasse'!$C$2:$C$425,'Resultat-Produktion &amp; forbrug'!$A121,'Forbrug af biomasse'!$D$2:$D$425,'Resultat-Produktion &amp; forbrug'!$D121,'Forbrug af biomasse'!$A$2:$A$425,'Resultat-Produktion &amp; forbrug'!K$2,'Forbrug af biomasse'!$B$2:$B$425,$E121)</f>
        <v>0</v>
      </c>
      <c r="L121" s="196">
        <f>IF(A121&lt;&gt;"Biogas",SUMIFS('Forbrug af biomasse'!$E$2:$E$425,'Forbrug af biomasse'!$C$2:$C$425,'Resultat-Produktion &amp; forbrug'!$A121,'Forbrug af biomasse'!$D$2:$D$425,'Resultat-Produktion &amp; forbrug'!$D121,'Forbrug af biomasse'!$A$2:$A$425,'Resultat-Produktion &amp; forbrug'!L$2,'Forbrug af biomasse'!$B$2:$B$425,$E121),F121)</f>
        <v>0</v>
      </c>
      <c r="M121" s="158">
        <f>SUMIFS('Forbrug af biomasse'!E:E,'Forbrug af biomasse'!C:C,'Resultat-Produktion &amp; forbrug'!$A121,'Forbrug af biomasse'!D:D,'Resultat-Produktion &amp; forbrug'!$D121,'Forbrug af biomasse'!G:G,1,'Forbrug af biomasse'!B:B,$E121)</f>
        <v>0</v>
      </c>
      <c r="N121" s="205">
        <f t="shared" si="23"/>
        <v>756078.17025540397</v>
      </c>
      <c r="O121" s="196">
        <f t="shared" si="20"/>
        <v>756078.17025540397</v>
      </c>
      <c r="P121" s="206">
        <f t="shared" si="24"/>
        <v>2825.7560217041437</v>
      </c>
      <c r="Q121" s="193">
        <f>IFERROR(VLOOKUP(A121,[1]Energiindhold!$A$2:$C$11,3,FALSE),IFERROR(VLOOKUP(A121,[1]Biogasudbytte!$A$2:$B$18,2,FALSE)*[1]Energiindhold!$C$10,0))*O121</f>
        <v>2.5894618821809234</v>
      </c>
      <c r="R121" s="193">
        <f>IF(A121&lt;&gt;"Biogas",IFERROR(VLOOKUP(A121,[1]Biogasudbytte!$A$2:$B$18,2,FALSE)*[1]Energiindhold!$C$10,0)*J121*IFERROR(VLOOKUP(A121,Biogasanlæg!$F$3:$G$8,2,FALSE),1)+IFERROR(VLOOKUP(A121,[1]Energiindhold!$A$2:$C$11,3,FALSE),0)*L121+IF(D121&lt;&gt;År1,Q121,0),0)</f>
        <v>2.5991397009494173</v>
      </c>
      <c r="S121" s="193">
        <f>IFERROR(VLOOKUP(A121,[1]Biogasudbytte!$A$2:$B$18,2,FALSE)*[1]Energiindhold!$C$10,0)*J121*IFERROR(VLOOKUP(A121,Biogasanlæg!$F$3:$G$8,2,FALSE),1)</f>
        <v>9.6778187684936554E-3</v>
      </c>
      <c r="T121" s="194">
        <f t="shared" si="25"/>
        <v>2.5894618821809234</v>
      </c>
      <c r="U121" s="192">
        <f>O121*IFERROR(VLOOKUP(A121,[1]Tørstofindhold!A$2:B$25,2,FALSE),0)</f>
        <v>234384.23277917522</v>
      </c>
      <c r="V121" s="193">
        <f>IF(D121=År1,P121,SUM(O121,P121))*IFERROR(VLOOKUP(A121,[1]Tørstofindhold!A$2:B$25,2,FALSE),0)</f>
        <v>235260.21714590353</v>
      </c>
      <c r="W121" s="193">
        <f>J121*IFERROR(VLOOKUP(A121,[1]Tørstofindhold!A$2:B$25,2,FALSE),0)</f>
        <v>875.9843667282845</v>
      </c>
      <c r="X121" s="194">
        <f t="shared" si="26"/>
        <v>234384.23277917525</v>
      </c>
      <c r="Y121" s="172">
        <f t="shared" si="21"/>
        <v>0</v>
      </c>
      <c r="Z121" s="104">
        <f t="shared" si="22"/>
        <v>1</v>
      </c>
    </row>
    <row r="122" spans="1:26" hidden="1" x14ac:dyDescent="0.55000000000000004">
      <c r="A122" s="195" t="str">
        <f t="shared" si="33"/>
        <v>Kunstgødning</v>
      </c>
      <c r="B122" s="195" t="str">
        <f t="shared" si="34"/>
        <v/>
      </c>
      <c r="C122" s="195">
        <f>IF(COUNTIFS('Resultater - Danmark'!$D$3:$D$482,'Resultat-Produktion &amp; forbrug'!A122,'Resultater - Danmark'!$A$3:$A$482,"Til energi")+COUNTIFS('Resultater - Danmark'!$D$3:$D$482,'Resultat-Produktion &amp; forbrug'!A122,'Resultater - Danmark'!$A$3:$A$482,"Biogasanlæg")&gt;0,1,0)</f>
        <v>0</v>
      </c>
      <c r="D122" s="195">
        <f t="shared" si="35"/>
        <v>2050</v>
      </c>
      <c r="E122" s="193" t="s">
        <v>23</v>
      </c>
      <c r="F122" s="196">
        <f>IF(E122="Vestdanmark",SUMIFS(IF(D122=År1,'Resultater - Vestdanmark'!H$3:H$482,IF(D122=År2,'Resultater - Vestdanmark'!I$3:I$482,'Resultater - Vestdanmark'!J$3:J$482)),'Resultater - Vestdanmark'!$F$3:$F$482,$A122,IF(D122=År1,'Resultater - Vestdanmark'!H$3:H$482,IF(D122=År2,'Resultater - Vestdanmark'!I$3:I$482,'Resultater - Vestdanmark'!J$3:J$482)),"&gt;0"),SUMIFS(IF(D122=År1,'Resultater - Østdanmark'!H$3:H$482,IF(D122=År2,'Resultater - Østdanmark'!I$3:I$482,'Resultater - Østdanmark'!J$3:J$482)),'Resultater - Østdanmark'!$F$3:$F$482,$A122,IF(D122=År1,'Resultater - Østdanmark'!H$3:H$482,IF(D122=År2,'Resultater - Østdanmark'!I$3:I$482,'Resultater - Østdanmark'!J$3:J$482)),"&gt;0"))</f>
        <v>0</v>
      </c>
      <c r="G122" s="196">
        <f>SUMIFS('Forbrug af biomasse'!$E$2:$E$425,'Forbrug af biomasse'!$C$2:$C$425,'Resultat-Produktion &amp; forbrug'!$A122,'Forbrug af biomasse'!$D$2:$D$425,'Resultat-Produktion &amp; forbrug'!$D122,'Forbrug af biomasse'!$A$2:$A$425,'Resultat-Produktion &amp; forbrug'!G$2,'Forbrug af biomasse'!$B$2:$B$425,$E122)</f>
        <v>0</v>
      </c>
      <c r="H122" s="193">
        <f>IF(E122="Vestdanmark",-IF(A122="Halm",SUMIFS(IF(D122=År1,'Resultater - Vestdanmark'!H$3:H$482,IF(D122=År2,'Resultater - Vestdanmark'!I$3:I$482,'Resultater - Vestdanmark'!J$3:J$482)),'Resultater - Vestdanmark'!$F$3:$F$482,$A122,'Resultater - Vestdanmark'!H$3:H$482,"&lt;0"),0),-IF(A122="Halm",SUMIFS(IF(D122=År1,'Resultater - Østdanmark'!H$3:H$482,IF(D122=År2,'Resultater - Østdanmark'!I$3:I$482,'Resultater - Østdanmark'!J$3:J$482)),'Resultater - Østdanmark'!$F$3:$F$482,$A122,'Resultater - Østdanmark'!H$3:H$482,"&lt;0"),0))</f>
        <v>0</v>
      </c>
      <c r="I122" s="196">
        <f>SUMIFS('Forbrug af biomasse'!$E$2:$E$425,'Forbrug af biomasse'!$C$2:$C$425,'Resultat-Produktion &amp; forbrug'!$A122,'Forbrug af biomasse'!$D$2:$D$425,'Resultat-Produktion &amp; forbrug'!$D122,'Forbrug af biomasse'!$A$2:$A$425,'Resultat-Produktion &amp; forbrug'!I$2,'Forbrug af biomasse'!$B$2:$B$425,$E122)</f>
        <v>0</v>
      </c>
      <c r="J122" s="196">
        <f>SUMIFS('Forbrug af biomasse'!$E$2:$E$425,'Forbrug af biomasse'!$C$2:$C$425,'Resultat-Produktion &amp; forbrug'!$A122,'Forbrug af biomasse'!$D$2:$D$425,'Resultat-Produktion &amp; forbrug'!$D122,'Forbrug af biomasse'!$A$2:$A$425,'Resultat-Produktion &amp; forbrug'!J$2,'Forbrug af biomasse'!$B$2:$B$425,$E122)</f>
        <v>0</v>
      </c>
      <c r="K122" s="196">
        <f ca="1">SUMIFS('Forbrug af biomasse'!$E$2:$E$425,'Forbrug af biomasse'!$C$2:$C$425,'Resultat-Produktion &amp; forbrug'!$A122,'Forbrug af biomasse'!$D$2:$D$425,'Resultat-Produktion &amp; forbrug'!$D122,'Forbrug af biomasse'!$A$2:$A$425,'Resultat-Produktion &amp; forbrug'!K$2,'Forbrug af biomasse'!$B$2:$B$425,$E122)</f>
        <v>597110.0145929947</v>
      </c>
      <c r="L122" s="196">
        <f>IF(A122&lt;&gt;"Biogas",SUMIFS('Forbrug af biomasse'!$E$2:$E$425,'Forbrug af biomasse'!$C$2:$C$425,'Resultat-Produktion &amp; forbrug'!$A122,'Forbrug af biomasse'!$D$2:$D$425,'Resultat-Produktion &amp; forbrug'!$D122,'Forbrug af biomasse'!$A$2:$A$425,'Resultat-Produktion &amp; forbrug'!L$2,'Forbrug af biomasse'!$B$2:$B$425,$E122),F122)</f>
        <v>0</v>
      </c>
      <c r="M122" s="158">
        <f>SUMIFS('Forbrug af biomasse'!E:E,'Forbrug af biomasse'!C:C,'Resultat-Produktion &amp; forbrug'!$A122,'Forbrug af biomasse'!D:D,'Resultat-Produktion &amp; forbrug'!$D122,'Forbrug af biomasse'!G:G,1,'Forbrug af biomasse'!B:B,$E122)</f>
        <v>0</v>
      </c>
      <c r="N122" s="205">
        <f t="shared" ca="1" si="23"/>
        <v>-597110.0145929947</v>
      </c>
      <c r="O122" s="196">
        <f t="shared" si="20"/>
        <v>0</v>
      </c>
      <c r="P122" s="206">
        <f t="shared" si="24"/>
        <v>0</v>
      </c>
      <c r="Q122" s="193">
        <f>IFERROR(VLOOKUP(A122,[1]Energiindhold!$A$2:$C$11,3,FALSE),IFERROR(VLOOKUP(A122,[1]Biogasudbytte!$A$2:$B$18,2,FALSE)*[1]Energiindhold!$C$10,0))*O122</f>
        <v>0</v>
      </c>
      <c r="R122" s="193">
        <f>IF(A122&lt;&gt;"Biogas",IFERROR(VLOOKUP(A122,[1]Biogasudbytte!$A$2:$B$18,2,FALSE)*[1]Energiindhold!$C$10,0)*J122*IFERROR(VLOOKUP(A122,Biogasanlæg!$F$3:$G$8,2,FALSE),1)+IFERROR(VLOOKUP(A122,[1]Energiindhold!$A$2:$C$11,3,FALSE),0)*L122+IF(D122&lt;&gt;År1,Q122,0),0)</f>
        <v>0</v>
      </c>
      <c r="S122" s="193">
        <f>IFERROR(VLOOKUP(A122,[1]Biogasudbytte!$A$2:$B$18,2,FALSE)*[1]Energiindhold!$C$10,0)*J122*IFERROR(VLOOKUP(A122,Biogasanlæg!$F$3:$G$8,2,FALSE),1)</f>
        <v>0</v>
      </c>
      <c r="T122" s="194">
        <f t="shared" si="25"/>
        <v>0</v>
      </c>
      <c r="U122" s="192">
        <f>O122*IFERROR(VLOOKUP(A122,[1]Tørstofindhold!A$2:B$25,2,FALSE),0)</f>
        <v>0</v>
      </c>
      <c r="V122" s="193">
        <f>IF(D122=År1,P122,SUM(O122,P122))*IFERROR(VLOOKUP(A122,[1]Tørstofindhold!A$2:B$25,2,FALSE),0)</f>
        <v>0</v>
      </c>
      <c r="W122" s="193">
        <f>J122*IFERROR(VLOOKUP(A122,[1]Tørstofindhold!A$2:B$25,2,FALSE),0)</f>
        <v>0</v>
      </c>
      <c r="X122" s="194">
        <f t="shared" si="26"/>
        <v>0</v>
      </c>
      <c r="Y122" s="172">
        <f t="shared" ca="1" si="21"/>
        <v>1</v>
      </c>
      <c r="Z122" s="104">
        <f t="shared" ca="1" si="22"/>
        <v>0</v>
      </c>
    </row>
    <row r="123" spans="1:26" hidden="1" x14ac:dyDescent="0.55000000000000004">
      <c r="A123" s="195" t="str">
        <f t="shared" si="33"/>
        <v>Kvæggylle</v>
      </c>
      <c r="B123" s="195" t="str">
        <f t="shared" si="34"/>
        <v>Husdyrgødning</v>
      </c>
      <c r="C123" s="195">
        <f>IF(COUNTIFS('Resultater - Danmark'!$D$3:$D$482,'Resultat-Produktion &amp; forbrug'!A123,'Resultater - Danmark'!$A$3:$A$482,"Til energi")+COUNTIFS('Resultater - Danmark'!$D$3:$D$482,'Resultat-Produktion &amp; forbrug'!A123,'Resultater - Danmark'!$A$3:$A$482,"Biogasanlæg")&gt;0,1,0)</f>
        <v>1</v>
      </c>
      <c r="D123" s="195">
        <f t="shared" si="35"/>
        <v>2050</v>
      </c>
      <c r="E123" s="193" t="s">
        <v>23</v>
      </c>
      <c r="F123" s="196">
        <f>IF(E123="Vestdanmark",SUMIFS(IF(D123=År1,'Resultater - Vestdanmark'!H$3:H$482,IF(D123=År2,'Resultater - Vestdanmark'!I$3:I$482,'Resultater - Vestdanmark'!J$3:J$482)),'Resultater - Vestdanmark'!$F$3:$F$482,$A123,IF(D123=År1,'Resultater - Vestdanmark'!H$3:H$482,IF(D123=År2,'Resultater - Vestdanmark'!I$3:I$482,'Resultater - Vestdanmark'!J$3:J$482)),"&gt;0"),SUMIFS(IF(D123=År1,'Resultater - Østdanmark'!H$3:H$482,IF(D123=År2,'Resultater - Østdanmark'!I$3:I$482,'Resultater - Østdanmark'!J$3:J$482)),'Resultater - Østdanmark'!$F$3:$F$482,$A123,IF(D123=År1,'Resultater - Østdanmark'!H$3:H$482,IF(D123=År2,'Resultater - Østdanmark'!I$3:I$482,'Resultater - Østdanmark'!J$3:J$482)),"&gt;0"))</f>
        <v>12735406.502549823</v>
      </c>
      <c r="G123" s="196">
        <f>SUMIFS('Forbrug af biomasse'!$E$2:$E$425,'Forbrug af biomasse'!$C$2:$C$425,'Resultat-Produktion &amp; forbrug'!$A123,'Forbrug af biomasse'!$D$2:$D$425,'Resultat-Produktion &amp; forbrug'!$D123,'Forbrug af biomasse'!$A$2:$A$425,'Resultat-Produktion &amp; forbrug'!G$2,'Forbrug af biomasse'!$B$2:$B$425,$E123)</f>
        <v>0</v>
      </c>
      <c r="H123" s="193">
        <f>IF(E123="Vestdanmark",-IF(A123="Halm",SUMIFS(IF(D123=År1,'Resultater - Vestdanmark'!H$3:H$482,IF(D123=År2,'Resultater - Vestdanmark'!I$3:I$482,'Resultater - Vestdanmark'!J$3:J$482)),'Resultater - Vestdanmark'!$F$3:$F$482,$A123,'Resultater - Vestdanmark'!H$3:H$482,"&lt;0"),0),-IF(A123="Halm",SUMIFS(IF(D123=År1,'Resultater - Østdanmark'!H$3:H$482,IF(D123=År2,'Resultater - Østdanmark'!I$3:I$482,'Resultater - Østdanmark'!J$3:J$482)),'Resultater - Østdanmark'!$F$3:$F$482,$A123,'Resultater - Østdanmark'!H$3:H$482,"&lt;0"),0))</f>
        <v>0</v>
      </c>
      <c r="I123" s="196">
        <f>SUMIFS('Forbrug af biomasse'!$E$2:$E$425,'Forbrug af biomasse'!$C$2:$C$425,'Resultat-Produktion &amp; forbrug'!$A123,'Forbrug af biomasse'!$D$2:$D$425,'Resultat-Produktion &amp; forbrug'!$D123,'Forbrug af biomasse'!$A$2:$A$425,'Resultat-Produktion &amp; forbrug'!I$2,'Forbrug af biomasse'!$B$2:$B$425,$E123)</f>
        <v>0</v>
      </c>
      <c r="J123" s="196">
        <f>SUMIFS('Forbrug af biomasse'!$E$2:$E$425,'Forbrug af biomasse'!$C$2:$C$425,'Resultat-Produktion &amp; forbrug'!$A123,'Forbrug af biomasse'!$D$2:$D$425,'Resultat-Produktion &amp; forbrug'!$D123,'Forbrug af biomasse'!$A$2:$A$425,'Resultat-Produktion &amp; forbrug'!J$2,'Forbrug af biomasse'!$B$2:$B$425,$E123)</f>
        <v>9678908.9419378657</v>
      </c>
      <c r="K123" s="196">
        <f>SUMIFS('Forbrug af biomasse'!$E$2:$E$425,'Forbrug af biomasse'!$C$2:$C$425,'Resultat-Produktion &amp; forbrug'!$A123,'Forbrug af biomasse'!$D$2:$D$425,'Resultat-Produktion &amp; forbrug'!$D123,'Forbrug af biomasse'!$A$2:$A$425,'Resultat-Produktion &amp; forbrug'!K$2,'Forbrug af biomasse'!$B$2:$B$425,$E123)</f>
        <v>2024929.6339054219</v>
      </c>
      <c r="L123" s="196">
        <f>IF(A123&lt;&gt;"Biogas",SUMIFS('Forbrug af biomasse'!$E$2:$E$425,'Forbrug af biomasse'!$C$2:$C$425,'Resultat-Produktion &amp; forbrug'!$A123,'Forbrug af biomasse'!$D$2:$D$425,'Resultat-Produktion &amp; forbrug'!$D123,'Forbrug af biomasse'!$A$2:$A$425,'Resultat-Produktion &amp; forbrug'!L$2,'Forbrug af biomasse'!$B$2:$B$425,$E123),F123)</f>
        <v>0</v>
      </c>
      <c r="M123" s="158">
        <f>SUMIFS('Forbrug af biomasse'!E:E,'Forbrug af biomasse'!C:C,'Resultat-Produktion &amp; forbrug'!$A123,'Forbrug af biomasse'!D:D,'Resultat-Produktion &amp; forbrug'!$D123,'Forbrug af biomasse'!G:G,1,'Forbrug af biomasse'!B:B,$E123)</f>
        <v>0</v>
      </c>
      <c r="N123" s="205">
        <f t="shared" si="23"/>
        <v>1031567.9267065357</v>
      </c>
      <c r="O123" s="196">
        <f t="shared" si="20"/>
        <v>1031567.9267065357</v>
      </c>
      <c r="P123" s="206">
        <f t="shared" si="24"/>
        <v>9678908.9419378657</v>
      </c>
      <c r="Q123" s="193">
        <f>IFERROR(VLOOKUP(A123,[1]Energiindhold!$A$2:$C$11,3,FALSE),IFERROR(VLOOKUP(A123,[1]Biogasudbytte!$A$2:$B$18,2,FALSE)*[1]Energiindhold!$C$10,0))*O123</f>
        <v>0.52216936881958143</v>
      </c>
      <c r="R123" s="193">
        <f>IF(A123&lt;&gt;"Biogas",IFERROR(VLOOKUP(A123,[1]Biogasudbytte!$A$2:$B$18,2,FALSE)*[1]Energiindhold!$C$10,0)*J123*IFERROR(VLOOKUP(A123,Biogasanlæg!$F$3:$G$8,2,FALSE),1)+IFERROR(VLOOKUP(A123,[1]Energiindhold!$A$2:$C$11,3,FALSE),0)*L123+IF(D123&lt;&gt;År1,Q123,0),0)</f>
        <v>5.4215362861391103</v>
      </c>
      <c r="S123" s="193">
        <f>IFERROR(VLOOKUP(A123,[1]Biogasudbytte!$A$2:$B$18,2,FALSE)*[1]Energiindhold!$C$10,0)*J123*IFERROR(VLOOKUP(A123,Biogasanlæg!$F$3:$G$8,2,FALSE),1)</f>
        <v>4.8993669173195284</v>
      </c>
      <c r="T123" s="194">
        <f t="shared" si="25"/>
        <v>0.52216936881958187</v>
      </c>
      <c r="U123" s="192">
        <f>O123*IFERROR(VLOOKUP(A123,[1]Tørstofindhold!A$2:B$25,2,FALSE),0)</f>
        <v>78399.16242969672</v>
      </c>
      <c r="V123" s="193">
        <f>IF(D123=År1,P123,SUM(O123,P123))*IFERROR(VLOOKUP(A123,[1]Tørstofindhold!A$2:B$25,2,FALSE),0)</f>
        <v>813996.24201697449</v>
      </c>
      <c r="W123" s="193">
        <f>J123*IFERROR(VLOOKUP(A123,[1]Tørstofindhold!A$2:B$25,2,FALSE),0)</f>
        <v>735597.07958727772</v>
      </c>
      <c r="X123" s="194">
        <f t="shared" si="26"/>
        <v>78399.162429696764</v>
      </c>
      <c r="Y123" s="172">
        <f t="shared" si="21"/>
        <v>0</v>
      </c>
      <c r="Z123" s="104">
        <f t="shared" si="22"/>
        <v>1</v>
      </c>
    </row>
    <row r="124" spans="1:26" hidden="1" x14ac:dyDescent="0.55000000000000004">
      <c r="A124" s="195" t="str">
        <f t="shared" si="33"/>
        <v>Mælk til foder</v>
      </c>
      <c r="B124" s="195" t="str">
        <f t="shared" si="34"/>
        <v/>
      </c>
      <c r="C124" s="195">
        <f>IF(COUNTIFS('Resultater - Danmark'!$D$3:$D$482,'Resultat-Produktion &amp; forbrug'!A124,'Resultater - Danmark'!$A$3:$A$482,"Til energi")+COUNTIFS('Resultater - Danmark'!$D$3:$D$482,'Resultat-Produktion &amp; forbrug'!A124,'Resultater - Danmark'!$A$3:$A$482,"Biogasanlæg")&gt;0,1,0)</f>
        <v>0</v>
      </c>
      <c r="D124" s="195">
        <f t="shared" si="35"/>
        <v>2050</v>
      </c>
      <c r="E124" s="193" t="s">
        <v>23</v>
      </c>
      <c r="F124" s="196">
        <f>IF(E124="Vestdanmark",SUMIFS(IF(D124=År1,'Resultater - Vestdanmark'!H$3:H$482,IF(D124=År2,'Resultater - Vestdanmark'!I$3:I$482,'Resultater - Vestdanmark'!J$3:J$482)),'Resultater - Vestdanmark'!$F$3:$F$482,$A124,IF(D124=År1,'Resultater - Vestdanmark'!H$3:H$482,IF(D124=År2,'Resultater - Vestdanmark'!I$3:I$482,'Resultater - Vestdanmark'!J$3:J$482)),"&gt;0"),SUMIFS(IF(D124=År1,'Resultater - Østdanmark'!H$3:H$482,IF(D124=År2,'Resultater - Østdanmark'!I$3:I$482,'Resultater - Østdanmark'!J$3:J$482)),'Resultater - Østdanmark'!$F$3:$F$482,$A124,IF(D124=År1,'Resultater - Østdanmark'!H$3:H$482,IF(D124=År2,'Resultater - Østdanmark'!I$3:I$482,'Resultater - Østdanmark'!J$3:J$482)),"&gt;0"))</f>
        <v>1590883.4700780637</v>
      </c>
      <c r="G124" s="196">
        <f>SUMIFS('Forbrug af biomasse'!$E$2:$E$425,'Forbrug af biomasse'!$C$2:$C$425,'Resultat-Produktion &amp; forbrug'!$A124,'Forbrug af biomasse'!$D$2:$D$425,'Resultat-Produktion &amp; forbrug'!$D124,'Forbrug af biomasse'!$A$2:$A$425,'Resultat-Produktion &amp; forbrug'!G$2,'Forbrug af biomasse'!$B$2:$B$425,$E124)</f>
        <v>1515714.1736670113</v>
      </c>
      <c r="H124" s="193">
        <f>IF(E124="Vestdanmark",-IF(A124="Halm",SUMIFS(IF(D124=År1,'Resultater - Vestdanmark'!H$3:H$482,IF(D124=År2,'Resultater - Vestdanmark'!I$3:I$482,'Resultater - Vestdanmark'!J$3:J$482)),'Resultater - Vestdanmark'!$F$3:$F$482,$A124,'Resultater - Vestdanmark'!H$3:H$482,"&lt;0"),0),-IF(A124="Halm",SUMIFS(IF(D124=År1,'Resultater - Østdanmark'!H$3:H$482,IF(D124=År2,'Resultater - Østdanmark'!I$3:I$482,'Resultater - Østdanmark'!J$3:J$482)),'Resultater - Østdanmark'!$F$3:$F$482,$A124,'Resultater - Østdanmark'!H$3:H$482,"&lt;0"),0))</f>
        <v>0</v>
      </c>
      <c r="I124" s="196">
        <f>SUMIFS('Forbrug af biomasse'!$E$2:$E$425,'Forbrug af biomasse'!$C$2:$C$425,'Resultat-Produktion &amp; forbrug'!$A124,'Forbrug af biomasse'!$D$2:$D$425,'Resultat-Produktion &amp; forbrug'!$D124,'Forbrug af biomasse'!$A$2:$A$425,'Resultat-Produktion &amp; forbrug'!I$2,'Forbrug af biomasse'!$B$2:$B$425,$E124)</f>
        <v>0</v>
      </c>
      <c r="J124" s="196">
        <f>SUMIFS('Forbrug af biomasse'!$E$2:$E$425,'Forbrug af biomasse'!$C$2:$C$425,'Resultat-Produktion &amp; forbrug'!$A124,'Forbrug af biomasse'!$D$2:$D$425,'Resultat-Produktion &amp; forbrug'!$D124,'Forbrug af biomasse'!$A$2:$A$425,'Resultat-Produktion &amp; forbrug'!J$2,'Forbrug af biomasse'!$B$2:$B$425,$E124)</f>
        <v>0</v>
      </c>
      <c r="K124" s="196">
        <f>SUMIFS('Forbrug af biomasse'!$E$2:$E$425,'Forbrug af biomasse'!$C$2:$C$425,'Resultat-Produktion &amp; forbrug'!$A124,'Forbrug af biomasse'!$D$2:$D$425,'Resultat-Produktion &amp; forbrug'!$D124,'Forbrug af biomasse'!$A$2:$A$425,'Resultat-Produktion &amp; forbrug'!K$2,'Forbrug af biomasse'!$B$2:$B$425,$E124)</f>
        <v>0</v>
      </c>
      <c r="L124" s="196">
        <f>IF(A124&lt;&gt;"Biogas",SUMIFS('Forbrug af biomasse'!$E$2:$E$425,'Forbrug af biomasse'!$C$2:$C$425,'Resultat-Produktion &amp; forbrug'!$A124,'Forbrug af biomasse'!$D$2:$D$425,'Resultat-Produktion &amp; forbrug'!$D124,'Forbrug af biomasse'!$A$2:$A$425,'Resultat-Produktion &amp; forbrug'!L$2,'Forbrug af biomasse'!$B$2:$B$425,$E124),F124)</f>
        <v>0</v>
      </c>
      <c r="M124" s="158">
        <f>SUMIFS('Forbrug af biomasse'!E:E,'Forbrug af biomasse'!C:C,'Resultat-Produktion &amp; forbrug'!$A124,'Forbrug af biomasse'!D:D,'Resultat-Produktion &amp; forbrug'!$D124,'Forbrug af biomasse'!G:G,1,'Forbrug af biomasse'!B:B,$E124)</f>
        <v>0</v>
      </c>
      <c r="N124" s="205">
        <f t="shared" si="23"/>
        <v>75169.296411052346</v>
      </c>
      <c r="O124" s="196">
        <f t="shared" si="20"/>
        <v>0</v>
      </c>
      <c r="P124" s="206">
        <f t="shared" si="24"/>
        <v>0</v>
      </c>
      <c r="Q124" s="193">
        <f>IFERROR(VLOOKUP(A124,[1]Energiindhold!$A$2:$C$11,3,FALSE),IFERROR(VLOOKUP(A124,[1]Biogasudbytte!$A$2:$B$18,2,FALSE)*[1]Energiindhold!$C$10,0))*O124</f>
        <v>0</v>
      </c>
      <c r="R124" s="193">
        <f>IF(A124&lt;&gt;"Biogas",IFERROR(VLOOKUP(A124,[1]Biogasudbytte!$A$2:$B$18,2,FALSE)*[1]Energiindhold!$C$10,0)*J124*IFERROR(VLOOKUP(A124,Biogasanlæg!$F$3:$G$8,2,FALSE),1)+IFERROR(VLOOKUP(A124,[1]Energiindhold!$A$2:$C$11,3,FALSE),0)*L124+IF(D124&lt;&gt;År1,Q124,0),0)</f>
        <v>0</v>
      </c>
      <c r="S124" s="193">
        <f>IFERROR(VLOOKUP(A124,[1]Biogasudbytte!$A$2:$B$18,2,FALSE)*[1]Energiindhold!$C$10,0)*J124*IFERROR(VLOOKUP(A124,Biogasanlæg!$F$3:$G$8,2,FALSE),1)</f>
        <v>0</v>
      </c>
      <c r="T124" s="194">
        <f t="shared" si="25"/>
        <v>0</v>
      </c>
      <c r="U124" s="192">
        <f>O124*IFERROR(VLOOKUP(A124,[1]Tørstofindhold!A$2:B$25,2,FALSE),0)</f>
        <v>0</v>
      </c>
      <c r="V124" s="193">
        <f>IF(D124=År1,P124,SUM(O124,P124))*IFERROR(VLOOKUP(A124,[1]Tørstofindhold!A$2:B$25,2,FALSE),0)</f>
        <v>0</v>
      </c>
      <c r="W124" s="193">
        <f>J124*IFERROR(VLOOKUP(A124,[1]Tørstofindhold!A$2:B$25,2,FALSE),0)</f>
        <v>0</v>
      </c>
      <c r="X124" s="194">
        <f t="shared" si="26"/>
        <v>0</v>
      </c>
      <c r="Y124" s="172">
        <f t="shared" si="21"/>
        <v>0</v>
      </c>
      <c r="Z124" s="104">
        <f t="shared" si="22"/>
        <v>1</v>
      </c>
    </row>
    <row r="125" spans="1:26" hidden="1" x14ac:dyDescent="0.55000000000000004">
      <c r="A125" s="195" t="str">
        <f t="shared" si="33"/>
        <v>Majs</v>
      </c>
      <c r="B125" s="195" t="str">
        <f t="shared" si="34"/>
        <v>Græs og urter</v>
      </c>
      <c r="C125" s="195">
        <f>IF(COUNTIFS('Resultater - Danmark'!$D$3:$D$482,'Resultat-Produktion &amp; forbrug'!A125,'Resultater - Danmark'!$A$3:$A$482,"Til energi")+COUNTIFS('Resultater - Danmark'!$D$3:$D$482,'Resultat-Produktion &amp; forbrug'!A125,'Resultater - Danmark'!$A$3:$A$482,"Biogasanlæg")&gt;0,1,0)</f>
        <v>1</v>
      </c>
      <c r="D125" s="195">
        <f t="shared" si="35"/>
        <v>2050</v>
      </c>
      <c r="E125" s="193" t="s">
        <v>23</v>
      </c>
      <c r="F125" s="196">
        <f>IF(E125="Vestdanmark",SUMIFS(IF(D125=År1,'Resultater - Vestdanmark'!H$3:H$482,IF(D125=År2,'Resultater - Vestdanmark'!I$3:I$482,'Resultater - Vestdanmark'!J$3:J$482)),'Resultater - Vestdanmark'!$F$3:$F$482,$A125,IF(D125=År1,'Resultater - Vestdanmark'!H$3:H$482,IF(D125=År2,'Resultater - Vestdanmark'!I$3:I$482,'Resultater - Vestdanmark'!J$3:J$482)),"&gt;0"),SUMIFS(IF(D125=År1,'Resultater - Østdanmark'!H$3:H$482,IF(D125=År2,'Resultater - Østdanmark'!I$3:I$482,'Resultater - Østdanmark'!J$3:J$482)),'Resultater - Østdanmark'!$F$3:$F$482,$A125,IF(D125=År1,'Resultater - Østdanmark'!H$3:H$482,IF(D125=År2,'Resultater - Østdanmark'!I$3:I$482,'Resultater - Østdanmark'!J$3:J$482)),"&gt;0"))</f>
        <v>7786550.4071108392</v>
      </c>
      <c r="G125" s="196">
        <f>SUMIFS('Forbrug af biomasse'!$E$2:$E$425,'Forbrug af biomasse'!$C$2:$C$425,'Resultat-Produktion &amp; forbrug'!$A125,'Forbrug af biomasse'!$D$2:$D$425,'Resultat-Produktion &amp; forbrug'!$D125,'Forbrug af biomasse'!$A$2:$A$425,'Resultat-Produktion &amp; forbrug'!G$2,'Forbrug af biomasse'!$B$2:$B$425,$E125)</f>
        <v>5657053.7864699624</v>
      </c>
      <c r="H125" s="193">
        <f>IF(E125="Vestdanmark",-IF(A125="Halm",SUMIFS(IF(D125=År1,'Resultater - Vestdanmark'!H$3:H$482,IF(D125=År2,'Resultater - Vestdanmark'!I$3:I$482,'Resultater - Vestdanmark'!J$3:J$482)),'Resultater - Vestdanmark'!$F$3:$F$482,$A125,'Resultater - Vestdanmark'!H$3:H$482,"&lt;0"),0),-IF(A125="Halm",SUMIFS(IF(D125=År1,'Resultater - Østdanmark'!H$3:H$482,IF(D125=År2,'Resultater - Østdanmark'!I$3:I$482,'Resultater - Østdanmark'!J$3:J$482)),'Resultater - Østdanmark'!$F$3:$F$482,$A125,'Resultater - Østdanmark'!H$3:H$482,"&lt;0"),0))</f>
        <v>0</v>
      </c>
      <c r="I125" s="196">
        <f>SUMIFS('Forbrug af biomasse'!$E$2:$E$425,'Forbrug af biomasse'!$C$2:$C$425,'Resultat-Produktion &amp; forbrug'!$A125,'Forbrug af biomasse'!$D$2:$D$425,'Resultat-Produktion &amp; forbrug'!$D125,'Forbrug af biomasse'!$A$2:$A$425,'Resultat-Produktion &amp; forbrug'!I$2,'Forbrug af biomasse'!$B$2:$B$425,$E125)</f>
        <v>0</v>
      </c>
      <c r="J125" s="196">
        <f>SUMIFS('Forbrug af biomasse'!$E$2:$E$425,'Forbrug af biomasse'!$C$2:$C$425,'Resultat-Produktion &amp; forbrug'!$A125,'Forbrug af biomasse'!$D$2:$D$425,'Resultat-Produktion &amp; forbrug'!$D125,'Forbrug af biomasse'!$A$2:$A$425,'Resultat-Produktion &amp; forbrug'!J$2,'Forbrug af biomasse'!$B$2:$B$425,$E125)</f>
        <v>314525.12457946909</v>
      </c>
      <c r="K125" s="196">
        <f>SUMIFS('Forbrug af biomasse'!$E$2:$E$425,'Forbrug af biomasse'!$C$2:$C$425,'Resultat-Produktion &amp; forbrug'!$A125,'Forbrug af biomasse'!$D$2:$D$425,'Resultat-Produktion &amp; forbrug'!$D125,'Forbrug af biomasse'!$A$2:$A$425,'Resultat-Produktion &amp; forbrug'!K$2,'Forbrug af biomasse'!$B$2:$B$425,$E125)</f>
        <v>0</v>
      </c>
      <c r="L125" s="196">
        <f>IF(A125&lt;&gt;"Biogas",SUMIFS('Forbrug af biomasse'!$E$2:$E$425,'Forbrug af biomasse'!$C$2:$C$425,'Resultat-Produktion &amp; forbrug'!$A125,'Forbrug af biomasse'!$D$2:$D$425,'Resultat-Produktion &amp; forbrug'!$D125,'Forbrug af biomasse'!$A$2:$A$425,'Resultat-Produktion &amp; forbrug'!L$2,'Forbrug af biomasse'!$B$2:$B$425,$E125),F125)</f>
        <v>0</v>
      </c>
      <c r="M125" s="158">
        <f>SUMIFS('Forbrug af biomasse'!E:E,'Forbrug af biomasse'!C:C,'Resultat-Produktion &amp; forbrug'!$A125,'Forbrug af biomasse'!D:D,'Resultat-Produktion &amp; forbrug'!$D125,'Forbrug af biomasse'!G:G,1,'Forbrug af biomasse'!B:B,$E125)</f>
        <v>0</v>
      </c>
      <c r="N125" s="205">
        <f t="shared" si="23"/>
        <v>1814971.496061408</v>
      </c>
      <c r="O125" s="196">
        <f t="shared" si="20"/>
        <v>1488865.2333387681</v>
      </c>
      <c r="P125" s="206">
        <f t="shared" si="24"/>
        <v>314525.12457946909</v>
      </c>
      <c r="Q125" s="193">
        <f>IFERROR(VLOOKUP(A125,[1]Energiindhold!$A$2:$C$11,3,FALSE),IFERROR(VLOOKUP(A125,[1]Biogasudbytte!$A$2:$B$18,2,FALSE)*[1]Energiindhold!$C$10,0))*O125</f>
        <v>5.3450261876861784</v>
      </c>
      <c r="R125" s="193">
        <f>IF(A125&lt;&gt;"Biogas",IFERROR(VLOOKUP(A125,[1]Biogasudbytte!$A$2:$B$18,2,FALSE)*[1]Energiindhold!$C$10,0)*J125*IFERROR(VLOOKUP(A125,Biogasanlæg!$F$3:$G$8,2,FALSE),1)+IFERROR(VLOOKUP(A125,[1]Energiindhold!$A$2:$C$11,3,FALSE),0)*L125+IF(D125&lt;&gt;År1,Q125,0),0)</f>
        <v>6.474171384926473</v>
      </c>
      <c r="S125" s="193">
        <f>IFERROR(VLOOKUP(A125,[1]Biogasudbytte!$A$2:$B$18,2,FALSE)*[1]Energiindhold!$C$10,0)*J125*IFERROR(VLOOKUP(A125,Biogasanlæg!$F$3:$G$8,2,FALSE),1)</f>
        <v>1.1291451972402942</v>
      </c>
      <c r="T125" s="194">
        <f t="shared" si="25"/>
        <v>5.3450261876861784</v>
      </c>
      <c r="U125" s="192">
        <f>O125*IFERROR(VLOOKUP(A125,[1]Tørstofindhold!A$2:B$25,2,FALSE),0)</f>
        <v>446659.5700016304</v>
      </c>
      <c r="V125" s="193">
        <f>IF(D125=År1,P125,SUM(O125,P125))*IFERROR(VLOOKUP(A125,[1]Tørstofindhold!A$2:B$25,2,FALSE),0)</f>
        <v>541017.10737547115</v>
      </c>
      <c r="W125" s="193">
        <f>J125*IFERROR(VLOOKUP(A125,[1]Tørstofindhold!A$2:B$25,2,FALSE),0)</f>
        <v>94357.537373840722</v>
      </c>
      <c r="X125" s="194">
        <f t="shared" si="26"/>
        <v>446659.57000163046</v>
      </c>
      <c r="Y125" s="172">
        <f t="shared" si="21"/>
        <v>0</v>
      </c>
      <c r="Z125" s="104">
        <f t="shared" si="22"/>
        <v>1</v>
      </c>
    </row>
    <row r="126" spans="1:26" hidden="1" x14ac:dyDescent="0.55000000000000004">
      <c r="A126" s="195" t="str">
        <f t="shared" si="33"/>
        <v>Mejeriprodukter</v>
      </c>
      <c r="B126" s="195" t="str">
        <f t="shared" si="34"/>
        <v/>
      </c>
      <c r="C126" s="195">
        <f>IF(COUNTIFS('Resultater - Danmark'!$D$3:$D$482,'Resultat-Produktion &amp; forbrug'!A126,'Resultater - Danmark'!$A$3:$A$482,"Til energi")+COUNTIFS('Resultater - Danmark'!$D$3:$D$482,'Resultat-Produktion &amp; forbrug'!A126,'Resultater - Danmark'!$A$3:$A$482,"Biogasanlæg")&gt;0,1,0)</f>
        <v>0</v>
      </c>
      <c r="D126" s="195">
        <f t="shared" si="35"/>
        <v>2050</v>
      </c>
      <c r="E126" s="193" t="s">
        <v>23</v>
      </c>
      <c r="F126" s="196">
        <f>IF(E126="Vestdanmark",SUMIFS(IF(D126=År1,'Resultater - Vestdanmark'!H$3:H$482,IF(D126=År2,'Resultater - Vestdanmark'!I$3:I$482,'Resultater - Vestdanmark'!J$3:J$482)),'Resultater - Vestdanmark'!$F$3:$F$482,$A126,IF(D126=År1,'Resultater - Vestdanmark'!H$3:H$482,IF(D126=År2,'Resultater - Vestdanmark'!I$3:I$482,'Resultater - Vestdanmark'!J$3:J$482)),"&gt;0"),SUMIFS(IF(D126=År1,'Resultater - Østdanmark'!H$3:H$482,IF(D126=År2,'Resultater - Østdanmark'!I$3:I$482,'Resultater - Østdanmark'!J$3:J$482)),'Resultater - Østdanmark'!$F$3:$F$482,$A126,IF(D126=År1,'Resultater - Østdanmark'!H$3:H$482,IF(D126=År2,'Resultater - Østdanmark'!I$3:I$482,'Resultater - Østdanmark'!J$3:J$482)),"&gt;0"))</f>
        <v>3069579.4456842686</v>
      </c>
      <c r="G126" s="196">
        <f>SUMIFS('Forbrug af biomasse'!$E$2:$E$425,'Forbrug af biomasse'!$C$2:$C$425,'Resultat-Produktion &amp; forbrug'!$A126,'Forbrug af biomasse'!$D$2:$D$425,'Resultat-Produktion &amp; forbrug'!$D126,'Forbrug af biomasse'!$A$2:$A$425,'Resultat-Produktion &amp; forbrug'!G$2,'Forbrug af biomasse'!$B$2:$B$425,$E126)</f>
        <v>0</v>
      </c>
      <c r="H126" s="193">
        <f>IF(E126="Vestdanmark",-IF(A126="Halm",SUMIFS(IF(D126=År1,'Resultater - Vestdanmark'!H$3:H$482,IF(D126=År2,'Resultater - Vestdanmark'!I$3:I$482,'Resultater - Vestdanmark'!J$3:J$482)),'Resultater - Vestdanmark'!$F$3:$F$482,$A126,'Resultater - Vestdanmark'!H$3:H$482,"&lt;0"),0),-IF(A126="Halm",SUMIFS(IF(D126=År1,'Resultater - Østdanmark'!H$3:H$482,IF(D126=År2,'Resultater - Østdanmark'!I$3:I$482,'Resultater - Østdanmark'!J$3:J$482)),'Resultater - Østdanmark'!$F$3:$F$482,$A126,'Resultater - Østdanmark'!H$3:H$482,"&lt;0"),0))</f>
        <v>0</v>
      </c>
      <c r="I126" s="196">
        <f>SUMIFS('Forbrug af biomasse'!$E$2:$E$425,'Forbrug af biomasse'!$C$2:$C$425,'Resultat-Produktion &amp; forbrug'!$A126,'Forbrug af biomasse'!$D$2:$D$425,'Resultat-Produktion &amp; forbrug'!$D126,'Forbrug af biomasse'!$A$2:$A$425,'Resultat-Produktion &amp; forbrug'!I$2,'Forbrug af biomasse'!$B$2:$B$425,$E126)</f>
        <v>490824.54885344987</v>
      </c>
      <c r="J126" s="196">
        <f>SUMIFS('Forbrug af biomasse'!$E$2:$E$425,'Forbrug af biomasse'!$C$2:$C$425,'Resultat-Produktion &amp; forbrug'!$A126,'Forbrug af biomasse'!$D$2:$D$425,'Resultat-Produktion &amp; forbrug'!$D126,'Forbrug af biomasse'!$A$2:$A$425,'Resultat-Produktion &amp; forbrug'!J$2,'Forbrug af biomasse'!$B$2:$B$425,$E126)</f>
        <v>0</v>
      </c>
      <c r="K126" s="196">
        <f>SUMIFS('Forbrug af biomasse'!$E$2:$E$425,'Forbrug af biomasse'!$C$2:$C$425,'Resultat-Produktion &amp; forbrug'!$A126,'Forbrug af biomasse'!$D$2:$D$425,'Resultat-Produktion &amp; forbrug'!$D126,'Forbrug af biomasse'!$A$2:$A$425,'Resultat-Produktion &amp; forbrug'!K$2,'Forbrug af biomasse'!$B$2:$B$425,$E126)</f>
        <v>0</v>
      </c>
      <c r="L126" s="196">
        <f>IF(A126&lt;&gt;"Biogas",SUMIFS('Forbrug af biomasse'!$E$2:$E$425,'Forbrug af biomasse'!$C$2:$C$425,'Resultat-Produktion &amp; forbrug'!$A126,'Forbrug af biomasse'!$D$2:$D$425,'Resultat-Produktion &amp; forbrug'!$D126,'Forbrug af biomasse'!$A$2:$A$425,'Resultat-Produktion &amp; forbrug'!L$2,'Forbrug af biomasse'!$B$2:$B$425,$E126),F126)</f>
        <v>0</v>
      </c>
      <c r="M126" s="158">
        <f>SUMIFS('Forbrug af biomasse'!E:E,'Forbrug af biomasse'!C:C,'Resultat-Produktion &amp; forbrug'!$A126,'Forbrug af biomasse'!D:D,'Resultat-Produktion &amp; forbrug'!$D126,'Forbrug af biomasse'!G:G,1,'Forbrug af biomasse'!B:B,$E126)</f>
        <v>0</v>
      </c>
      <c r="N126" s="205">
        <f t="shared" si="23"/>
        <v>2578754.8968308186</v>
      </c>
      <c r="O126" s="196">
        <f t="shared" si="20"/>
        <v>0</v>
      </c>
      <c r="P126" s="206">
        <f t="shared" si="24"/>
        <v>0</v>
      </c>
      <c r="Q126" s="193">
        <f>IFERROR(VLOOKUP(A126,[1]Energiindhold!$A$2:$C$11,3,FALSE),IFERROR(VLOOKUP(A126,[1]Biogasudbytte!$A$2:$B$18,2,FALSE)*[1]Energiindhold!$C$10,0))*O126</f>
        <v>0</v>
      </c>
      <c r="R126" s="193">
        <f>IF(A126&lt;&gt;"Biogas",IFERROR(VLOOKUP(A126,[1]Biogasudbytte!$A$2:$B$18,2,FALSE)*[1]Energiindhold!$C$10,0)*J126*IFERROR(VLOOKUP(A126,Biogasanlæg!$F$3:$G$8,2,FALSE),1)+IFERROR(VLOOKUP(A126,[1]Energiindhold!$A$2:$C$11,3,FALSE),0)*L126+IF(D126&lt;&gt;År1,Q126,0),0)</f>
        <v>0</v>
      </c>
      <c r="S126" s="193">
        <f>IFERROR(VLOOKUP(A126,[1]Biogasudbytte!$A$2:$B$18,2,FALSE)*[1]Energiindhold!$C$10,0)*J126*IFERROR(VLOOKUP(A126,Biogasanlæg!$F$3:$G$8,2,FALSE),1)</f>
        <v>0</v>
      </c>
      <c r="T126" s="194">
        <f t="shared" si="25"/>
        <v>0</v>
      </c>
      <c r="U126" s="192">
        <f>O126*IFERROR(VLOOKUP(A126,[1]Tørstofindhold!A$2:B$25,2,FALSE),0)</f>
        <v>0</v>
      </c>
      <c r="V126" s="193">
        <f>IF(D126=År1,P126,SUM(O126,P126))*IFERROR(VLOOKUP(A126,[1]Tørstofindhold!A$2:B$25,2,FALSE),0)</f>
        <v>0</v>
      </c>
      <c r="W126" s="193">
        <f>J126*IFERROR(VLOOKUP(A126,[1]Tørstofindhold!A$2:B$25,2,FALSE),0)</f>
        <v>0</v>
      </c>
      <c r="X126" s="194">
        <f t="shared" si="26"/>
        <v>0</v>
      </c>
      <c r="Y126" s="172">
        <f t="shared" si="21"/>
        <v>0</v>
      </c>
      <c r="Z126" s="104">
        <f t="shared" si="22"/>
        <v>1</v>
      </c>
    </row>
    <row r="127" spans="1:26" x14ac:dyDescent="0.55000000000000004">
      <c r="A127" s="195" t="str">
        <f t="shared" si="33"/>
        <v>Muslinger</v>
      </c>
      <c r="B127" s="195" t="str">
        <f t="shared" si="34"/>
        <v>Havbiomasse</v>
      </c>
      <c r="C127" s="195">
        <f>IF(COUNTIFS('Resultater - Danmark'!$D$3:$D$482,'Resultat-Produktion &amp; forbrug'!A127,'Resultater - Danmark'!$A$3:$A$482,"Til energi")+COUNTIFS('Resultater - Danmark'!$D$3:$D$482,'Resultat-Produktion &amp; forbrug'!A127,'Resultater - Danmark'!$A$3:$A$482,"Biogasanlæg")&gt;0,1,0)</f>
        <v>1</v>
      </c>
      <c r="D127" s="195">
        <f t="shared" si="35"/>
        <v>2050</v>
      </c>
      <c r="E127" s="193" t="s">
        <v>23</v>
      </c>
      <c r="F127" s="196">
        <f>IF(E127="Vestdanmark",SUMIFS(IF(D127=År1,'Resultater - Vestdanmark'!H$3:H$482,IF(D127=År2,'Resultater - Vestdanmark'!I$3:I$482,'Resultater - Vestdanmark'!J$3:J$482)),'Resultater - Vestdanmark'!$F$3:$F$482,$A127,IF(D127=År1,'Resultater - Vestdanmark'!H$3:H$482,IF(D127=År2,'Resultater - Vestdanmark'!I$3:I$482,'Resultater - Vestdanmark'!J$3:J$482)),"&gt;0"),SUMIFS(IF(D127=År1,'Resultater - Østdanmark'!H$3:H$482,IF(D127=År2,'Resultater - Østdanmark'!I$3:I$482,'Resultater - Østdanmark'!J$3:J$482)),'Resultater - Østdanmark'!$F$3:$F$482,$A127,IF(D127=År1,'Resultater - Østdanmark'!H$3:H$482,IF(D127=År2,'Resultater - Østdanmark'!I$3:I$482,'Resultater - Østdanmark'!J$3:J$482)),"&gt;0"))</f>
        <v>194761.7983669767</v>
      </c>
      <c r="G127" s="196">
        <f>SUMIFS('Forbrug af biomasse'!$E$2:$E$425,'Forbrug af biomasse'!$C$2:$C$425,'Resultat-Produktion &amp; forbrug'!$A127,'Forbrug af biomasse'!$D$2:$D$425,'Resultat-Produktion &amp; forbrug'!$D127,'Forbrug af biomasse'!$A$2:$A$425,'Resultat-Produktion &amp; forbrug'!G$2,'Forbrug af biomasse'!$B$2:$B$425,$E127)</f>
        <v>0</v>
      </c>
      <c r="H127" s="193">
        <f>IF(E127="Vestdanmark",-IF(A127="Halm",SUMIFS(IF(D127=År1,'Resultater - Vestdanmark'!H$3:H$482,IF(D127=År2,'Resultater - Vestdanmark'!I$3:I$482,'Resultater - Vestdanmark'!J$3:J$482)),'Resultater - Vestdanmark'!$F$3:$F$482,$A127,'Resultater - Vestdanmark'!H$3:H$482,"&lt;0"),0),-IF(A127="Halm",SUMIFS(IF(D127=År1,'Resultater - Østdanmark'!H$3:H$482,IF(D127=År2,'Resultater - Østdanmark'!I$3:I$482,'Resultater - Østdanmark'!J$3:J$482)),'Resultater - Østdanmark'!$F$3:$F$482,$A127,'Resultater - Østdanmark'!H$3:H$482,"&lt;0"),0))</f>
        <v>0</v>
      </c>
      <c r="I127" s="196">
        <f>SUMIFS('Forbrug af biomasse'!$E$2:$E$425,'Forbrug af biomasse'!$C$2:$C$425,'Resultat-Produktion &amp; forbrug'!$A127,'Forbrug af biomasse'!$D$2:$D$425,'Resultat-Produktion &amp; forbrug'!$D127,'Forbrug af biomasse'!$A$2:$A$425,'Resultat-Produktion &amp; forbrug'!I$2,'Forbrug af biomasse'!$B$2:$B$425,$E127)</f>
        <v>0</v>
      </c>
      <c r="J127" s="196">
        <f>SUMIFS('Forbrug af biomasse'!$E$2:$E$425,'Forbrug af biomasse'!$C$2:$C$425,'Resultat-Produktion &amp; forbrug'!$A127,'Forbrug af biomasse'!$D$2:$D$425,'Resultat-Produktion &amp; forbrug'!$D127,'Forbrug af biomasse'!$A$2:$A$425,'Resultat-Produktion &amp; forbrug'!J$2,'Forbrug af biomasse'!$B$2:$B$425,$E127)</f>
        <v>0</v>
      </c>
      <c r="K127" s="196">
        <f>SUMIFS('Forbrug af biomasse'!$E$2:$E$425,'Forbrug af biomasse'!$C$2:$C$425,'Resultat-Produktion &amp; forbrug'!$A127,'Forbrug af biomasse'!$D$2:$D$425,'Resultat-Produktion &amp; forbrug'!$D127,'Forbrug af biomasse'!$A$2:$A$425,'Resultat-Produktion &amp; forbrug'!K$2,'Forbrug af biomasse'!$B$2:$B$425,$E127)</f>
        <v>0</v>
      </c>
      <c r="L127" s="196">
        <f>IF(A127&lt;&gt;"Biogas",SUMIFS('Forbrug af biomasse'!$E$2:$E$425,'Forbrug af biomasse'!$C$2:$C$425,'Resultat-Produktion &amp; forbrug'!$A127,'Forbrug af biomasse'!$D$2:$D$425,'Resultat-Produktion &amp; forbrug'!$D127,'Forbrug af biomasse'!$A$2:$A$425,'Resultat-Produktion &amp; forbrug'!L$2,'Forbrug af biomasse'!$B$2:$B$425,$E127),F127)</f>
        <v>0</v>
      </c>
      <c r="M127" s="158">
        <f>SUMIFS('Forbrug af biomasse'!E:E,'Forbrug af biomasse'!C:C,'Resultat-Produktion &amp; forbrug'!$A127,'Forbrug af biomasse'!D:D,'Resultat-Produktion &amp; forbrug'!$D127,'Forbrug af biomasse'!G:G,1,'Forbrug af biomasse'!B:B,$E127)</f>
        <v>0</v>
      </c>
      <c r="N127" s="205">
        <f t="shared" si="23"/>
        <v>194761.7983669767</v>
      </c>
      <c r="O127" s="196">
        <f t="shared" si="20"/>
        <v>194761.7983669767</v>
      </c>
      <c r="P127" s="206">
        <f t="shared" si="24"/>
        <v>0</v>
      </c>
      <c r="Q127" s="193">
        <f>IFERROR(VLOOKUP(A127,[1]Energiindhold!$A$2:$C$11,3,FALSE),IFERROR(VLOOKUP(A127,[1]Biogasudbytte!$A$2:$B$18,2,FALSE)*[1]Energiindhold!$C$10,0))*O127</f>
        <v>0.17479871403436159</v>
      </c>
      <c r="R127" s="193">
        <f>IF(A127&lt;&gt;"Biogas",IFERROR(VLOOKUP(A127,[1]Biogasudbytte!$A$2:$B$18,2,FALSE)*[1]Energiindhold!$C$10,0)*J127*IFERROR(VLOOKUP(A127,Biogasanlæg!$F$3:$G$8,2,FALSE),1)+IFERROR(VLOOKUP(A127,[1]Energiindhold!$A$2:$C$11,3,FALSE),0)*L127+IF(D127&lt;&gt;År1,Q127,0),0)</f>
        <v>0.17479871403436159</v>
      </c>
      <c r="S127" s="193">
        <f>IFERROR(VLOOKUP(A127,[1]Biogasudbytte!$A$2:$B$18,2,FALSE)*[1]Energiindhold!$C$10,0)*J127*IFERROR(VLOOKUP(A127,Biogasanlæg!$F$3:$G$8,2,FALSE),1)</f>
        <v>0</v>
      </c>
      <c r="T127" s="194">
        <f t="shared" si="25"/>
        <v>0.17479871403436159</v>
      </c>
      <c r="U127" s="192">
        <f>O127*IFERROR(VLOOKUP(A127,[1]Tørstofindhold!A$2:B$25,2,FALSE),0)</f>
        <v>29214.269755046505</v>
      </c>
      <c r="V127" s="193">
        <f>IF(D127=År1,P127,SUM(O127,P127))*IFERROR(VLOOKUP(A127,[1]Tørstofindhold!A$2:B$25,2,FALSE),0)</f>
        <v>29214.269755046505</v>
      </c>
      <c r="W127" s="193">
        <f>J127*IFERROR(VLOOKUP(A127,[1]Tørstofindhold!A$2:B$25,2,FALSE),0)</f>
        <v>0</v>
      </c>
      <c r="X127" s="194">
        <f t="shared" si="26"/>
        <v>29214.269755046505</v>
      </c>
      <c r="Y127" s="172">
        <f t="shared" si="21"/>
        <v>0</v>
      </c>
      <c r="Z127" s="104">
        <f t="shared" si="22"/>
        <v>1</v>
      </c>
    </row>
    <row r="128" spans="1:26" hidden="1" x14ac:dyDescent="0.55000000000000004">
      <c r="A128" s="195" t="str">
        <f t="shared" si="33"/>
        <v>Oksekød</v>
      </c>
      <c r="B128" s="195" t="str">
        <f t="shared" si="34"/>
        <v/>
      </c>
      <c r="C128" s="195">
        <f>IF(COUNTIFS('Resultater - Danmark'!$D$3:$D$482,'Resultat-Produktion &amp; forbrug'!A128,'Resultater - Danmark'!$A$3:$A$482,"Til energi")+COUNTIFS('Resultater - Danmark'!$D$3:$D$482,'Resultat-Produktion &amp; forbrug'!A128,'Resultater - Danmark'!$A$3:$A$482,"Biogasanlæg")&gt;0,1,0)</f>
        <v>0</v>
      </c>
      <c r="D128" s="195">
        <f t="shared" si="35"/>
        <v>2050</v>
      </c>
      <c r="E128" s="193" t="s">
        <v>23</v>
      </c>
      <c r="F128" s="196">
        <f>IF(E128="Vestdanmark",SUMIFS(IF(D128=År1,'Resultater - Vestdanmark'!H$3:H$482,IF(D128=År2,'Resultater - Vestdanmark'!I$3:I$482,'Resultater - Vestdanmark'!J$3:J$482)),'Resultater - Vestdanmark'!$F$3:$F$482,$A128,IF(D128=År1,'Resultater - Vestdanmark'!H$3:H$482,IF(D128=År2,'Resultater - Vestdanmark'!I$3:I$482,'Resultater - Vestdanmark'!J$3:J$482)),"&gt;0"),SUMIFS(IF(D128=År1,'Resultater - Østdanmark'!H$3:H$482,IF(D128=År2,'Resultater - Østdanmark'!I$3:I$482,'Resultater - Østdanmark'!J$3:J$482)),'Resultater - Østdanmark'!$F$3:$F$482,$A128,IF(D128=År1,'Resultater - Østdanmark'!H$3:H$482,IF(D128=År2,'Resultater - Østdanmark'!I$3:I$482,'Resultater - Østdanmark'!J$3:J$482)),"&gt;0"))</f>
        <v>102788.11573768182</v>
      </c>
      <c r="G128" s="196">
        <f>SUMIFS('Forbrug af biomasse'!$E$2:$E$425,'Forbrug af biomasse'!$C$2:$C$425,'Resultat-Produktion &amp; forbrug'!$A128,'Forbrug af biomasse'!$D$2:$D$425,'Resultat-Produktion &amp; forbrug'!$D128,'Forbrug af biomasse'!$A$2:$A$425,'Resultat-Produktion &amp; forbrug'!G$2,'Forbrug af biomasse'!$B$2:$B$425,$E128)</f>
        <v>0</v>
      </c>
      <c r="H128" s="193">
        <f>IF(E128="Vestdanmark",-IF(A128="Halm",SUMIFS(IF(D128=År1,'Resultater - Vestdanmark'!H$3:H$482,IF(D128=År2,'Resultater - Vestdanmark'!I$3:I$482,'Resultater - Vestdanmark'!J$3:J$482)),'Resultater - Vestdanmark'!$F$3:$F$482,$A128,'Resultater - Vestdanmark'!H$3:H$482,"&lt;0"),0),-IF(A128="Halm",SUMIFS(IF(D128=År1,'Resultater - Østdanmark'!H$3:H$482,IF(D128=År2,'Resultater - Østdanmark'!I$3:I$482,'Resultater - Østdanmark'!J$3:J$482)),'Resultater - Østdanmark'!$F$3:$F$482,$A128,'Resultater - Østdanmark'!H$3:H$482,"&lt;0"),0))</f>
        <v>0</v>
      </c>
      <c r="I128" s="196">
        <f>SUMIFS('Forbrug af biomasse'!$E$2:$E$425,'Forbrug af biomasse'!$C$2:$C$425,'Resultat-Produktion &amp; forbrug'!$A128,'Forbrug af biomasse'!$D$2:$D$425,'Resultat-Produktion &amp; forbrug'!$D128,'Forbrug af biomasse'!$A$2:$A$425,'Resultat-Produktion &amp; forbrug'!I$2,'Forbrug af biomasse'!$B$2:$B$425,$E128)</f>
        <v>62368.567673274578</v>
      </c>
      <c r="J128" s="196">
        <f>SUMIFS('Forbrug af biomasse'!$E$2:$E$425,'Forbrug af biomasse'!$C$2:$C$425,'Resultat-Produktion &amp; forbrug'!$A128,'Forbrug af biomasse'!$D$2:$D$425,'Resultat-Produktion &amp; forbrug'!$D128,'Forbrug af biomasse'!$A$2:$A$425,'Resultat-Produktion &amp; forbrug'!J$2,'Forbrug af biomasse'!$B$2:$B$425,$E128)</f>
        <v>0</v>
      </c>
      <c r="K128" s="196">
        <f>SUMIFS('Forbrug af biomasse'!$E$2:$E$425,'Forbrug af biomasse'!$C$2:$C$425,'Resultat-Produktion &amp; forbrug'!$A128,'Forbrug af biomasse'!$D$2:$D$425,'Resultat-Produktion &amp; forbrug'!$D128,'Forbrug af biomasse'!$A$2:$A$425,'Resultat-Produktion &amp; forbrug'!K$2,'Forbrug af biomasse'!$B$2:$B$425,$E128)</f>
        <v>0</v>
      </c>
      <c r="L128" s="196">
        <f>IF(A128&lt;&gt;"Biogas",SUMIFS('Forbrug af biomasse'!$E$2:$E$425,'Forbrug af biomasse'!$C$2:$C$425,'Resultat-Produktion &amp; forbrug'!$A128,'Forbrug af biomasse'!$D$2:$D$425,'Resultat-Produktion &amp; forbrug'!$D128,'Forbrug af biomasse'!$A$2:$A$425,'Resultat-Produktion &amp; forbrug'!L$2,'Forbrug af biomasse'!$B$2:$B$425,$E128),F128)</f>
        <v>0</v>
      </c>
      <c r="M128" s="158">
        <f>SUMIFS('Forbrug af biomasse'!E:E,'Forbrug af biomasse'!C:C,'Resultat-Produktion &amp; forbrug'!$A128,'Forbrug af biomasse'!D:D,'Resultat-Produktion &amp; forbrug'!$D128,'Forbrug af biomasse'!G:G,1,'Forbrug af biomasse'!B:B,$E128)</f>
        <v>0</v>
      </c>
      <c r="N128" s="205">
        <f t="shared" si="23"/>
        <v>40419.548064407238</v>
      </c>
      <c r="O128" s="196">
        <f t="shared" si="20"/>
        <v>0</v>
      </c>
      <c r="P128" s="206">
        <f t="shared" si="24"/>
        <v>0</v>
      </c>
      <c r="Q128" s="193">
        <f>IFERROR(VLOOKUP(A128,[1]Energiindhold!$A$2:$C$11,3,FALSE),IFERROR(VLOOKUP(A128,[1]Biogasudbytte!$A$2:$B$18,2,FALSE)*[1]Energiindhold!$C$10,0))*O128</f>
        <v>0</v>
      </c>
      <c r="R128" s="193">
        <f>IF(A128&lt;&gt;"Biogas",IFERROR(VLOOKUP(A128,[1]Biogasudbytte!$A$2:$B$18,2,FALSE)*[1]Energiindhold!$C$10,0)*J128*IFERROR(VLOOKUP(A128,Biogasanlæg!$F$3:$G$8,2,FALSE),1)+IFERROR(VLOOKUP(A128,[1]Energiindhold!$A$2:$C$11,3,FALSE),0)*L128+IF(D128&lt;&gt;År1,Q128,0),0)</f>
        <v>0</v>
      </c>
      <c r="S128" s="193">
        <f>IFERROR(VLOOKUP(A128,[1]Biogasudbytte!$A$2:$B$18,2,FALSE)*[1]Energiindhold!$C$10,0)*J128*IFERROR(VLOOKUP(A128,Biogasanlæg!$F$3:$G$8,2,FALSE),1)</f>
        <v>0</v>
      </c>
      <c r="T128" s="194">
        <f t="shared" si="25"/>
        <v>0</v>
      </c>
      <c r="U128" s="192">
        <f>O128*IFERROR(VLOOKUP(A128,[1]Tørstofindhold!A$2:B$25,2,FALSE),0)</f>
        <v>0</v>
      </c>
      <c r="V128" s="193">
        <f>IF(D128=År1,P128,SUM(O128,P128))*IFERROR(VLOOKUP(A128,[1]Tørstofindhold!A$2:B$25,2,FALSE),0)</f>
        <v>0</v>
      </c>
      <c r="W128" s="193">
        <f>J128*IFERROR(VLOOKUP(A128,[1]Tørstofindhold!A$2:B$25,2,FALSE),0)</f>
        <v>0</v>
      </c>
      <c r="X128" s="194">
        <f t="shared" si="26"/>
        <v>0</v>
      </c>
      <c r="Y128" s="172">
        <f t="shared" si="21"/>
        <v>1</v>
      </c>
      <c r="Z128" s="104">
        <f t="shared" si="22"/>
        <v>0</v>
      </c>
    </row>
    <row r="129" spans="1:26" hidden="1" x14ac:dyDescent="0.55000000000000004">
      <c r="A129" s="195" t="str">
        <f t="shared" si="33"/>
        <v>Øvrige</v>
      </c>
      <c r="B129" s="195" t="str">
        <f t="shared" si="34"/>
        <v/>
      </c>
      <c r="C129" s="195">
        <f>IF(COUNTIFS('Resultater - Danmark'!$D$3:$D$482,'Resultat-Produktion &amp; forbrug'!A129,'Resultater - Danmark'!$A$3:$A$482,"Til energi")+COUNTIFS('Resultater - Danmark'!$D$3:$D$482,'Resultat-Produktion &amp; forbrug'!A129,'Resultater - Danmark'!$A$3:$A$482,"Biogasanlæg")&gt;0,1,0)</f>
        <v>0</v>
      </c>
      <c r="D129" s="195">
        <f t="shared" si="35"/>
        <v>2050</v>
      </c>
      <c r="E129" s="193" t="s">
        <v>23</v>
      </c>
      <c r="F129" s="196">
        <f>IF(E129="Vestdanmark",SUMIFS(IF(D129=År1,'Resultater - Vestdanmark'!H$3:H$482,IF(D129=År2,'Resultater - Vestdanmark'!I$3:I$482,'Resultater - Vestdanmark'!J$3:J$482)),'Resultater - Vestdanmark'!$F$3:$F$482,$A129,IF(D129=År1,'Resultater - Vestdanmark'!H$3:H$482,IF(D129=År2,'Resultater - Vestdanmark'!I$3:I$482,'Resultater - Vestdanmark'!J$3:J$482)),"&gt;0"),SUMIFS(IF(D129=År1,'Resultater - Østdanmark'!H$3:H$482,IF(D129=År2,'Resultater - Østdanmark'!I$3:I$482,'Resultater - Østdanmark'!J$3:J$482)),'Resultater - Østdanmark'!$F$3:$F$482,$A129,IF(D129=År1,'Resultater - Østdanmark'!H$3:H$482,IF(D129=År2,'Resultater - Østdanmark'!I$3:I$482,'Resultater - Østdanmark'!J$3:J$482)),"&gt;0"))</f>
        <v>1623142.2943438755</v>
      </c>
      <c r="G129" s="196">
        <f>SUMIFS('Forbrug af biomasse'!$E$2:$E$425,'Forbrug af biomasse'!$C$2:$C$425,'Resultat-Produktion &amp; forbrug'!$A129,'Forbrug af biomasse'!$D$2:$D$425,'Resultat-Produktion &amp; forbrug'!$D129,'Forbrug af biomasse'!$A$2:$A$425,'Resultat-Produktion &amp; forbrug'!G$2,'Forbrug af biomasse'!$B$2:$B$425,$E129)</f>
        <v>0</v>
      </c>
      <c r="H129" s="193">
        <f>IF(E129="Vestdanmark",-IF(A129="Halm",SUMIFS(IF(D129=År1,'Resultater - Vestdanmark'!H$3:H$482,IF(D129=År2,'Resultater - Vestdanmark'!I$3:I$482,'Resultater - Vestdanmark'!J$3:J$482)),'Resultater - Vestdanmark'!$F$3:$F$482,$A129,'Resultater - Vestdanmark'!H$3:H$482,"&lt;0"),0),-IF(A129="Halm",SUMIFS(IF(D129=År1,'Resultater - Østdanmark'!H$3:H$482,IF(D129=År2,'Resultater - Østdanmark'!I$3:I$482,'Resultater - Østdanmark'!J$3:J$482)),'Resultater - Østdanmark'!$F$3:$F$482,$A129,'Resultater - Østdanmark'!H$3:H$482,"&lt;0"),0))</f>
        <v>0</v>
      </c>
      <c r="I129" s="196">
        <f>SUMIFS('Forbrug af biomasse'!$E$2:$E$425,'Forbrug af biomasse'!$C$2:$C$425,'Resultat-Produktion &amp; forbrug'!$A129,'Forbrug af biomasse'!$D$2:$D$425,'Resultat-Produktion &amp; forbrug'!$D129,'Forbrug af biomasse'!$A$2:$A$425,'Resultat-Produktion &amp; forbrug'!I$2,'Forbrug af biomasse'!$B$2:$B$425,$E129)</f>
        <v>0</v>
      </c>
      <c r="J129" s="196">
        <f>SUMIFS('Forbrug af biomasse'!$E$2:$E$425,'Forbrug af biomasse'!$C$2:$C$425,'Resultat-Produktion &amp; forbrug'!$A129,'Forbrug af biomasse'!$D$2:$D$425,'Resultat-Produktion &amp; forbrug'!$D129,'Forbrug af biomasse'!$A$2:$A$425,'Resultat-Produktion &amp; forbrug'!J$2,'Forbrug af biomasse'!$B$2:$B$425,$E129)</f>
        <v>0</v>
      </c>
      <c r="K129" s="196">
        <f>SUMIFS('Forbrug af biomasse'!$E$2:$E$425,'Forbrug af biomasse'!$C$2:$C$425,'Resultat-Produktion &amp; forbrug'!$A129,'Forbrug af biomasse'!$D$2:$D$425,'Resultat-Produktion &amp; forbrug'!$D129,'Forbrug af biomasse'!$A$2:$A$425,'Resultat-Produktion &amp; forbrug'!K$2,'Forbrug af biomasse'!$B$2:$B$425,$E129)</f>
        <v>0</v>
      </c>
      <c r="L129" s="196">
        <f>IF(A129&lt;&gt;"Biogas",SUMIFS('Forbrug af biomasse'!$E$2:$E$425,'Forbrug af biomasse'!$C$2:$C$425,'Resultat-Produktion &amp; forbrug'!$A129,'Forbrug af biomasse'!$D$2:$D$425,'Resultat-Produktion &amp; forbrug'!$D129,'Forbrug af biomasse'!$A$2:$A$425,'Resultat-Produktion &amp; forbrug'!L$2,'Forbrug af biomasse'!$B$2:$B$425,$E129),F129)</f>
        <v>0</v>
      </c>
      <c r="M129" s="158">
        <f>SUMIFS('Forbrug af biomasse'!E:E,'Forbrug af biomasse'!C:C,'Resultat-Produktion &amp; forbrug'!$A129,'Forbrug af biomasse'!D:D,'Resultat-Produktion &amp; forbrug'!$D129,'Forbrug af biomasse'!G:G,1,'Forbrug af biomasse'!B:B,$E129)</f>
        <v>0</v>
      </c>
      <c r="N129" s="205">
        <f t="shared" si="23"/>
        <v>1623142.2943438755</v>
      </c>
      <c r="O129" s="196">
        <f t="shared" si="20"/>
        <v>0</v>
      </c>
      <c r="P129" s="206">
        <f t="shared" si="24"/>
        <v>0</v>
      </c>
      <c r="Q129" s="193">
        <f>IFERROR(VLOOKUP(A129,[1]Energiindhold!$A$2:$C$11,3,FALSE),IFERROR(VLOOKUP(A129,[1]Biogasudbytte!$A$2:$B$18,2,FALSE)*[1]Energiindhold!$C$10,0))*O129</f>
        <v>0</v>
      </c>
      <c r="R129" s="193">
        <f>IF(A129&lt;&gt;"Biogas",IFERROR(VLOOKUP(A129,[1]Biogasudbytte!$A$2:$B$18,2,FALSE)*[1]Energiindhold!$C$10,0)*J129*IFERROR(VLOOKUP(A129,Biogasanlæg!$F$3:$G$8,2,FALSE),1)+IFERROR(VLOOKUP(A129,[1]Energiindhold!$A$2:$C$11,3,FALSE),0)*L129+IF(D129&lt;&gt;År1,Q129,0),0)</f>
        <v>0</v>
      </c>
      <c r="S129" s="193">
        <f>IFERROR(VLOOKUP(A129,[1]Biogasudbytte!$A$2:$B$18,2,FALSE)*[1]Energiindhold!$C$10,0)*J129*IFERROR(VLOOKUP(A129,Biogasanlæg!$F$3:$G$8,2,FALSE),1)</f>
        <v>0</v>
      </c>
      <c r="T129" s="194">
        <f t="shared" si="25"/>
        <v>0</v>
      </c>
      <c r="U129" s="192">
        <f>O129*IFERROR(VLOOKUP(A129,[1]Tørstofindhold!A$2:B$25,2,FALSE),0)</f>
        <v>0</v>
      </c>
      <c r="V129" s="193">
        <f>IF(D129=År1,P129,SUM(O129,P129))*IFERROR(VLOOKUP(A129,[1]Tørstofindhold!A$2:B$25,2,FALSE),0)</f>
        <v>0</v>
      </c>
      <c r="W129" s="193">
        <f>J129*IFERROR(VLOOKUP(A129,[1]Tørstofindhold!A$2:B$25,2,FALSE),0)</f>
        <v>0</v>
      </c>
      <c r="X129" s="194">
        <f t="shared" si="26"/>
        <v>0</v>
      </c>
      <c r="Y129" s="172">
        <f t="shared" si="21"/>
        <v>0</v>
      </c>
      <c r="Z129" s="104">
        <f t="shared" si="22"/>
        <v>1</v>
      </c>
    </row>
    <row r="130" spans="1:26" hidden="1" x14ac:dyDescent="0.55000000000000004">
      <c r="A130" s="195" t="str">
        <f t="shared" si="33"/>
        <v>Pil &amp; poppel</v>
      </c>
      <c r="B130" s="195" t="str">
        <f t="shared" si="34"/>
        <v>Vedmasse</v>
      </c>
      <c r="C130" s="195">
        <f>IF(COUNTIFS('Resultater - Danmark'!$D$3:$D$482,'Resultat-Produktion &amp; forbrug'!A130,'Resultater - Danmark'!$A$3:$A$482,"Til energi")+COUNTIFS('Resultater - Danmark'!$D$3:$D$482,'Resultat-Produktion &amp; forbrug'!A130,'Resultater - Danmark'!$A$3:$A$482,"Biogasanlæg")&gt;0,1,0)</f>
        <v>1</v>
      </c>
      <c r="D130" s="195">
        <f t="shared" si="35"/>
        <v>2050</v>
      </c>
      <c r="E130" s="193" t="s">
        <v>23</v>
      </c>
      <c r="F130" s="196">
        <f>IF(E130="Vestdanmark",SUMIFS(IF(D130=År1,'Resultater - Vestdanmark'!H$3:H$482,IF(D130=År2,'Resultater - Vestdanmark'!I$3:I$482,'Resultater - Vestdanmark'!J$3:J$482)),'Resultater - Vestdanmark'!$F$3:$F$482,$A130,IF(D130=År1,'Resultater - Vestdanmark'!H$3:H$482,IF(D130=År2,'Resultater - Vestdanmark'!I$3:I$482,'Resultater - Vestdanmark'!J$3:J$482)),"&gt;0"),SUMIFS(IF(D130=År1,'Resultater - Østdanmark'!H$3:H$482,IF(D130=År2,'Resultater - Østdanmark'!I$3:I$482,'Resultater - Østdanmark'!J$3:J$482)),'Resultater - Østdanmark'!$F$3:$F$482,$A130,IF(D130=År1,'Resultater - Østdanmark'!H$3:H$482,IF(D130=År2,'Resultater - Østdanmark'!I$3:I$482,'Resultater - Østdanmark'!J$3:J$482)),"&gt;0"))</f>
        <v>171775.11908496951</v>
      </c>
      <c r="G130" s="196">
        <f>SUMIFS('Forbrug af biomasse'!$E$2:$E$425,'Forbrug af biomasse'!$C$2:$C$425,'Resultat-Produktion &amp; forbrug'!$A130,'Forbrug af biomasse'!$D$2:$D$425,'Resultat-Produktion &amp; forbrug'!$D130,'Forbrug af biomasse'!$A$2:$A$425,'Resultat-Produktion &amp; forbrug'!G$2,'Forbrug af biomasse'!$B$2:$B$425,$E130)</f>
        <v>0</v>
      </c>
      <c r="H130" s="193">
        <f>IF(E130="Vestdanmark",-IF(A130="Halm",SUMIFS(IF(D130=År1,'Resultater - Vestdanmark'!H$3:H$482,IF(D130=År2,'Resultater - Vestdanmark'!I$3:I$482,'Resultater - Vestdanmark'!J$3:J$482)),'Resultater - Vestdanmark'!$F$3:$F$482,$A130,'Resultater - Vestdanmark'!H$3:H$482,"&lt;0"),0),-IF(A130="Halm",SUMIFS(IF(D130=År1,'Resultater - Østdanmark'!H$3:H$482,IF(D130=År2,'Resultater - Østdanmark'!I$3:I$482,'Resultater - Østdanmark'!J$3:J$482)),'Resultater - Østdanmark'!$F$3:$F$482,$A130,'Resultater - Østdanmark'!H$3:H$482,"&lt;0"),0))</f>
        <v>0</v>
      </c>
      <c r="I130" s="196">
        <f>SUMIFS('Forbrug af biomasse'!$E$2:$E$425,'Forbrug af biomasse'!$C$2:$C$425,'Resultat-Produktion &amp; forbrug'!$A130,'Forbrug af biomasse'!$D$2:$D$425,'Resultat-Produktion &amp; forbrug'!$D130,'Forbrug af biomasse'!$A$2:$A$425,'Resultat-Produktion &amp; forbrug'!I$2,'Forbrug af biomasse'!$B$2:$B$425,$E130)</f>
        <v>0</v>
      </c>
      <c r="J130" s="196">
        <f>SUMIFS('Forbrug af biomasse'!$E$2:$E$425,'Forbrug af biomasse'!$C$2:$C$425,'Resultat-Produktion &amp; forbrug'!$A130,'Forbrug af biomasse'!$D$2:$D$425,'Resultat-Produktion &amp; forbrug'!$D130,'Forbrug af biomasse'!$A$2:$A$425,'Resultat-Produktion &amp; forbrug'!J$2,'Forbrug af biomasse'!$B$2:$B$425,$E130)</f>
        <v>0</v>
      </c>
      <c r="K130" s="196">
        <f>SUMIFS('Forbrug af biomasse'!$E$2:$E$425,'Forbrug af biomasse'!$C$2:$C$425,'Resultat-Produktion &amp; forbrug'!$A130,'Forbrug af biomasse'!$D$2:$D$425,'Resultat-Produktion &amp; forbrug'!$D130,'Forbrug af biomasse'!$A$2:$A$425,'Resultat-Produktion &amp; forbrug'!K$2,'Forbrug af biomasse'!$B$2:$B$425,$E130)</f>
        <v>0</v>
      </c>
      <c r="L130" s="196">
        <f>IF(A130&lt;&gt;"Biogas",SUMIFS('Forbrug af biomasse'!$E$2:$E$425,'Forbrug af biomasse'!$C$2:$C$425,'Resultat-Produktion &amp; forbrug'!$A130,'Forbrug af biomasse'!$D$2:$D$425,'Resultat-Produktion &amp; forbrug'!$D130,'Forbrug af biomasse'!$A$2:$A$425,'Resultat-Produktion &amp; forbrug'!L$2,'Forbrug af biomasse'!$B$2:$B$425,$E130),F130)</f>
        <v>171775.11908496951</v>
      </c>
      <c r="M130" s="158">
        <f>SUMIFS('Forbrug af biomasse'!E:E,'Forbrug af biomasse'!C:C,'Resultat-Produktion &amp; forbrug'!$A130,'Forbrug af biomasse'!D:D,'Resultat-Produktion &amp; forbrug'!$D130,'Forbrug af biomasse'!G:G,1,'Forbrug af biomasse'!B:B,$E130)</f>
        <v>0</v>
      </c>
      <c r="N130" s="205">
        <f t="shared" si="23"/>
        <v>0</v>
      </c>
      <c r="O130" s="196">
        <f t="shared" si="20"/>
        <v>0</v>
      </c>
      <c r="P130" s="206">
        <f t="shared" si="24"/>
        <v>171775.11908496951</v>
      </c>
      <c r="Q130" s="193">
        <f>IFERROR(VLOOKUP(A130,[1]Energiindhold!$A$2:$C$11,3,FALSE),IFERROR(VLOOKUP(A130,[1]Biogasudbytte!$A$2:$B$18,2,FALSE)*[1]Energiindhold!$C$10,0))*O130</f>
        <v>0</v>
      </c>
      <c r="R130" s="193">
        <f>IF(A130&lt;&gt;"Biogas",IFERROR(VLOOKUP(A130,[1]Biogasudbytte!$A$2:$B$18,2,FALSE)*[1]Energiindhold!$C$10,0)*J130*IFERROR(VLOOKUP(A130,Biogasanlæg!$F$3:$G$8,2,FALSE),1)+IFERROR(VLOOKUP(A130,[1]Energiindhold!$A$2:$C$11,3,FALSE),0)*L130+IF(D130&lt;&gt;År1,Q130,0),0)</f>
        <v>3.1606621911634383</v>
      </c>
      <c r="S130" s="193">
        <f>IFERROR(VLOOKUP(A130,[1]Biogasudbytte!$A$2:$B$18,2,FALSE)*[1]Energiindhold!$C$10,0)*J130*IFERROR(VLOOKUP(A130,Biogasanlæg!$F$3:$G$8,2,FALSE),1)</f>
        <v>0</v>
      </c>
      <c r="T130" s="194">
        <f t="shared" si="25"/>
        <v>3.1606621911634383</v>
      </c>
      <c r="U130" s="192">
        <f>O130*IFERROR(VLOOKUP(A130,[1]Tørstofindhold!A$2:B$25,2,FALSE),0)</f>
        <v>0</v>
      </c>
      <c r="V130" s="193">
        <f>IF(D130=År1,P130,SUM(O130,P130))*IFERROR(VLOOKUP(A130,[1]Tørstofindhold!A$2:B$25,2,FALSE),0)</f>
        <v>71286.674420262352</v>
      </c>
      <c r="W130" s="193">
        <f>J130*IFERROR(VLOOKUP(A130,[1]Tørstofindhold!A$2:B$25,2,FALSE),0)</f>
        <v>0</v>
      </c>
      <c r="X130" s="194">
        <f t="shared" si="26"/>
        <v>71286.674420262352</v>
      </c>
      <c r="Y130" s="172">
        <f t="shared" si="21"/>
        <v>0</v>
      </c>
      <c r="Z130" s="104">
        <f t="shared" si="22"/>
        <v>0</v>
      </c>
    </row>
    <row r="131" spans="1:26" hidden="1" x14ac:dyDescent="0.55000000000000004">
      <c r="A131" s="195" t="str">
        <f t="shared" ref="A131:A132" si="36">A83</f>
        <v>Pyrolysegas</v>
      </c>
      <c r="B131" s="195" t="str">
        <f t="shared" ref="B131:B132" si="37">IF(B83&lt;&gt;"",B83,"")</f>
        <v>Pyrolyseprodukter</v>
      </c>
      <c r="C131" s="195">
        <f>IF(COUNTIFS('Resultater - Danmark'!$D$3:$D$482,'Resultat-Produktion &amp; forbrug'!A131,'Resultater - Danmark'!$A$3:$A$482,"Til energi")+COUNTIFS('Resultater - Danmark'!$D$3:$D$482,'Resultat-Produktion &amp; forbrug'!A131,'Resultater - Danmark'!$A$3:$A$482,"Biogasanlæg")&gt;0,1,0)</f>
        <v>1</v>
      </c>
      <c r="D131" s="195">
        <f t="shared" si="35"/>
        <v>2050</v>
      </c>
      <c r="E131" s="193" t="s">
        <v>23</v>
      </c>
      <c r="F131" s="196">
        <f>IF(E131="Vestdanmark",SUMIFS(IF(D131=År1,'Resultater - Vestdanmark'!H$3:H$482,IF(D131=År2,'Resultater - Vestdanmark'!I$3:I$482,'Resultater - Vestdanmark'!J$3:J$482)),'Resultater - Vestdanmark'!$F$3:$F$482,$A131,IF(D131=År1,'Resultater - Vestdanmark'!H$3:H$482,IF(D131=År2,'Resultater - Vestdanmark'!I$3:I$482,'Resultater - Vestdanmark'!J$3:J$482)),"&gt;0"),SUMIFS(IF(D131=År1,'Resultater - Østdanmark'!H$3:H$482,IF(D131=År2,'Resultater - Østdanmark'!I$3:I$482,'Resultater - Østdanmark'!J$3:J$482)),'Resultater - Østdanmark'!$F$3:$F$482,$A131,IF(D131=År1,'Resultater - Østdanmark'!H$3:H$482,IF(D131=År2,'Resultater - Østdanmark'!I$3:I$482,'Resultater - Østdanmark'!J$3:J$482)),"&gt;0"))</f>
        <v>0</v>
      </c>
      <c r="G131" s="196">
        <f>SUMIFS('Forbrug af biomasse'!$E$2:$E$425,'Forbrug af biomasse'!$C$2:$C$425,'Resultat-Produktion &amp; forbrug'!$A131,'Forbrug af biomasse'!$D$2:$D$425,'Resultat-Produktion &amp; forbrug'!$D131,'Forbrug af biomasse'!$A$2:$A$425,'Resultat-Produktion &amp; forbrug'!G$2,'Forbrug af biomasse'!$B$2:$B$425,$E131)</f>
        <v>0</v>
      </c>
      <c r="H131" s="193">
        <f>IF(E131="Vestdanmark",-IF(A131="Halm",SUMIFS(IF(D131=År1,'Resultater - Vestdanmark'!H$3:H$482,IF(D131=År2,'Resultater - Vestdanmark'!I$3:I$482,'Resultater - Vestdanmark'!J$3:J$482)),'Resultater - Vestdanmark'!$F$3:$F$482,$A131,'Resultater - Vestdanmark'!H$3:H$482,"&lt;0"),0),-IF(A131="Halm",SUMIFS(IF(D131=År1,'Resultater - Østdanmark'!H$3:H$482,IF(D131=År2,'Resultater - Østdanmark'!I$3:I$482,'Resultater - Østdanmark'!J$3:J$482)),'Resultater - Østdanmark'!$F$3:$F$482,$A131,'Resultater - Østdanmark'!H$3:H$482,"&lt;0"),0))</f>
        <v>0</v>
      </c>
      <c r="I131" s="196">
        <f>SUMIFS('Forbrug af biomasse'!$E$2:$E$425,'Forbrug af biomasse'!$C$2:$C$425,'Resultat-Produktion &amp; forbrug'!$A131,'Forbrug af biomasse'!$D$2:$D$425,'Resultat-Produktion &amp; forbrug'!$D131,'Forbrug af biomasse'!$A$2:$A$425,'Resultat-Produktion &amp; forbrug'!I$2,'Forbrug af biomasse'!$B$2:$B$425,$E131)</f>
        <v>0</v>
      </c>
      <c r="J131" s="196">
        <f>SUMIFS('Forbrug af biomasse'!$E$2:$E$425,'Forbrug af biomasse'!$C$2:$C$425,'Resultat-Produktion &amp; forbrug'!$A131,'Forbrug af biomasse'!$D$2:$D$425,'Resultat-Produktion &amp; forbrug'!$D131,'Forbrug af biomasse'!$A$2:$A$425,'Resultat-Produktion &amp; forbrug'!J$2,'Forbrug af biomasse'!$B$2:$B$425,$E131)</f>
        <v>0</v>
      </c>
      <c r="K131" s="196">
        <f>SUMIFS('Forbrug af biomasse'!$E$2:$E$425,'Forbrug af biomasse'!$C$2:$C$425,'Resultat-Produktion &amp; forbrug'!$A131,'Forbrug af biomasse'!$D$2:$D$425,'Resultat-Produktion &amp; forbrug'!$D131,'Forbrug af biomasse'!$A$2:$A$425,'Resultat-Produktion &amp; forbrug'!K$2,'Forbrug af biomasse'!$B$2:$B$425,$E131)</f>
        <v>0</v>
      </c>
      <c r="L131" s="196">
        <f>IF(A131&lt;&gt;"Biogas",SUMIFS('Forbrug af biomasse'!$E$2:$E$425,'Forbrug af biomasse'!$C$2:$C$425,'Resultat-Produktion &amp; forbrug'!$A131,'Forbrug af biomasse'!$D$2:$D$425,'Resultat-Produktion &amp; forbrug'!$D131,'Forbrug af biomasse'!$A$2:$A$425,'Resultat-Produktion &amp; forbrug'!L$2,'Forbrug af biomasse'!$B$2:$B$425,$E131),F131)</f>
        <v>0</v>
      </c>
      <c r="M131" s="158">
        <f>SUMIFS('Forbrug af biomasse'!E:E,'Forbrug af biomasse'!C:C,'Resultat-Produktion &amp; forbrug'!$A131,'Forbrug af biomasse'!D:D,'Resultat-Produktion &amp; forbrug'!$D131,'Forbrug af biomasse'!G:G,1,'Forbrug af biomasse'!B:B,$E131)</f>
        <v>0</v>
      </c>
      <c r="N131" s="205">
        <f t="shared" ref="N131:N132" si="38">F131-SUM(G131:M131)</f>
        <v>0</v>
      </c>
      <c r="O131" s="196">
        <f t="shared" ref="O131:O194" si="39">IF(C131=1,IF(N131+IF(SUMIFS($N$3:$N$290,$A$3:$A$290,A131,$D$3:$D$290,D131,$E$3:$E$290,"&lt;&gt;"&amp;E131)&lt;0,SUMIFS($N$3:$N$290,$A$3:$A$290,A131,$D$3:$D$290,D131,$E$3:$E$290,"&lt;&gt;"&amp;E131),0)&gt;0,N131+IF(SUMIFS($N$3:$N$290,$A$3:$A$290,A131,$D$3:$D$290,D131,$E$3:$E$290,"&lt;&gt;"&amp;E131)&lt;0,SUMIFS($N$3:$N$290,$A$3:$A$290,A131,$D$3:$D$290,D131,$E$3:$E$290,"&lt;&gt;"&amp;E131),0),0),0)</f>
        <v>0</v>
      </c>
      <c r="P131" s="206">
        <f t="shared" ref="P131:P132" si="40">SUM(J131,L131)</f>
        <v>0</v>
      </c>
      <c r="Q131" s="193">
        <f>IFERROR(VLOOKUP(A131,[1]Energiindhold!$A$2:$C$11,3,FALSE),IFERROR(VLOOKUP(A131,[1]Biogasudbytte!$A$2:$B$18,2,FALSE)*[1]Energiindhold!$C$10,0))*O131</f>
        <v>0</v>
      </c>
      <c r="R131" s="193">
        <f>IF(A131&lt;&gt;"Biogas",IFERROR(VLOOKUP(A131,[1]Biogasudbytte!$A$2:$B$18,2,FALSE)*[1]Energiindhold!$C$10,0)*J131*IFERROR(VLOOKUP(A131,Biogasanlæg!$F$3:$G$8,2,FALSE),1)+IFERROR(VLOOKUP(A131,[1]Energiindhold!$A$2:$C$11,3,FALSE),0)*L131+IF(D131&lt;&gt;År1,Q131,0),0)</f>
        <v>0</v>
      </c>
      <c r="S131" s="193">
        <f>IFERROR(VLOOKUP(A131,[1]Biogasudbytte!$A$2:$B$18,2,FALSE)*[1]Energiindhold!$C$10,0)*J131*IFERROR(VLOOKUP(A131,Biogasanlæg!$F$3:$G$8,2,FALSE),1)</f>
        <v>0</v>
      </c>
      <c r="T131" s="194">
        <f t="shared" ref="T131:T132" si="41">R131-S131</f>
        <v>0</v>
      </c>
      <c r="U131" s="192">
        <f>O131*IFERROR(VLOOKUP(A131,[1]Tørstofindhold!A$2:B$25,2,FALSE),0)</f>
        <v>0</v>
      </c>
      <c r="V131" s="193">
        <f>IF(D131=År1,P131,SUM(O131,P131))*IFERROR(VLOOKUP(A131,[1]Tørstofindhold!A$2:B$25,2,FALSE),0)</f>
        <v>0</v>
      </c>
      <c r="W131" s="193">
        <f>J131*IFERROR(VLOOKUP(A131,[1]Tørstofindhold!A$2:B$25,2,FALSE),0)</f>
        <v>0</v>
      </c>
      <c r="X131" s="194">
        <f t="shared" ref="X131:X132" si="42">V131-W131</f>
        <v>0</v>
      </c>
      <c r="Y131" s="172">
        <f t="shared" ref="Y131:Y194" si="43">IF(SUMIFS($N$3:$N$290,$A$3:$A$290,A131,$D$3:$D$290,D131)&lt;0,1,0)</f>
        <v>0</v>
      </c>
      <c r="Z131" s="104">
        <f t="shared" ref="Z131:Z194" si="44">IF(SUMIFS($N$3:$N$290,$A$3:$A$290,A131,$D$3:$D$290,D131)&gt;0,1,0)</f>
        <v>0</v>
      </c>
    </row>
    <row r="132" spans="1:26" hidden="1" x14ac:dyDescent="0.55000000000000004">
      <c r="A132" s="195" t="str">
        <f t="shared" si="36"/>
        <v>Pyrolyseolie</v>
      </c>
      <c r="B132" s="195" t="str">
        <f t="shared" si="37"/>
        <v>Pyrolyseprodukter</v>
      </c>
      <c r="C132" s="195">
        <f>IF(COUNTIFS('Resultater - Danmark'!$D$3:$D$482,'Resultat-Produktion &amp; forbrug'!A132,'Resultater - Danmark'!$A$3:$A$482,"Til energi")+COUNTIFS('Resultater - Danmark'!$D$3:$D$482,'Resultat-Produktion &amp; forbrug'!A132,'Resultater - Danmark'!$A$3:$A$482,"Biogasanlæg")&gt;0,1,0)</f>
        <v>1</v>
      </c>
      <c r="D132" s="195">
        <f t="shared" si="35"/>
        <v>2050</v>
      </c>
      <c r="E132" s="193" t="s">
        <v>23</v>
      </c>
      <c r="F132" s="196">
        <f>IF(E132="Vestdanmark",SUMIFS(IF(D132=År1,'Resultater - Vestdanmark'!H$3:H$482,IF(D132=År2,'Resultater - Vestdanmark'!I$3:I$482,'Resultater - Vestdanmark'!J$3:J$482)),'Resultater - Vestdanmark'!$F$3:$F$482,$A132,IF(D132=År1,'Resultater - Vestdanmark'!H$3:H$482,IF(D132=År2,'Resultater - Vestdanmark'!I$3:I$482,'Resultater - Vestdanmark'!J$3:J$482)),"&gt;0"),SUMIFS(IF(D132=År1,'Resultater - Østdanmark'!H$3:H$482,IF(D132=År2,'Resultater - Østdanmark'!I$3:I$482,'Resultater - Østdanmark'!J$3:J$482)),'Resultater - Østdanmark'!$F$3:$F$482,$A132,IF(D132=År1,'Resultater - Østdanmark'!H$3:H$482,IF(D132=År2,'Resultater - Østdanmark'!I$3:I$482,'Resultater - Østdanmark'!J$3:J$482)),"&gt;0"))</f>
        <v>0</v>
      </c>
      <c r="G132" s="196">
        <f>SUMIFS('Forbrug af biomasse'!$E$2:$E$425,'Forbrug af biomasse'!$C$2:$C$425,'Resultat-Produktion &amp; forbrug'!$A132,'Forbrug af biomasse'!$D$2:$D$425,'Resultat-Produktion &amp; forbrug'!$D132,'Forbrug af biomasse'!$A$2:$A$425,'Resultat-Produktion &amp; forbrug'!G$2,'Forbrug af biomasse'!$B$2:$B$425,$E132)</f>
        <v>0</v>
      </c>
      <c r="H132" s="193">
        <f>IF(E132="Vestdanmark",-IF(A132="Halm",SUMIFS(IF(D132=År1,'Resultater - Vestdanmark'!H$3:H$482,IF(D132=År2,'Resultater - Vestdanmark'!I$3:I$482,'Resultater - Vestdanmark'!J$3:J$482)),'Resultater - Vestdanmark'!$F$3:$F$482,$A132,'Resultater - Vestdanmark'!H$3:H$482,"&lt;0"),0),-IF(A132="Halm",SUMIFS(IF(D132=År1,'Resultater - Østdanmark'!H$3:H$482,IF(D132=År2,'Resultater - Østdanmark'!I$3:I$482,'Resultater - Østdanmark'!J$3:J$482)),'Resultater - Østdanmark'!$F$3:$F$482,$A132,'Resultater - Østdanmark'!H$3:H$482,"&lt;0"),0))</f>
        <v>0</v>
      </c>
      <c r="I132" s="196">
        <f>SUMIFS('Forbrug af biomasse'!$E$2:$E$425,'Forbrug af biomasse'!$C$2:$C$425,'Resultat-Produktion &amp; forbrug'!$A132,'Forbrug af biomasse'!$D$2:$D$425,'Resultat-Produktion &amp; forbrug'!$D132,'Forbrug af biomasse'!$A$2:$A$425,'Resultat-Produktion &amp; forbrug'!I$2,'Forbrug af biomasse'!$B$2:$B$425,$E132)</f>
        <v>0</v>
      </c>
      <c r="J132" s="196">
        <f>SUMIFS('Forbrug af biomasse'!$E$2:$E$425,'Forbrug af biomasse'!$C$2:$C$425,'Resultat-Produktion &amp; forbrug'!$A132,'Forbrug af biomasse'!$D$2:$D$425,'Resultat-Produktion &amp; forbrug'!$D132,'Forbrug af biomasse'!$A$2:$A$425,'Resultat-Produktion &amp; forbrug'!J$2,'Forbrug af biomasse'!$B$2:$B$425,$E132)</f>
        <v>0</v>
      </c>
      <c r="K132" s="196">
        <f>SUMIFS('Forbrug af biomasse'!$E$2:$E$425,'Forbrug af biomasse'!$C$2:$C$425,'Resultat-Produktion &amp; forbrug'!$A132,'Forbrug af biomasse'!$D$2:$D$425,'Resultat-Produktion &amp; forbrug'!$D132,'Forbrug af biomasse'!$A$2:$A$425,'Resultat-Produktion &amp; forbrug'!K$2,'Forbrug af biomasse'!$B$2:$B$425,$E132)</f>
        <v>0</v>
      </c>
      <c r="L132" s="196">
        <f>IF(A132&lt;&gt;"Biogas",SUMIFS('Forbrug af biomasse'!$E$2:$E$425,'Forbrug af biomasse'!$C$2:$C$425,'Resultat-Produktion &amp; forbrug'!$A132,'Forbrug af biomasse'!$D$2:$D$425,'Resultat-Produktion &amp; forbrug'!$D132,'Forbrug af biomasse'!$A$2:$A$425,'Resultat-Produktion &amp; forbrug'!L$2,'Forbrug af biomasse'!$B$2:$B$425,$E132),F132)</f>
        <v>0</v>
      </c>
      <c r="M132" s="158">
        <f>SUMIFS('Forbrug af biomasse'!E:E,'Forbrug af biomasse'!C:C,'Resultat-Produktion &amp; forbrug'!$A132,'Forbrug af biomasse'!D:D,'Resultat-Produktion &amp; forbrug'!$D132,'Forbrug af biomasse'!G:G,1,'Forbrug af biomasse'!B:B,$E132)</f>
        <v>0</v>
      </c>
      <c r="N132" s="205">
        <f t="shared" si="38"/>
        <v>0</v>
      </c>
      <c r="O132" s="196">
        <f t="shared" si="39"/>
        <v>0</v>
      </c>
      <c r="P132" s="206">
        <f t="shared" si="40"/>
        <v>0</v>
      </c>
      <c r="Q132" s="193">
        <f>IFERROR(VLOOKUP(A132,[1]Energiindhold!$A$2:$C$11,3,FALSE),IFERROR(VLOOKUP(A132,[1]Biogasudbytte!$A$2:$B$18,2,FALSE)*[1]Energiindhold!$C$10,0))*O132</f>
        <v>0</v>
      </c>
      <c r="R132" s="193">
        <f>IF(A132&lt;&gt;"Biogas",IFERROR(VLOOKUP(A132,[1]Biogasudbytte!$A$2:$B$18,2,FALSE)*[1]Energiindhold!$C$10,0)*J132*IFERROR(VLOOKUP(A132,Biogasanlæg!$F$3:$G$8,2,FALSE),1)+IFERROR(VLOOKUP(A132,[1]Energiindhold!$A$2:$C$11,3,FALSE),0)*L132+IF(D132&lt;&gt;År1,Q132,0),0)</f>
        <v>0</v>
      </c>
      <c r="S132" s="193">
        <f>IFERROR(VLOOKUP(A132,[1]Biogasudbytte!$A$2:$B$18,2,FALSE)*[1]Energiindhold!$C$10,0)*J132*IFERROR(VLOOKUP(A132,Biogasanlæg!$F$3:$G$8,2,FALSE),1)</f>
        <v>0</v>
      </c>
      <c r="T132" s="194">
        <f t="shared" si="41"/>
        <v>0</v>
      </c>
      <c r="U132" s="192">
        <f>O132*IFERROR(VLOOKUP(A132,[1]Tørstofindhold!A$2:B$25,2,FALSE),0)</f>
        <v>0</v>
      </c>
      <c r="V132" s="193">
        <f>IF(D132=År1,P132,SUM(O132,P132))*IFERROR(VLOOKUP(A132,[1]Tørstofindhold!A$2:B$25,2,FALSE),0)</f>
        <v>0</v>
      </c>
      <c r="W132" s="193">
        <f>J132*IFERROR(VLOOKUP(A132,[1]Tørstofindhold!A$2:B$25,2,FALSE),0)</f>
        <v>0</v>
      </c>
      <c r="X132" s="194">
        <f t="shared" si="42"/>
        <v>0</v>
      </c>
      <c r="Y132" s="172">
        <f t="shared" si="43"/>
        <v>0</v>
      </c>
      <c r="Z132" s="104">
        <f t="shared" si="44"/>
        <v>0</v>
      </c>
    </row>
    <row r="133" spans="1:26" hidden="1" x14ac:dyDescent="0.55000000000000004">
      <c r="A133" s="195" t="str">
        <f t="shared" ref="A133:A146" si="45">A85</f>
        <v>Råmælk</v>
      </c>
      <c r="B133" s="195" t="str">
        <f t="shared" ref="B133:B146" si="46">IF(B85&lt;&gt;"",B85,"")</f>
        <v/>
      </c>
      <c r="C133" s="195">
        <f>IF(COUNTIFS('Resultater - Danmark'!$D$3:$D$482,'Resultat-Produktion &amp; forbrug'!A133,'Resultater - Danmark'!$A$3:$A$482,"Til energi")+COUNTIFS('Resultater - Danmark'!$D$3:$D$482,'Resultat-Produktion &amp; forbrug'!A133,'Resultater - Danmark'!$A$3:$A$482,"Biogasanlæg")&gt;0,1,0)</f>
        <v>0</v>
      </c>
      <c r="D133" s="195">
        <f t="shared" si="35"/>
        <v>2050</v>
      </c>
      <c r="E133" s="193" t="s">
        <v>23</v>
      </c>
      <c r="F133" s="196">
        <f>IF(E133="Vestdanmark",SUMIFS(IF(D133=År1,'Resultater - Vestdanmark'!H$3:H$482,IF(D133=År2,'Resultater - Vestdanmark'!I$3:I$482,'Resultater - Vestdanmark'!J$3:J$482)),'Resultater - Vestdanmark'!$F$3:$F$482,$A133,IF(D133=År1,'Resultater - Vestdanmark'!H$3:H$482,IF(D133=År2,'Resultater - Vestdanmark'!I$3:I$482,'Resultater - Vestdanmark'!J$3:J$482)),"&gt;0"),SUMIFS(IF(D133=År1,'Resultater - Østdanmark'!H$3:H$482,IF(D133=År2,'Resultater - Østdanmark'!I$3:I$482,'Resultater - Østdanmark'!J$3:J$482)),'Resultater - Østdanmark'!$F$3:$F$482,$A133,IF(D133=År1,'Resultater - Østdanmark'!H$3:H$482,IF(D133=År2,'Resultater - Østdanmark'!I$3:I$482,'Resultater - Østdanmark'!J$3:J$482)),"&gt;0"))</f>
        <v>4779961.9648844432</v>
      </c>
      <c r="G133" s="196">
        <f>SUMIFS('Forbrug af biomasse'!$E$2:$E$425,'Forbrug af biomasse'!$C$2:$C$425,'Resultat-Produktion &amp; forbrug'!$A133,'Forbrug af biomasse'!$D$2:$D$425,'Resultat-Produktion &amp; forbrug'!$D133,'Forbrug af biomasse'!$A$2:$A$425,'Resultat-Produktion &amp; forbrug'!G$2,'Forbrug af biomasse'!$B$2:$B$425,$E133)</f>
        <v>0</v>
      </c>
      <c r="H133" s="193">
        <f>IF(E133="Vestdanmark",-IF(A133="Halm",SUMIFS(IF(D133=År1,'Resultater - Vestdanmark'!H$3:H$482,IF(D133=År2,'Resultater - Vestdanmark'!I$3:I$482,'Resultater - Vestdanmark'!J$3:J$482)),'Resultater - Vestdanmark'!$F$3:$F$482,$A133,'Resultater - Vestdanmark'!H$3:H$482,"&lt;0"),0),-IF(A133="Halm",SUMIFS(IF(D133=År1,'Resultater - Østdanmark'!H$3:H$482,IF(D133=År2,'Resultater - Østdanmark'!I$3:I$482,'Resultater - Østdanmark'!J$3:J$482)),'Resultater - Østdanmark'!$F$3:$F$482,$A133,'Resultater - Østdanmark'!H$3:H$482,"&lt;0"),0))</f>
        <v>0</v>
      </c>
      <c r="I133" s="196">
        <f>SUMIFS('Forbrug af biomasse'!$E$2:$E$425,'Forbrug af biomasse'!$C$2:$C$425,'Resultat-Produktion &amp; forbrug'!$A133,'Forbrug af biomasse'!$D$2:$D$425,'Resultat-Produktion &amp; forbrug'!$D133,'Forbrug af biomasse'!$A$2:$A$425,'Resultat-Produktion &amp; forbrug'!I$2,'Forbrug af biomasse'!$B$2:$B$425,$E133)</f>
        <v>0</v>
      </c>
      <c r="J133" s="196">
        <f>SUMIFS('Forbrug af biomasse'!$E$2:$E$425,'Forbrug af biomasse'!$C$2:$C$425,'Resultat-Produktion &amp; forbrug'!$A133,'Forbrug af biomasse'!$D$2:$D$425,'Resultat-Produktion &amp; forbrug'!$D133,'Forbrug af biomasse'!$A$2:$A$425,'Resultat-Produktion &amp; forbrug'!J$2,'Forbrug af biomasse'!$B$2:$B$425,$E133)</f>
        <v>0</v>
      </c>
      <c r="K133" s="196">
        <f>SUMIFS('Forbrug af biomasse'!$E$2:$E$425,'Forbrug af biomasse'!$C$2:$C$425,'Resultat-Produktion &amp; forbrug'!$A133,'Forbrug af biomasse'!$D$2:$D$425,'Resultat-Produktion &amp; forbrug'!$D133,'Forbrug af biomasse'!$A$2:$A$425,'Resultat-Produktion &amp; forbrug'!K$2,'Forbrug af biomasse'!$B$2:$B$425,$E133)</f>
        <v>0</v>
      </c>
      <c r="L133" s="196">
        <f>IF(A133&lt;&gt;"Biogas",SUMIFS('Forbrug af biomasse'!$E$2:$E$425,'Forbrug af biomasse'!$C$2:$C$425,'Resultat-Produktion &amp; forbrug'!$A133,'Forbrug af biomasse'!$D$2:$D$425,'Resultat-Produktion &amp; forbrug'!$D133,'Forbrug af biomasse'!$A$2:$A$425,'Resultat-Produktion &amp; forbrug'!L$2,'Forbrug af biomasse'!$B$2:$B$425,$E133),F133)</f>
        <v>0</v>
      </c>
      <c r="M133" s="158">
        <f>SUMIFS('Forbrug af biomasse'!E:E,'Forbrug af biomasse'!C:C,'Resultat-Produktion &amp; forbrug'!$A133,'Forbrug af biomasse'!D:D,'Resultat-Produktion &amp; forbrug'!$D133,'Forbrug af biomasse'!G:G,1,'Forbrug af biomasse'!B:B,$E133)</f>
        <v>0</v>
      </c>
      <c r="N133" s="205">
        <f t="shared" si="23"/>
        <v>4779961.9648844432</v>
      </c>
      <c r="O133" s="196">
        <f t="shared" si="39"/>
        <v>0</v>
      </c>
      <c r="P133" s="206">
        <f t="shared" si="24"/>
        <v>0</v>
      </c>
      <c r="Q133" s="193">
        <f>IFERROR(VLOOKUP(A133,[1]Energiindhold!$A$2:$C$11,3,FALSE),IFERROR(VLOOKUP(A133,[1]Biogasudbytte!$A$2:$B$18,2,FALSE)*[1]Energiindhold!$C$10,0))*O133</f>
        <v>0</v>
      </c>
      <c r="R133" s="193">
        <f>IF(A133&lt;&gt;"Biogas",IFERROR(VLOOKUP(A133,[1]Biogasudbytte!$A$2:$B$18,2,FALSE)*[1]Energiindhold!$C$10,0)*J133*IFERROR(VLOOKUP(A133,Biogasanlæg!$F$3:$G$8,2,FALSE),1)+IFERROR(VLOOKUP(A133,[1]Energiindhold!$A$2:$C$11,3,FALSE),0)*L133+IF(D133&lt;&gt;År1,Q133,0),0)</f>
        <v>0</v>
      </c>
      <c r="S133" s="193">
        <f>IFERROR(VLOOKUP(A133,[1]Biogasudbytte!$A$2:$B$18,2,FALSE)*[1]Energiindhold!$C$10,0)*J133*IFERROR(VLOOKUP(A133,Biogasanlæg!$F$3:$G$8,2,FALSE),1)</f>
        <v>0</v>
      </c>
      <c r="T133" s="194">
        <f t="shared" si="25"/>
        <v>0</v>
      </c>
      <c r="U133" s="192">
        <f>O133*IFERROR(VLOOKUP(A133,[1]Tørstofindhold!A$2:B$25,2,FALSE),0)</f>
        <v>0</v>
      </c>
      <c r="V133" s="193">
        <f>IF(D133=År1,P133,SUM(O133,P133))*IFERROR(VLOOKUP(A133,[1]Tørstofindhold!A$2:B$25,2,FALSE),0)</f>
        <v>0</v>
      </c>
      <c r="W133" s="193">
        <f>J133*IFERROR(VLOOKUP(A133,[1]Tørstofindhold!A$2:B$25,2,FALSE),0)</f>
        <v>0</v>
      </c>
      <c r="X133" s="194">
        <f t="shared" si="26"/>
        <v>0</v>
      </c>
      <c r="Y133" s="172">
        <f t="shared" si="43"/>
        <v>0</v>
      </c>
      <c r="Z133" s="104">
        <f t="shared" si="44"/>
        <v>1</v>
      </c>
    </row>
    <row r="134" spans="1:26" hidden="1" x14ac:dyDescent="0.55000000000000004">
      <c r="A134" s="195" t="str">
        <f t="shared" si="45"/>
        <v>Raps</v>
      </c>
      <c r="B134" s="195" t="str">
        <f t="shared" si="46"/>
        <v/>
      </c>
      <c r="C134" s="195">
        <f>IF(COUNTIFS('Resultater - Danmark'!$D$3:$D$482,'Resultat-Produktion &amp; forbrug'!A134,'Resultater - Danmark'!$A$3:$A$482,"Til energi")+COUNTIFS('Resultater - Danmark'!$D$3:$D$482,'Resultat-Produktion &amp; forbrug'!A134,'Resultater - Danmark'!$A$3:$A$482,"Biogasanlæg")&gt;0,1,0)</f>
        <v>0</v>
      </c>
      <c r="D134" s="195">
        <f t="shared" si="35"/>
        <v>2050</v>
      </c>
      <c r="E134" s="193" t="s">
        <v>23</v>
      </c>
      <c r="F134" s="196">
        <f>IF(E134="Vestdanmark",SUMIFS(IF(D134=År1,'Resultater - Vestdanmark'!H$3:H$482,IF(D134=År2,'Resultater - Vestdanmark'!I$3:I$482,'Resultater - Vestdanmark'!J$3:J$482)),'Resultater - Vestdanmark'!$F$3:$F$482,$A134,IF(D134=År1,'Resultater - Vestdanmark'!H$3:H$482,IF(D134=År2,'Resultater - Vestdanmark'!I$3:I$482,'Resultater - Vestdanmark'!J$3:J$482)),"&gt;0"),SUMIFS(IF(D134=År1,'Resultater - Østdanmark'!H$3:H$482,IF(D134=År2,'Resultater - Østdanmark'!I$3:I$482,'Resultater - Østdanmark'!J$3:J$482)),'Resultater - Østdanmark'!$F$3:$F$482,$A134,IF(D134=År1,'Resultater - Østdanmark'!H$3:H$482,IF(D134=År2,'Resultater - Østdanmark'!I$3:I$482,'Resultater - Østdanmark'!J$3:J$482)),"&gt;0"))</f>
        <v>489039.95714195294</v>
      </c>
      <c r="G134" s="196">
        <f>SUMIFS('Forbrug af biomasse'!$E$2:$E$425,'Forbrug af biomasse'!$C$2:$C$425,'Resultat-Produktion &amp; forbrug'!$A134,'Forbrug af biomasse'!$D$2:$D$425,'Resultat-Produktion &amp; forbrug'!$D134,'Forbrug af biomasse'!$A$2:$A$425,'Resultat-Produktion &amp; forbrug'!G$2,'Forbrug af biomasse'!$B$2:$B$425,$E134)</f>
        <v>0</v>
      </c>
      <c r="H134" s="193">
        <f>IF(E134="Vestdanmark",-IF(A134="Halm",SUMIFS(IF(D134=År1,'Resultater - Vestdanmark'!H$3:H$482,IF(D134=År2,'Resultater - Vestdanmark'!I$3:I$482,'Resultater - Vestdanmark'!J$3:J$482)),'Resultater - Vestdanmark'!$F$3:$F$482,$A134,'Resultater - Vestdanmark'!H$3:H$482,"&lt;0"),0),-IF(A134="Halm",SUMIFS(IF(D134=År1,'Resultater - Østdanmark'!H$3:H$482,IF(D134=År2,'Resultater - Østdanmark'!I$3:I$482,'Resultater - Østdanmark'!J$3:J$482)),'Resultater - Østdanmark'!$F$3:$F$482,$A134,'Resultater - Østdanmark'!H$3:H$482,"&lt;0"),0))</f>
        <v>0</v>
      </c>
      <c r="I134" s="196">
        <f>SUMIFS('Forbrug af biomasse'!$E$2:$E$425,'Forbrug af biomasse'!$C$2:$C$425,'Resultat-Produktion &amp; forbrug'!$A134,'Forbrug af biomasse'!$D$2:$D$425,'Resultat-Produktion &amp; forbrug'!$D134,'Forbrug af biomasse'!$A$2:$A$425,'Resultat-Produktion &amp; forbrug'!I$2,'Forbrug af biomasse'!$B$2:$B$425,$E134)</f>
        <v>0</v>
      </c>
      <c r="J134" s="196">
        <f>SUMIFS('Forbrug af biomasse'!$E$2:$E$425,'Forbrug af biomasse'!$C$2:$C$425,'Resultat-Produktion &amp; forbrug'!$A134,'Forbrug af biomasse'!$D$2:$D$425,'Resultat-Produktion &amp; forbrug'!$D134,'Forbrug af biomasse'!$A$2:$A$425,'Resultat-Produktion &amp; forbrug'!J$2,'Forbrug af biomasse'!$B$2:$B$425,$E134)</f>
        <v>0</v>
      </c>
      <c r="K134" s="196">
        <f>SUMIFS('Forbrug af biomasse'!$E$2:$E$425,'Forbrug af biomasse'!$C$2:$C$425,'Resultat-Produktion &amp; forbrug'!$A134,'Forbrug af biomasse'!$D$2:$D$425,'Resultat-Produktion &amp; forbrug'!$D134,'Forbrug af biomasse'!$A$2:$A$425,'Resultat-Produktion &amp; forbrug'!K$2,'Forbrug af biomasse'!$B$2:$B$425,$E134)</f>
        <v>0</v>
      </c>
      <c r="L134" s="196">
        <f>IF(A134&lt;&gt;"Biogas",SUMIFS('Forbrug af biomasse'!$E$2:$E$425,'Forbrug af biomasse'!$C$2:$C$425,'Resultat-Produktion &amp; forbrug'!$A134,'Forbrug af biomasse'!$D$2:$D$425,'Resultat-Produktion &amp; forbrug'!$D134,'Forbrug af biomasse'!$A$2:$A$425,'Resultat-Produktion &amp; forbrug'!L$2,'Forbrug af biomasse'!$B$2:$B$425,$E134),F134)</f>
        <v>0</v>
      </c>
      <c r="M134" s="158">
        <f>SUMIFS('Forbrug af biomasse'!E:E,'Forbrug af biomasse'!C:C,'Resultat-Produktion &amp; forbrug'!$A134,'Forbrug af biomasse'!D:D,'Resultat-Produktion &amp; forbrug'!$D134,'Forbrug af biomasse'!G:G,1,'Forbrug af biomasse'!B:B,$E134)</f>
        <v>489039.95714195294</v>
      </c>
      <c r="N134" s="205">
        <f t="shared" si="23"/>
        <v>0</v>
      </c>
      <c r="O134" s="196">
        <f t="shared" si="39"/>
        <v>0</v>
      </c>
      <c r="P134" s="206">
        <f t="shared" si="24"/>
        <v>0</v>
      </c>
      <c r="Q134" s="193">
        <f>IFERROR(VLOOKUP(A134,[1]Energiindhold!$A$2:$C$11,3,FALSE),IFERROR(VLOOKUP(A134,[1]Biogasudbytte!$A$2:$B$18,2,FALSE)*[1]Energiindhold!$C$10,0))*O134</f>
        <v>0</v>
      </c>
      <c r="R134" s="193">
        <f>IF(A134&lt;&gt;"Biogas",IFERROR(VLOOKUP(A134,[1]Biogasudbytte!$A$2:$B$18,2,FALSE)*[1]Energiindhold!$C$10,0)*J134*IFERROR(VLOOKUP(A134,Biogasanlæg!$F$3:$G$8,2,FALSE),1)+IFERROR(VLOOKUP(A134,[1]Energiindhold!$A$2:$C$11,3,FALSE),0)*L134+IF(D134&lt;&gt;År1,Q134,0),0)</f>
        <v>0</v>
      </c>
      <c r="S134" s="193">
        <f>IFERROR(VLOOKUP(A134,[1]Biogasudbytte!$A$2:$B$18,2,FALSE)*[1]Energiindhold!$C$10,0)*J134*IFERROR(VLOOKUP(A134,Biogasanlæg!$F$3:$G$8,2,FALSE),1)</f>
        <v>0</v>
      </c>
      <c r="T134" s="194">
        <f t="shared" si="25"/>
        <v>0</v>
      </c>
      <c r="U134" s="192">
        <f>O134*IFERROR(VLOOKUP(A134,[1]Tørstofindhold!A$2:B$25,2,FALSE),0)</f>
        <v>0</v>
      </c>
      <c r="V134" s="193">
        <f>IF(D134=År1,P134,SUM(O134,P134))*IFERROR(VLOOKUP(A134,[1]Tørstofindhold!A$2:B$25,2,FALSE),0)</f>
        <v>0</v>
      </c>
      <c r="W134" s="193">
        <f>J134*IFERROR(VLOOKUP(A134,[1]Tørstofindhold!A$2:B$25,2,FALSE),0)</f>
        <v>0</v>
      </c>
      <c r="X134" s="194">
        <f t="shared" si="26"/>
        <v>0</v>
      </c>
      <c r="Y134" s="172">
        <f t="shared" si="43"/>
        <v>0</v>
      </c>
      <c r="Z134" s="104">
        <f t="shared" si="44"/>
        <v>0</v>
      </c>
    </row>
    <row r="135" spans="1:26" hidden="1" x14ac:dyDescent="0.55000000000000004">
      <c r="A135" s="195" t="str">
        <f t="shared" si="45"/>
        <v>Rapskage</v>
      </c>
      <c r="B135" s="195" t="str">
        <f t="shared" si="46"/>
        <v/>
      </c>
      <c r="C135" s="195">
        <f>IF(COUNTIFS('Resultater - Danmark'!$D$3:$D$482,'Resultat-Produktion &amp; forbrug'!A135,'Resultater - Danmark'!$A$3:$A$482,"Til energi")+COUNTIFS('Resultater - Danmark'!$D$3:$D$482,'Resultat-Produktion &amp; forbrug'!A135,'Resultater - Danmark'!$A$3:$A$482,"Biogasanlæg")&gt;0,1,0)</f>
        <v>0</v>
      </c>
      <c r="D135" s="195">
        <f t="shared" si="35"/>
        <v>2050</v>
      </c>
      <c r="E135" s="193" t="s">
        <v>23</v>
      </c>
      <c r="F135" s="196">
        <f>IF(E135="Vestdanmark",SUMIFS(IF(D135=År1,'Resultater - Vestdanmark'!H$3:H$482,IF(D135=År2,'Resultater - Vestdanmark'!I$3:I$482,'Resultater - Vestdanmark'!J$3:J$482)),'Resultater - Vestdanmark'!$F$3:$F$482,$A135,IF(D135=År1,'Resultater - Vestdanmark'!H$3:H$482,IF(D135=År2,'Resultater - Vestdanmark'!I$3:I$482,'Resultater - Vestdanmark'!J$3:J$482)),"&gt;0"),SUMIFS(IF(D135=År1,'Resultater - Østdanmark'!H$3:H$482,IF(D135=År2,'Resultater - Østdanmark'!I$3:I$482,'Resultater - Østdanmark'!J$3:J$482)),'Resultater - Østdanmark'!$F$3:$F$482,$A135,IF(D135=År1,'Resultater - Østdanmark'!H$3:H$482,IF(D135=År2,'Resultater - Østdanmark'!I$3:I$482,'Resultater - Østdanmark'!J$3:J$482)),"&gt;0"))</f>
        <v>244519.97857097647</v>
      </c>
      <c r="G135" s="196">
        <f>SUMIFS('Forbrug af biomasse'!$E$2:$E$425,'Forbrug af biomasse'!$C$2:$C$425,'Resultat-Produktion &amp; forbrug'!$A135,'Forbrug af biomasse'!$D$2:$D$425,'Resultat-Produktion &amp; forbrug'!$D135,'Forbrug af biomasse'!$A$2:$A$425,'Resultat-Produktion &amp; forbrug'!G$2,'Forbrug af biomasse'!$B$2:$B$425,$E135)</f>
        <v>214099.10609126225</v>
      </c>
      <c r="H135" s="193">
        <f>IF(E135="Vestdanmark",-IF(A135="Halm",SUMIFS(IF(D135=År1,'Resultater - Vestdanmark'!H$3:H$482,IF(D135=År2,'Resultater - Vestdanmark'!I$3:I$482,'Resultater - Vestdanmark'!J$3:J$482)),'Resultater - Vestdanmark'!$F$3:$F$482,$A135,'Resultater - Vestdanmark'!H$3:H$482,"&lt;0"),0),-IF(A135="Halm",SUMIFS(IF(D135=År1,'Resultater - Østdanmark'!H$3:H$482,IF(D135=År2,'Resultater - Østdanmark'!I$3:I$482,'Resultater - Østdanmark'!J$3:J$482)),'Resultater - Østdanmark'!$F$3:$F$482,$A135,'Resultater - Østdanmark'!H$3:H$482,"&lt;0"),0))</f>
        <v>0</v>
      </c>
      <c r="I135" s="196">
        <f>SUMIFS('Forbrug af biomasse'!$E$2:$E$425,'Forbrug af biomasse'!$C$2:$C$425,'Resultat-Produktion &amp; forbrug'!$A135,'Forbrug af biomasse'!$D$2:$D$425,'Resultat-Produktion &amp; forbrug'!$D135,'Forbrug af biomasse'!$A$2:$A$425,'Resultat-Produktion &amp; forbrug'!I$2,'Forbrug af biomasse'!$B$2:$B$425,$E135)</f>
        <v>0</v>
      </c>
      <c r="J135" s="196">
        <f>SUMIFS('Forbrug af biomasse'!$E$2:$E$425,'Forbrug af biomasse'!$C$2:$C$425,'Resultat-Produktion &amp; forbrug'!$A135,'Forbrug af biomasse'!$D$2:$D$425,'Resultat-Produktion &amp; forbrug'!$D135,'Forbrug af biomasse'!$A$2:$A$425,'Resultat-Produktion &amp; forbrug'!J$2,'Forbrug af biomasse'!$B$2:$B$425,$E135)</f>
        <v>0</v>
      </c>
      <c r="K135" s="196">
        <f>SUMIFS('Forbrug af biomasse'!$E$2:$E$425,'Forbrug af biomasse'!$C$2:$C$425,'Resultat-Produktion &amp; forbrug'!$A135,'Forbrug af biomasse'!$D$2:$D$425,'Resultat-Produktion &amp; forbrug'!$D135,'Forbrug af biomasse'!$A$2:$A$425,'Resultat-Produktion &amp; forbrug'!K$2,'Forbrug af biomasse'!$B$2:$B$425,$E135)</f>
        <v>0</v>
      </c>
      <c r="L135" s="196">
        <f>IF(A135&lt;&gt;"Biogas",SUMIFS('Forbrug af biomasse'!$E$2:$E$425,'Forbrug af biomasse'!$C$2:$C$425,'Resultat-Produktion &amp; forbrug'!$A135,'Forbrug af biomasse'!$D$2:$D$425,'Resultat-Produktion &amp; forbrug'!$D135,'Forbrug af biomasse'!$A$2:$A$425,'Resultat-Produktion &amp; forbrug'!L$2,'Forbrug af biomasse'!$B$2:$B$425,$E135),F135)</f>
        <v>0</v>
      </c>
      <c r="M135" s="158">
        <f>SUMIFS('Forbrug af biomasse'!E:E,'Forbrug af biomasse'!C:C,'Resultat-Produktion &amp; forbrug'!$A135,'Forbrug af biomasse'!D:D,'Resultat-Produktion &amp; forbrug'!$D135,'Forbrug af biomasse'!G:G,1,'Forbrug af biomasse'!B:B,$E135)</f>
        <v>0</v>
      </c>
      <c r="N135" s="205">
        <f t="shared" si="23"/>
        <v>30420.87247971422</v>
      </c>
      <c r="O135" s="196">
        <f t="shared" si="39"/>
        <v>0</v>
      </c>
      <c r="P135" s="206">
        <f t="shared" si="24"/>
        <v>0</v>
      </c>
      <c r="Q135" s="193">
        <f>IFERROR(VLOOKUP(A135,[1]Energiindhold!$A$2:$C$11,3,FALSE),IFERROR(VLOOKUP(A135,[1]Biogasudbytte!$A$2:$B$18,2,FALSE)*[1]Energiindhold!$C$10,0))*O135</f>
        <v>0</v>
      </c>
      <c r="R135" s="193">
        <f>IF(A135&lt;&gt;"Biogas",IFERROR(VLOOKUP(A135,[1]Biogasudbytte!$A$2:$B$18,2,FALSE)*[1]Energiindhold!$C$10,0)*J135*IFERROR(VLOOKUP(A135,Biogasanlæg!$F$3:$G$8,2,FALSE),1)+IFERROR(VLOOKUP(A135,[1]Energiindhold!$A$2:$C$11,3,FALSE),0)*L135+IF(D135&lt;&gt;År1,Q135,0),0)</f>
        <v>0</v>
      </c>
      <c r="S135" s="193">
        <f>IFERROR(VLOOKUP(A135,[1]Biogasudbytte!$A$2:$B$18,2,FALSE)*[1]Energiindhold!$C$10,0)*J135*IFERROR(VLOOKUP(A135,Biogasanlæg!$F$3:$G$8,2,FALSE),1)</f>
        <v>0</v>
      </c>
      <c r="T135" s="194">
        <f t="shared" si="25"/>
        <v>0</v>
      </c>
      <c r="U135" s="192">
        <f>O135*IFERROR(VLOOKUP(A135,[1]Tørstofindhold!A$2:B$25,2,FALSE),0)</f>
        <v>0</v>
      </c>
      <c r="V135" s="193">
        <f>IF(D135=År1,P135,SUM(O135,P135))*IFERROR(VLOOKUP(A135,[1]Tørstofindhold!A$2:B$25,2,FALSE),0)</f>
        <v>0</v>
      </c>
      <c r="W135" s="193">
        <f>J135*IFERROR(VLOOKUP(A135,[1]Tørstofindhold!A$2:B$25,2,FALSE),0)</f>
        <v>0</v>
      </c>
      <c r="X135" s="194">
        <f t="shared" si="26"/>
        <v>0</v>
      </c>
      <c r="Y135" s="172">
        <f t="shared" si="43"/>
        <v>0</v>
      </c>
      <c r="Z135" s="104">
        <f t="shared" si="44"/>
        <v>1</v>
      </c>
    </row>
    <row r="136" spans="1:26" hidden="1" x14ac:dyDescent="0.55000000000000004">
      <c r="A136" s="195" t="str">
        <f t="shared" si="45"/>
        <v>Rapsolie</v>
      </c>
      <c r="B136" s="195" t="str">
        <f t="shared" si="46"/>
        <v>Rapsolie</v>
      </c>
      <c r="C136" s="195">
        <f>IF(COUNTIFS('Resultater - Danmark'!$D$3:$D$482,'Resultat-Produktion &amp; forbrug'!A136,'Resultater - Danmark'!$A$3:$A$482,"Til energi")+COUNTIFS('Resultater - Danmark'!$D$3:$D$482,'Resultat-Produktion &amp; forbrug'!A136,'Resultater - Danmark'!$A$3:$A$482,"Biogasanlæg")&gt;0,1,0)</f>
        <v>1</v>
      </c>
      <c r="D136" s="195">
        <f t="shared" si="35"/>
        <v>2050</v>
      </c>
      <c r="E136" s="193" t="s">
        <v>23</v>
      </c>
      <c r="F136" s="196">
        <f>IF(E136="Vestdanmark",SUMIFS(IF(D136=År1,'Resultater - Vestdanmark'!H$3:H$482,IF(D136=År2,'Resultater - Vestdanmark'!I$3:I$482,'Resultater - Vestdanmark'!J$3:J$482)),'Resultater - Vestdanmark'!$F$3:$F$482,$A136,IF(D136=År1,'Resultater - Vestdanmark'!H$3:H$482,IF(D136=År2,'Resultater - Vestdanmark'!I$3:I$482,'Resultater - Vestdanmark'!J$3:J$482)),"&gt;0"),SUMIFS(IF(D136=År1,'Resultater - Østdanmark'!H$3:H$482,IF(D136=År2,'Resultater - Østdanmark'!I$3:I$482,'Resultater - Østdanmark'!J$3:J$482)),'Resultater - Østdanmark'!$F$3:$F$482,$A136,IF(D136=År1,'Resultater - Østdanmark'!H$3:H$482,IF(D136=År2,'Resultater - Østdanmark'!I$3:I$482,'Resultater - Østdanmark'!J$3:J$482)),"&gt;0"))</f>
        <v>156492.78628542495</v>
      </c>
      <c r="G136" s="196">
        <f>SUMIFS('Forbrug af biomasse'!$E$2:$E$425,'Forbrug af biomasse'!$C$2:$C$425,'Resultat-Produktion &amp; forbrug'!$A136,'Forbrug af biomasse'!$D$2:$D$425,'Resultat-Produktion &amp; forbrug'!$D136,'Forbrug af biomasse'!$A$2:$A$425,'Resultat-Produktion &amp; forbrug'!G$2,'Forbrug af biomasse'!$B$2:$B$425,$E136)</f>
        <v>0</v>
      </c>
      <c r="H136" s="193">
        <f>IF(E136="Vestdanmark",-IF(A136="Halm",SUMIFS(IF(D136=År1,'Resultater - Vestdanmark'!H$3:H$482,IF(D136=År2,'Resultater - Vestdanmark'!I$3:I$482,'Resultater - Vestdanmark'!J$3:J$482)),'Resultater - Vestdanmark'!$F$3:$F$482,$A136,'Resultater - Vestdanmark'!H$3:H$482,"&lt;0"),0),-IF(A136="Halm",SUMIFS(IF(D136=År1,'Resultater - Østdanmark'!H$3:H$482,IF(D136=År2,'Resultater - Østdanmark'!I$3:I$482,'Resultater - Østdanmark'!J$3:J$482)),'Resultater - Østdanmark'!$F$3:$F$482,$A136,'Resultater - Østdanmark'!H$3:H$482,"&lt;0"),0))</f>
        <v>0</v>
      </c>
      <c r="I136" s="196">
        <f>SUMIFS('Forbrug af biomasse'!$E$2:$E$425,'Forbrug af biomasse'!$C$2:$C$425,'Resultat-Produktion &amp; forbrug'!$A136,'Forbrug af biomasse'!$D$2:$D$425,'Resultat-Produktion &amp; forbrug'!$D136,'Forbrug af biomasse'!$A$2:$A$425,'Resultat-Produktion &amp; forbrug'!I$2,'Forbrug af biomasse'!$B$2:$B$425,$E136)</f>
        <v>0</v>
      </c>
      <c r="J136" s="196">
        <f>SUMIFS('Forbrug af biomasse'!$E$2:$E$425,'Forbrug af biomasse'!$C$2:$C$425,'Resultat-Produktion &amp; forbrug'!$A136,'Forbrug af biomasse'!$D$2:$D$425,'Resultat-Produktion &amp; forbrug'!$D136,'Forbrug af biomasse'!$A$2:$A$425,'Resultat-Produktion &amp; forbrug'!J$2,'Forbrug af biomasse'!$B$2:$B$425,$E136)</f>
        <v>0</v>
      </c>
      <c r="K136" s="196">
        <f>SUMIFS('Forbrug af biomasse'!$E$2:$E$425,'Forbrug af biomasse'!$C$2:$C$425,'Resultat-Produktion &amp; forbrug'!$A136,'Forbrug af biomasse'!$D$2:$D$425,'Resultat-Produktion &amp; forbrug'!$D136,'Forbrug af biomasse'!$A$2:$A$425,'Resultat-Produktion &amp; forbrug'!K$2,'Forbrug af biomasse'!$B$2:$B$425,$E136)</f>
        <v>0</v>
      </c>
      <c r="L136" s="196">
        <f>IF(A136&lt;&gt;"Biogas",SUMIFS('Forbrug af biomasse'!$E$2:$E$425,'Forbrug af biomasse'!$C$2:$C$425,'Resultat-Produktion &amp; forbrug'!$A136,'Forbrug af biomasse'!$D$2:$D$425,'Resultat-Produktion &amp; forbrug'!$D136,'Forbrug af biomasse'!$A$2:$A$425,'Resultat-Produktion &amp; forbrug'!L$2,'Forbrug af biomasse'!$B$2:$B$425,$E136),F136)</f>
        <v>156492.78628542495</v>
      </c>
      <c r="M136" s="158">
        <f>SUMIFS('Forbrug af biomasse'!E:E,'Forbrug af biomasse'!C:C,'Resultat-Produktion &amp; forbrug'!$A136,'Forbrug af biomasse'!D:D,'Resultat-Produktion &amp; forbrug'!$D136,'Forbrug af biomasse'!G:G,1,'Forbrug af biomasse'!B:B,$E136)</f>
        <v>0</v>
      </c>
      <c r="N136" s="205">
        <f t="shared" si="23"/>
        <v>0</v>
      </c>
      <c r="O136" s="196">
        <f t="shared" si="39"/>
        <v>0</v>
      </c>
      <c r="P136" s="206">
        <f t="shared" si="24"/>
        <v>156492.78628542495</v>
      </c>
      <c r="Q136" s="193">
        <f>IFERROR(VLOOKUP(A136,[1]Energiindhold!$A$2:$C$11,3,FALSE),IFERROR(VLOOKUP(A136,[1]Biogasudbytte!$A$2:$B$18,2,FALSE)*[1]Energiindhold!$C$10,0))*O136</f>
        <v>0</v>
      </c>
      <c r="R136" s="193">
        <f>IF(A136&lt;&gt;"Biogas",IFERROR(VLOOKUP(A136,[1]Biogasudbytte!$A$2:$B$18,2,FALSE)*[1]Energiindhold!$C$10,0)*J136*IFERROR(VLOOKUP(A136,Biogasanlæg!$F$3:$G$8,2,FALSE),1)+IFERROR(VLOOKUP(A136,[1]Energiindhold!$A$2:$C$11,3,FALSE),0)*L136+IF(D136&lt;&gt;År1,Q136,0),0)</f>
        <v>5.4772475199898727</v>
      </c>
      <c r="S136" s="193">
        <f>IFERROR(VLOOKUP(A136,[1]Biogasudbytte!$A$2:$B$18,2,FALSE)*[1]Energiindhold!$C$10,0)*J136*IFERROR(VLOOKUP(A136,Biogasanlæg!$F$3:$G$8,2,FALSE),1)</f>
        <v>0</v>
      </c>
      <c r="T136" s="194">
        <f t="shared" si="25"/>
        <v>5.4772475199898727</v>
      </c>
      <c r="U136" s="192">
        <f>O136*IFERROR(VLOOKUP(A136,[1]Tørstofindhold!A$2:B$25,2,FALSE),0)</f>
        <v>0</v>
      </c>
      <c r="V136" s="193">
        <f>IF(D136=År1,P136,SUM(O136,P136))*IFERROR(VLOOKUP(A136,[1]Tørstofindhold!A$2:B$25,2,FALSE),0)</f>
        <v>142408.43551973673</v>
      </c>
      <c r="W136" s="193">
        <f>J136*IFERROR(VLOOKUP(A136,[1]Tørstofindhold!A$2:B$25,2,FALSE),0)</f>
        <v>0</v>
      </c>
      <c r="X136" s="194">
        <f t="shared" si="26"/>
        <v>142408.43551973673</v>
      </c>
      <c r="Y136" s="172">
        <f t="shared" si="43"/>
        <v>0</v>
      </c>
      <c r="Z136" s="104">
        <f t="shared" si="44"/>
        <v>0</v>
      </c>
    </row>
    <row r="137" spans="1:26" hidden="1" x14ac:dyDescent="0.55000000000000004">
      <c r="A137" s="195" t="str">
        <f t="shared" si="45"/>
        <v>Roer</v>
      </c>
      <c r="B137" s="195" t="str">
        <f t="shared" si="46"/>
        <v>Græs og urter</v>
      </c>
      <c r="C137" s="195">
        <f>IF(COUNTIFS('Resultater - Danmark'!$D$3:$D$482,'Resultat-Produktion &amp; forbrug'!A137,'Resultater - Danmark'!$A$3:$A$482,"Til energi")+COUNTIFS('Resultater - Danmark'!$D$3:$D$482,'Resultat-Produktion &amp; forbrug'!A137,'Resultater - Danmark'!$A$3:$A$482,"Biogasanlæg")&gt;0,1,0)</f>
        <v>1</v>
      </c>
      <c r="D137" s="195">
        <f t="shared" si="35"/>
        <v>2050</v>
      </c>
      <c r="E137" s="193" t="s">
        <v>23</v>
      </c>
      <c r="F137" s="196">
        <f>IF(E137="Vestdanmark",SUMIFS(IF(D137=År1,'Resultater - Vestdanmark'!H$3:H$482,IF(D137=År2,'Resultater - Vestdanmark'!I$3:I$482,'Resultater - Vestdanmark'!J$3:J$482)),'Resultater - Vestdanmark'!$F$3:$F$482,$A137,IF(D137=År1,'Resultater - Vestdanmark'!H$3:H$482,IF(D137=År2,'Resultater - Vestdanmark'!I$3:I$482,'Resultater - Vestdanmark'!J$3:J$482)),"&gt;0"),SUMIFS(IF(D137=År1,'Resultater - Østdanmark'!H$3:H$482,IF(D137=År2,'Resultater - Østdanmark'!I$3:I$482,'Resultater - Østdanmark'!J$3:J$482)),'Resultater - Østdanmark'!$F$3:$F$482,$A137,IF(D137=År1,'Resultater - Østdanmark'!H$3:H$482,IF(D137=År2,'Resultater - Østdanmark'!I$3:I$482,'Resultater - Østdanmark'!J$3:J$482)),"&gt;0"))</f>
        <v>380710.74225422333</v>
      </c>
      <c r="G137" s="196">
        <f>SUMIFS('Forbrug af biomasse'!$E$2:$E$425,'Forbrug af biomasse'!$C$2:$C$425,'Resultat-Produktion &amp; forbrug'!$A137,'Forbrug af biomasse'!$D$2:$D$425,'Resultat-Produktion &amp; forbrug'!$D137,'Forbrug af biomasse'!$A$2:$A$425,'Resultat-Produktion &amp; forbrug'!G$2,'Forbrug af biomasse'!$B$2:$B$425,$E137)</f>
        <v>841167.61765562883</v>
      </c>
      <c r="H137" s="193">
        <f>IF(E137="Vestdanmark",-IF(A137="Halm",SUMIFS(IF(D137=År1,'Resultater - Vestdanmark'!H$3:H$482,IF(D137=År2,'Resultater - Vestdanmark'!I$3:I$482,'Resultater - Vestdanmark'!J$3:J$482)),'Resultater - Vestdanmark'!$F$3:$F$482,$A137,'Resultater - Vestdanmark'!H$3:H$482,"&lt;0"),0),-IF(A137="Halm",SUMIFS(IF(D137=År1,'Resultater - Østdanmark'!H$3:H$482,IF(D137=År2,'Resultater - Østdanmark'!I$3:I$482,'Resultater - Østdanmark'!J$3:J$482)),'Resultater - Østdanmark'!$F$3:$F$482,$A137,'Resultater - Østdanmark'!H$3:H$482,"&lt;0"),0))</f>
        <v>0</v>
      </c>
      <c r="I137" s="196">
        <f>SUMIFS('Forbrug af biomasse'!$E$2:$E$425,'Forbrug af biomasse'!$C$2:$C$425,'Resultat-Produktion &amp; forbrug'!$A137,'Forbrug af biomasse'!$D$2:$D$425,'Resultat-Produktion &amp; forbrug'!$D137,'Forbrug af biomasse'!$A$2:$A$425,'Resultat-Produktion &amp; forbrug'!I$2,'Forbrug af biomasse'!$B$2:$B$425,$E137)</f>
        <v>0</v>
      </c>
      <c r="J137" s="196">
        <f>SUMIFS('Forbrug af biomasse'!$E$2:$E$425,'Forbrug af biomasse'!$C$2:$C$425,'Resultat-Produktion &amp; forbrug'!$A137,'Forbrug af biomasse'!$D$2:$D$425,'Resultat-Produktion &amp; forbrug'!$D137,'Forbrug af biomasse'!$A$2:$A$425,'Resultat-Produktion &amp; forbrug'!J$2,'Forbrug af biomasse'!$B$2:$B$425,$E137)</f>
        <v>4034.07077562927</v>
      </c>
      <c r="K137" s="196">
        <f>SUMIFS('Forbrug af biomasse'!$E$2:$E$425,'Forbrug af biomasse'!$C$2:$C$425,'Resultat-Produktion &amp; forbrug'!$A137,'Forbrug af biomasse'!$D$2:$D$425,'Resultat-Produktion &amp; forbrug'!$D137,'Forbrug af biomasse'!$A$2:$A$425,'Resultat-Produktion &amp; forbrug'!K$2,'Forbrug af biomasse'!$B$2:$B$425,$E137)</f>
        <v>0</v>
      </c>
      <c r="L137" s="196">
        <f>IF(A137&lt;&gt;"Biogas",SUMIFS('Forbrug af biomasse'!$E$2:$E$425,'Forbrug af biomasse'!$C$2:$C$425,'Resultat-Produktion &amp; forbrug'!$A137,'Forbrug af biomasse'!$D$2:$D$425,'Resultat-Produktion &amp; forbrug'!$D137,'Forbrug af biomasse'!$A$2:$A$425,'Resultat-Produktion &amp; forbrug'!L$2,'Forbrug af biomasse'!$B$2:$B$425,$E137),F137)</f>
        <v>0</v>
      </c>
      <c r="M137" s="158">
        <f>SUMIFS('Forbrug af biomasse'!E:E,'Forbrug af biomasse'!C:C,'Resultat-Produktion &amp; forbrug'!$A137,'Forbrug af biomasse'!D:D,'Resultat-Produktion &amp; forbrug'!$D137,'Forbrug af biomasse'!G:G,1,'Forbrug af biomasse'!B:B,$E137)</f>
        <v>0</v>
      </c>
      <c r="N137" s="205">
        <f t="shared" si="23"/>
        <v>-464490.94617703476</v>
      </c>
      <c r="O137" s="196">
        <f t="shared" si="39"/>
        <v>0</v>
      </c>
      <c r="P137" s="206">
        <f t="shared" si="24"/>
        <v>4034.07077562927</v>
      </c>
      <c r="Q137" s="193">
        <f>IFERROR(VLOOKUP(A137,[1]Energiindhold!$A$2:$C$11,3,FALSE),IFERROR(VLOOKUP(A137,[1]Biogasudbytte!$A$2:$B$18,2,FALSE)*[1]Energiindhold!$C$10,0))*O137</f>
        <v>0</v>
      </c>
      <c r="R137" s="193">
        <f>IF(A137&lt;&gt;"Biogas",IFERROR(VLOOKUP(A137,[1]Biogasudbytte!$A$2:$B$18,2,FALSE)*[1]Energiindhold!$C$10,0)*J137*IFERROR(VLOOKUP(A137,Biogasanlæg!$F$3:$G$8,2,FALSE),1)+IFERROR(VLOOKUP(A137,[1]Energiindhold!$A$2:$C$11,3,FALSE),0)*L137+IF(D137&lt;&gt;År1,Q137,0),0)</f>
        <v>1.0948629447888865E-2</v>
      </c>
      <c r="S137" s="193">
        <f>IFERROR(VLOOKUP(A137,[1]Biogasudbytte!$A$2:$B$18,2,FALSE)*[1]Energiindhold!$C$10,0)*J137*IFERROR(VLOOKUP(A137,Biogasanlæg!$F$3:$G$8,2,FALSE),1)</f>
        <v>1.0948629447888865E-2</v>
      </c>
      <c r="T137" s="194">
        <f t="shared" si="25"/>
        <v>0</v>
      </c>
      <c r="U137" s="192">
        <f>O137*IFERROR(VLOOKUP(A137,[1]Tørstofindhold!A$2:B$25,2,FALSE),0)</f>
        <v>0</v>
      </c>
      <c r="V137" s="193">
        <f>IF(D137=År1,P137,SUM(O137,P137))*IFERROR(VLOOKUP(A137,[1]Tørstofindhold!A$2:B$25,2,FALSE),0)</f>
        <v>806.81415512585409</v>
      </c>
      <c r="W137" s="193">
        <f>J137*IFERROR(VLOOKUP(A137,[1]Tørstofindhold!A$2:B$25,2,FALSE),0)</f>
        <v>806.81415512585409</v>
      </c>
      <c r="X137" s="194">
        <f t="shared" si="26"/>
        <v>0</v>
      </c>
      <c r="Y137" s="172">
        <f t="shared" si="43"/>
        <v>0</v>
      </c>
      <c r="Z137" s="104">
        <f t="shared" si="44"/>
        <v>1</v>
      </c>
    </row>
    <row r="138" spans="1:26" hidden="1" x14ac:dyDescent="0.55000000000000004">
      <c r="A138" s="195" t="str">
        <f t="shared" si="45"/>
        <v>Slagteriaffald til andet</v>
      </c>
      <c r="B138" s="195" t="str">
        <f t="shared" si="46"/>
        <v/>
      </c>
      <c r="C138" s="195">
        <f>IF(COUNTIFS('Resultater - Danmark'!$D$3:$D$482,'Resultat-Produktion &amp; forbrug'!A138,'Resultater - Danmark'!$A$3:$A$482,"Til energi")+COUNTIFS('Resultater - Danmark'!$D$3:$D$482,'Resultat-Produktion &amp; forbrug'!A138,'Resultater - Danmark'!$A$3:$A$482,"Biogasanlæg")&gt;0,1,0)</f>
        <v>0</v>
      </c>
      <c r="D138" s="195">
        <f t="shared" si="35"/>
        <v>2050</v>
      </c>
      <c r="E138" s="193" t="s">
        <v>23</v>
      </c>
      <c r="F138" s="196">
        <f>IF(E138="Vestdanmark",SUMIFS(IF(D138=År1,'Resultater - Vestdanmark'!H$3:H$482,IF(D138=År2,'Resultater - Vestdanmark'!I$3:I$482,'Resultater - Vestdanmark'!J$3:J$482)),'Resultater - Vestdanmark'!$F$3:$F$482,$A138,IF(D138=År1,'Resultater - Vestdanmark'!H$3:H$482,IF(D138=År2,'Resultater - Vestdanmark'!I$3:I$482,'Resultater - Vestdanmark'!J$3:J$482)),"&gt;0"),SUMIFS(IF(D138=År1,'Resultater - Østdanmark'!H$3:H$482,IF(D138=År2,'Resultater - Østdanmark'!I$3:I$482,'Resultater - Østdanmark'!J$3:J$482)),'Resultater - Østdanmark'!$F$3:$F$482,$A138,IF(D138=År1,'Resultater - Østdanmark'!H$3:H$482,IF(D138=År2,'Resultater - Østdanmark'!I$3:I$482,'Resultater - Østdanmark'!J$3:J$482)),"&gt;0"))</f>
        <v>185567.16171821824</v>
      </c>
      <c r="G138" s="196">
        <f>SUMIFS('Forbrug af biomasse'!$E$2:$E$425,'Forbrug af biomasse'!$C$2:$C$425,'Resultat-Produktion &amp; forbrug'!$A138,'Forbrug af biomasse'!$D$2:$D$425,'Resultat-Produktion &amp; forbrug'!$D138,'Forbrug af biomasse'!$A$2:$A$425,'Resultat-Produktion &amp; forbrug'!G$2,'Forbrug af biomasse'!$B$2:$B$425,$E138)</f>
        <v>0</v>
      </c>
      <c r="H138" s="193">
        <f>IF(E138="Vestdanmark",-IF(A138="Halm",SUMIFS(IF(D138=År1,'Resultater - Vestdanmark'!H$3:H$482,IF(D138=År2,'Resultater - Vestdanmark'!I$3:I$482,'Resultater - Vestdanmark'!J$3:J$482)),'Resultater - Vestdanmark'!$F$3:$F$482,$A138,'Resultater - Vestdanmark'!H$3:H$482,"&lt;0"),0),-IF(A138="Halm",SUMIFS(IF(D138=År1,'Resultater - Østdanmark'!H$3:H$482,IF(D138=År2,'Resultater - Østdanmark'!I$3:I$482,'Resultater - Østdanmark'!J$3:J$482)),'Resultater - Østdanmark'!$F$3:$F$482,$A138,'Resultater - Østdanmark'!H$3:H$482,"&lt;0"),0))</f>
        <v>0</v>
      </c>
      <c r="I138" s="196">
        <f>SUMIFS('Forbrug af biomasse'!$E$2:$E$425,'Forbrug af biomasse'!$C$2:$C$425,'Resultat-Produktion &amp; forbrug'!$A138,'Forbrug af biomasse'!$D$2:$D$425,'Resultat-Produktion &amp; forbrug'!$D138,'Forbrug af biomasse'!$A$2:$A$425,'Resultat-Produktion &amp; forbrug'!I$2,'Forbrug af biomasse'!$B$2:$B$425,$E138)</f>
        <v>0</v>
      </c>
      <c r="J138" s="196">
        <f>SUMIFS('Forbrug af biomasse'!$E$2:$E$425,'Forbrug af biomasse'!$C$2:$C$425,'Resultat-Produktion &amp; forbrug'!$A138,'Forbrug af biomasse'!$D$2:$D$425,'Resultat-Produktion &amp; forbrug'!$D138,'Forbrug af biomasse'!$A$2:$A$425,'Resultat-Produktion &amp; forbrug'!J$2,'Forbrug af biomasse'!$B$2:$B$425,$E138)</f>
        <v>0</v>
      </c>
      <c r="K138" s="196">
        <f>SUMIFS('Forbrug af biomasse'!$E$2:$E$425,'Forbrug af biomasse'!$C$2:$C$425,'Resultat-Produktion &amp; forbrug'!$A138,'Forbrug af biomasse'!$D$2:$D$425,'Resultat-Produktion &amp; forbrug'!$D138,'Forbrug af biomasse'!$A$2:$A$425,'Resultat-Produktion &amp; forbrug'!K$2,'Forbrug af biomasse'!$B$2:$B$425,$E138)</f>
        <v>0</v>
      </c>
      <c r="L138" s="196">
        <f>IF(A138&lt;&gt;"Biogas",SUMIFS('Forbrug af biomasse'!$E$2:$E$425,'Forbrug af biomasse'!$C$2:$C$425,'Resultat-Produktion &amp; forbrug'!$A138,'Forbrug af biomasse'!$D$2:$D$425,'Resultat-Produktion &amp; forbrug'!$D138,'Forbrug af biomasse'!$A$2:$A$425,'Resultat-Produktion &amp; forbrug'!L$2,'Forbrug af biomasse'!$B$2:$B$425,$E138),F138)</f>
        <v>0</v>
      </c>
      <c r="M138" s="158">
        <f>SUMIFS('Forbrug af biomasse'!E:E,'Forbrug af biomasse'!C:C,'Resultat-Produktion &amp; forbrug'!$A138,'Forbrug af biomasse'!D:D,'Resultat-Produktion &amp; forbrug'!$D138,'Forbrug af biomasse'!G:G,1,'Forbrug af biomasse'!B:B,$E138)</f>
        <v>0</v>
      </c>
      <c r="N138" s="205">
        <f t="shared" si="23"/>
        <v>185567.16171821824</v>
      </c>
      <c r="O138" s="196">
        <f t="shared" si="39"/>
        <v>0</v>
      </c>
      <c r="P138" s="206">
        <f t="shared" si="24"/>
        <v>0</v>
      </c>
      <c r="Q138" s="193">
        <f>IFERROR(VLOOKUP(A138,[1]Energiindhold!$A$2:$C$11,3,FALSE),IFERROR(VLOOKUP(A138,[1]Biogasudbytte!$A$2:$B$18,2,FALSE)*[1]Energiindhold!$C$10,0))*O138</f>
        <v>0</v>
      </c>
      <c r="R138" s="193">
        <f>IF(A138&lt;&gt;"Biogas",IFERROR(VLOOKUP(A138,[1]Biogasudbytte!$A$2:$B$18,2,FALSE)*[1]Energiindhold!$C$10,0)*J138*IFERROR(VLOOKUP(A138,Biogasanlæg!$F$3:$G$8,2,FALSE),1)+IFERROR(VLOOKUP(A138,[1]Energiindhold!$A$2:$C$11,3,FALSE),0)*L138+IF(D138&lt;&gt;År1,Q138,0),0)</f>
        <v>0</v>
      </c>
      <c r="S138" s="193">
        <f>IFERROR(VLOOKUP(A138,[1]Biogasudbytte!$A$2:$B$18,2,FALSE)*[1]Energiindhold!$C$10,0)*J138*IFERROR(VLOOKUP(A138,Biogasanlæg!$F$3:$G$8,2,FALSE),1)</f>
        <v>0</v>
      </c>
      <c r="T138" s="194">
        <f t="shared" si="25"/>
        <v>0</v>
      </c>
      <c r="U138" s="192">
        <f>O138*IFERROR(VLOOKUP(A138,[1]Tørstofindhold!A$2:B$25,2,FALSE),0)</f>
        <v>0</v>
      </c>
      <c r="V138" s="193">
        <f>IF(D138=År1,P138,SUM(O138,P138))*IFERROR(VLOOKUP(A138,[1]Tørstofindhold!A$2:B$25,2,FALSE),0)</f>
        <v>0</v>
      </c>
      <c r="W138" s="193">
        <f>J138*IFERROR(VLOOKUP(A138,[1]Tørstofindhold!A$2:B$25,2,FALSE),0)</f>
        <v>0</v>
      </c>
      <c r="X138" s="194">
        <f t="shared" si="26"/>
        <v>0</v>
      </c>
      <c r="Y138" s="172">
        <f t="shared" si="43"/>
        <v>0</v>
      </c>
      <c r="Z138" s="104">
        <f t="shared" si="44"/>
        <v>1</v>
      </c>
    </row>
    <row r="139" spans="1:26" hidden="1" x14ac:dyDescent="0.55000000000000004">
      <c r="A139" s="195" t="str">
        <f t="shared" si="45"/>
        <v>Slagteriaffald til foder</v>
      </c>
      <c r="B139" s="195" t="str">
        <f t="shared" si="46"/>
        <v/>
      </c>
      <c r="C139" s="195">
        <f>IF(COUNTIFS('Resultater - Danmark'!$D$3:$D$482,'Resultat-Produktion &amp; forbrug'!A139,'Resultater - Danmark'!$A$3:$A$482,"Til energi")+COUNTIFS('Resultater - Danmark'!$D$3:$D$482,'Resultat-Produktion &amp; forbrug'!A139,'Resultater - Danmark'!$A$3:$A$482,"Biogasanlæg")&gt;0,1,0)</f>
        <v>0</v>
      </c>
      <c r="D139" s="195">
        <f t="shared" si="35"/>
        <v>2050</v>
      </c>
      <c r="E139" s="193" t="s">
        <v>23</v>
      </c>
      <c r="F139" s="196">
        <f>IF(E139="Vestdanmark",SUMIFS(IF(D139=År1,'Resultater - Vestdanmark'!H$3:H$482,IF(D139=År2,'Resultater - Vestdanmark'!I$3:I$482,'Resultater - Vestdanmark'!J$3:J$482)),'Resultater - Vestdanmark'!$F$3:$F$482,$A139,IF(D139=År1,'Resultater - Vestdanmark'!H$3:H$482,IF(D139=År2,'Resultater - Vestdanmark'!I$3:I$482,'Resultater - Vestdanmark'!J$3:J$482)),"&gt;0"),SUMIFS(IF(D139=År1,'Resultater - Østdanmark'!H$3:H$482,IF(D139=År2,'Resultater - Østdanmark'!I$3:I$482,'Resultater - Østdanmark'!J$3:J$482)),'Resultater - Østdanmark'!$F$3:$F$482,$A139,IF(D139=År1,'Resultater - Østdanmark'!H$3:H$482,IF(D139=År2,'Resultater - Østdanmark'!I$3:I$482,'Resultater - Østdanmark'!J$3:J$482)),"&gt;0"))</f>
        <v>126100.24826746272</v>
      </c>
      <c r="G139" s="196">
        <f>SUMIFS('Forbrug af biomasse'!$E$2:$E$425,'Forbrug af biomasse'!$C$2:$C$425,'Resultat-Produktion &amp; forbrug'!$A139,'Forbrug af biomasse'!$D$2:$D$425,'Resultat-Produktion &amp; forbrug'!$D139,'Forbrug af biomasse'!$A$2:$A$425,'Resultat-Produktion &amp; forbrug'!G$2,'Forbrug af biomasse'!$B$2:$B$425,$E139)</f>
        <v>39415.735012617326</v>
      </c>
      <c r="H139" s="193">
        <f>IF(E139="Vestdanmark",-IF(A139="Halm",SUMIFS(IF(D139=År1,'Resultater - Vestdanmark'!H$3:H$482,IF(D139=År2,'Resultater - Vestdanmark'!I$3:I$482,'Resultater - Vestdanmark'!J$3:J$482)),'Resultater - Vestdanmark'!$F$3:$F$482,$A139,'Resultater - Vestdanmark'!H$3:H$482,"&lt;0"),0),-IF(A139="Halm",SUMIFS(IF(D139=År1,'Resultater - Østdanmark'!H$3:H$482,IF(D139=År2,'Resultater - Østdanmark'!I$3:I$482,'Resultater - Østdanmark'!J$3:J$482)),'Resultater - Østdanmark'!$F$3:$F$482,$A139,'Resultater - Østdanmark'!H$3:H$482,"&lt;0"),0))</f>
        <v>0</v>
      </c>
      <c r="I139" s="196">
        <f>SUMIFS('Forbrug af biomasse'!$E$2:$E$425,'Forbrug af biomasse'!$C$2:$C$425,'Resultat-Produktion &amp; forbrug'!$A139,'Forbrug af biomasse'!$D$2:$D$425,'Resultat-Produktion &amp; forbrug'!$D139,'Forbrug af biomasse'!$A$2:$A$425,'Resultat-Produktion &amp; forbrug'!I$2,'Forbrug af biomasse'!$B$2:$B$425,$E139)</f>
        <v>0</v>
      </c>
      <c r="J139" s="196">
        <f>SUMIFS('Forbrug af biomasse'!$E$2:$E$425,'Forbrug af biomasse'!$C$2:$C$425,'Resultat-Produktion &amp; forbrug'!$A139,'Forbrug af biomasse'!$D$2:$D$425,'Resultat-Produktion &amp; forbrug'!$D139,'Forbrug af biomasse'!$A$2:$A$425,'Resultat-Produktion &amp; forbrug'!J$2,'Forbrug af biomasse'!$B$2:$B$425,$E139)</f>
        <v>0</v>
      </c>
      <c r="K139" s="196">
        <f>SUMIFS('Forbrug af biomasse'!$E$2:$E$425,'Forbrug af biomasse'!$C$2:$C$425,'Resultat-Produktion &amp; forbrug'!$A139,'Forbrug af biomasse'!$D$2:$D$425,'Resultat-Produktion &amp; forbrug'!$D139,'Forbrug af biomasse'!$A$2:$A$425,'Resultat-Produktion &amp; forbrug'!K$2,'Forbrug af biomasse'!$B$2:$B$425,$E139)</f>
        <v>0</v>
      </c>
      <c r="L139" s="196">
        <f>IF(A139&lt;&gt;"Biogas",SUMIFS('Forbrug af biomasse'!$E$2:$E$425,'Forbrug af biomasse'!$C$2:$C$425,'Resultat-Produktion &amp; forbrug'!$A139,'Forbrug af biomasse'!$D$2:$D$425,'Resultat-Produktion &amp; forbrug'!$D139,'Forbrug af biomasse'!$A$2:$A$425,'Resultat-Produktion &amp; forbrug'!L$2,'Forbrug af biomasse'!$B$2:$B$425,$E139),F139)</f>
        <v>0</v>
      </c>
      <c r="M139" s="158">
        <f>SUMIFS('Forbrug af biomasse'!E:E,'Forbrug af biomasse'!C:C,'Resultat-Produktion &amp; forbrug'!$A139,'Forbrug af biomasse'!D:D,'Resultat-Produktion &amp; forbrug'!$D139,'Forbrug af biomasse'!G:G,1,'Forbrug af biomasse'!B:B,$E139)</f>
        <v>0</v>
      </c>
      <c r="N139" s="205">
        <f t="shared" si="23"/>
        <v>86684.513254845398</v>
      </c>
      <c r="O139" s="196">
        <f t="shared" si="39"/>
        <v>0</v>
      </c>
      <c r="P139" s="206">
        <f t="shared" si="24"/>
        <v>0</v>
      </c>
      <c r="Q139" s="193">
        <f>IFERROR(VLOOKUP(A139,[1]Energiindhold!$A$2:$C$11,3,FALSE),IFERROR(VLOOKUP(A139,[1]Biogasudbytte!$A$2:$B$18,2,FALSE)*[1]Energiindhold!$C$10,0))*O139</f>
        <v>0</v>
      </c>
      <c r="R139" s="193">
        <f>IF(A139&lt;&gt;"Biogas",IFERROR(VLOOKUP(A139,[1]Biogasudbytte!$A$2:$B$18,2,FALSE)*[1]Energiindhold!$C$10,0)*J139*IFERROR(VLOOKUP(A139,Biogasanlæg!$F$3:$G$8,2,FALSE),1)+IFERROR(VLOOKUP(A139,[1]Energiindhold!$A$2:$C$11,3,FALSE),0)*L139+IF(D139&lt;&gt;År1,Q139,0),0)</f>
        <v>0</v>
      </c>
      <c r="S139" s="193">
        <f>IFERROR(VLOOKUP(A139,[1]Biogasudbytte!$A$2:$B$18,2,FALSE)*[1]Energiindhold!$C$10,0)*J139*IFERROR(VLOOKUP(A139,Biogasanlæg!$F$3:$G$8,2,FALSE),1)</f>
        <v>0</v>
      </c>
      <c r="T139" s="194">
        <f t="shared" si="25"/>
        <v>0</v>
      </c>
      <c r="U139" s="192">
        <f>O139*IFERROR(VLOOKUP(A139,[1]Tørstofindhold!A$2:B$25,2,FALSE),0)</f>
        <v>0</v>
      </c>
      <c r="V139" s="193">
        <f>IF(D139=År1,P139,SUM(O139,P139))*IFERROR(VLOOKUP(A139,[1]Tørstofindhold!A$2:B$25,2,FALSE),0)</f>
        <v>0</v>
      </c>
      <c r="W139" s="193">
        <f>J139*IFERROR(VLOOKUP(A139,[1]Tørstofindhold!A$2:B$25,2,FALSE),0)</f>
        <v>0</v>
      </c>
      <c r="X139" s="194">
        <f t="shared" si="26"/>
        <v>0</v>
      </c>
      <c r="Y139" s="172">
        <f t="shared" si="43"/>
        <v>0</v>
      </c>
      <c r="Z139" s="104">
        <f t="shared" si="44"/>
        <v>1</v>
      </c>
    </row>
    <row r="140" spans="1:26" hidden="1" x14ac:dyDescent="0.55000000000000004">
      <c r="A140" s="195" t="str">
        <f t="shared" si="45"/>
        <v>Spildevandsslam</v>
      </c>
      <c r="B140" s="195" t="str">
        <f t="shared" si="46"/>
        <v>Bionedbrydeligt affald</v>
      </c>
      <c r="C140" s="195">
        <f>IF(COUNTIFS('Resultater - Danmark'!$D$3:$D$482,'Resultat-Produktion &amp; forbrug'!A140,'Resultater - Danmark'!$A$3:$A$482,"Til energi")+COUNTIFS('Resultater - Danmark'!$D$3:$D$482,'Resultat-Produktion &amp; forbrug'!A140,'Resultater - Danmark'!$A$3:$A$482,"Biogasanlæg")&gt;0,1,0)</f>
        <v>1</v>
      </c>
      <c r="D140" s="195">
        <f t="shared" si="35"/>
        <v>2050</v>
      </c>
      <c r="E140" s="193" t="s">
        <v>23</v>
      </c>
      <c r="F140" s="196">
        <f>IF(E140="Vestdanmark",SUMIFS(IF(D140=År1,'Resultater - Vestdanmark'!H$3:H$482,IF(D140=År2,'Resultater - Vestdanmark'!I$3:I$482,'Resultater - Vestdanmark'!J$3:J$482)),'Resultater - Vestdanmark'!$F$3:$F$482,$A140,IF(D140=År1,'Resultater - Vestdanmark'!H$3:H$482,IF(D140=År2,'Resultater - Vestdanmark'!I$3:I$482,'Resultater - Vestdanmark'!J$3:J$482)),"&gt;0"),SUMIFS(IF(D140=År1,'Resultater - Østdanmark'!H$3:H$482,IF(D140=År2,'Resultater - Østdanmark'!I$3:I$482,'Resultater - Østdanmark'!J$3:J$482)),'Resultater - Østdanmark'!$F$3:$F$482,$A140,IF(D140=År1,'Resultater - Østdanmark'!H$3:H$482,IF(D140=År2,'Resultater - Østdanmark'!I$3:I$482,'Resultater - Østdanmark'!J$3:J$482)),"&gt;0"))</f>
        <v>4121832.5977837904</v>
      </c>
      <c r="G140" s="196">
        <f>SUMIFS('Forbrug af biomasse'!$E$2:$E$425,'Forbrug af biomasse'!$C$2:$C$425,'Resultat-Produktion &amp; forbrug'!$A140,'Forbrug af biomasse'!$D$2:$D$425,'Resultat-Produktion &amp; forbrug'!$D140,'Forbrug af biomasse'!$A$2:$A$425,'Resultat-Produktion &amp; forbrug'!G$2,'Forbrug af biomasse'!$B$2:$B$425,$E140)</f>
        <v>0</v>
      </c>
      <c r="H140" s="193">
        <f>IF(E140="Vestdanmark",-IF(A140="Halm",SUMIFS(IF(D140=År1,'Resultater - Vestdanmark'!H$3:H$482,IF(D140=År2,'Resultater - Vestdanmark'!I$3:I$482,'Resultater - Vestdanmark'!J$3:J$482)),'Resultater - Vestdanmark'!$F$3:$F$482,$A140,'Resultater - Vestdanmark'!H$3:H$482,"&lt;0"),0),-IF(A140="Halm",SUMIFS(IF(D140=År1,'Resultater - Østdanmark'!H$3:H$482,IF(D140=År2,'Resultater - Østdanmark'!I$3:I$482,'Resultater - Østdanmark'!J$3:J$482)),'Resultater - Østdanmark'!$F$3:$F$482,$A140,'Resultater - Østdanmark'!H$3:H$482,"&lt;0"),0))</f>
        <v>0</v>
      </c>
      <c r="I140" s="196">
        <f>SUMIFS('Forbrug af biomasse'!$E$2:$E$425,'Forbrug af biomasse'!$C$2:$C$425,'Resultat-Produktion &amp; forbrug'!$A140,'Forbrug af biomasse'!$D$2:$D$425,'Resultat-Produktion &amp; forbrug'!$D140,'Forbrug af biomasse'!$A$2:$A$425,'Resultat-Produktion &amp; forbrug'!I$2,'Forbrug af biomasse'!$B$2:$B$425,$E140)</f>
        <v>0</v>
      </c>
      <c r="J140" s="196">
        <f>SUMIFS('Forbrug af biomasse'!$E$2:$E$425,'Forbrug af biomasse'!$C$2:$C$425,'Resultat-Produktion &amp; forbrug'!$A140,'Forbrug af biomasse'!$D$2:$D$425,'Resultat-Produktion &amp; forbrug'!$D140,'Forbrug af biomasse'!$A$2:$A$425,'Resultat-Produktion &amp; forbrug'!J$2,'Forbrug af biomasse'!$B$2:$B$425,$E140)</f>
        <v>1563200.2483061554</v>
      </c>
      <c r="K140" s="196">
        <f>SUMIFS('Forbrug af biomasse'!$E$2:$E$425,'Forbrug af biomasse'!$C$2:$C$425,'Resultat-Produktion &amp; forbrug'!$A140,'Forbrug af biomasse'!$D$2:$D$425,'Resultat-Produktion &amp; forbrug'!$D140,'Forbrug af biomasse'!$A$2:$A$425,'Resultat-Produktion &amp; forbrug'!K$2,'Forbrug af biomasse'!$B$2:$B$425,$E140)</f>
        <v>0</v>
      </c>
      <c r="L140" s="196">
        <f>IF(A140&lt;&gt;"Biogas",SUMIFS('Forbrug af biomasse'!$E$2:$E$425,'Forbrug af biomasse'!$C$2:$C$425,'Resultat-Produktion &amp; forbrug'!$A140,'Forbrug af biomasse'!$D$2:$D$425,'Resultat-Produktion &amp; forbrug'!$D140,'Forbrug af biomasse'!$A$2:$A$425,'Resultat-Produktion &amp; forbrug'!L$2,'Forbrug af biomasse'!$B$2:$B$425,$E140),F140)</f>
        <v>0</v>
      </c>
      <c r="M140" s="158">
        <f>SUMIFS('Forbrug af biomasse'!E:E,'Forbrug af biomasse'!C:C,'Resultat-Produktion &amp; forbrug'!$A140,'Forbrug af biomasse'!D:D,'Resultat-Produktion &amp; forbrug'!$D140,'Forbrug af biomasse'!G:G,1,'Forbrug af biomasse'!B:B,$E140)</f>
        <v>0</v>
      </c>
      <c r="N140" s="205">
        <f t="shared" si="23"/>
        <v>2558632.3494776348</v>
      </c>
      <c r="O140" s="196">
        <f t="shared" si="39"/>
        <v>2558632.3494776348</v>
      </c>
      <c r="P140" s="206">
        <f t="shared" si="24"/>
        <v>1563200.2483061554</v>
      </c>
      <c r="Q140" s="193">
        <f>IFERROR(VLOOKUP(A140,[1]Energiindhold!$A$2:$C$11,3,FALSE),IFERROR(VLOOKUP(A140,[1]Biogasudbytte!$A$2:$B$18,2,FALSE)*[1]Energiindhold!$C$10,0))*O140</f>
        <v>1.2767831287128346</v>
      </c>
      <c r="R140" s="193">
        <f>IF(A140&lt;&gt;"Biogas",IFERROR(VLOOKUP(A140,[1]Biogasudbytte!$A$2:$B$18,2,FALSE)*[1]Energiindhold!$C$10,0)*J140*IFERROR(VLOOKUP(A140,Biogasanlæg!$F$3:$G$8,2,FALSE),1)+IFERROR(VLOOKUP(A140,[1]Energiindhold!$A$2:$C$11,3,FALSE),0)*L140+IF(D140&lt;&gt;År1,Q140,0),0)</f>
        <v>2.0568356846200895</v>
      </c>
      <c r="S140" s="193">
        <f>IFERROR(VLOOKUP(A140,[1]Biogasudbytte!$A$2:$B$18,2,FALSE)*[1]Energiindhold!$C$10,0)*J140*IFERROR(VLOOKUP(A140,Biogasanlæg!$F$3:$G$8,2,FALSE),1)</f>
        <v>0.78005255590725475</v>
      </c>
      <c r="T140" s="194">
        <f t="shared" si="25"/>
        <v>1.2767831287128346</v>
      </c>
      <c r="U140" s="192">
        <f>O140*IFERROR(VLOOKUP(A140,[1]Tørstofindhold!A$2:B$25,2,FALSE),0)</f>
        <v>153517.94096865808</v>
      </c>
      <c r="V140" s="193">
        <f>IF(D140=År1,P140,SUM(O140,P140))*IFERROR(VLOOKUP(A140,[1]Tørstofindhold!A$2:B$25,2,FALSE),0)</f>
        <v>247309.9558670274</v>
      </c>
      <c r="W140" s="193">
        <f>J140*IFERROR(VLOOKUP(A140,[1]Tørstofindhold!A$2:B$25,2,FALSE),0)</f>
        <v>93792.014898369322</v>
      </c>
      <c r="X140" s="194">
        <f t="shared" si="26"/>
        <v>153517.94096865808</v>
      </c>
      <c r="Y140" s="172">
        <f t="shared" si="43"/>
        <v>0</v>
      </c>
      <c r="Z140" s="104">
        <f t="shared" si="44"/>
        <v>1</v>
      </c>
    </row>
    <row r="141" spans="1:26" hidden="1" x14ac:dyDescent="0.55000000000000004">
      <c r="A141" s="195" t="str">
        <f t="shared" si="45"/>
        <v>Svinegylle</v>
      </c>
      <c r="B141" s="195" t="str">
        <f t="shared" si="46"/>
        <v>Husdyrgødning</v>
      </c>
      <c r="C141" s="195">
        <f>IF(COUNTIFS('Resultater - Danmark'!$D$3:$D$482,'Resultat-Produktion &amp; forbrug'!A141,'Resultater - Danmark'!$A$3:$A$482,"Til energi")+COUNTIFS('Resultater - Danmark'!$D$3:$D$482,'Resultat-Produktion &amp; forbrug'!A141,'Resultater - Danmark'!$A$3:$A$482,"Biogasanlæg")&gt;0,1,0)</f>
        <v>1</v>
      </c>
      <c r="D141" s="195">
        <f t="shared" si="35"/>
        <v>2050</v>
      </c>
      <c r="E141" s="193" t="s">
        <v>23</v>
      </c>
      <c r="F141" s="196">
        <f>IF(E141="Vestdanmark",SUMIFS(IF(D141=År1,'Resultater - Vestdanmark'!H$3:H$482,IF(D141=År2,'Resultater - Vestdanmark'!I$3:I$482,'Resultater - Vestdanmark'!J$3:J$482)),'Resultater - Vestdanmark'!$F$3:$F$482,$A141,IF(D141=År1,'Resultater - Vestdanmark'!H$3:H$482,IF(D141=År2,'Resultater - Vestdanmark'!I$3:I$482,'Resultater - Vestdanmark'!J$3:J$482)),"&gt;0"),SUMIFS(IF(D141=År1,'Resultater - Østdanmark'!H$3:H$482,IF(D141=År2,'Resultater - Østdanmark'!I$3:I$482,'Resultater - Østdanmark'!J$3:J$482)),'Resultater - Østdanmark'!$F$3:$F$482,$A141,IF(D141=År1,'Resultater - Østdanmark'!H$3:H$482,IF(D141=År2,'Resultater - Østdanmark'!I$3:I$482,'Resultater - Østdanmark'!J$3:J$482)),"&gt;0"))</f>
        <v>14432291.767579561</v>
      </c>
      <c r="G141" s="196">
        <f>SUMIFS('Forbrug af biomasse'!$E$2:$E$425,'Forbrug af biomasse'!$C$2:$C$425,'Resultat-Produktion &amp; forbrug'!$A141,'Forbrug af biomasse'!$D$2:$D$425,'Resultat-Produktion &amp; forbrug'!$D141,'Forbrug af biomasse'!$A$2:$A$425,'Resultat-Produktion &amp; forbrug'!G$2,'Forbrug af biomasse'!$B$2:$B$425,$E141)</f>
        <v>0</v>
      </c>
      <c r="H141" s="193">
        <f>IF(E141="Vestdanmark",-IF(A141="Halm",SUMIFS(IF(D141=År1,'Resultater - Vestdanmark'!H$3:H$482,IF(D141=År2,'Resultater - Vestdanmark'!I$3:I$482,'Resultater - Vestdanmark'!J$3:J$482)),'Resultater - Vestdanmark'!$F$3:$F$482,$A141,'Resultater - Vestdanmark'!H$3:H$482,"&lt;0"),0),-IF(A141="Halm",SUMIFS(IF(D141=År1,'Resultater - Østdanmark'!H$3:H$482,IF(D141=År2,'Resultater - Østdanmark'!I$3:I$482,'Resultater - Østdanmark'!J$3:J$482)),'Resultater - Østdanmark'!$F$3:$F$482,$A141,'Resultater - Østdanmark'!H$3:H$482,"&lt;0"),0))</f>
        <v>0</v>
      </c>
      <c r="I141" s="196">
        <f>SUMIFS('Forbrug af biomasse'!$E$2:$E$425,'Forbrug af biomasse'!$C$2:$C$425,'Resultat-Produktion &amp; forbrug'!$A141,'Forbrug af biomasse'!$D$2:$D$425,'Resultat-Produktion &amp; forbrug'!$D141,'Forbrug af biomasse'!$A$2:$A$425,'Resultat-Produktion &amp; forbrug'!I$2,'Forbrug af biomasse'!$B$2:$B$425,$E141)</f>
        <v>0</v>
      </c>
      <c r="J141" s="196">
        <f>SUMIFS('Forbrug af biomasse'!$E$2:$E$425,'Forbrug af biomasse'!$C$2:$C$425,'Resultat-Produktion &amp; forbrug'!$A141,'Forbrug af biomasse'!$D$2:$D$425,'Resultat-Produktion &amp; forbrug'!$D141,'Forbrug af biomasse'!$A$2:$A$425,'Resultat-Produktion &amp; forbrug'!J$2,'Forbrug af biomasse'!$B$2:$B$425,$E141)</f>
        <v>7649114.6368171675</v>
      </c>
      <c r="K141" s="196">
        <f>SUMIFS('Forbrug af biomasse'!$E$2:$E$425,'Forbrug af biomasse'!$C$2:$C$425,'Resultat-Produktion &amp; forbrug'!$A141,'Forbrug af biomasse'!$D$2:$D$425,'Resultat-Produktion &amp; forbrug'!$D141,'Forbrug af biomasse'!$A$2:$A$425,'Resultat-Produktion &amp; forbrug'!K$2,'Forbrug af biomasse'!$B$2:$B$425,$E141)</f>
        <v>6783177.1307623936</v>
      </c>
      <c r="L141" s="196">
        <f>IF(A141&lt;&gt;"Biogas",SUMIFS('Forbrug af biomasse'!$E$2:$E$425,'Forbrug af biomasse'!$C$2:$C$425,'Resultat-Produktion &amp; forbrug'!$A141,'Forbrug af biomasse'!$D$2:$D$425,'Resultat-Produktion &amp; forbrug'!$D141,'Forbrug af biomasse'!$A$2:$A$425,'Resultat-Produktion &amp; forbrug'!L$2,'Forbrug af biomasse'!$B$2:$B$425,$E141),F141)</f>
        <v>0</v>
      </c>
      <c r="M141" s="158">
        <f>SUMIFS('Forbrug af biomasse'!E:E,'Forbrug af biomasse'!C:C,'Resultat-Produktion &amp; forbrug'!$A141,'Forbrug af biomasse'!D:D,'Resultat-Produktion &amp; forbrug'!$D141,'Forbrug af biomasse'!G:G,1,'Forbrug af biomasse'!B:B,$E141)</f>
        <v>0</v>
      </c>
      <c r="N141" s="205">
        <f t="shared" si="23"/>
        <v>0</v>
      </c>
      <c r="O141" s="196">
        <f t="shared" si="39"/>
        <v>0</v>
      </c>
      <c r="P141" s="206">
        <f t="shared" si="24"/>
        <v>7649114.6368171675</v>
      </c>
      <c r="Q141" s="193">
        <f>IFERROR(VLOOKUP(A141,[1]Energiindhold!$A$2:$C$11,3,FALSE),IFERROR(VLOOKUP(A141,[1]Biogasudbytte!$A$2:$B$18,2,FALSE)*[1]Energiindhold!$C$10,0))*O141</f>
        <v>0</v>
      </c>
      <c r="R141" s="193">
        <f>IF(A141&lt;&gt;"Biogas",IFERROR(VLOOKUP(A141,[1]Biogasudbytte!$A$2:$B$18,2,FALSE)*[1]Energiindhold!$C$10,0)*J141*IFERROR(VLOOKUP(A141,Biogasanlæg!$F$3:$G$8,2,FALSE),1)+IFERROR(VLOOKUP(A141,[1]Energiindhold!$A$2:$C$11,3,FALSE),0)*L141+IF(D141&lt;&gt;År1,Q141,0),0)</f>
        <v>3.2952385855408362</v>
      </c>
      <c r="S141" s="193">
        <f>IFERROR(VLOOKUP(A141,[1]Biogasudbytte!$A$2:$B$18,2,FALSE)*[1]Energiindhold!$C$10,0)*J141*IFERROR(VLOOKUP(A141,Biogasanlæg!$F$3:$G$8,2,FALSE),1)</f>
        <v>3.2952385855408362</v>
      </c>
      <c r="T141" s="194">
        <f t="shared" si="25"/>
        <v>0</v>
      </c>
      <c r="U141" s="192">
        <f>O141*IFERROR(VLOOKUP(A141,[1]Tørstofindhold!A$2:B$25,2,FALSE),0)</f>
        <v>0</v>
      </c>
      <c r="V141" s="193">
        <f>IF(D141=År1,P141,SUM(O141,P141))*IFERROR(VLOOKUP(A141,[1]Tørstofindhold!A$2:B$25,2,FALSE),0)</f>
        <v>382455.73184085841</v>
      </c>
      <c r="W141" s="193">
        <f>J141*IFERROR(VLOOKUP(A141,[1]Tørstofindhold!A$2:B$25,2,FALSE),0)</f>
        <v>382455.73184085841</v>
      </c>
      <c r="X141" s="194">
        <f t="shared" si="26"/>
        <v>0</v>
      </c>
      <c r="Y141" s="172">
        <f t="shared" si="43"/>
        <v>0</v>
      </c>
      <c r="Z141" s="104">
        <f t="shared" si="44"/>
        <v>0</v>
      </c>
    </row>
    <row r="142" spans="1:26" hidden="1" x14ac:dyDescent="0.55000000000000004">
      <c r="A142" s="195" t="str">
        <f t="shared" si="45"/>
        <v>Svinekød</v>
      </c>
      <c r="B142" s="195" t="str">
        <f t="shared" si="46"/>
        <v/>
      </c>
      <c r="C142" s="195">
        <f>IF(COUNTIFS('Resultater - Danmark'!$D$3:$D$482,'Resultat-Produktion &amp; forbrug'!A142,'Resultater - Danmark'!$A$3:$A$482,"Til energi")+COUNTIFS('Resultater - Danmark'!$D$3:$D$482,'Resultat-Produktion &amp; forbrug'!A142,'Resultater - Danmark'!$A$3:$A$482,"Biogasanlæg")&gt;0,1,0)</f>
        <v>0</v>
      </c>
      <c r="D142" s="195">
        <f t="shared" si="35"/>
        <v>2050</v>
      </c>
      <c r="E142" s="193" t="s">
        <v>23</v>
      </c>
      <c r="F142" s="196">
        <f>IF(E142="Vestdanmark",SUMIFS(IF(D142=År1,'Resultater - Vestdanmark'!H$3:H$482,IF(D142=År2,'Resultater - Vestdanmark'!I$3:I$482,'Resultater - Vestdanmark'!J$3:J$482)),'Resultater - Vestdanmark'!$F$3:$F$482,$A142,IF(D142=År1,'Resultater - Vestdanmark'!H$3:H$482,IF(D142=År2,'Resultater - Vestdanmark'!I$3:I$482,'Resultater - Vestdanmark'!J$3:J$482)),"&gt;0"),SUMIFS(IF(D142=År1,'Resultater - Østdanmark'!H$3:H$482,IF(D142=År2,'Resultater - Østdanmark'!I$3:I$482,'Resultater - Østdanmark'!J$3:J$482)),'Resultater - Østdanmark'!$F$3:$F$482,$A142,IF(D142=År1,'Resultater - Østdanmark'!H$3:H$482,IF(D142=År2,'Resultater - Østdanmark'!I$3:I$482,'Resultater - Østdanmark'!J$3:J$482)),"&gt;0"))</f>
        <v>1340150.8748835563</v>
      </c>
      <c r="G142" s="196">
        <f>SUMIFS('Forbrug af biomasse'!$E$2:$E$425,'Forbrug af biomasse'!$C$2:$C$425,'Resultat-Produktion &amp; forbrug'!$A142,'Forbrug af biomasse'!$D$2:$D$425,'Resultat-Produktion &amp; forbrug'!$D142,'Forbrug af biomasse'!$A$2:$A$425,'Resultat-Produktion &amp; forbrug'!G$2,'Forbrug af biomasse'!$B$2:$B$425,$E142)</f>
        <v>0</v>
      </c>
      <c r="H142" s="193">
        <f>IF(E142="Vestdanmark",-IF(A142="Halm",SUMIFS(IF(D142=År1,'Resultater - Vestdanmark'!H$3:H$482,IF(D142=År2,'Resultater - Vestdanmark'!I$3:I$482,'Resultater - Vestdanmark'!J$3:J$482)),'Resultater - Vestdanmark'!$F$3:$F$482,$A142,'Resultater - Vestdanmark'!H$3:H$482,"&lt;0"),0),-IF(A142="Halm",SUMIFS(IF(D142=År1,'Resultater - Østdanmark'!H$3:H$482,IF(D142=År2,'Resultater - Østdanmark'!I$3:I$482,'Resultater - Østdanmark'!J$3:J$482)),'Resultater - Østdanmark'!$F$3:$F$482,$A142,'Resultater - Østdanmark'!H$3:H$482,"&lt;0"),0))</f>
        <v>0</v>
      </c>
      <c r="I142" s="196">
        <f>SUMIFS('Forbrug af biomasse'!$E$2:$E$425,'Forbrug af biomasse'!$C$2:$C$425,'Resultat-Produktion &amp; forbrug'!$A142,'Forbrug af biomasse'!$D$2:$D$425,'Resultat-Produktion &amp; forbrug'!$D142,'Forbrug af biomasse'!$A$2:$A$425,'Resultat-Produktion &amp; forbrug'!I$2,'Forbrug af biomasse'!$B$2:$B$425,$E142)</f>
        <v>126627.09194270898</v>
      </c>
      <c r="J142" s="196">
        <f>SUMIFS('Forbrug af biomasse'!$E$2:$E$425,'Forbrug af biomasse'!$C$2:$C$425,'Resultat-Produktion &amp; forbrug'!$A142,'Forbrug af biomasse'!$D$2:$D$425,'Resultat-Produktion &amp; forbrug'!$D142,'Forbrug af biomasse'!$A$2:$A$425,'Resultat-Produktion &amp; forbrug'!J$2,'Forbrug af biomasse'!$B$2:$B$425,$E142)</f>
        <v>0</v>
      </c>
      <c r="K142" s="196">
        <f>SUMIFS('Forbrug af biomasse'!$E$2:$E$425,'Forbrug af biomasse'!$C$2:$C$425,'Resultat-Produktion &amp; forbrug'!$A142,'Forbrug af biomasse'!$D$2:$D$425,'Resultat-Produktion &amp; forbrug'!$D142,'Forbrug af biomasse'!$A$2:$A$425,'Resultat-Produktion &amp; forbrug'!K$2,'Forbrug af biomasse'!$B$2:$B$425,$E142)</f>
        <v>0</v>
      </c>
      <c r="L142" s="196">
        <f>IF(A142&lt;&gt;"Biogas",SUMIFS('Forbrug af biomasse'!$E$2:$E$425,'Forbrug af biomasse'!$C$2:$C$425,'Resultat-Produktion &amp; forbrug'!$A142,'Forbrug af biomasse'!$D$2:$D$425,'Resultat-Produktion &amp; forbrug'!$D142,'Forbrug af biomasse'!$A$2:$A$425,'Resultat-Produktion &amp; forbrug'!L$2,'Forbrug af biomasse'!$B$2:$B$425,$E142),F142)</f>
        <v>0</v>
      </c>
      <c r="M142" s="158">
        <f>SUMIFS('Forbrug af biomasse'!E:E,'Forbrug af biomasse'!C:C,'Resultat-Produktion &amp; forbrug'!$A142,'Forbrug af biomasse'!D:D,'Resultat-Produktion &amp; forbrug'!$D142,'Forbrug af biomasse'!G:G,1,'Forbrug af biomasse'!B:B,$E142)</f>
        <v>0</v>
      </c>
      <c r="N142" s="205">
        <f t="shared" si="23"/>
        <v>1213523.7829408473</v>
      </c>
      <c r="O142" s="196">
        <f t="shared" si="39"/>
        <v>0</v>
      </c>
      <c r="P142" s="206">
        <f t="shared" si="24"/>
        <v>0</v>
      </c>
      <c r="Q142" s="193">
        <f>IFERROR(VLOOKUP(A142,[1]Energiindhold!$A$2:$C$11,3,FALSE),IFERROR(VLOOKUP(A142,[1]Biogasudbytte!$A$2:$B$18,2,FALSE)*[1]Energiindhold!$C$10,0))*O142</f>
        <v>0</v>
      </c>
      <c r="R142" s="193">
        <f>IF(A142&lt;&gt;"Biogas",IFERROR(VLOOKUP(A142,[1]Biogasudbytte!$A$2:$B$18,2,FALSE)*[1]Energiindhold!$C$10,0)*J142*IFERROR(VLOOKUP(A142,Biogasanlæg!$F$3:$G$8,2,FALSE),1)+IFERROR(VLOOKUP(A142,[1]Energiindhold!$A$2:$C$11,3,FALSE),0)*L142+IF(D142&lt;&gt;År1,Q142,0),0)</f>
        <v>0</v>
      </c>
      <c r="S142" s="193">
        <f>IFERROR(VLOOKUP(A142,[1]Biogasudbytte!$A$2:$B$18,2,FALSE)*[1]Energiindhold!$C$10,0)*J142*IFERROR(VLOOKUP(A142,Biogasanlæg!$F$3:$G$8,2,FALSE),1)</f>
        <v>0</v>
      </c>
      <c r="T142" s="194">
        <f t="shared" si="25"/>
        <v>0</v>
      </c>
      <c r="U142" s="192">
        <f>O142*IFERROR(VLOOKUP(A142,[1]Tørstofindhold!A$2:B$25,2,FALSE),0)</f>
        <v>0</v>
      </c>
      <c r="V142" s="193">
        <f>IF(D142=År1,P142,SUM(O142,P142))*IFERROR(VLOOKUP(A142,[1]Tørstofindhold!A$2:B$25,2,FALSE),0)</f>
        <v>0</v>
      </c>
      <c r="W142" s="193">
        <f>J142*IFERROR(VLOOKUP(A142,[1]Tørstofindhold!A$2:B$25,2,FALSE),0)</f>
        <v>0</v>
      </c>
      <c r="X142" s="194">
        <f t="shared" si="26"/>
        <v>0</v>
      </c>
      <c r="Y142" s="172">
        <f t="shared" si="43"/>
        <v>0</v>
      </c>
      <c r="Z142" s="104">
        <f t="shared" si="44"/>
        <v>1</v>
      </c>
    </row>
    <row r="143" spans="1:26" x14ac:dyDescent="0.55000000000000004">
      <c r="A143" s="195" t="str">
        <f t="shared" si="45"/>
        <v>Tang</v>
      </c>
      <c r="B143" s="195" t="str">
        <f t="shared" si="46"/>
        <v>Havbiomasse</v>
      </c>
      <c r="C143" s="195">
        <f>IF(COUNTIFS('Resultater - Danmark'!$D$3:$D$482,'Resultat-Produktion &amp; forbrug'!A143,'Resultater - Danmark'!$A$3:$A$482,"Til energi")+COUNTIFS('Resultater - Danmark'!$D$3:$D$482,'Resultat-Produktion &amp; forbrug'!A143,'Resultater - Danmark'!$A$3:$A$482,"Biogasanlæg")&gt;0,1,0)</f>
        <v>1</v>
      </c>
      <c r="D143" s="195">
        <f t="shared" si="35"/>
        <v>2050</v>
      </c>
      <c r="E143" s="193" t="s">
        <v>23</v>
      </c>
      <c r="F143" s="196">
        <f>IF(E143="Vestdanmark",SUMIFS(IF(D143=År1,'Resultater - Vestdanmark'!H$3:H$482,IF(D143=År2,'Resultater - Vestdanmark'!I$3:I$482,'Resultater - Vestdanmark'!J$3:J$482)),'Resultater - Vestdanmark'!$F$3:$F$482,$A143,IF(D143=År1,'Resultater - Vestdanmark'!H$3:H$482,IF(D143=År2,'Resultater - Vestdanmark'!I$3:I$482,'Resultater - Vestdanmark'!J$3:J$482)),"&gt;0"),SUMIFS(IF(D143=År1,'Resultater - Østdanmark'!H$3:H$482,IF(D143=År2,'Resultater - Østdanmark'!I$3:I$482,'Resultater - Østdanmark'!J$3:J$482)),'Resultater - Østdanmark'!$F$3:$F$482,$A143,IF(D143=År1,'Resultater - Østdanmark'!H$3:H$482,IF(D143=År2,'Resultater - Østdanmark'!I$3:I$482,'Resultater - Østdanmark'!J$3:J$482)),"&gt;0"))</f>
        <v>13500</v>
      </c>
      <c r="G143" s="196">
        <f>SUMIFS('Forbrug af biomasse'!$E$2:$E$425,'Forbrug af biomasse'!$C$2:$C$425,'Resultat-Produktion &amp; forbrug'!$A143,'Forbrug af biomasse'!$D$2:$D$425,'Resultat-Produktion &amp; forbrug'!$D143,'Forbrug af biomasse'!$A$2:$A$425,'Resultat-Produktion &amp; forbrug'!G$2,'Forbrug af biomasse'!$B$2:$B$425,$E143)</f>
        <v>0</v>
      </c>
      <c r="H143" s="193">
        <f>IF(E143="Vestdanmark",-IF(A143="Halm",SUMIFS(IF(D143=År1,'Resultater - Vestdanmark'!H$3:H$482,IF(D143=År2,'Resultater - Vestdanmark'!I$3:I$482,'Resultater - Vestdanmark'!J$3:J$482)),'Resultater - Vestdanmark'!$F$3:$F$482,$A143,'Resultater - Vestdanmark'!H$3:H$482,"&lt;0"),0),-IF(A143="Halm",SUMIFS(IF(D143=År1,'Resultater - Østdanmark'!H$3:H$482,IF(D143=År2,'Resultater - Østdanmark'!I$3:I$482,'Resultater - Østdanmark'!J$3:J$482)),'Resultater - Østdanmark'!$F$3:$F$482,$A143,'Resultater - Østdanmark'!H$3:H$482,"&lt;0"),0))</f>
        <v>0</v>
      </c>
      <c r="I143" s="196">
        <f>SUMIFS('Forbrug af biomasse'!$E$2:$E$425,'Forbrug af biomasse'!$C$2:$C$425,'Resultat-Produktion &amp; forbrug'!$A143,'Forbrug af biomasse'!$D$2:$D$425,'Resultat-Produktion &amp; forbrug'!$D143,'Forbrug af biomasse'!$A$2:$A$425,'Resultat-Produktion &amp; forbrug'!I$2,'Forbrug af biomasse'!$B$2:$B$425,$E143)</f>
        <v>0</v>
      </c>
      <c r="J143" s="196">
        <f>SUMIFS('Forbrug af biomasse'!$E$2:$E$425,'Forbrug af biomasse'!$C$2:$C$425,'Resultat-Produktion &amp; forbrug'!$A143,'Forbrug af biomasse'!$D$2:$D$425,'Resultat-Produktion &amp; forbrug'!$D143,'Forbrug af biomasse'!$A$2:$A$425,'Resultat-Produktion &amp; forbrug'!J$2,'Forbrug af biomasse'!$B$2:$B$425,$E143)</f>
        <v>0</v>
      </c>
      <c r="K143" s="196">
        <f>SUMIFS('Forbrug af biomasse'!$E$2:$E$425,'Forbrug af biomasse'!$C$2:$C$425,'Resultat-Produktion &amp; forbrug'!$A143,'Forbrug af biomasse'!$D$2:$D$425,'Resultat-Produktion &amp; forbrug'!$D143,'Forbrug af biomasse'!$A$2:$A$425,'Resultat-Produktion &amp; forbrug'!K$2,'Forbrug af biomasse'!$B$2:$B$425,$E143)</f>
        <v>0</v>
      </c>
      <c r="L143" s="196">
        <f>IF(A143&lt;&gt;"Biogas",SUMIFS('Forbrug af biomasse'!$E$2:$E$425,'Forbrug af biomasse'!$C$2:$C$425,'Resultat-Produktion &amp; forbrug'!$A143,'Forbrug af biomasse'!$D$2:$D$425,'Resultat-Produktion &amp; forbrug'!$D143,'Forbrug af biomasse'!$A$2:$A$425,'Resultat-Produktion &amp; forbrug'!L$2,'Forbrug af biomasse'!$B$2:$B$425,$E143),F143)</f>
        <v>0</v>
      </c>
      <c r="M143" s="158">
        <f>SUMIFS('Forbrug af biomasse'!E:E,'Forbrug af biomasse'!C:C,'Resultat-Produktion &amp; forbrug'!$A143,'Forbrug af biomasse'!D:D,'Resultat-Produktion &amp; forbrug'!$D143,'Forbrug af biomasse'!G:G,1,'Forbrug af biomasse'!B:B,$E143)</f>
        <v>0</v>
      </c>
      <c r="N143" s="205">
        <f t="shared" si="23"/>
        <v>13500</v>
      </c>
      <c r="O143" s="196">
        <f t="shared" si="39"/>
        <v>13500</v>
      </c>
      <c r="P143" s="206">
        <f t="shared" si="24"/>
        <v>0</v>
      </c>
      <c r="Q143" s="193">
        <f>IFERROR(VLOOKUP(A143,[1]Energiindhold!$A$2:$C$11,3,FALSE),IFERROR(VLOOKUP(A143,[1]Biogasudbytte!$A$2:$B$18,2,FALSE)*[1]Energiindhold!$C$10,0))*O143</f>
        <v>1.2116250000000002E-2</v>
      </c>
      <c r="R143" s="193">
        <f>IF(A143&lt;&gt;"Biogas",IFERROR(VLOOKUP(A143,[1]Biogasudbytte!$A$2:$B$18,2,FALSE)*[1]Energiindhold!$C$10,0)*J143*IFERROR(VLOOKUP(A143,Biogasanlæg!$F$3:$G$8,2,FALSE),1)+IFERROR(VLOOKUP(A143,[1]Energiindhold!$A$2:$C$11,3,FALSE),0)*L143+IF(D143&lt;&gt;År1,Q143,0),0)</f>
        <v>1.2116250000000002E-2</v>
      </c>
      <c r="S143" s="193">
        <f>IFERROR(VLOOKUP(A143,[1]Biogasudbytte!$A$2:$B$18,2,FALSE)*[1]Energiindhold!$C$10,0)*J143*IFERROR(VLOOKUP(A143,Biogasanlæg!$F$3:$G$8,2,FALSE),1)</f>
        <v>0</v>
      </c>
      <c r="T143" s="194">
        <f t="shared" si="25"/>
        <v>1.2116250000000002E-2</v>
      </c>
      <c r="U143" s="192">
        <f>O143*IFERROR(VLOOKUP(A143,[1]Tørstofindhold!A$2:B$25,2,FALSE),0)</f>
        <v>2025</v>
      </c>
      <c r="V143" s="193">
        <f>IF(D143=År1,P143,SUM(O143,P143))*IFERROR(VLOOKUP(A143,[1]Tørstofindhold!A$2:B$25,2,FALSE),0)</f>
        <v>2025</v>
      </c>
      <c r="W143" s="193">
        <f>J143*IFERROR(VLOOKUP(A143,[1]Tørstofindhold!A$2:B$25,2,FALSE),0)</f>
        <v>0</v>
      </c>
      <c r="X143" s="194">
        <f t="shared" si="26"/>
        <v>2025</v>
      </c>
      <c r="Y143" s="172">
        <f t="shared" si="43"/>
        <v>0</v>
      </c>
      <c r="Z143" s="104">
        <f t="shared" si="44"/>
        <v>1</v>
      </c>
    </row>
    <row r="144" spans="1:26" hidden="1" x14ac:dyDescent="0.55000000000000004">
      <c r="A144" s="195" t="str">
        <f t="shared" si="45"/>
        <v>Total til biogas</v>
      </c>
      <c r="B144" s="195" t="str">
        <f t="shared" si="46"/>
        <v/>
      </c>
      <c r="C144" s="195">
        <f>IF(COUNTIFS('Resultater - Danmark'!$D$3:$D$482,'Resultat-Produktion &amp; forbrug'!A144,'Resultater - Danmark'!$A$3:$A$482,"Til energi")+COUNTIFS('Resultater - Danmark'!$D$3:$D$482,'Resultat-Produktion &amp; forbrug'!A144,'Resultater - Danmark'!$A$3:$A$482,"Biogasanlæg")&gt;0,1,0)</f>
        <v>1</v>
      </c>
      <c r="D144" s="195">
        <f t="shared" si="35"/>
        <v>2050</v>
      </c>
      <c r="E144" s="193" t="s">
        <v>23</v>
      </c>
      <c r="F144" s="196">
        <f>IF(E144="Vestdanmark",SUMIFS(IF(D144=År1,'Resultater - Vestdanmark'!H$3:H$482,IF(D144=År2,'Resultater - Vestdanmark'!I$3:I$482,'Resultater - Vestdanmark'!J$3:J$482)),'Resultater - Vestdanmark'!$F$3:$F$482,$A144,IF(D144=År1,'Resultater - Vestdanmark'!H$3:H$482,IF(D144=År2,'Resultater - Vestdanmark'!I$3:I$482,'Resultater - Vestdanmark'!J$3:J$482)),"&gt;0"),SUMIFS(IF(D144=År1,'Resultater - Østdanmark'!H$3:H$482,IF(D144=År2,'Resultater - Østdanmark'!I$3:I$482,'Resultater - Østdanmark'!J$3:J$482)),'Resultater - Østdanmark'!$F$3:$F$482,$A144,IF(D144=År1,'Resultater - Østdanmark'!H$3:H$482,IF(D144=År2,'Resultater - Østdanmark'!I$3:I$482,'Resultater - Østdanmark'!J$3:J$482)),"&gt;0"))</f>
        <v>0</v>
      </c>
      <c r="G144" s="196">
        <f>SUMIFS('Forbrug af biomasse'!$E$2:$E$425,'Forbrug af biomasse'!$C$2:$C$425,'Resultat-Produktion &amp; forbrug'!$A144,'Forbrug af biomasse'!$D$2:$D$425,'Resultat-Produktion &amp; forbrug'!$D144,'Forbrug af biomasse'!$A$2:$A$425,'Resultat-Produktion &amp; forbrug'!G$2,'Forbrug af biomasse'!$B$2:$B$425,$E144)</f>
        <v>0</v>
      </c>
      <c r="H144" s="193">
        <f>IF(E144="Vestdanmark",-IF(A144="Halm",SUMIFS(IF(D144=År1,'Resultater - Vestdanmark'!H$3:H$482,IF(D144=År2,'Resultater - Vestdanmark'!I$3:I$482,'Resultater - Vestdanmark'!J$3:J$482)),'Resultater - Vestdanmark'!$F$3:$F$482,$A144,'Resultater - Vestdanmark'!H$3:H$482,"&lt;0"),0),-IF(A144="Halm",SUMIFS(IF(D144=År1,'Resultater - Østdanmark'!H$3:H$482,IF(D144=År2,'Resultater - Østdanmark'!I$3:I$482,'Resultater - Østdanmark'!J$3:J$482)),'Resultater - Østdanmark'!$F$3:$F$482,$A144,'Resultater - Østdanmark'!H$3:H$482,"&lt;0"),0))</f>
        <v>0</v>
      </c>
      <c r="I144" s="196">
        <f>SUMIFS('Forbrug af biomasse'!$E$2:$E$425,'Forbrug af biomasse'!$C$2:$C$425,'Resultat-Produktion &amp; forbrug'!$A144,'Forbrug af biomasse'!$D$2:$D$425,'Resultat-Produktion &amp; forbrug'!$D144,'Forbrug af biomasse'!$A$2:$A$425,'Resultat-Produktion &amp; forbrug'!I$2,'Forbrug af biomasse'!$B$2:$B$425,$E144)</f>
        <v>0</v>
      </c>
      <c r="J144" s="196">
        <f>SUMIFS('Forbrug af biomasse'!$E$2:$E$425,'Forbrug af biomasse'!$C$2:$C$425,'Resultat-Produktion &amp; forbrug'!$A144,'Forbrug af biomasse'!$D$2:$D$425,'Resultat-Produktion &amp; forbrug'!$D144,'Forbrug af biomasse'!$A$2:$A$425,'Resultat-Produktion &amp; forbrug'!J$2,'Forbrug af biomasse'!$B$2:$B$425,$E144)</f>
        <v>0</v>
      </c>
      <c r="K144" s="196">
        <f>SUMIFS('Forbrug af biomasse'!$E$2:$E$425,'Forbrug af biomasse'!$C$2:$C$425,'Resultat-Produktion &amp; forbrug'!$A144,'Forbrug af biomasse'!$D$2:$D$425,'Resultat-Produktion &amp; forbrug'!$D144,'Forbrug af biomasse'!$A$2:$A$425,'Resultat-Produktion &amp; forbrug'!K$2,'Forbrug af biomasse'!$B$2:$B$425,$E144)</f>
        <v>0</v>
      </c>
      <c r="L144" s="196">
        <f>IF(A144&lt;&gt;"Biogas",SUMIFS('Forbrug af biomasse'!$E$2:$E$425,'Forbrug af biomasse'!$C$2:$C$425,'Resultat-Produktion &amp; forbrug'!$A144,'Forbrug af biomasse'!$D$2:$D$425,'Resultat-Produktion &amp; forbrug'!$D144,'Forbrug af biomasse'!$A$2:$A$425,'Resultat-Produktion &amp; forbrug'!L$2,'Forbrug af biomasse'!$B$2:$B$425,$E144),F144)</f>
        <v>0</v>
      </c>
      <c r="M144" s="158">
        <f>SUMIFS('Forbrug af biomasse'!E:E,'Forbrug af biomasse'!C:C,'Resultat-Produktion &amp; forbrug'!$A144,'Forbrug af biomasse'!D:D,'Resultat-Produktion &amp; forbrug'!$D144,'Forbrug af biomasse'!G:G,1,'Forbrug af biomasse'!B:B,$E144)</f>
        <v>0</v>
      </c>
      <c r="N144" s="205">
        <f t="shared" si="23"/>
        <v>0</v>
      </c>
      <c r="O144" s="196">
        <f t="shared" si="39"/>
        <v>0</v>
      </c>
      <c r="P144" s="206">
        <f t="shared" si="24"/>
        <v>0</v>
      </c>
      <c r="Q144" s="193">
        <f>IFERROR(VLOOKUP(A144,[1]Energiindhold!$A$2:$C$11,3,FALSE),IFERROR(VLOOKUP(A144,[1]Biogasudbytte!$A$2:$B$18,2,FALSE)*[1]Energiindhold!$C$10,0))*O144</f>
        <v>0</v>
      </c>
      <c r="R144" s="193">
        <f>IF(A144&lt;&gt;"Biogas",IFERROR(VLOOKUP(A144,[1]Biogasudbytte!$A$2:$B$18,2,FALSE)*[1]Energiindhold!$C$10,0)*J144*IFERROR(VLOOKUP(A144,Biogasanlæg!$F$3:$G$8,2,FALSE),1)+IFERROR(VLOOKUP(A144,[1]Energiindhold!$A$2:$C$11,3,FALSE),0)*L144+IF(D144&lt;&gt;År1,Q144,0),0)</f>
        <v>0</v>
      </c>
      <c r="S144" s="193">
        <f>IFERROR(VLOOKUP(A144,[1]Biogasudbytte!$A$2:$B$18,2,FALSE)*[1]Energiindhold!$C$10,0)*J144*IFERROR(VLOOKUP(A144,Biogasanlæg!$F$3:$G$8,2,FALSE),1)</f>
        <v>0</v>
      </c>
      <c r="T144" s="194">
        <f t="shared" si="25"/>
        <v>0</v>
      </c>
      <c r="U144" s="192">
        <f>O144*IFERROR(VLOOKUP(A144,[1]Tørstofindhold!A$2:B$25,2,FALSE),0)</f>
        <v>0</v>
      </c>
      <c r="V144" s="193">
        <f>IF(D144=År1,P144,SUM(O144,P144))*IFERROR(VLOOKUP(A144,[1]Tørstofindhold!A$2:B$25,2,FALSE),0)</f>
        <v>0</v>
      </c>
      <c r="W144" s="193">
        <f>J144*IFERROR(VLOOKUP(A144,[1]Tørstofindhold!A$2:B$25,2,FALSE),0)</f>
        <v>0</v>
      </c>
      <c r="X144" s="194">
        <f t="shared" si="26"/>
        <v>0</v>
      </c>
      <c r="Y144" s="172">
        <f t="shared" si="43"/>
        <v>0</v>
      </c>
      <c r="Z144" s="104">
        <f t="shared" si="44"/>
        <v>0</v>
      </c>
    </row>
    <row r="145" spans="1:26" hidden="1" x14ac:dyDescent="0.55000000000000004">
      <c r="A145" s="195" t="str">
        <f t="shared" si="45"/>
        <v>Træ til energi</v>
      </c>
      <c r="B145" s="195" t="str">
        <f t="shared" si="46"/>
        <v>Vedmasse</v>
      </c>
      <c r="C145" s="195">
        <f>IF(COUNTIFS('Resultater - Danmark'!$D$3:$D$482,'Resultat-Produktion &amp; forbrug'!A145,'Resultater - Danmark'!$A$3:$A$482,"Til energi")+COUNTIFS('Resultater - Danmark'!$D$3:$D$482,'Resultat-Produktion &amp; forbrug'!A145,'Resultater - Danmark'!$A$3:$A$482,"Biogasanlæg")&gt;0,1,0)</f>
        <v>1</v>
      </c>
      <c r="D145" s="195">
        <f t="shared" si="35"/>
        <v>2050</v>
      </c>
      <c r="E145" s="193" t="s">
        <v>23</v>
      </c>
      <c r="F145" s="196">
        <f>IF(E145="Vestdanmark",SUMIFS(IF(D145=År1,'Resultater - Vestdanmark'!H$3:H$482,IF(D145=År2,'Resultater - Vestdanmark'!I$3:I$482,'Resultater - Vestdanmark'!J$3:J$482)),'Resultater - Vestdanmark'!$F$3:$F$482,$A145,IF(D145=År1,'Resultater - Vestdanmark'!H$3:H$482,IF(D145=År2,'Resultater - Vestdanmark'!I$3:I$482,'Resultater - Vestdanmark'!J$3:J$482)),"&gt;0"),SUMIFS(IF(D145=År1,'Resultater - Østdanmark'!H$3:H$482,IF(D145=År2,'Resultater - Østdanmark'!I$3:I$482,'Resultater - Østdanmark'!J$3:J$482)),'Resultater - Østdanmark'!$F$3:$F$482,$A145,IF(D145=År1,'Resultater - Østdanmark'!H$3:H$482,IF(D145=År2,'Resultater - Østdanmark'!I$3:I$482,'Resultater - Østdanmark'!J$3:J$482)),"&gt;0"))</f>
        <v>2001135.6433479721</v>
      </c>
      <c r="G145" s="196">
        <f>SUMIFS('Forbrug af biomasse'!$E$2:$E$425,'Forbrug af biomasse'!$C$2:$C$425,'Resultat-Produktion &amp; forbrug'!$A145,'Forbrug af biomasse'!$D$2:$D$425,'Resultat-Produktion &amp; forbrug'!$D145,'Forbrug af biomasse'!$A$2:$A$425,'Resultat-Produktion &amp; forbrug'!G$2,'Forbrug af biomasse'!$B$2:$B$425,$E145)</f>
        <v>0</v>
      </c>
      <c r="H145" s="193">
        <f>IF(E145="Vestdanmark",-IF(A145="Halm",SUMIFS(IF(D145=År1,'Resultater - Vestdanmark'!H$3:H$482,IF(D145=År2,'Resultater - Vestdanmark'!I$3:I$482,'Resultater - Vestdanmark'!J$3:J$482)),'Resultater - Vestdanmark'!$F$3:$F$482,$A145,'Resultater - Vestdanmark'!H$3:H$482,"&lt;0"),0),-IF(A145="Halm",SUMIFS(IF(D145=År1,'Resultater - Østdanmark'!H$3:H$482,IF(D145=År2,'Resultater - Østdanmark'!I$3:I$482,'Resultater - Østdanmark'!J$3:J$482)),'Resultater - Østdanmark'!$F$3:$F$482,$A145,'Resultater - Østdanmark'!H$3:H$482,"&lt;0"),0))</f>
        <v>0</v>
      </c>
      <c r="I145" s="196">
        <f>SUMIFS('Forbrug af biomasse'!$E$2:$E$425,'Forbrug af biomasse'!$C$2:$C$425,'Resultat-Produktion &amp; forbrug'!$A145,'Forbrug af biomasse'!$D$2:$D$425,'Resultat-Produktion &amp; forbrug'!$D145,'Forbrug af biomasse'!$A$2:$A$425,'Resultat-Produktion &amp; forbrug'!I$2,'Forbrug af biomasse'!$B$2:$B$425,$E145)</f>
        <v>0</v>
      </c>
      <c r="J145" s="196">
        <f>SUMIFS('Forbrug af biomasse'!$E$2:$E$425,'Forbrug af biomasse'!$C$2:$C$425,'Resultat-Produktion &amp; forbrug'!$A145,'Forbrug af biomasse'!$D$2:$D$425,'Resultat-Produktion &amp; forbrug'!$D145,'Forbrug af biomasse'!$A$2:$A$425,'Resultat-Produktion &amp; forbrug'!J$2,'Forbrug af biomasse'!$B$2:$B$425,$E145)</f>
        <v>0</v>
      </c>
      <c r="K145" s="196">
        <f>SUMIFS('Forbrug af biomasse'!$E$2:$E$425,'Forbrug af biomasse'!$C$2:$C$425,'Resultat-Produktion &amp; forbrug'!$A145,'Forbrug af biomasse'!$D$2:$D$425,'Resultat-Produktion &amp; forbrug'!$D145,'Forbrug af biomasse'!$A$2:$A$425,'Resultat-Produktion &amp; forbrug'!K$2,'Forbrug af biomasse'!$B$2:$B$425,$E145)</f>
        <v>0</v>
      </c>
      <c r="L145" s="196">
        <f>IF(A145&lt;&gt;"Biogas",SUMIFS('Forbrug af biomasse'!$E$2:$E$425,'Forbrug af biomasse'!$C$2:$C$425,'Resultat-Produktion &amp; forbrug'!$A145,'Forbrug af biomasse'!$D$2:$D$425,'Resultat-Produktion &amp; forbrug'!$D145,'Forbrug af biomasse'!$A$2:$A$425,'Resultat-Produktion &amp; forbrug'!L$2,'Forbrug af biomasse'!$B$2:$B$425,$E145),F145)</f>
        <v>2001135.6433479721</v>
      </c>
      <c r="M145" s="158">
        <f>SUMIFS('Forbrug af biomasse'!E:E,'Forbrug af biomasse'!C:C,'Resultat-Produktion &amp; forbrug'!$A145,'Forbrug af biomasse'!D:D,'Resultat-Produktion &amp; forbrug'!$D145,'Forbrug af biomasse'!G:G,1,'Forbrug af biomasse'!B:B,$E145)</f>
        <v>0</v>
      </c>
      <c r="N145" s="205">
        <f t="shared" si="23"/>
        <v>0</v>
      </c>
      <c r="O145" s="196">
        <f t="shared" si="39"/>
        <v>0</v>
      </c>
      <c r="P145" s="206">
        <f t="shared" si="24"/>
        <v>2001135.6433479721</v>
      </c>
      <c r="Q145" s="193">
        <f>IFERROR(VLOOKUP(A145,[1]Energiindhold!$A$2:$C$11,3,FALSE),IFERROR(VLOOKUP(A145,[1]Biogasudbytte!$A$2:$B$18,2,FALSE)*[1]Energiindhold!$C$10,0))*O145</f>
        <v>0</v>
      </c>
      <c r="R145" s="193">
        <f>IF(A145&lt;&gt;"Biogas",IFERROR(VLOOKUP(A145,[1]Biogasudbytte!$A$2:$B$18,2,FALSE)*[1]Energiindhold!$C$10,0)*J145*IFERROR(VLOOKUP(A145,Biogasanlæg!$F$3:$G$8,2,FALSE),1)+IFERROR(VLOOKUP(A145,[1]Energiindhold!$A$2:$C$11,3,FALSE),0)*L145+IF(D145&lt;&gt;År1,Q145,0),0)</f>
        <v>29.003597326661179</v>
      </c>
      <c r="S145" s="193">
        <f>IFERROR(VLOOKUP(A145,[1]Biogasudbytte!$A$2:$B$18,2,FALSE)*[1]Energiindhold!$C$10,0)*J145*IFERROR(VLOOKUP(A145,Biogasanlæg!$F$3:$G$8,2,FALSE),1)</f>
        <v>0</v>
      </c>
      <c r="T145" s="194">
        <f t="shared" si="25"/>
        <v>29.003597326661179</v>
      </c>
      <c r="U145" s="192">
        <f>O145*IFERROR(VLOOKUP(A145,[1]Tørstofindhold!A$2:B$25,2,FALSE),0)</f>
        <v>0</v>
      </c>
      <c r="V145" s="193">
        <f>IF(D145=År1,P145,SUM(O145,P145))*IFERROR(VLOOKUP(A145,[1]Tørstofindhold!A$2:B$25,2,FALSE),0)</f>
        <v>989728.33693918446</v>
      </c>
      <c r="W145" s="193">
        <f>J145*IFERROR(VLOOKUP(A145,[1]Tørstofindhold!A$2:B$25,2,FALSE),0)</f>
        <v>0</v>
      </c>
      <c r="X145" s="194">
        <f t="shared" si="26"/>
        <v>989728.33693918446</v>
      </c>
      <c r="Y145" s="172">
        <f t="shared" si="43"/>
        <v>0</v>
      </c>
      <c r="Z145" s="104">
        <f t="shared" si="44"/>
        <v>0</v>
      </c>
    </row>
    <row r="146" spans="1:26" hidden="1" x14ac:dyDescent="0.55000000000000004">
      <c r="A146" s="195" t="str">
        <f t="shared" si="45"/>
        <v>Træmaterialer</v>
      </c>
      <c r="B146" s="195" t="str">
        <f t="shared" si="46"/>
        <v/>
      </c>
      <c r="C146" s="195">
        <f>IF(COUNTIFS('Resultater - Danmark'!$D$3:$D$482,'Resultat-Produktion &amp; forbrug'!A146,'Resultater - Danmark'!$A$3:$A$482,"Til energi")+COUNTIFS('Resultater - Danmark'!$D$3:$D$482,'Resultat-Produktion &amp; forbrug'!A146,'Resultater - Danmark'!$A$3:$A$482,"Biogasanlæg")&gt;0,1,0)</f>
        <v>0</v>
      </c>
      <c r="D146" s="195">
        <f t="shared" si="35"/>
        <v>2050</v>
      </c>
      <c r="E146" s="193" t="s">
        <v>23</v>
      </c>
      <c r="F146" s="196">
        <f>IF(E146="Vestdanmark",SUMIFS(IF(D146=År1,'Resultater - Vestdanmark'!H$3:H$482,IF(D146=År2,'Resultater - Vestdanmark'!I$3:I$482,'Resultater - Vestdanmark'!J$3:J$482)),'Resultater - Vestdanmark'!$F$3:$F$482,$A146,IF(D146=År1,'Resultater - Vestdanmark'!H$3:H$482,IF(D146=År2,'Resultater - Vestdanmark'!I$3:I$482,'Resultater - Vestdanmark'!J$3:J$482)),"&gt;0"),SUMIFS(IF(D146=År1,'Resultater - Østdanmark'!H$3:H$482,IF(D146=År2,'Resultater - Østdanmark'!I$3:I$482,'Resultater - Østdanmark'!J$3:J$482)),'Resultater - Østdanmark'!$F$3:$F$482,$A146,IF(D146=År1,'Resultater - Østdanmark'!H$3:H$482,IF(D146=År2,'Resultater - Østdanmark'!I$3:I$482,'Resultater - Østdanmark'!J$3:J$482)),"&gt;0"))</f>
        <v>551646.84040095157</v>
      </c>
      <c r="G146" s="196">
        <f>SUMIFS('Forbrug af biomasse'!$E$2:$E$425,'Forbrug af biomasse'!$C$2:$C$425,'Resultat-Produktion &amp; forbrug'!$A146,'Forbrug af biomasse'!$D$2:$D$425,'Resultat-Produktion &amp; forbrug'!$D146,'Forbrug af biomasse'!$A$2:$A$425,'Resultat-Produktion &amp; forbrug'!G$2,'Forbrug af biomasse'!$B$2:$B$425,$E146)</f>
        <v>0</v>
      </c>
      <c r="H146" s="193">
        <f>IF(E146="Vestdanmark",-IF(A146="Halm",SUMIFS(IF(D146=År1,'Resultater - Vestdanmark'!H$3:H$482,IF(D146=År2,'Resultater - Vestdanmark'!I$3:I$482,'Resultater - Vestdanmark'!J$3:J$482)),'Resultater - Vestdanmark'!$F$3:$F$482,$A146,'Resultater - Vestdanmark'!H$3:H$482,"&lt;0"),0),-IF(A146="Halm",SUMIFS(IF(D146=År1,'Resultater - Østdanmark'!H$3:H$482,IF(D146=År2,'Resultater - Østdanmark'!I$3:I$482,'Resultater - Østdanmark'!J$3:J$482)),'Resultater - Østdanmark'!$F$3:$F$482,$A146,'Resultater - Østdanmark'!H$3:H$482,"&lt;0"),0))</f>
        <v>0</v>
      </c>
      <c r="I146" s="196">
        <f>SUMIFS('Forbrug af biomasse'!$E$2:$E$425,'Forbrug af biomasse'!$C$2:$C$425,'Resultat-Produktion &amp; forbrug'!$A146,'Forbrug af biomasse'!$D$2:$D$425,'Resultat-Produktion &amp; forbrug'!$D146,'Forbrug af biomasse'!$A$2:$A$425,'Resultat-Produktion &amp; forbrug'!I$2,'Forbrug af biomasse'!$B$2:$B$425,$E146)</f>
        <v>0</v>
      </c>
      <c r="J146" s="196">
        <f>SUMIFS('Forbrug af biomasse'!$E$2:$E$425,'Forbrug af biomasse'!$C$2:$C$425,'Resultat-Produktion &amp; forbrug'!$A146,'Forbrug af biomasse'!$D$2:$D$425,'Resultat-Produktion &amp; forbrug'!$D146,'Forbrug af biomasse'!$A$2:$A$425,'Resultat-Produktion &amp; forbrug'!J$2,'Forbrug af biomasse'!$B$2:$B$425,$E146)</f>
        <v>0</v>
      </c>
      <c r="K146" s="196">
        <f>SUMIFS('Forbrug af biomasse'!$E$2:$E$425,'Forbrug af biomasse'!$C$2:$C$425,'Resultat-Produktion &amp; forbrug'!$A146,'Forbrug af biomasse'!$D$2:$D$425,'Resultat-Produktion &amp; forbrug'!$D146,'Forbrug af biomasse'!$A$2:$A$425,'Resultat-Produktion &amp; forbrug'!K$2,'Forbrug af biomasse'!$B$2:$B$425,$E146)</f>
        <v>0</v>
      </c>
      <c r="L146" s="196">
        <f>IF(A146&lt;&gt;"Biogas",SUMIFS('Forbrug af biomasse'!$E$2:$E$425,'Forbrug af biomasse'!$C$2:$C$425,'Resultat-Produktion &amp; forbrug'!$A146,'Forbrug af biomasse'!$D$2:$D$425,'Resultat-Produktion &amp; forbrug'!$D146,'Forbrug af biomasse'!$A$2:$A$425,'Resultat-Produktion &amp; forbrug'!L$2,'Forbrug af biomasse'!$B$2:$B$425,$E146),F146)</f>
        <v>0</v>
      </c>
      <c r="M146" s="158">
        <f>SUMIFS('Forbrug af biomasse'!E:E,'Forbrug af biomasse'!C:C,'Resultat-Produktion &amp; forbrug'!$A146,'Forbrug af biomasse'!D:D,'Resultat-Produktion &amp; forbrug'!$D146,'Forbrug af biomasse'!G:G,1,'Forbrug af biomasse'!B:B,$E146)</f>
        <v>0</v>
      </c>
      <c r="N146" s="205">
        <f t="shared" si="23"/>
        <v>551646.84040095157</v>
      </c>
      <c r="O146" s="196">
        <f t="shared" si="39"/>
        <v>0</v>
      </c>
      <c r="P146" s="206">
        <f t="shared" si="24"/>
        <v>0</v>
      </c>
      <c r="Q146" s="193">
        <f>IFERROR(VLOOKUP(A146,[1]Energiindhold!$A$2:$C$11,3,FALSE),IFERROR(VLOOKUP(A146,[1]Biogasudbytte!$A$2:$B$18,2,FALSE)*[1]Energiindhold!$C$10,0))*O146</f>
        <v>0</v>
      </c>
      <c r="R146" s="193">
        <f>IF(A146&lt;&gt;"Biogas",IFERROR(VLOOKUP(A146,[1]Biogasudbytte!$A$2:$B$18,2,FALSE)*[1]Energiindhold!$C$10,0)*J146*IFERROR(VLOOKUP(A146,Biogasanlæg!$F$3:$G$8,2,FALSE),1)+IFERROR(VLOOKUP(A146,[1]Energiindhold!$A$2:$C$11,3,FALSE),0)*L146+IF(D146&lt;&gt;År1,Q146,0),0)</f>
        <v>0</v>
      </c>
      <c r="S146" s="193">
        <f>IFERROR(VLOOKUP(A146,[1]Biogasudbytte!$A$2:$B$18,2,FALSE)*[1]Energiindhold!$C$10,0)*J146*IFERROR(VLOOKUP(A146,Biogasanlæg!$F$3:$G$8,2,FALSE),1)</f>
        <v>0</v>
      </c>
      <c r="T146" s="194">
        <f t="shared" si="25"/>
        <v>0</v>
      </c>
      <c r="U146" s="192">
        <f>O146*IFERROR(VLOOKUP(A146,[1]Tørstofindhold!A$2:B$25,2,FALSE),0)</f>
        <v>0</v>
      </c>
      <c r="V146" s="193">
        <f>IF(D146=År1,P146,SUM(O146,P146))*IFERROR(VLOOKUP(A146,[1]Tørstofindhold!A$2:B$25,2,FALSE),0)</f>
        <v>0</v>
      </c>
      <c r="W146" s="193">
        <f>J146*IFERROR(VLOOKUP(A146,[1]Tørstofindhold!A$2:B$25,2,FALSE),0)</f>
        <v>0</v>
      </c>
      <c r="X146" s="194">
        <f t="shared" si="26"/>
        <v>0</v>
      </c>
      <c r="Y146" s="172">
        <f t="shared" si="43"/>
        <v>0</v>
      </c>
      <c r="Z146" s="104">
        <f t="shared" si="44"/>
        <v>1</v>
      </c>
    </row>
    <row r="147" spans="1:26" hidden="1" x14ac:dyDescent="0.55000000000000004">
      <c r="A147" s="195" t="s">
        <v>15</v>
      </c>
      <c r="B147" s="195"/>
      <c r="C147" s="195">
        <f>IF(COUNTIFS('Resultater - Danmark'!$D$3:$D$482,'Resultat-Produktion &amp; forbrug'!A147,'Resultater - Danmark'!$A$3:$A$482,"Til energi")+COUNTIFS('Resultater - Danmark'!$D$3:$D$482,'Resultat-Produktion &amp; forbrug'!A147,'Resultater - Danmark'!$A$3:$A$482,"Biogasanlæg")&gt;0,1,0)</f>
        <v>0</v>
      </c>
      <c r="D147" s="195">
        <f t="shared" ref="D147:D194" si="47">År1</f>
        <v>2019</v>
      </c>
      <c r="E147" s="193" t="s">
        <v>24</v>
      </c>
      <c r="F147" s="196">
        <f>IF(E147="Vestdanmark",SUMIFS(IF(D147=År1,'Resultater - Vestdanmark'!H$3:H$482,IF(D147=År2,'Resultater - Vestdanmark'!I$3:I$482,'Resultater - Vestdanmark'!J$3:J$482)),'Resultater - Vestdanmark'!$F$3:$F$482,$A147,IF(D147=År1,'Resultater - Vestdanmark'!H$3:H$482,IF(D147=År2,'Resultater - Vestdanmark'!I$3:I$482,'Resultater - Vestdanmark'!J$3:J$482)),"&gt;0"),SUMIFS(IF(D147=År1,'Resultater - Østdanmark'!H$3:H$482,IF(D147=År2,'Resultater - Østdanmark'!I$3:I$482,'Resultater - Østdanmark'!J$3:J$482)),'Resultater - Østdanmark'!$F$3:$F$482,$A147,IF(D147=År1,'Resultater - Østdanmark'!H$3:H$482,IF(D147=År2,'Resultater - Østdanmark'!I$3:I$482,'Resultater - Østdanmark'!J$3:J$482)),"&gt;0"))</f>
        <v>18450.007031483605</v>
      </c>
      <c r="G147" s="196">
        <f>SUMIFS('Forbrug af biomasse'!$E$2:$E$425,'Forbrug af biomasse'!$C$2:$C$425,'Resultat-Produktion &amp; forbrug'!$A147,'Forbrug af biomasse'!$D$2:$D$425,'Resultat-Produktion &amp; forbrug'!$D147,'Forbrug af biomasse'!$A$2:$A$425,'Resultat-Produktion &amp; forbrug'!G$2,'Forbrug af biomasse'!$B$2:$B$425,$E147)</f>
        <v>0</v>
      </c>
      <c r="H147" s="193">
        <f>IF(E147="Vestdanmark",-IF(A147="Halm",SUMIFS(IF(D147=År1,'Resultater - Vestdanmark'!H$3:H$482,IF(D147=År2,'Resultater - Vestdanmark'!I$3:I$482,'Resultater - Vestdanmark'!J$3:J$482)),'Resultater - Vestdanmark'!$F$3:$F$482,$A147,'Resultater - Vestdanmark'!H$3:H$482,"&lt;0"),0),-IF(A147="Halm",SUMIFS(IF(D147=År1,'Resultater - Østdanmark'!H$3:H$482,IF(D147=År2,'Resultater - Østdanmark'!I$3:I$482,'Resultater - Østdanmark'!J$3:J$482)),'Resultater - Østdanmark'!$F$3:$F$482,$A147,'Resultater - Østdanmark'!H$3:H$482,"&lt;0"),0))</f>
        <v>0</v>
      </c>
      <c r="I147" s="196">
        <f>SUMIFS('Forbrug af biomasse'!$E$2:$E$425,'Forbrug af biomasse'!$C$2:$C$425,'Resultat-Produktion &amp; forbrug'!$A147,'Forbrug af biomasse'!$D$2:$D$425,'Resultat-Produktion &amp; forbrug'!$D147,'Forbrug af biomasse'!$A$2:$A$425,'Resultat-Produktion &amp; forbrug'!I$2,'Forbrug af biomasse'!$B$2:$B$425,$E147)</f>
        <v>26880.542267330831</v>
      </c>
      <c r="J147" s="196">
        <f>SUMIFS('Forbrug af biomasse'!$E$2:$E$425,'Forbrug af biomasse'!$C$2:$C$425,'Resultat-Produktion &amp; forbrug'!$A147,'Forbrug af biomasse'!$D$2:$D$425,'Resultat-Produktion &amp; forbrug'!$D147,'Forbrug af biomasse'!$A$2:$A$425,'Resultat-Produktion &amp; forbrug'!J$2,'Forbrug af biomasse'!$B$2:$B$425,$E147)</f>
        <v>0</v>
      </c>
      <c r="K147" s="196">
        <f>SUMIFS('Forbrug af biomasse'!$E$2:$E$425,'Forbrug af biomasse'!$C$2:$C$425,'Resultat-Produktion &amp; forbrug'!$A147,'Forbrug af biomasse'!$D$2:$D$425,'Resultat-Produktion &amp; forbrug'!$D147,'Forbrug af biomasse'!$A$2:$A$425,'Resultat-Produktion &amp; forbrug'!K$2,'Forbrug af biomasse'!$B$2:$B$425,$E147)</f>
        <v>0</v>
      </c>
      <c r="L147" s="196">
        <f>IF(A147&lt;&gt;"Biogas",SUMIFS('Forbrug af biomasse'!$E$2:$E$425,'Forbrug af biomasse'!$C$2:$C$425,'Resultat-Produktion &amp; forbrug'!$A147,'Forbrug af biomasse'!$D$2:$D$425,'Resultat-Produktion &amp; forbrug'!$D147,'Forbrug af biomasse'!$A$2:$A$425,'Resultat-Produktion &amp; forbrug'!L$2,'Forbrug af biomasse'!$B$2:$B$425,$E147),F147)</f>
        <v>0</v>
      </c>
      <c r="M147" s="158">
        <f>SUMIFS('Forbrug af biomasse'!E:E,'Forbrug af biomasse'!C:C,'Resultat-Produktion &amp; forbrug'!$A147,'Forbrug af biomasse'!D:D,'Resultat-Produktion &amp; forbrug'!$D147,'Forbrug af biomasse'!G:G,1,'Forbrug af biomasse'!B:B,$E147)</f>
        <v>0</v>
      </c>
      <c r="N147" s="205">
        <f t="shared" si="23"/>
        <v>-8430.5352358472264</v>
      </c>
      <c r="O147" s="196">
        <f t="shared" si="39"/>
        <v>0</v>
      </c>
      <c r="P147" s="206">
        <f t="shared" si="24"/>
        <v>0</v>
      </c>
      <c r="Q147" s="193">
        <f>IFERROR(VLOOKUP(A147,[1]Energiindhold!$A$2:$C$11,3,FALSE),IFERROR(VLOOKUP(A147,[1]Biogasudbytte!$A$2:$B$18,2,FALSE)*[1]Energiindhold!$C$10,0))*O147</f>
        <v>0</v>
      </c>
      <c r="R147" s="193">
        <f>IF(A147&lt;&gt;"Biogas",IFERROR(VLOOKUP(A147,[1]Biogasudbytte!$A$2:$B$18,2,FALSE)*[1]Energiindhold!$C$10,0)*J147*IFERROR(VLOOKUP(A147,Biogasanlæg!$F$3:$G$8,2,FALSE),1)+IFERROR(VLOOKUP(A147,[1]Energiindhold!$A$2:$C$11,3,FALSE),0)*L147+IF(D147&lt;&gt;År1,Q147,0),0)</f>
        <v>0</v>
      </c>
      <c r="S147" s="193">
        <f>IFERROR(VLOOKUP(A147,[1]Biogasudbytte!$A$2:$B$18,2,FALSE)*[1]Energiindhold!$C$10,0)*J147*IFERROR(VLOOKUP(A147,Biogasanlæg!$F$3:$G$8,2,FALSE),1)</f>
        <v>0</v>
      </c>
      <c r="T147" s="194">
        <f t="shared" si="25"/>
        <v>0</v>
      </c>
      <c r="U147" s="192">
        <f>O147*IFERROR(VLOOKUP(A147,[1]Tørstofindhold!A$2:B$25,2,FALSE),0)</f>
        <v>0</v>
      </c>
      <c r="V147" s="193">
        <f>IF(D147=År1,P147,SUM(O147,P147))*IFERROR(VLOOKUP(A147,[1]Tørstofindhold!A$2:B$25,2,FALSE),0)</f>
        <v>0</v>
      </c>
      <c r="W147" s="193">
        <f>J147*IFERROR(VLOOKUP(A147,[1]Tørstofindhold!A$2:B$25,2,FALSE),0)</f>
        <v>0</v>
      </c>
      <c r="X147" s="194">
        <f t="shared" si="26"/>
        <v>0</v>
      </c>
      <c r="Y147" s="172">
        <f t="shared" si="43"/>
        <v>0</v>
      </c>
      <c r="Z147" s="104">
        <f t="shared" si="44"/>
        <v>1</v>
      </c>
    </row>
    <row r="148" spans="1:26" x14ac:dyDescent="0.55000000000000004">
      <c r="A148" s="195" t="s">
        <v>49</v>
      </c>
      <c r="B148" s="195"/>
      <c r="C148" s="195">
        <f>IF(COUNTIFS('Resultater - Danmark'!$D$3:$D$482,'Resultat-Produktion &amp; forbrug'!A148,'Resultater - Danmark'!$A$3:$A$482,"Til energi")+COUNTIFS('Resultater - Danmark'!$D$3:$D$482,'Resultat-Produktion &amp; forbrug'!A148,'Resultater - Danmark'!$A$3:$A$482,"Biogasanlæg")&gt;0,1,0)</f>
        <v>0</v>
      </c>
      <c r="D148" s="195">
        <f t="shared" si="47"/>
        <v>2019</v>
      </c>
      <c r="E148" s="193" t="s">
        <v>24</v>
      </c>
      <c r="F148" s="196">
        <f>IF(E148="Vestdanmark",SUMIFS(IF(D148=År1,'Resultater - Vestdanmark'!H$3:H$482,IF(D148=År2,'Resultater - Vestdanmark'!I$3:I$482,'Resultater - Vestdanmark'!J$3:J$482)),'Resultater - Vestdanmark'!$F$3:$F$482,$A148,IF(D148=År1,'Resultater - Vestdanmark'!H$3:H$482,IF(D148=År2,'Resultater - Vestdanmark'!I$3:I$482,'Resultater - Vestdanmark'!J$3:J$482)),"&gt;0"),SUMIFS(IF(D148=År1,'Resultater - Østdanmark'!H$3:H$482,IF(D148=År2,'Resultater - Østdanmark'!I$3:I$482,'Resultater - Østdanmark'!J$3:J$482)),'Resultater - Østdanmark'!$F$3:$F$482,$A148,IF(D148=År1,'Resultater - Østdanmark'!H$3:H$482,IF(D148=År2,'Resultater - Østdanmark'!I$3:I$482,'Resultater - Østdanmark'!J$3:J$482)),"&gt;0"))</f>
        <v>27039.772448692573</v>
      </c>
      <c r="G148" s="196">
        <f>SUMIFS('Forbrug af biomasse'!$E$2:$E$425,'Forbrug af biomasse'!$C$2:$C$425,'Resultat-Produktion &amp; forbrug'!$A148,'Forbrug af biomasse'!$D$2:$D$425,'Resultat-Produktion &amp; forbrug'!$D148,'Forbrug af biomasse'!$A$2:$A$425,'Resultat-Produktion &amp; forbrug'!G$2,'Forbrug af biomasse'!$B$2:$B$425,$E148)</f>
        <v>7916.616753740097</v>
      </c>
      <c r="H148" s="193">
        <f>IF(E148="Vestdanmark",-IF(A148="Halm",SUMIFS(IF(D148=År1,'Resultater - Vestdanmark'!H$3:H$482,IF(D148=År2,'Resultater - Vestdanmark'!I$3:I$482,'Resultater - Vestdanmark'!J$3:J$482)),'Resultater - Vestdanmark'!$F$3:$F$482,$A148,'Resultater - Vestdanmark'!H$3:H$482,"&lt;0"),0),-IF(A148="Halm",SUMIFS(IF(D148=År1,'Resultater - Østdanmark'!H$3:H$482,IF(D148=År2,'Resultater - Østdanmark'!I$3:I$482,'Resultater - Østdanmark'!J$3:J$482)),'Resultater - Østdanmark'!$F$3:$F$482,$A148,'Resultater - Østdanmark'!H$3:H$482,"&lt;0"),0))</f>
        <v>0</v>
      </c>
      <c r="I148" s="196">
        <f>SUMIFS('Forbrug af biomasse'!$E$2:$E$425,'Forbrug af biomasse'!$C$2:$C$425,'Resultat-Produktion &amp; forbrug'!$A148,'Forbrug af biomasse'!$D$2:$D$425,'Resultat-Produktion &amp; forbrug'!$D148,'Forbrug af biomasse'!$A$2:$A$425,'Resultat-Produktion &amp; forbrug'!I$2,'Forbrug af biomasse'!$B$2:$B$425,$E148)</f>
        <v>0</v>
      </c>
      <c r="J148" s="196">
        <f>SUMIFS('Forbrug af biomasse'!$E$2:$E$425,'Forbrug af biomasse'!$C$2:$C$425,'Resultat-Produktion &amp; forbrug'!$A148,'Forbrug af biomasse'!$D$2:$D$425,'Resultat-Produktion &amp; forbrug'!$D148,'Forbrug af biomasse'!$A$2:$A$425,'Resultat-Produktion &amp; forbrug'!J$2,'Forbrug af biomasse'!$B$2:$B$425,$E148)</f>
        <v>0</v>
      </c>
      <c r="K148" s="196">
        <f>SUMIFS('Forbrug af biomasse'!$E$2:$E$425,'Forbrug af biomasse'!$C$2:$C$425,'Resultat-Produktion &amp; forbrug'!$A148,'Forbrug af biomasse'!$D$2:$D$425,'Resultat-Produktion &amp; forbrug'!$D148,'Forbrug af biomasse'!$A$2:$A$425,'Resultat-Produktion &amp; forbrug'!K$2,'Forbrug af biomasse'!$B$2:$B$425,$E148)</f>
        <v>0</v>
      </c>
      <c r="L148" s="196">
        <f>IF(A148&lt;&gt;"Biogas",SUMIFS('Forbrug af biomasse'!$E$2:$E$425,'Forbrug af biomasse'!$C$2:$C$425,'Resultat-Produktion &amp; forbrug'!$A148,'Forbrug af biomasse'!$D$2:$D$425,'Resultat-Produktion &amp; forbrug'!$D148,'Forbrug af biomasse'!$A$2:$A$425,'Resultat-Produktion &amp; forbrug'!L$2,'Forbrug af biomasse'!$B$2:$B$425,$E148),F148)</f>
        <v>0</v>
      </c>
      <c r="M148" s="158">
        <f>SUMIFS('Forbrug af biomasse'!E:E,'Forbrug af biomasse'!C:C,'Resultat-Produktion &amp; forbrug'!$A148,'Forbrug af biomasse'!D:D,'Resultat-Produktion &amp; forbrug'!$D148,'Forbrug af biomasse'!G:G,1,'Forbrug af biomasse'!B:B,$E148)</f>
        <v>0</v>
      </c>
      <c r="N148" s="205">
        <f t="shared" si="23"/>
        <v>19123.155694952475</v>
      </c>
      <c r="O148" s="196">
        <f t="shared" si="39"/>
        <v>0</v>
      </c>
      <c r="P148" s="206">
        <f t="shared" si="24"/>
        <v>0</v>
      </c>
      <c r="Q148" s="193">
        <f>IFERROR(VLOOKUP(A148,[1]Energiindhold!$A$2:$C$11,3,FALSE),IFERROR(VLOOKUP(A148,[1]Biogasudbytte!$A$2:$B$18,2,FALSE)*[1]Energiindhold!$C$10,0))*O148</f>
        <v>0</v>
      </c>
      <c r="R148" s="193">
        <f>IF(A148&lt;&gt;"Biogas",IFERROR(VLOOKUP(A148,[1]Biogasudbytte!$A$2:$B$18,2,FALSE)*[1]Energiindhold!$C$10,0)*J148*IFERROR(VLOOKUP(A148,Biogasanlæg!$F$3:$G$8,2,FALSE),1)+IFERROR(VLOOKUP(A148,[1]Energiindhold!$A$2:$C$11,3,FALSE),0)*L148+IF(D148&lt;&gt;År1,Q148,0),0)</f>
        <v>0</v>
      </c>
      <c r="S148" s="193">
        <f>IFERROR(VLOOKUP(A148,[1]Biogasudbytte!$A$2:$B$18,2,FALSE)*[1]Energiindhold!$C$10,0)*J148*IFERROR(VLOOKUP(A148,Biogasanlæg!$F$3:$G$8,2,FALSE),1)</f>
        <v>0</v>
      </c>
      <c r="T148" s="194">
        <f t="shared" si="25"/>
        <v>0</v>
      </c>
      <c r="U148" s="192">
        <f>O148*IFERROR(VLOOKUP(A148,[1]Tørstofindhold!A$2:B$25,2,FALSE),0)</f>
        <v>0</v>
      </c>
      <c r="V148" s="193">
        <f>IF(D148=År1,P148,SUM(O148,P148))*IFERROR(VLOOKUP(A148,[1]Tørstofindhold!A$2:B$25,2,FALSE),0)</f>
        <v>0</v>
      </c>
      <c r="W148" s="193">
        <f>J148*IFERROR(VLOOKUP(A148,[1]Tørstofindhold!A$2:B$25,2,FALSE),0)</f>
        <v>0</v>
      </c>
      <c r="X148" s="194">
        <f t="shared" si="26"/>
        <v>0</v>
      </c>
      <c r="Y148" s="172">
        <f t="shared" si="43"/>
        <v>0</v>
      </c>
      <c r="Z148" s="104">
        <f t="shared" si="44"/>
        <v>1</v>
      </c>
    </row>
    <row r="149" spans="1:26" hidden="1" x14ac:dyDescent="0.55000000000000004">
      <c r="A149" s="195" t="s">
        <v>103</v>
      </c>
      <c r="B149" s="195" t="s">
        <v>233</v>
      </c>
      <c r="C149" s="195">
        <f>IF(COUNTIFS('Resultater - Danmark'!$D$3:$D$482,'Resultat-Produktion &amp; forbrug'!A149,'Resultater - Danmark'!$A$3:$A$482,"Til energi")+COUNTIFS('Resultater - Danmark'!$D$3:$D$482,'Resultat-Produktion &amp; forbrug'!A149,'Resultater - Danmark'!$A$3:$A$482,"Biogasanlæg")&gt;0,1,0)</f>
        <v>1</v>
      </c>
      <c r="D149" s="195">
        <f t="shared" si="47"/>
        <v>2019</v>
      </c>
      <c r="E149" s="193" t="s">
        <v>24</v>
      </c>
      <c r="F149" s="196">
        <f ca="1">IF(E149="Vestdanmark",SUMIFS(IF(D149=År1,'Resultater - Vestdanmark'!H$3:H$482,IF(D149=År2,'Resultater - Vestdanmark'!I$3:I$482,'Resultater - Vestdanmark'!J$3:J$482)),'Resultater - Vestdanmark'!$F$3:$F$482,$A149,IF(D149=År1,'Resultater - Vestdanmark'!H$3:H$482,IF(D149=År2,'Resultater - Vestdanmark'!I$3:I$482,'Resultater - Vestdanmark'!J$3:J$482)),"&gt;0"),SUMIFS(IF(D149=År1,'Resultater - Østdanmark'!H$3:H$482,IF(D149=År2,'Resultater - Østdanmark'!I$3:I$482,'Resultater - Østdanmark'!J$3:J$482)),'Resultater - Østdanmark'!$F$3:$F$482,$A149,IF(D149=År1,'Resultater - Østdanmark'!H$3:H$482,IF(D149=År2,'Resultater - Østdanmark'!I$3:I$482,'Resultater - Østdanmark'!J$3:J$482)),"&gt;0"))</f>
        <v>165083.0224523381</v>
      </c>
      <c r="G149" s="196">
        <f>SUMIFS('Forbrug af biomasse'!$E$2:$E$425,'Forbrug af biomasse'!$C$2:$C$425,'Resultat-Produktion &amp; forbrug'!$A149,'Forbrug af biomasse'!$D$2:$D$425,'Resultat-Produktion &amp; forbrug'!$D149,'Forbrug af biomasse'!$A$2:$A$425,'Resultat-Produktion &amp; forbrug'!G$2,'Forbrug af biomasse'!$B$2:$B$425,$E149)</f>
        <v>0</v>
      </c>
      <c r="H149" s="193">
        <f>IF(E149="Vestdanmark",-IF(A149="Halm",SUMIFS(IF(D149=År1,'Resultater - Vestdanmark'!H$3:H$482,IF(D149=År2,'Resultater - Vestdanmark'!I$3:I$482,'Resultater - Vestdanmark'!J$3:J$482)),'Resultater - Vestdanmark'!$F$3:$F$482,$A149,'Resultater - Vestdanmark'!H$3:H$482,"&lt;0"),0),-IF(A149="Halm",SUMIFS(IF(D149=År1,'Resultater - Østdanmark'!H$3:H$482,IF(D149=År2,'Resultater - Østdanmark'!I$3:I$482,'Resultater - Østdanmark'!J$3:J$482)),'Resultater - Østdanmark'!$F$3:$F$482,$A149,'Resultater - Østdanmark'!H$3:H$482,"&lt;0"),0))</f>
        <v>0</v>
      </c>
      <c r="I149" s="196">
        <f>SUMIFS('Forbrug af biomasse'!$E$2:$E$425,'Forbrug af biomasse'!$C$2:$C$425,'Resultat-Produktion &amp; forbrug'!$A149,'Forbrug af biomasse'!$D$2:$D$425,'Resultat-Produktion &amp; forbrug'!$D149,'Forbrug af biomasse'!$A$2:$A$425,'Resultat-Produktion &amp; forbrug'!I$2,'Forbrug af biomasse'!$B$2:$B$425,$E149)</f>
        <v>0</v>
      </c>
      <c r="J149" s="196">
        <f ca="1">SUMIFS('Forbrug af biomasse'!$E$2:$E$425,'Forbrug af biomasse'!$C$2:$C$425,'Resultat-Produktion &amp; forbrug'!$A149,'Forbrug af biomasse'!$D$2:$D$425,'Resultat-Produktion &amp; forbrug'!$D149,'Forbrug af biomasse'!$A$2:$A$425,'Resultat-Produktion &amp; forbrug'!J$2,'Forbrug af biomasse'!$B$2:$B$425,$E149)</f>
        <v>335590.35573220561</v>
      </c>
      <c r="K149" s="196">
        <f>SUMIFS('Forbrug af biomasse'!$E$2:$E$425,'Forbrug af biomasse'!$C$2:$C$425,'Resultat-Produktion &amp; forbrug'!$A149,'Forbrug af biomasse'!$D$2:$D$425,'Resultat-Produktion &amp; forbrug'!$D149,'Forbrug af biomasse'!$A$2:$A$425,'Resultat-Produktion &amp; forbrug'!K$2,'Forbrug af biomasse'!$B$2:$B$425,$E149)</f>
        <v>0</v>
      </c>
      <c r="L149" s="196">
        <f ca="1">IF(A149&lt;&gt;"Biogas",SUMIFS('Forbrug af biomasse'!$E$2:$E$425,'Forbrug af biomasse'!$C$2:$C$425,'Resultat-Produktion &amp; forbrug'!$A149,'Forbrug af biomasse'!$D$2:$D$425,'Resultat-Produktion &amp; forbrug'!$D149,'Forbrug af biomasse'!$A$2:$A$425,'Resultat-Produktion &amp; forbrug'!L$2,'Forbrug af biomasse'!$B$2:$B$425,$E149),F149)</f>
        <v>0</v>
      </c>
      <c r="M149" s="158">
        <f ca="1">SUMIFS('Forbrug af biomasse'!E:E,'Forbrug af biomasse'!C:C,'Resultat-Produktion &amp; forbrug'!$A149,'Forbrug af biomasse'!D:D,'Resultat-Produktion &amp; forbrug'!$D149,'Forbrug af biomasse'!G:G,1,'Forbrug af biomasse'!B:B,$E149)</f>
        <v>0</v>
      </c>
      <c r="N149" s="205">
        <f t="shared" ca="1" si="23"/>
        <v>-170507.33327986751</v>
      </c>
      <c r="O149" s="196">
        <f t="shared" ca="1" si="39"/>
        <v>0</v>
      </c>
      <c r="P149" s="206">
        <f t="shared" ca="1" si="24"/>
        <v>335590.35573220561</v>
      </c>
      <c r="Q149" s="193">
        <f ca="1">IFERROR(VLOOKUP(A149,[1]Energiindhold!$A$2:$C$11,3,FALSE),IFERROR(VLOOKUP(A149,[1]Biogasudbytte!$A$2:$B$18,2,FALSE)*[1]Energiindhold!$C$10,0))*O149</f>
        <v>0</v>
      </c>
      <c r="R149" s="193">
        <f ca="1">IF(A149&lt;&gt;"Biogas",IFERROR(VLOOKUP(A149,[1]Biogasudbytte!$A$2:$B$18,2,FALSE)*[1]Energiindhold!$C$10,0)*J149*IFERROR(VLOOKUP(A149,Biogasanlæg!$F$3:$G$8,2,FALSE),1)+IFERROR(VLOOKUP(A149,[1]Energiindhold!$A$2:$C$11,3,FALSE),0)*L149+IF(D149&lt;&gt;År1,Q149,0),0)</f>
        <v>1.0289935249628479</v>
      </c>
      <c r="S149" s="193">
        <f ca="1">IFERROR(VLOOKUP(A149,[1]Biogasudbytte!$A$2:$B$18,2,FALSE)*[1]Energiindhold!$C$10,0)*J149*IFERROR(VLOOKUP(A149,Biogasanlæg!$F$3:$G$8,2,FALSE),1)</f>
        <v>1.0289935249628479</v>
      </c>
      <c r="T149" s="194">
        <f t="shared" ca="1" si="25"/>
        <v>0</v>
      </c>
      <c r="U149" s="192">
        <f ca="1">O149*IFERROR(VLOOKUP(A149,[1]Tørstofindhold!A$2:B$25,2,FALSE),0)</f>
        <v>0</v>
      </c>
      <c r="V149" s="193">
        <f ca="1">IF(D149=År1,P149,SUM(O149,P149))*IFERROR(VLOOKUP(A149,[1]Tørstofindhold!A$2:B$25,2,FALSE),0)</f>
        <v>93965.299605017586</v>
      </c>
      <c r="W149" s="193">
        <f ca="1">J149*IFERROR(VLOOKUP(A149,[1]Tørstofindhold!A$2:B$25,2,FALSE),0)</f>
        <v>93965.299605017586</v>
      </c>
      <c r="X149" s="194">
        <f t="shared" ca="1" si="26"/>
        <v>0</v>
      </c>
      <c r="Y149" s="172">
        <f t="shared" ca="1" si="43"/>
        <v>1</v>
      </c>
      <c r="Z149" s="104">
        <f t="shared" ca="1" si="44"/>
        <v>0</v>
      </c>
    </row>
    <row r="150" spans="1:26" hidden="1" x14ac:dyDescent="0.55000000000000004">
      <c r="A150" s="195" t="s">
        <v>110</v>
      </c>
      <c r="B150" s="195"/>
      <c r="C150" s="195">
        <f>IF(COUNTIFS('Resultater - Danmark'!$D$3:$D$482,'Resultat-Produktion &amp; forbrug'!A150,'Resultater - Danmark'!$A$3:$A$482,"Til energi")+COUNTIFS('Resultater - Danmark'!$D$3:$D$482,'Resultat-Produktion &amp; forbrug'!A150,'Resultater - Danmark'!$A$3:$A$482,"Biogasanlæg")&gt;0,1,0)</f>
        <v>1</v>
      </c>
      <c r="D150" s="195">
        <f t="shared" si="47"/>
        <v>2019</v>
      </c>
      <c r="E150" s="193" t="s">
        <v>24</v>
      </c>
      <c r="F150" s="196">
        <f ca="1">IF(E150="Vestdanmark",SUMIFS(IF(D150=År1,'Resultater - Vestdanmark'!H$3:H$482,IF(D150=År2,'Resultater - Vestdanmark'!I$3:I$482,'Resultater - Vestdanmark'!J$3:J$482)),'Resultater - Vestdanmark'!$F$3:$F$482,$A150,IF(D150=År1,'Resultater - Vestdanmark'!H$3:H$482,IF(D150=År2,'Resultater - Vestdanmark'!I$3:I$482,'Resultater - Vestdanmark'!J$3:J$482)),"&gt;0"),SUMIFS(IF(D150=År1,'Resultater - Østdanmark'!H$3:H$482,IF(D150=År2,'Resultater - Østdanmark'!I$3:I$482,'Resultater - Østdanmark'!J$3:J$482)),'Resultater - Østdanmark'!$F$3:$F$482,$A150,IF(D150=År1,'Resultater - Østdanmark'!H$3:H$482,IF(D150=År2,'Resultater - Østdanmark'!I$3:I$482,'Resultater - Østdanmark'!J$3:J$482)),"&gt;0"))</f>
        <v>109319364.5235112</v>
      </c>
      <c r="G150" s="196">
        <f>SUMIFS('Forbrug af biomasse'!$E$2:$E$425,'Forbrug af biomasse'!$C$2:$C$425,'Resultat-Produktion &amp; forbrug'!$A150,'Forbrug af biomasse'!$D$2:$D$425,'Resultat-Produktion &amp; forbrug'!$D150,'Forbrug af biomasse'!$A$2:$A$425,'Resultat-Produktion &amp; forbrug'!G$2,'Forbrug af biomasse'!$B$2:$B$425,$E150)</f>
        <v>0</v>
      </c>
      <c r="H150" s="193">
        <f>IF(E150="Vestdanmark",-IF(A150="Halm",SUMIFS(IF(D150=År1,'Resultater - Vestdanmark'!H$3:H$482,IF(D150=År2,'Resultater - Vestdanmark'!I$3:I$482,'Resultater - Vestdanmark'!J$3:J$482)),'Resultater - Vestdanmark'!$F$3:$F$482,$A150,'Resultater - Vestdanmark'!H$3:H$482,"&lt;0"),0),-IF(A150="Halm",SUMIFS(IF(D150=År1,'Resultater - Østdanmark'!H$3:H$482,IF(D150=År2,'Resultater - Østdanmark'!I$3:I$482,'Resultater - Østdanmark'!J$3:J$482)),'Resultater - Østdanmark'!$F$3:$F$482,$A150,'Resultater - Østdanmark'!H$3:H$482,"&lt;0"),0))</f>
        <v>0</v>
      </c>
      <c r="I150" s="196">
        <f>SUMIFS('Forbrug af biomasse'!$E$2:$E$425,'Forbrug af biomasse'!$C$2:$C$425,'Resultat-Produktion &amp; forbrug'!$A150,'Forbrug af biomasse'!$D$2:$D$425,'Resultat-Produktion &amp; forbrug'!$D150,'Forbrug af biomasse'!$A$2:$A$425,'Resultat-Produktion &amp; forbrug'!I$2,'Forbrug af biomasse'!$B$2:$B$425,$E150)</f>
        <v>0</v>
      </c>
      <c r="J150" s="196">
        <f>SUMIFS('Forbrug af biomasse'!$E$2:$E$425,'Forbrug af biomasse'!$C$2:$C$425,'Resultat-Produktion &amp; forbrug'!$A150,'Forbrug af biomasse'!$D$2:$D$425,'Resultat-Produktion &amp; forbrug'!$D150,'Forbrug af biomasse'!$A$2:$A$425,'Resultat-Produktion &amp; forbrug'!J$2,'Forbrug af biomasse'!$B$2:$B$425,$E150)</f>
        <v>0</v>
      </c>
      <c r="K150" s="196">
        <f>SUMIFS('Forbrug af biomasse'!$E$2:$E$425,'Forbrug af biomasse'!$C$2:$C$425,'Resultat-Produktion &amp; forbrug'!$A150,'Forbrug af biomasse'!$D$2:$D$425,'Resultat-Produktion &amp; forbrug'!$D150,'Forbrug af biomasse'!$A$2:$A$425,'Resultat-Produktion &amp; forbrug'!K$2,'Forbrug af biomasse'!$B$2:$B$425,$E150)</f>
        <v>0</v>
      </c>
      <c r="L150" s="196">
        <f ca="1">IF(A150&lt;&gt;"Biogas",SUMIFS('Forbrug af biomasse'!$E$2:$E$425,'Forbrug af biomasse'!$C$2:$C$425,'Resultat-Produktion &amp; forbrug'!$A150,'Forbrug af biomasse'!$D$2:$D$425,'Resultat-Produktion &amp; forbrug'!$D150,'Forbrug af biomasse'!$A$2:$A$425,'Resultat-Produktion &amp; forbrug'!L$2,'Forbrug af biomasse'!$B$2:$B$425,$E150),F150)</f>
        <v>109319364.5235112</v>
      </c>
      <c r="M150" s="158">
        <f>SUMIFS('Forbrug af biomasse'!E:E,'Forbrug af biomasse'!C:C,'Resultat-Produktion &amp; forbrug'!$A150,'Forbrug af biomasse'!D:D,'Resultat-Produktion &amp; forbrug'!$D150,'Forbrug af biomasse'!G:G,1,'Forbrug af biomasse'!B:B,$E150)</f>
        <v>0</v>
      </c>
      <c r="N150" s="205">
        <f t="shared" ref="N150:N215" ca="1" si="48">F150-SUM(G150:M150)</f>
        <v>0</v>
      </c>
      <c r="O150" s="196">
        <f t="shared" ca="1" si="39"/>
        <v>0</v>
      </c>
      <c r="P150" s="206">
        <f t="shared" ref="P150:P215" ca="1" si="49">SUM(J150,L150)</f>
        <v>109319364.5235112</v>
      </c>
      <c r="Q150" s="193">
        <f ca="1">IFERROR(VLOOKUP(A150,[1]Energiindhold!$A$2:$C$11,3,FALSE),IFERROR(VLOOKUP(A150,[1]Biogasudbytte!$A$2:$B$18,2,FALSE)*[1]Energiindhold!$C$10,0))*O150</f>
        <v>0</v>
      </c>
      <c r="R150" s="193">
        <f>IF(A150&lt;&gt;"Biogas",IFERROR(VLOOKUP(A150,[1]Biogasudbytte!$A$2:$B$18,2,FALSE)*[1]Energiindhold!$C$10,0)*J150*IFERROR(VLOOKUP(A150,Biogasanlæg!$F$3:$G$8,2,FALSE),1)+IFERROR(VLOOKUP(A150,[1]Energiindhold!$A$2:$C$11,3,FALSE),0)*L150+IF(D150&lt;&gt;År1,Q150,0),0)</f>
        <v>0</v>
      </c>
      <c r="S150" s="193">
        <f>IFERROR(VLOOKUP(A150,[1]Biogasudbytte!$A$2:$B$18,2,FALSE)*[1]Energiindhold!$C$10,0)*J150*IFERROR(VLOOKUP(A150,Biogasanlæg!$F$3:$G$8,2,FALSE),1)</f>
        <v>0</v>
      </c>
      <c r="T150" s="194">
        <f t="shared" ref="T150:T215" si="50">R150-S150</f>
        <v>0</v>
      </c>
      <c r="U150" s="192">
        <f ca="1">O150*IFERROR(VLOOKUP(A150,[1]Tørstofindhold!A$2:B$25,2,FALSE),0)</f>
        <v>0</v>
      </c>
      <c r="V150" s="193">
        <f ca="1">IF(D150=År1,P150,SUM(O150,P150))*IFERROR(VLOOKUP(A150,[1]Tørstofindhold!A$2:B$25,2,FALSE),0)</f>
        <v>0</v>
      </c>
      <c r="W150" s="193">
        <f>J150*IFERROR(VLOOKUP(A150,[1]Tørstofindhold!A$2:B$25,2,FALSE),0)</f>
        <v>0</v>
      </c>
      <c r="X150" s="194">
        <f t="shared" ref="X150:X215" ca="1" si="51">V150-W150</f>
        <v>0</v>
      </c>
      <c r="Y150" s="172">
        <f t="shared" ca="1" si="43"/>
        <v>0</v>
      </c>
      <c r="Z150" s="104">
        <f t="shared" ca="1" si="44"/>
        <v>0</v>
      </c>
    </row>
    <row r="151" spans="1:26" hidden="1" x14ac:dyDescent="0.55000000000000004">
      <c r="A151" s="195" t="s">
        <v>111</v>
      </c>
      <c r="B151" s="195"/>
      <c r="C151" s="195">
        <f>IF(COUNTIFS('Resultater - Danmark'!$D$3:$D$482,'Resultat-Produktion &amp; forbrug'!A151,'Resultater - Danmark'!$A$3:$A$482,"Til energi")+COUNTIFS('Resultater - Danmark'!$D$3:$D$482,'Resultat-Produktion &amp; forbrug'!A151,'Resultater - Danmark'!$A$3:$A$482,"Biogasanlæg")&gt;0,1,0)</f>
        <v>0</v>
      </c>
      <c r="D151" s="195">
        <f t="shared" si="47"/>
        <v>2019</v>
      </c>
      <c r="E151" s="193" t="s">
        <v>24</v>
      </c>
      <c r="F151" s="196">
        <f ca="1">IF(E151="Vestdanmark",SUMIFS(IF(D151=År1,'Resultater - Vestdanmark'!H$3:H$482,IF(D151=År2,'Resultater - Vestdanmark'!I$3:I$482,'Resultater - Vestdanmark'!J$3:J$482)),'Resultater - Vestdanmark'!$F$3:$F$482,$A151,IF(D151=År1,'Resultater - Vestdanmark'!H$3:H$482,IF(D151=År2,'Resultater - Vestdanmark'!I$3:I$482,'Resultater - Vestdanmark'!J$3:J$482)),"&gt;0"),SUMIFS(IF(D151=År1,'Resultater - Østdanmark'!H$3:H$482,IF(D151=År2,'Resultater - Østdanmark'!I$3:I$482,'Resultater - Østdanmark'!J$3:J$482)),'Resultater - Østdanmark'!$F$3:$F$482,$A151,IF(D151=År1,'Resultater - Østdanmark'!H$3:H$482,IF(D151=År2,'Resultater - Østdanmark'!I$3:I$482,'Resultater - Østdanmark'!J$3:J$482)),"&gt;0"))</f>
        <v>2462895.6491667829</v>
      </c>
      <c r="G151" s="196">
        <f>SUMIFS('Forbrug af biomasse'!$E$2:$E$425,'Forbrug af biomasse'!$C$2:$C$425,'Resultat-Produktion &amp; forbrug'!$A151,'Forbrug af biomasse'!$D$2:$D$425,'Resultat-Produktion &amp; forbrug'!$D151,'Forbrug af biomasse'!$A$2:$A$425,'Resultat-Produktion &amp; forbrug'!G$2,'Forbrug af biomasse'!$B$2:$B$425,$E151)</f>
        <v>0</v>
      </c>
      <c r="H151" s="193">
        <f>IF(E151="Vestdanmark",-IF(A151="Halm",SUMIFS(IF(D151=År1,'Resultater - Vestdanmark'!H$3:H$482,IF(D151=År2,'Resultater - Vestdanmark'!I$3:I$482,'Resultater - Vestdanmark'!J$3:J$482)),'Resultater - Vestdanmark'!$F$3:$F$482,$A151,'Resultater - Vestdanmark'!H$3:H$482,"&lt;0"),0),-IF(A151="Halm",SUMIFS(IF(D151=År1,'Resultater - Østdanmark'!H$3:H$482,IF(D151=År2,'Resultater - Østdanmark'!I$3:I$482,'Resultater - Østdanmark'!J$3:J$482)),'Resultater - Østdanmark'!$F$3:$F$482,$A151,'Resultater - Østdanmark'!H$3:H$482,"&lt;0"),0))</f>
        <v>0</v>
      </c>
      <c r="I151" s="196">
        <f>SUMIFS('Forbrug af biomasse'!$E$2:$E$425,'Forbrug af biomasse'!$C$2:$C$425,'Resultat-Produktion &amp; forbrug'!$A151,'Forbrug af biomasse'!$D$2:$D$425,'Resultat-Produktion &amp; forbrug'!$D151,'Forbrug af biomasse'!$A$2:$A$425,'Resultat-Produktion &amp; forbrug'!I$2,'Forbrug af biomasse'!$B$2:$B$425,$E151)</f>
        <v>0</v>
      </c>
      <c r="J151" s="196">
        <f>SUMIFS('Forbrug af biomasse'!$E$2:$E$425,'Forbrug af biomasse'!$C$2:$C$425,'Resultat-Produktion &amp; forbrug'!$A151,'Forbrug af biomasse'!$D$2:$D$425,'Resultat-Produktion &amp; forbrug'!$D151,'Forbrug af biomasse'!$A$2:$A$425,'Resultat-Produktion &amp; forbrug'!J$2,'Forbrug af biomasse'!$B$2:$B$425,$E151)</f>
        <v>0</v>
      </c>
      <c r="K151" s="196">
        <f ca="1">SUMIFS('Forbrug af biomasse'!$E$2:$E$425,'Forbrug af biomasse'!$C$2:$C$425,'Resultat-Produktion &amp; forbrug'!$A151,'Forbrug af biomasse'!$D$2:$D$425,'Resultat-Produktion &amp; forbrug'!$D151,'Forbrug af biomasse'!$A$2:$A$425,'Resultat-Produktion &amp; forbrug'!K$2,'Forbrug af biomasse'!$B$2:$B$425,$E151)</f>
        <v>1801732.0926432305</v>
      </c>
      <c r="L151" s="196">
        <f>IF(A151&lt;&gt;"Biogas",SUMIFS('Forbrug af biomasse'!$E$2:$E$425,'Forbrug af biomasse'!$C$2:$C$425,'Resultat-Produktion &amp; forbrug'!$A151,'Forbrug af biomasse'!$D$2:$D$425,'Resultat-Produktion &amp; forbrug'!$D151,'Forbrug af biomasse'!$A$2:$A$425,'Resultat-Produktion &amp; forbrug'!L$2,'Forbrug af biomasse'!$B$2:$B$425,$E151),F151)</f>
        <v>0</v>
      </c>
      <c r="M151" s="158">
        <f>SUMIFS('Forbrug af biomasse'!E:E,'Forbrug af biomasse'!C:C,'Resultat-Produktion &amp; forbrug'!$A151,'Forbrug af biomasse'!D:D,'Resultat-Produktion &amp; forbrug'!$D151,'Forbrug af biomasse'!G:G,1,'Forbrug af biomasse'!B:B,$E151)</f>
        <v>0</v>
      </c>
      <c r="N151" s="205">
        <f t="shared" ca="1" si="48"/>
        <v>661163.5565235524</v>
      </c>
      <c r="O151" s="196">
        <f t="shared" si="39"/>
        <v>0</v>
      </c>
      <c r="P151" s="206">
        <f t="shared" si="49"/>
        <v>0</v>
      </c>
      <c r="Q151" s="193">
        <f>IFERROR(VLOOKUP(A151,[1]Energiindhold!$A$2:$C$11,3,FALSE),IFERROR(VLOOKUP(A151,[1]Biogasudbytte!$A$2:$B$18,2,FALSE)*[1]Energiindhold!$C$10,0))*O151</f>
        <v>0</v>
      </c>
      <c r="R151" s="193">
        <f>IF(A151&lt;&gt;"Biogas",IFERROR(VLOOKUP(A151,[1]Biogasudbytte!$A$2:$B$18,2,FALSE)*[1]Energiindhold!$C$10,0)*J151*IFERROR(VLOOKUP(A151,Biogasanlæg!$F$3:$G$8,2,FALSE),1)+IFERROR(VLOOKUP(A151,[1]Energiindhold!$A$2:$C$11,3,FALSE),0)*L151+IF(D151&lt;&gt;År1,Q151,0),0)</f>
        <v>0</v>
      </c>
      <c r="S151" s="193">
        <f>IFERROR(VLOOKUP(A151,[1]Biogasudbytte!$A$2:$B$18,2,FALSE)*[1]Energiindhold!$C$10,0)*J151*IFERROR(VLOOKUP(A151,Biogasanlæg!$F$3:$G$8,2,FALSE),1)</f>
        <v>0</v>
      </c>
      <c r="T151" s="194">
        <f t="shared" si="50"/>
        <v>0</v>
      </c>
      <c r="U151" s="192">
        <f>O151*IFERROR(VLOOKUP(A151,[1]Tørstofindhold!A$2:B$25,2,FALSE),0)</f>
        <v>0</v>
      </c>
      <c r="V151" s="193">
        <f>IF(D151=År1,P151,SUM(O151,P151))*IFERROR(VLOOKUP(A151,[1]Tørstofindhold!A$2:B$25,2,FALSE),0)</f>
        <v>0</v>
      </c>
      <c r="W151" s="193">
        <f>J151*IFERROR(VLOOKUP(A151,[1]Tørstofindhold!A$2:B$25,2,FALSE),0)</f>
        <v>0</v>
      </c>
      <c r="X151" s="194">
        <f t="shared" si="51"/>
        <v>0</v>
      </c>
      <c r="Y151" s="172">
        <f t="shared" ca="1" si="43"/>
        <v>0</v>
      </c>
      <c r="Z151" s="104">
        <f t="shared" ca="1" si="44"/>
        <v>1</v>
      </c>
    </row>
    <row r="152" spans="1:26" hidden="1" x14ac:dyDescent="0.55000000000000004">
      <c r="A152" s="195" t="s">
        <v>210</v>
      </c>
      <c r="B152" s="195" t="s">
        <v>233</v>
      </c>
      <c r="C152" s="195">
        <f>IF(COUNTIFS('Resultater - Danmark'!$D$3:$D$482,'Resultat-Produktion &amp; forbrug'!A152,'Resultater - Danmark'!$A$3:$A$482,"Til energi")+COUNTIFS('Resultater - Danmark'!$D$3:$D$482,'Resultat-Produktion &amp; forbrug'!A152,'Resultater - Danmark'!$A$3:$A$482,"Biogasanlæg")&gt;0,1,0)</f>
        <v>1</v>
      </c>
      <c r="D152" s="195">
        <f t="shared" si="47"/>
        <v>2019</v>
      </c>
      <c r="E152" s="193" t="s">
        <v>24</v>
      </c>
      <c r="F152" s="196">
        <f>IF(E152="Vestdanmark",SUMIFS(IF(D152=År1,'Resultater - Vestdanmark'!H$3:H$482,IF(D152=År2,'Resultater - Vestdanmark'!I$3:I$482,'Resultater - Vestdanmark'!J$3:J$482)),'Resultater - Vestdanmark'!$F$3:$F$482,$A152,IF(D152=År1,'Resultater - Vestdanmark'!H$3:H$482,IF(D152=År2,'Resultater - Vestdanmark'!I$3:I$482,'Resultater - Vestdanmark'!J$3:J$482)),"&gt;0"),SUMIFS(IF(D152=År1,'Resultater - Østdanmark'!H$3:H$482,IF(D152=År2,'Resultater - Østdanmark'!I$3:I$482,'Resultater - Østdanmark'!J$3:J$482)),'Resultater - Østdanmark'!$F$3:$F$482,$A152,IF(D152=År1,'Resultater - Østdanmark'!H$3:H$482,IF(D152=År2,'Resultater - Østdanmark'!I$3:I$482,'Resultater - Østdanmark'!J$3:J$482)),"&gt;0"))</f>
        <v>0</v>
      </c>
      <c r="G152" s="196">
        <f>SUMIFS('Forbrug af biomasse'!$E$2:$E$425,'Forbrug af biomasse'!$C$2:$C$425,'Resultat-Produktion &amp; forbrug'!$A152,'Forbrug af biomasse'!$D$2:$D$425,'Resultat-Produktion &amp; forbrug'!$D152,'Forbrug af biomasse'!$A$2:$A$425,'Resultat-Produktion &amp; forbrug'!G$2,'Forbrug af biomasse'!$B$2:$B$425,$E152)</f>
        <v>0</v>
      </c>
      <c r="H152" s="193">
        <f>IF(E152="Vestdanmark",-IF(A152="Halm",SUMIFS(IF(D152=År1,'Resultater - Vestdanmark'!H$3:H$482,IF(D152=År2,'Resultater - Vestdanmark'!I$3:I$482,'Resultater - Vestdanmark'!J$3:J$482)),'Resultater - Vestdanmark'!$F$3:$F$482,$A152,'Resultater - Vestdanmark'!H$3:H$482,"&lt;0"),0),-IF(A152="Halm",SUMIFS(IF(D152=År1,'Resultater - Østdanmark'!H$3:H$482,IF(D152=År2,'Resultater - Østdanmark'!I$3:I$482,'Resultater - Østdanmark'!J$3:J$482)),'Resultater - Østdanmark'!$F$3:$F$482,$A152,'Resultater - Østdanmark'!H$3:H$482,"&lt;0"),0))</f>
        <v>0</v>
      </c>
      <c r="I152" s="196">
        <f>SUMIFS('Forbrug af biomasse'!$E$2:$E$425,'Forbrug af biomasse'!$C$2:$C$425,'Resultat-Produktion &amp; forbrug'!$A152,'Forbrug af biomasse'!$D$2:$D$425,'Resultat-Produktion &amp; forbrug'!$D152,'Forbrug af biomasse'!$A$2:$A$425,'Resultat-Produktion &amp; forbrug'!I$2,'Forbrug af biomasse'!$B$2:$B$425,$E152)</f>
        <v>0</v>
      </c>
      <c r="J152" s="196">
        <f>SUMIFS('Forbrug af biomasse'!$E$2:$E$425,'Forbrug af biomasse'!$C$2:$C$425,'Resultat-Produktion &amp; forbrug'!$A152,'Forbrug af biomasse'!$D$2:$D$425,'Resultat-Produktion &amp; forbrug'!$D152,'Forbrug af biomasse'!$A$2:$A$425,'Resultat-Produktion &amp; forbrug'!J$2,'Forbrug af biomasse'!$B$2:$B$425,$E152)</f>
        <v>0</v>
      </c>
      <c r="K152" s="196">
        <f>SUMIFS('Forbrug af biomasse'!$E$2:$E$425,'Forbrug af biomasse'!$C$2:$C$425,'Resultat-Produktion &amp; forbrug'!$A152,'Forbrug af biomasse'!$D$2:$D$425,'Resultat-Produktion &amp; forbrug'!$D152,'Forbrug af biomasse'!$A$2:$A$425,'Resultat-Produktion &amp; forbrug'!K$2,'Forbrug af biomasse'!$B$2:$B$425,$E152)</f>
        <v>0</v>
      </c>
      <c r="L152" s="196">
        <f>IF(A152&lt;&gt;"Biogas",SUMIFS('Forbrug af biomasse'!$E$2:$E$425,'Forbrug af biomasse'!$C$2:$C$425,'Resultat-Produktion &amp; forbrug'!$A152,'Forbrug af biomasse'!$D$2:$D$425,'Resultat-Produktion &amp; forbrug'!$D152,'Forbrug af biomasse'!$A$2:$A$425,'Resultat-Produktion &amp; forbrug'!L$2,'Forbrug af biomasse'!$B$2:$B$425,$E152),F152)</f>
        <v>0</v>
      </c>
      <c r="M152" s="158">
        <f>SUMIFS('Forbrug af biomasse'!E:E,'Forbrug af biomasse'!C:C,'Resultat-Produktion &amp; forbrug'!$A152,'Forbrug af biomasse'!D:D,'Resultat-Produktion &amp; forbrug'!$D152,'Forbrug af biomasse'!G:G,1,'Forbrug af biomasse'!B:B,$E152)</f>
        <v>0</v>
      </c>
      <c r="N152" s="205">
        <f t="shared" si="48"/>
        <v>0</v>
      </c>
      <c r="O152" s="196">
        <f t="shared" si="39"/>
        <v>0</v>
      </c>
      <c r="P152" s="206">
        <f t="shared" si="49"/>
        <v>0</v>
      </c>
      <c r="Q152" s="193">
        <f>IFERROR(VLOOKUP(A152,[1]Energiindhold!$A$2:$C$11,3,FALSE),IFERROR(VLOOKUP(A152,[1]Biogasudbytte!$A$2:$B$18,2,FALSE)*[1]Energiindhold!$C$10,0))*O152</f>
        <v>0</v>
      </c>
      <c r="R152" s="193">
        <f>IF(A152&lt;&gt;"Biogas",IFERROR(VLOOKUP(A152,[1]Biogasudbytte!$A$2:$B$18,2,FALSE)*[1]Energiindhold!$C$10,0)*J152*IFERROR(VLOOKUP(A152,Biogasanlæg!$F$3:$G$8,2,FALSE),1)+IFERROR(VLOOKUP(A152,[1]Energiindhold!$A$2:$C$11,3,FALSE),0)*L152+IF(D152&lt;&gt;År1,Q152,0),0)</f>
        <v>0</v>
      </c>
      <c r="S152" s="193">
        <f>IFERROR(VLOOKUP(A152,[1]Biogasudbytte!$A$2:$B$18,2,FALSE)*[1]Energiindhold!$C$10,0)*J152*IFERROR(VLOOKUP(A152,Biogasanlæg!$F$3:$G$8,2,FALSE),1)</f>
        <v>0</v>
      </c>
      <c r="T152" s="194">
        <f t="shared" si="50"/>
        <v>0</v>
      </c>
      <c r="U152" s="192">
        <f>O152*IFERROR(VLOOKUP(A152,[1]Tørstofindhold!A$2:B$25,2,FALSE),0)</f>
        <v>0</v>
      </c>
      <c r="V152" s="193">
        <f>IF(D152=År1,P152,SUM(O152,P152))*IFERROR(VLOOKUP(A152,[1]Tørstofindhold!A$2:B$25,2,FALSE),0)</f>
        <v>0</v>
      </c>
      <c r="W152" s="193">
        <f>J152*IFERROR(VLOOKUP(A152,[1]Tørstofindhold!A$2:B$25,2,FALSE),0)</f>
        <v>0</v>
      </c>
      <c r="X152" s="194">
        <f t="shared" si="51"/>
        <v>0</v>
      </c>
      <c r="Y152" s="172">
        <f t="shared" si="43"/>
        <v>0</v>
      </c>
      <c r="Z152" s="104">
        <f t="shared" si="44"/>
        <v>0</v>
      </c>
    </row>
    <row r="153" spans="1:26" hidden="1" x14ac:dyDescent="0.55000000000000004">
      <c r="A153" s="193" t="s">
        <v>102</v>
      </c>
      <c r="B153" s="195" t="s">
        <v>225</v>
      </c>
      <c r="C153" s="195">
        <f>IF(COUNTIFS('Resultater - Danmark'!$D$3:$D$482,'Resultat-Produktion &amp; forbrug'!A153,'Resultater - Danmark'!$A$3:$A$482,"Til energi")+COUNTIFS('Resultater - Danmark'!$D$3:$D$482,'Resultat-Produktion &amp; forbrug'!A153,'Resultater - Danmark'!$A$3:$A$482,"Biogasanlæg")&gt;0,1,0)</f>
        <v>1</v>
      </c>
      <c r="D153" s="195">
        <f t="shared" si="47"/>
        <v>2019</v>
      </c>
      <c r="E153" s="193" t="s">
        <v>24</v>
      </c>
      <c r="F153" s="196">
        <f>IF(E153="Vestdanmark",SUMIFS(IF(D153=År1,'Resultater - Vestdanmark'!H$3:H$482,IF(D153=År2,'Resultater - Vestdanmark'!I$3:I$482,'Resultater - Vestdanmark'!J$3:J$482)),'Resultater - Vestdanmark'!$F$3:$F$482,$A153,IF(D153=År1,'Resultater - Vestdanmark'!H$3:H$482,IF(D153=År2,'Resultater - Vestdanmark'!I$3:I$482,'Resultater - Vestdanmark'!J$3:J$482)),"&gt;0"),SUMIFS(IF(D153=År1,'Resultater - Østdanmark'!H$3:H$482,IF(D153=År2,'Resultater - Østdanmark'!I$3:I$482,'Resultater - Østdanmark'!J$3:J$482)),'Resultater - Østdanmark'!$F$3:$F$482,$A153,IF(D153=År1,'Resultater - Østdanmark'!H$3:H$482,IF(D153=År2,'Resultater - Østdanmark'!I$3:I$482,'Resultater - Østdanmark'!J$3:J$482)),"&gt;0"))</f>
        <v>332759.92297580565</v>
      </c>
      <c r="G153" s="196">
        <f>SUMIFS('Forbrug af biomasse'!$E$2:$E$425,'Forbrug af biomasse'!$C$2:$C$425,'Resultat-Produktion &amp; forbrug'!$A153,'Forbrug af biomasse'!$D$2:$D$425,'Resultat-Produktion &amp; forbrug'!$D153,'Forbrug af biomasse'!$A$2:$A$425,'Resultat-Produktion &amp; forbrug'!G$2,'Forbrug af biomasse'!$B$2:$B$425,$E153)</f>
        <v>0</v>
      </c>
      <c r="H153" s="193">
        <f>IF(E153="Vestdanmark",-IF(A153="Halm",SUMIFS(IF(D153=År1,'Resultater - Vestdanmark'!H$3:H$482,IF(D153=År2,'Resultater - Vestdanmark'!I$3:I$482,'Resultater - Vestdanmark'!J$3:J$482)),'Resultater - Vestdanmark'!$F$3:$F$482,$A153,'Resultater - Vestdanmark'!H$3:H$482,"&lt;0"),0),-IF(A153="Halm",SUMIFS(IF(D153=År1,'Resultater - Østdanmark'!H$3:H$482,IF(D153=År2,'Resultater - Østdanmark'!I$3:I$482,'Resultater - Østdanmark'!J$3:J$482)),'Resultater - Østdanmark'!$F$3:$F$482,$A153,'Resultater - Østdanmark'!H$3:H$482,"&lt;0"),0))</f>
        <v>0</v>
      </c>
      <c r="I153" s="196">
        <f>SUMIFS('Forbrug af biomasse'!$E$2:$E$425,'Forbrug af biomasse'!$C$2:$C$425,'Resultat-Produktion &amp; forbrug'!$A153,'Forbrug af biomasse'!$D$2:$D$425,'Resultat-Produktion &amp; forbrug'!$D153,'Forbrug af biomasse'!$A$2:$A$425,'Resultat-Produktion &amp; forbrug'!I$2,'Forbrug af biomasse'!$B$2:$B$425,$E153)</f>
        <v>0</v>
      </c>
      <c r="J153" s="196">
        <f>SUMIFS('Forbrug af biomasse'!$E$2:$E$425,'Forbrug af biomasse'!$C$2:$C$425,'Resultat-Produktion &amp; forbrug'!$A153,'Forbrug af biomasse'!$D$2:$D$425,'Resultat-Produktion &amp; forbrug'!$D153,'Forbrug af biomasse'!$A$2:$A$425,'Resultat-Produktion &amp; forbrug'!J$2,'Forbrug af biomasse'!$B$2:$B$425,$E153)</f>
        <v>85892.328449707566</v>
      </c>
      <c r="K153" s="196">
        <f>SUMIFS('Forbrug af biomasse'!$E$2:$E$425,'Forbrug af biomasse'!$C$2:$C$425,'Resultat-Produktion &amp; forbrug'!$A153,'Forbrug af biomasse'!$D$2:$D$425,'Resultat-Produktion &amp; forbrug'!$D153,'Forbrug af biomasse'!$A$2:$A$425,'Resultat-Produktion &amp; forbrug'!K$2,'Forbrug af biomasse'!$B$2:$B$425,$E153)</f>
        <v>93457.017927737121</v>
      </c>
      <c r="L153" s="196">
        <f>IF(A153&lt;&gt;"Biogas",SUMIFS('Forbrug af biomasse'!$E$2:$E$425,'Forbrug af biomasse'!$C$2:$C$425,'Resultat-Produktion &amp; forbrug'!$A153,'Forbrug af biomasse'!$D$2:$D$425,'Resultat-Produktion &amp; forbrug'!$D153,'Forbrug af biomasse'!$A$2:$A$425,'Resultat-Produktion &amp; forbrug'!L$2,'Forbrug af biomasse'!$B$2:$B$425,$E153),F153)</f>
        <v>0</v>
      </c>
      <c r="M153" s="158">
        <f>SUMIFS('Forbrug af biomasse'!E:E,'Forbrug af biomasse'!C:C,'Resultat-Produktion &amp; forbrug'!$A153,'Forbrug af biomasse'!D:D,'Resultat-Produktion &amp; forbrug'!$D153,'Forbrug af biomasse'!G:G,1,'Forbrug af biomasse'!B:B,$E153)</f>
        <v>0</v>
      </c>
      <c r="N153" s="205">
        <f t="shared" si="48"/>
        <v>153410.57659836096</v>
      </c>
      <c r="O153" s="196">
        <f t="shared" si="39"/>
        <v>153410.57659836096</v>
      </c>
      <c r="P153" s="206">
        <f t="shared" si="49"/>
        <v>85892.328449707566</v>
      </c>
      <c r="Q153" s="193">
        <f>IFERROR(VLOOKUP(A153,[1]Energiindhold!$A$2:$C$11,3,FALSE),IFERROR(VLOOKUP(A153,[1]Biogasudbytte!$A$2:$B$18,2,FALSE)*[1]Energiindhold!$C$10,0))*O153</f>
        <v>0.33044638199286952</v>
      </c>
      <c r="R153" s="193">
        <f>IF(A153&lt;&gt;"Biogas",IFERROR(VLOOKUP(A153,[1]Biogasudbytte!$A$2:$B$18,2,FALSE)*[1]Energiindhold!$C$10,0)*J153*IFERROR(VLOOKUP(A153,Biogasanlæg!$F$3:$G$8,2,FALSE),1)+IFERROR(VLOOKUP(A153,[1]Energiindhold!$A$2:$C$11,3,FALSE),0)*L153+IF(D153&lt;&gt;År1,Q153,0),0)</f>
        <v>0.18501207548067011</v>
      </c>
      <c r="S153" s="193">
        <f>IFERROR(VLOOKUP(A153,[1]Biogasudbytte!$A$2:$B$18,2,FALSE)*[1]Energiindhold!$C$10,0)*J153*IFERROR(VLOOKUP(A153,Biogasanlæg!$F$3:$G$8,2,FALSE),1)</f>
        <v>0.18501207548067011</v>
      </c>
      <c r="T153" s="194">
        <f t="shared" si="50"/>
        <v>0</v>
      </c>
      <c r="U153" s="192">
        <f>O153*IFERROR(VLOOKUP(A153,[1]Tørstofindhold!A$2:B$25,2,FALSE),0)</f>
        <v>46023.172979508287</v>
      </c>
      <c r="V153" s="193">
        <f>IF(D153=År1,P153,SUM(O153,P153))*IFERROR(VLOOKUP(A153,[1]Tørstofindhold!A$2:B$25,2,FALSE),0)</f>
        <v>25767.69853491227</v>
      </c>
      <c r="W153" s="193">
        <f>J153*IFERROR(VLOOKUP(A153,[1]Tørstofindhold!A$2:B$25,2,FALSE),0)</f>
        <v>25767.69853491227</v>
      </c>
      <c r="X153" s="194">
        <f t="shared" si="51"/>
        <v>0</v>
      </c>
      <c r="Y153" s="172">
        <f t="shared" si="43"/>
        <v>0</v>
      </c>
      <c r="Z153" s="104">
        <f t="shared" si="44"/>
        <v>1</v>
      </c>
    </row>
    <row r="154" spans="1:26" hidden="1" x14ac:dyDescent="0.55000000000000004">
      <c r="A154" s="193" t="s">
        <v>206</v>
      </c>
      <c r="B154" s="195"/>
      <c r="C154" s="195">
        <f>IF(COUNTIFS('Resultater - Danmark'!$D$3:$D$482,'Resultat-Produktion &amp; forbrug'!A154,'Resultater - Danmark'!$A$3:$A$482,"Til energi")+COUNTIFS('Resultater - Danmark'!$D$3:$D$482,'Resultat-Produktion &amp; forbrug'!A154,'Resultater - Danmark'!$A$3:$A$482,"Biogasanlæg")&gt;0,1,0)</f>
        <v>0</v>
      </c>
      <c r="D154" s="195">
        <f t="shared" si="47"/>
        <v>2019</v>
      </c>
      <c r="E154" s="193" t="s">
        <v>24</v>
      </c>
      <c r="F154" s="196">
        <f>IF(E154="Vestdanmark",SUMIFS(IF(D154=År1,'Resultater - Vestdanmark'!H$3:H$482,IF(D154=År2,'Resultater - Vestdanmark'!I$3:I$482,'Resultater - Vestdanmark'!J$3:J$482)),'Resultater - Vestdanmark'!$F$3:$F$482,$A154,IF(D154=År1,'Resultater - Vestdanmark'!H$3:H$482,IF(D154=År2,'Resultater - Vestdanmark'!I$3:I$482,'Resultater - Vestdanmark'!J$3:J$482)),"&gt;0"),SUMIFS(IF(D154=År1,'Resultater - Østdanmark'!H$3:H$482,IF(D154=År2,'Resultater - Østdanmark'!I$3:I$482,'Resultater - Østdanmark'!J$3:J$482)),'Resultater - Østdanmark'!$F$3:$F$482,$A154,IF(D154=År1,'Resultater - Østdanmark'!H$3:H$482,IF(D154=År2,'Resultater - Østdanmark'!I$3:I$482,'Resultater - Østdanmark'!J$3:J$482)),"&gt;0"))</f>
        <v>0</v>
      </c>
      <c r="G154" s="196">
        <f>SUMIFS('Forbrug af biomasse'!$E$2:$E$425,'Forbrug af biomasse'!$C$2:$C$425,'Resultat-Produktion &amp; forbrug'!$A154,'Forbrug af biomasse'!$D$2:$D$425,'Resultat-Produktion &amp; forbrug'!$D154,'Forbrug af biomasse'!$A$2:$A$425,'Resultat-Produktion &amp; forbrug'!G$2,'Forbrug af biomasse'!$B$2:$B$425,$E154)</f>
        <v>0</v>
      </c>
      <c r="H154" s="193">
        <f>IF(E154="Vestdanmark",-IF(A154="Halm",SUMIFS(IF(D154=År1,'Resultater - Vestdanmark'!H$3:H$482,IF(D154=År2,'Resultater - Vestdanmark'!I$3:I$482,'Resultater - Vestdanmark'!J$3:J$482)),'Resultater - Vestdanmark'!$F$3:$F$482,$A154,'Resultater - Vestdanmark'!H$3:H$482,"&lt;0"),0),-IF(A154="Halm",SUMIFS(IF(D154=År1,'Resultater - Østdanmark'!H$3:H$482,IF(D154=År2,'Resultater - Østdanmark'!I$3:I$482,'Resultater - Østdanmark'!J$3:J$482)),'Resultater - Østdanmark'!$F$3:$F$482,$A154,'Resultater - Østdanmark'!H$3:H$482,"&lt;0"),0))</f>
        <v>0</v>
      </c>
      <c r="I154" s="196">
        <f>SUMIFS('Forbrug af biomasse'!$E$2:$E$425,'Forbrug af biomasse'!$C$2:$C$425,'Resultat-Produktion &amp; forbrug'!$A154,'Forbrug af biomasse'!$D$2:$D$425,'Resultat-Produktion &amp; forbrug'!$D154,'Forbrug af biomasse'!$A$2:$A$425,'Resultat-Produktion &amp; forbrug'!I$2,'Forbrug af biomasse'!$B$2:$B$425,$E154)</f>
        <v>0</v>
      </c>
      <c r="J154" s="196">
        <f>SUMIFS('Forbrug af biomasse'!$E$2:$E$425,'Forbrug af biomasse'!$C$2:$C$425,'Resultat-Produktion &amp; forbrug'!$A154,'Forbrug af biomasse'!$D$2:$D$425,'Resultat-Produktion &amp; forbrug'!$D154,'Forbrug af biomasse'!$A$2:$A$425,'Resultat-Produktion &amp; forbrug'!J$2,'Forbrug af biomasse'!$B$2:$B$425,$E154)</f>
        <v>0</v>
      </c>
      <c r="K154" s="196">
        <f>SUMIFS('Forbrug af biomasse'!$E$2:$E$425,'Forbrug af biomasse'!$C$2:$C$425,'Resultat-Produktion &amp; forbrug'!$A154,'Forbrug af biomasse'!$D$2:$D$425,'Resultat-Produktion &amp; forbrug'!$D154,'Forbrug af biomasse'!$A$2:$A$425,'Resultat-Produktion &amp; forbrug'!K$2,'Forbrug af biomasse'!$B$2:$B$425,$E154)</f>
        <v>0</v>
      </c>
      <c r="L154" s="196">
        <f>IF(A154&lt;&gt;"Biogas",SUMIFS('Forbrug af biomasse'!$E$2:$E$425,'Forbrug af biomasse'!$C$2:$C$425,'Resultat-Produktion &amp; forbrug'!$A154,'Forbrug af biomasse'!$D$2:$D$425,'Resultat-Produktion &amp; forbrug'!$D154,'Forbrug af biomasse'!$A$2:$A$425,'Resultat-Produktion &amp; forbrug'!L$2,'Forbrug af biomasse'!$B$2:$B$425,$E154),F154)</f>
        <v>0</v>
      </c>
      <c r="M154" s="158">
        <f>SUMIFS('Forbrug af biomasse'!E:E,'Forbrug af biomasse'!C:C,'Resultat-Produktion &amp; forbrug'!$A154,'Forbrug af biomasse'!D:D,'Resultat-Produktion &amp; forbrug'!$D154,'Forbrug af biomasse'!G:G,1,'Forbrug af biomasse'!B:B,$E154)</f>
        <v>0</v>
      </c>
      <c r="N154" s="205">
        <f t="shared" si="48"/>
        <v>0</v>
      </c>
      <c r="O154" s="196">
        <f t="shared" si="39"/>
        <v>0</v>
      </c>
      <c r="P154" s="206">
        <f t="shared" si="49"/>
        <v>0</v>
      </c>
      <c r="Q154" s="193">
        <f>IFERROR(VLOOKUP(A154,[1]Energiindhold!$A$2:$C$11,3,FALSE),IFERROR(VLOOKUP(A154,[1]Biogasudbytte!$A$2:$B$18,2,FALSE)*[1]Energiindhold!$C$10,0))*O154</f>
        <v>0</v>
      </c>
      <c r="R154" s="193">
        <f>IF(A154&lt;&gt;"Biogas",IFERROR(VLOOKUP(A154,[1]Biogasudbytte!$A$2:$B$18,2,FALSE)*[1]Energiindhold!$C$10,0)*J154*IFERROR(VLOOKUP(A154,Biogasanlæg!$F$3:$G$8,2,FALSE),1)+IFERROR(VLOOKUP(A154,[1]Energiindhold!$A$2:$C$11,3,FALSE),0)*L154+IF(D154&lt;&gt;År1,Q154,0),0)</f>
        <v>0</v>
      </c>
      <c r="S154" s="193">
        <f>IFERROR(VLOOKUP(A154,[1]Biogasudbytte!$A$2:$B$18,2,FALSE)*[1]Energiindhold!$C$10,0)*J154*IFERROR(VLOOKUP(A154,Biogasanlæg!$F$3:$G$8,2,FALSE),1)</f>
        <v>0</v>
      </c>
      <c r="T154" s="194">
        <f t="shared" si="50"/>
        <v>0</v>
      </c>
      <c r="U154" s="192">
        <f>O154*IFERROR(VLOOKUP(A154,[1]Tørstofindhold!A$2:B$25,2,FALSE),0)</f>
        <v>0</v>
      </c>
      <c r="V154" s="193">
        <f>IF(D154=År1,P154,SUM(O154,P154))*IFERROR(VLOOKUP(A154,[1]Tørstofindhold!A$2:B$25,2,FALSE),0)</f>
        <v>0</v>
      </c>
      <c r="W154" s="193">
        <f>J154*IFERROR(VLOOKUP(A154,[1]Tørstofindhold!A$2:B$25,2,FALSE),0)</f>
        <v>0</v>
      </c>
      <c r="X154" s="194">
        <f t="shared" si="51"/>
        <v>0</v>
      </c>
      <c r="Y154" s="172">
        <f t="shared" si="43"/>
        <v>0</v>
      </c>
      <c r="Z154" s="104">
        <f t="shared" si="44"/>
        <v>0</v>
      </c>
    </row>
    <row r="155" spans="1:26" hidden="1" x14ac:dyDescent="0.55000000000000004">
      <c r="A155" s="193" t="s">
        <v>138</v>
      </c>
      <c r="B155" s="195" t="s">
        <v>225</v>
      </c>
      <c r="C155" s="195">
        <f>IF(COUNTIFS('Resultater - Danmark'!$D$3:$D$482,'Resultat-Produktion &amp; forbrug'!A155,'Resultater - Danmark'!$A$3:$A$482,"Til energi")+COUNTIFS('Resultater - Danmark'!$D$3:$D$482,'Resultat-Produktion &amp; forbrug'!A155,'Resultater - Danmark'!$A$3:$A$482,"Biogasanlæg")&gt;0,1,0)</f>
        <v>1</v>
      </c>
      <c r="D155" s="195">
        <f t="shared" si="47"/>
        <v>2019</v>
      </c>
      <c r="E155" s="193" t="s">
        <v>24</v>
      </c>
      <c r="F155" s="196">
        <f>IF(E155="Vestdanmark",SUMIFS(IF(D155=År1,'Resultater - Vestdanmark'!H$3:H$482,IF(D155=År2,'Resultater - Vestdanmark'!I$3:I$482,'Resultater - Vestdanmark'!J$3:J$482)),'Resultater - Vestdanmark'!$F$3:$F$482,$A155,IF(D155=År1,'Resultater - Vestdanmark'!H$3:H$482,IF(D155=År2,'Resultater - Vestdanmark'!I$3:I$482,'Resultater - Vestdanmark'!J$3:J$482)),"&gt;0"),SUMIFS(IF(D155=År1,'Resultater - Østdanmark'!H$3:H$482,IF(D155=År2,'Resultater - Østdanmark'!I$3:I$482,'Resultater - Østdanmark'!J$3:J$482)),'Resultater - Østdanmark'!$F$3:$F$482,$A155,IF(D155=År1,'Resultater - Østdanmark'!H$3:H$482,IF(D155=År2,'Resultater - Østdanmark'!I$3:I$482,'Resultater - Østdanmark'!J$3:J$482)),"&gt;0"))</f>
        <v>675.387643904882</v>
      </c>
      <c r="G155" s="196">
        <f>SUMIFS('Forbrug af biomasse'!$E$2:$E$425,'Forbrug af biomasse'!$C$2:$C$425,'Resultat-Produktion &amp; forbrug'!$A155,'Forbrug af biomasse'!$D$2:$D$425,'Resultat-Produktion &amp; forbrug'!$D155,'Forbrug af biomasse'!$A$2:$A$425,'Resultat-Produktion &amp; forbrug'!G$2,'Forbrug af biomasse'!$B$2:$B$425,$E155)</f>
        <v>0</v>
      </c>
      <c r="H155" s="193">
        <f>IF(E155="Vestdanmark",-IF(A155="Halm",SUMIFS(IF(D155=År1,'Resultater - Vestdanmark'!H$3:H$482,IF(D155=År2,'Resultater - Vestdanmark'!I$3:I$482,'Resultater - Vestdanmark'!J$3:J$482)),'Resultater - Vestdanmark'!$F$3:$F$482,$A155,'Resultater - Vestdanmark'!H$3:H$482,"&lt;0"),0),-IF(A155="Halm",SUMIFS(IF(D155=År1,'Resultater - Østdanmark'!H$3:H$482,IF(D155=År2,'Resultater - Østdanmark'!I$3:I$482,'Resultater - Østdanmark'!J$3:J$482)),'Resultater - Østdanmark'!$F$3:$F$482,$A155,'Resultater - Østdanmark'!H$3:H$482,"&lt;0"),0))</f>
        <v>0</v>
      </c>
      <c r="I155" s="196">
        <f>SUMIFS('Forbrug af biomasse'!$E$2:$E$425,'Forbrug af biomasse'!$C$2:$C$425,'Resultat-Produktion &amp; forbrug'!$A155,'Forbrug af biomasse'!$D$2:$D$425,'Resultat-Produktion &amp; forbrug'!$D155,'Forbrug af biomasse'!$A$2:$A$425,'Resultat-Produktion &amp; forbrug'!I$2,'Forbrug af biomasse'!$B$2:$B$425,$E155)</f>
        <v>0</v>
      </c>
      <c r="J155" s="196">
        <f>SUMIFS('Forbrug af biomasse'!$E$2:$E$425,'Forbrug af biomasse'!$C$2:$C$425,'Resultat-Produktion &amp; forbrug'!$A155,'Forbrug af biomasse'!$D$2:$D$425,'Resultat-Produktion &amp; forbrug'!$D155,'Forbrug af biomasse'!$A$2:$A$425,'Resultat-Produktion &amp; forbrug'!J$2,'Forbrug af biomasse'!$B$2:$B$425,$E155)</f>
        <v>337.693821952441</v>
      </c>
      <c r="K155" s="196">
        <f>SUMIFS('Forbrug af biomasse'!$E$2:$E$425,'Forbrug af biomasse'!$C$2:$C$425,'Resultat-Produktion &amp; forbrug'!$A155,'Forbrug af biomasse'!$D$2:$D$425,'Resultat-Produktion &amp; forbrug'!$D155,'Forbrug af biomasse'!$A$2:$A$425,'Resultat-Produktion &amp; forbrug'!K$2,'Forbrug af biomasse'!$B$2:$B$425,$E155)</f>
        <v>255.68246519256246</v>
      </c>
      <c r="L155" s="196">
        <f>IF(A155&lt;&gt;"Biogas",SUMIFS('Forbrug af biomasse'!$E$2:$E$425,'Forbrug af biomasse'!$C$2:$C$425,'Resultat-Produktion &amp; forbrug'!$A155,'Forbrug af biomasse'!$D$2:$D$425,'Resultat-Produktion &amp; forbrug'!$D155,'Forbrug af biomasse'!$A$2:$A$425,'Resultat-Produktion &amp; forbrug'!L$2,'Forbrug af biomasse'!$B$2:$B$425,$E155),F155)</f>
        <v>0</v>
      </c>
      <c r="M155" s="158">
        <f>SUMIFS('Forbrug af biomasse'!E:E,'Forbrug af biomasse'!C:C,'Resultat-Produktion &amp; forbrug'!$A155,'Forbrug af biomasse'!D:D,'Resultat-Produktion &amp; forbrug'!$D155,'Forbrug af biomasse'!G:G,1,'Forbrug af biomasse'!B:B,$E155)</f>
        <v>0</v>
      </c>
      <c r="N155" s="205">
        <f t="shared" si="48"/>
        <v>82.011356759878481</v>
      </c>
      <c r="O155" s="196">
        <f t="shared" si="39"/>
        <v>82.011356759878481</v>
      </c>
      <c r="P155" s="206">
        <f t="shared" si="49"/>
        <v>337.693821952441</v>
      </c>
      <c r="Q155" s="193">
        <f>IFERROR(VLOOKUP(A155,[1]Energiindhold!$A$2:$C$11,3,FALSE),IFERROR(VLOOKUP(A155,[1]Biogasudbytte!$A$2:$B$18,2,FALSE)*[1]Energiindhold!$C$10,0))*O155</f>
        <v>3.8569120970603255E-5</v>
      </c>
      <c r="R155" s="193">
        <f>IF(A155&lt;&gt;"Biogas",IFERROR(VLOOKUP(A155,[1]Biogasudbytte!$A$2:$B$18,2,FALSE)*[1]Energiindhold!$C$10,0)*J155*IFERROR(VLOOKUP(A155,Biogasanlæg!$F$3:$G$8,2,FALSE),1)+IFERROR(VLOOKUP(A155,[1]Energiindhold!$A$2:$C$11,3,FALSE),0)*L155+IF(D155&lt;&gt;År1,Q155,0),0)</f>
        <v>1.5881402752601349E-4</v>
      </c>
      <c r="S155" s="193">
        <f>IFERROR(VLOOKUP(A155,[1]Biogasudbytte!$A$2:$B$18,2,FALSE)*[1]Energiindhold!$C$10,0)*J155*IFERROR(VLOOKUP(A155,Biogasanlæg!$F$3:$G$8,2,FALSE),1)</f>
        <v>1.5881402752601349E-4</v>
      </c>
      <c r="T155" s="194">
        <f t="shared" si="50"/>
        <v>0</v>
      </c>
      <c r="U155" s="192">
        <f>O155*IFERROR(VLOOKUP(A155,[1]Tørstofindhold!A$2:B$25,2,FALSE),0)</f>
        <v>5.1667154758723441</v>
      </c>
      <c r="V155" s="193">
        <f>IF(D155=År1,P155,SUM(O155,P155))*IFERROR(VLOOKUP(A155,[1]Tørstofindhold!A$2:B$25,2,FALSE),0)</f>
        <v>21.274710783003783</v>
      </c>
      <c r="W155" s="193">
        <f>J155*IFERROR(VLOOKUP(A155,[1]Tørstofindhold!A$2:B$25,2,FALSE),0)</f>
        <v>21.274710783003783</v>
      </c>
      <c r="X155" s="194">
        <f t="shared" si="51"/>
        <v>0</v>
      </c>
      <c r="Y155" s="172">
        <f t="shared" si="43"/>
        <v>0</v>
      </c>
      <c r="Z155" s="104">
        <f t="shared" si="44"/>
        <v>1</v>
      </c>
    </row>
    <row r="156" spans="1:26" hidden="1" x14ac:dyDescent="0.55000000000000004">
      <c r="A156" s="193" t="s">
        <v>97</v>
      </c>
      <c r="B156" s="195"/>
      <c r="C156" s="195">
        <f>IF(COUNTIFS('Resultater - Danmark'!$D$3:$D$482,'Resultat-Produktion &amp; forbrug'!A156,'Resultater - Danmark'!$A$3:$A$482,"Til energi")+COUNTIFS('Resultater - Danmark'!$D$3:$D$482,'Resultat-Produktion &amp; forbrug'!A156,'Resultater - Danmark'!$A$3:$A$482,"Biogasanlæg")&gt;0,1,0)</f>
        <v>0</v>
      </c>
      <c r="D156" s="195">
        <f t="shared" si="47"/>
        <v>2019</v>
      </c>
      <c r="E156" s="193" t="s">
        <v>24</v>
      </c>
      <c r="F156" s="196">
        <f>IF(E156="Vestdanmark",SUMIFS(IF(D156=År1,'Resultater - Vestdanmark'!H$3:H$482,IF(D156=År2,'Resultater - Vestdanmark'!I$3:I$482,'Resultater - Vestdanmark'!J$3:J$482)),'Resultater - Vestdanmark'!$F$3:$F$482,$A156,IF(D156=År1,'Resultater - Vestdanmark'!H$3:H$482,IF(D156=År2,'Resultater - Vestdanmark'!I$3:I$482,'Resultater - Vestdanmark'!J$3:J$482)),"&gt;0"),SUMIFS(IF(D156=År1,'Resultater - Østdanmark'!H$3:H$482,IF(D156=År2,'Resultater - Østdanmark'!I$3:I$482,'Resultater - Østdanmark'!J$3:J$482)),'Resultater - Østdanmark'!$F$3:$F$482,$A156,IF(D156=År1,'Resultater - Østdanmark'!H$3:H$482,IF(D156=År2,'Resultater - Østdanmark'!I$3:I$482,'Resultater - Østdanmark'!J$3:J$482)),"&gt;0"))</f>
        <v>15969.006082579654</v>
      </c>
      <c r="G156" s="196">
        <f>SUMIFS('Forbrug af biomasse'!$E$2:$E$425,'Forbrug af biomasse'!$C$2:$C$425,'Resultat-Produktion &amp; forbrug'!$A156,'Forbrug af biomasse'!$D$2:$D$425,'Resultat-Produktion &amp; forbrug'!$D156,'Forbrug af biomasse'!$A$2:$A$425,'Resultat-Produktion &amp; forbrug'!G$2,'Forbrug af biomasse'!$B$2:$B$425,$E156)</f>
        <v>0</v>
      </c>
      <c r="H156" s="193">
        <f>IF(E156="Vestdanmark",-IF(A156="Halm",SUMIFS(IF(D156=År1,'Resultater - Vestdanmark'!H$3:H$482,IF(D156=År2,'Resultater - Vestdanmark'!I$3:I$482,'Resultater - Vestdanmark'!J$3:J$482)),'Resultater - Vestdanmark'!$F$3:$F$482,$A156,'Resultater - Vestdanmark'!H$3:H$482,"&lt;0"),0),-IF(A156="Halm",SUMIFS(IF(D156=År1,'Resultater - Østdanmark'!H$3:H$482,IF(D156=År2,'Resultater - Østdanmark'!I$3:I$482,'Resultater - Østdanmark'!J$3:J$482)),'Resultater - Østdanmark'!$F$3:$F$482,$A156,'Resultater - Østdanmark'!H$3:H$482,"&lt;0"),0))</f>
        <v>0</v>
      </c>
      <c r="I156" s="196">
        <f>SUMIFS('Forbrug af biomasse'!$E$2:$E$425,'Forbrug af biomasse'!$C$2:$C$425,'Resultat-Produktion &amp; forbrug'!$A156,'Forbrug af biomasse'!$D$2:$D$425,'Resultat-Produktion &amp; forbrug'!$D156,'Forbrug af biomasse'!$A$2:$A$425,'Resultat-Produktion &amp; forbrug'!I$2,'Forbrug af biomasse'!$B$2:$B$425,$E156)</f>
        <v>29120.587456275069</v>
      </c>
      <c r="J156" s="196">
        <f>SUMIFS('Forbrug af biomasse'!$E$2:$E$425,'Forbrug af biomasse'!$C$2:$C$425,'Resultat-Produktion &amp; forbrug'!$A156,'Forbrug af biomasse'!$D$2:$D$425,'Resultat-Produktion &amp; forbrug'!$D156,'Forbrug af biomasse'!$A$2:$A$425,'Resultat-Produktion &amp; forbrug'!J$2,'Forbrug af biomasse'!$B$2:$B$425,$E156)</f>
        <v>0</v>
      </c>
      <c r="K156" s="196">
        <f>SUMIFS('Forbrug af biomasse'!$E$2:$E$425,'Forbrug af biomasse'!$C$2:$C$425,'Resultat-Produktion &amp; forbrug'!$A156,'Forbrug af biomasse'!$D$2:$D$425,'Resultat-Produktion &amp; forbrug'!$D156,'Forbrug af biomasse'!$A$2:$A$425,'Resultat-Produktion &amp; forbrug'!K$2,'Forbrug af biomasse'!$B$2:$B$425,$E156)</f>
        <v>0</v>
      </c>
      <c r="L156" s="196">
        <f>IF(A156&lt;&gt;"Biogas",SUMIFS('Forbrug af biomasse'!$E$2:$E$425,'Forbrug af biomasse'!$C$2:$C$425,'Resultat-Produktion &amp; forbrug'!$A156,'Forbrug af biomasse'!$D$2:$D$425,'Resultat-Produktion &amp; forbrug'!$D156,'Forbrug af biomasse'!$A$2:$A$425,'Resultat-Produktion &amp; forbrug'!L$2,'Forbrug af biomasse'!$B$2:$B$425,$E156),F156)</f>
        <v>0</v>
      </c>
      <c r="M156" s="158">
        <f>SUMIFS('Forbrug af biomasse'!E:E,'Forbrug af biomasse'!C:C,'Resultat-Produktion &amp; forbrug'!$A156,'Forbrug af biomasse'!D:D,'Resultat-Produktion &amp; forbrug'!$D156,'Forbrug af biomasse'!G:G,1,'Forbrug af biomasse'!B:B,$E156)</f>
        <v>0</v>
      </c>
      <c r="N156" s="205">
        <f t="shared" si="48"/>
        <v>-13151.581373695415</v>
      </c>
      <c r="O156" s="196">
        <f t="shared" si="39"/>
        <v>0</v>
      </c>
      <c r="P156" s="206">
        <f t="shared" si="49"/>
        <v>0</v>
      </c>
      <c r="Q156" s="193">
        <f>IFERROR(VLOOKUP(A156,[1]Energiindhold!$A$2:$C$11,3,FALSE),IFERROR(VLOOKUP(A156,[1]Biogasudbytte!$A$2:$B$18,2,FALSE)*[1]Energiindhold!$C$10,0))*O156</f>
        <v>0</v>
      </c>
      <c r="R156" s="193">
        <f>IF(A156&lt;&gt;"Biogas",IFERROR(VLOOKUP(A156,[1]Biogasudbytte!$A$2:$B$18,2,FALSE)*[1]Energiindhold!$C$10,0)*J156*IFERROR(VLOOKUP(A156,Biogasanlæg!$F$3:$G$8,2,FALSE),1)+IFERROR(VLOOKUP(A156,[1]Energiindhold!$A$2:$C$11,3,FALSE),0)*L156+IF(D156&lt;&gt;År1,Q156,0),0)</f>
        <v>0</v>
      </c>
      <c r="S156" s="193">
        <f>IFERROR(VLOOKUP(A156,[1]Biogasudbytte!$A$2:$B$18,2,FALSE)*[1]Energiindhold!$C$10,0)*J156*IFERROR(VLOOKUP(A156,Biogasanlæg!$F$3:$G$8,2,FALSE),1)</f>
        <v>0</v>
      </c>
      <c r="T156" s="194">
        <f t="shared" si="50"/>
        <v>0</v>
      </c>
      <c r="U156" s="192">
        <f>O156*IFERROR(VLOOKUP(A156,[1]Tørstofindhold!A$2:B$25,2,FALSE),0)</f>
        <v>0</v>
      </c>
      <c r="V156" s="193">
        <f>IF(D156=År1,P156,SUM(O156,P156))*IFERROR(VLOOKUP(A156,[1]Tørstofindhold!A$2:B$25,2,FALSE),0)</f>
        <v>0</v>
      </c>
      <c r="W156" s="193">
        <f>J156*IFERROR(VLOOKUP(A156,[1]Tørstofindhold!A$2:B$25,2,FALSE),0)</f>
        <v>0</v>
      </c>
      <c r="X156" s="194">
        <f t="shared" si="51"/>
        <v>0</v>
      </c>
      <c r="Y156" s="172">
        <f t="shared" si="43"/>
        <v>0</v>
      </c>
      <c r="Z156" s="104">
        <f t="shared" si="44"/>
        <v>1</v>
      </c>
    </row>
    <row r="157" spans="1:26" hidden="1" x14ac:dyDescent="0.55000000000000004">
      <c r="A157" s="193" t="s">
        <v>114</v>
      </c>
      <c r="B157" s="195"/>
      <c r="C157" s="195">
        <f>IF(COUNTIFS('Resultater - Danmark'!$D$3:$D$482,'Resultat-Produktion &amp; forbrug'!A157,'Resultater - Danmark'!$A$3:$A$482,"Til energi")+COUNTIFS('Resultater - Danmark'!$D$3:$D$482,'Resultat-Produktion &amp; forbrug'!A157,'Resultater - Danmark'!$A$3:$A$482,"Biogasanlæg")&gt;0,1,0)</f>
        <v>0</v>
      </c>
      <c r="D157" s="195">
        <f t="shared" si="47"/>
        <v>2019</v>
      </c>
      <c r="E157" s="193" t="s">
        <v>24</v>
      </c>
      <c r="F157" s="196">
        <f>IF(E157="Vestdanmark",SUMIFS(IF(D157=År1,'Resultater - Vestdanmark'!H$3:H$482,IF(D157=År2,'Resultater - Vestdanmark'!I$3:I$482,'Resultater - Vestdanmark'!J$3:J$482)),'Resultater - Vestdanmark'!$F$3:$F$482,$A157,IF(D157=År1,'Resultater - Vestdanmark'!H$3:H$482,IF(D157=År2,'Resultater - Vestdanmark'!I$3:I$482,'Resultater - Vestdanmark'!J$3:J$482)),"&gt;0"),SUMIFS(IF(D157=År1,'Resultater - Østdanmark'!H$3:H$482,IF(D157=År2,'Resultater - Østdanmark'!I$3:I$482,'Resultater - Østdanmark'!J$3:J$482)),'Resultater - Østdanmark'!$F$3:$F$482,$A157,IF(D157=År1,'Resultater - Østdanmark'!H$3:H$482,IF(D157=År2,'Resultater - Østdanmark'!I$3:I$482,'Resultater - Østdanmark'!J$3:J$482)),"&gt;0"))</f>
        <v>612515.4514426298</v>
      </c>
      <c r="G157" s="196">
        <f>SUMIFS('Forbrug af biomasse'!$E$2:$E$425,'Forbrug af biomasse'!$C$2:$C$425,'Resultat-Produktion &amp; forbrug'!$A157,'Forbrug af biomasse'!$D$2:$D$425,'Resultat-Produktion &amp; forbrug'!$D157,'Forbrug af biomasse'!$A$2:$A$425,'Resultat-Produktion &amp; forbrug'!G$2,'Forbrug af biomasse'!$B$2:$B$425,$E157)</f>
        <v>0</v>
      </c>
      <c r="H157" s="193">
        <f>IF(E157="Vestdanmark",-IF(A157="Halm",SUMIFS(IF(D157=År1,'Resultater - Vestdanmark'!H$3:H$482,IF(D157=År2,'Resultater - Vestdanmark'!I$3:I$482,'Resultater - Vestdanmark'!J$3:J$482)),'Resultater - Vestdanmark'!$F$3:$F$482,$A157,'Resultater - Vestdanmark'!H$3:H$482,"&lt;0"),0),-IF(A157="Halm",SUMIFS(IF(D157=År1,'Resultater - Østdanmark'!H$3:H$482,IF(D157=År2,'Resultater - Østdanmark'!I$3:I$482,'Resultater - Østdanmark'!J$3:J$482)),'Resultater - Østdanmark'!$F$3:$F$482,$A157,'Resultater - Østdanmark'!H$3:H$482,"&lt;0"),0))</f>
        <v>0</v>
      </c>
      <c r="I157" s="196">
        <f>SUMIFS('Forbrug af biomasse'!$E$2:$E$425,'Forbrug af biomasse'!$C$2:$C$425,'Resultat-Produktion &amp; forbrug'!$A157,'Forbrug af biomasse'!$D$2:$D$425,'Resultat-Produktion &amp; forbrug'!$D157,'Forbrug af biomasse'!$A$2:$A$425,'Resultat-Produktion &amp; forbrug'!I$2,'Forbrug af biomasse'!$B$2:$B$425,$E157)</f>
        <v>0</v>
      </c>
      <c r="J157" s="196">
        <f>SUMIFS('Forbrug af biomasse'!$E$2:$E$425,'Forbrug af biomasse'!$C$2:$C$425,'Resultat-Produktion &amp; forbrug'!$A157,'Forbrug af biomasse'!$D$2:$D$425,'Resultat-Produktion &amp; forbrug'!$D157,'Forbrug af biomasse'!$A$2:$A$425,'Resultat-Produktion &amp; forbrug'!J$2,'Forbrug af biomasse'!$B$2:$B$425,$E157)</f>
        <v>0</v>
      </c>
      <c r="K157" s="196">
        <f>SUMIFS('Forbrug af biomasse'!$E$2:$E$425,'Forbrug af biomasse'!$C$2:$C$425,'Resultat-Produktion &amp; forbrug'!$A157,'Forbrug af biomasse'!$D$2:$D$425,'Resultat-Produktion &amp; forbrug'!$D157,'Forbrug af biomasse'!$A$2:$A$425,'Resultat-Produktion &amp; forbrug'!K$2,'Forbrug af biomasse'!$B$2:$B$425,$E157)</f>
        <v>0</v>
      </c>
      <c r="L157" s="196">
        <f>IF(A157&lt;&gt;"Biogas",SUMIFS('Forbrug af biomasse'!$E$2:$E$425,'Forbrug af biomasse'!$C$2:$C$425,'Resultat-Produktion &amp; forbrug'!$A157,'Forbrug af biomasse'!$D$2:$D$425,'Resultat-Produktion &amp; forbrug'!$D157,'Forbrug af biomasse'!$A$2:$A$425,'Resultat-Produktion &amp; forbrug'!L$2,'Forbrug af biomasse'!$B$2:$B$425,$E157),F157)</f>
        <v>0</v>
      </c>
      <c r="M157" s="158">
        <f>SUMIFS('Forbrug af biomasse'!E:E,'Forbrug af biomasse'!C:C,'Resultat-Produktion &amp; forbrug'!$A157,'Forbrug af biomasse'!D:D,'Resultat-Produktion &amp; forbrug'!$D157,'Forbrug af biomasse'!G:G,1,'Forbrug af biomasse'!B:B,$E157)</f>
        <v>0</v>
      </c>
      <c r="N157" s="205">
        <f t="shared" si="48"/>
        <v>612515.4514426298</v>
      </c>
      <c r="O157" s="196">
        <f t="shared" si="39"/>
        <v>0</v>
      </c>
      <c r="P157" s="206">
        <f t="shared" si="49"/>
        <v>0</v>
      </c>
      <c r="Q157" s="193">
        <f>IFERROR(VLOOKUP(A157,[1]Energiindhold!$A$2:$C$11,3,FALSE),IFERROR(VLOOKUP(A157,[1]Biogasudbytte!$A$2:$B$18,2,FALSE)*[1]Energiindhold!$C$10,0))*O157</f>
        <v>0</v>
      </c>
      <c r="R157" s="193">
        <f>IF(A157&lt;&gt;"Biogas",IFERROR(VLOOKUP(A157,[1]Biogasudbytte!$A$2:$B$18,2,FALSE)*[1]Energiindhold!$C$10,0)*J157*IFERROR(VLOOKUP(A157,Biogasanlæg!$F$3:$G$8,2,FALSE),1)+IFERROR(VLOOKUP(A157,[1]Energiindhold!$A$2:$C$11,3,FALSE),0)*L157+IF(D157&lt;&gt;År1,Q157,0),0)</f>
        <v>0</v>
      </c>
      <c r="S157" s="193">
        <f>IFERROR(VLOOKUP(A157,[1]Biogasudbytte!$A$2:$B$18,2,FALSE)*[1]Energiindhold!$C$10,0)*J157*IFERROR(VLOOKUP(A157,Biogasanlæg!$F$3:$G$8,2,FALSE),1)</f>
        <v>0</v>
      </c>
      <c r="T157" s="194">
        <f t="shared" si="50"/>
        <v>0</v>
      </c>
      <c r="U157" s="192">
        <f>O157*IFERROR(VLOOKUP(A157,[1]Tørstofindhold!A$2:B$25,2,FALSE),0)</f>
        <v>0</v>
      </c>
      <c r="V157" s="193">
        <f>IF(D157=År1,P157,SUM(O157,P157))*IFERROR(VLOOKUP(A157,[1]Tørstofindhold!A$2:B$25,2,FALSE),0)</f>
        <v>0</v>
      </c>
      <c r="W157" s="193">
        <f>J157*IFERROR(VLOOKUP(A157,[1]Tørstofindhold!A$2:B$25,2,FALSE),0)</f>
        <v>0</v>
      </c>
      <c r="X157" s="194">
        <f t="shared" si="51"/>
        <v>0</v>
      </c>
      <c r="Y157" s="172">
        <f t="shared" si="43"/>
        <v>0</v>
      </c>
      <c r="Z157" s="104">
        <f t="shared" si="44"/>
        <v>1</v>
      </c>
    </row>
    <row r="158" spans="1:26" hidden="1" x14ac:dyDescent="0.55000000000000004">
      <c r="A158" s="193" t="s">
        <v>54</v>
      </c>
      <c r="B158" s="195"/>
      <c r="C158" s="195">
        <f>IF(COUNTIFS('Resultater - Danmark'!$D$3:$D$482,'Resultat-Produktion &amp; forbrug'!A158,'Resultater - Danmark'!$A$3:$A$482,"Til energi")+COUNTIFS('Resultater - Danmark'!$D$3:$D$482,'Resultat-Produktion &amp; forbrug'!A158,'Resultater - Danmark'!$A$3:$A$482,"Biogasanlæg")&gt;0,1,0)</f>
        <v>0</v>
      </c>
      <c r="D158" s="195">
        <f t="shared" si="47"/>
        <v>2019</v>
      </c>
      <c r="E158" s="193" t="s">
        <v>24</v>
      </c>
      <c r="F158" s="196">
        <f>IF(E158="Vestdanmark",SUMIFS(IF(D158=År1,'Resultater - Vestdanmark'!H$3:H$482,IF(D158=År2,'Resultater - Vestdanmark'!I$3:I$482,'Resultater - Vestdanmark'!J$3:J$482)),'Resultater - Vestdanmark'!$F$3:$F$482,$A158,IF(D158=År1,'Resultater - Vestdanmark'!H$3:H$482,IF(D158=År2,'Resultater - Vestdanmark'!I$3:I$482,'Resultater - Vestdanmark'!J$3:J$482)),"&gt;0"),SUMIFS(IF(D158=År1,'Resultater - Østdanmark'!H$3:H$482,IF(D158=År2,'Resultater - Østdanmark'!I$3:I$482,'Resultater - Østdanmark'!J$3:J$482)),'Resultater - Østdanmark'!$F$3:$F$482,$A158,IF(D158=År1,'Resultater - Østdanmark'!H$3:H$482,IF(D158=År2,'Resultater - Østdanmark'!I$3:I$482,'Resultater - Østdanmark'!J$3:J$482)),"&gt;0"))</f>
        <v>15804.526381892863</v>
      </c>
      <c r="G158" s="196">
        <f>SUMIFS('Forbrug af biomasse'!$E$2:$E$425,'Forbrug af biomasse'!$C$2:$C$425,'Resultat-Produktion &amp; forbrug'!$A158,'Forbrug af biomasse'!$D$2:$D$425,'Resultat-Produktion &amp; forbrug'!$D158,'Forbrug af biomasse'!$A$2:$A$425,'Resultat-Produktion &amp; forbrug'!G$2,'Forbrug af biomasse'!$B$2:$B$425,$E158)</f>
        <v>0</v>
      </c>
      <c r="H158" s="193">
        <f>IF(E158="Vestdanmark",-IF(A158="Halm",SUMIFS(IF(D158=År1,'Resultater - Vestdanmark'!H$3:H$482,IF(D158=År2,'Resultater - Vestdanmark'!I$3:I$482,'Resultater - Vestdanmark'!J$3:J$482)),'Resultater - Vestdanmark'!$F$3:$F$482,$A158,'Resultater - Vestdanmark'!H$3:H$482,"&lt;0"),0),-IF(A158="Halm",SUMIFS(IF(D158=År1,'Resultater - Østdanmark'!H$3:H$482,IF(D158=År2,'Resultater - Østdanmark'!I$3:I$482,'Resultater - Østdanmark'!J$3:J$482)),'Resultater - Østdanmark'!$F$3:$F$482,$A158,'Resultater - Østdanmark'!H$3:H$482,"&lt;0"),0))</f>
        <v>0</v>
      </c>
      <c r="I158" s="196">
        <f>SUMIFS('Forbrug af biomasse'!$E$2:$E$425,'Forbrug af biomasse'!$C$2:$C$425,'Resultat-Produktion &amp; forbrug'!$A158,'Forbrug af biomasse'!$D$2:$D$425,'Resultat-Produktion &amp; forbrug'!$D158,'Forbrug af biomasse'!$A$2:$A$425,'Resultat-Produktion &amp; forbrug'!I$2,'Forbrug af biomasse'!$B$2:$B$425,$E158)</f>
        <v>212804.29294970242</v>
      </c>
      <c r="J158" s="196">
        <f>SUMIFS('Forbrug af biomasse'!$E$2:$E$425,'Forbrug af biomasse'!$C$2:$C$425,'Resultat-Produktion &amp; forbrug'!$A158,'Forbrug af biomasse'!$D$2:$D$425,'Resultat-Produktion &amp; forbrug'!$D158,'Forbrug af biomasse'!$A$2:$A$425,'Resultat-Produktion &amp; forbrug'!J$2,'Forbrug af biomasse'!$B$2:$B$425,$E158)</f>
        <v>0</v>
      </c>
      <c r="K158" s="196">
        <f>SUMIFS('Forbrug af biomasse'!$E$2:$E$425,'Forbrug af biomasse'!$C$2:$C$425,'Resultat-Produktion &amp; forbrug'!$A158,'Forbrug af biomasse'!$D$2:$D$425,'Resultat-Produktion &amp; forbrug'!$D158,'Forbrug af biomasse'!$A$2:$A$425,'Resultat-Produktion &amp; forbrug'!K$2,'Forbrug af biomasse'!$B$2:$B$425,$E158)</f>
        <v>0</v>
      </c>
      <c r="L158" s="196">
        <f>IF(A158&lt;&gt;"Biogas",SUMIFS('Forbrug af biomasse'!$E$2:$E$425,'Forbrug af biomasse'!$C$2:$C$425,'Resultat-Produktion &amp; forbrug'!$A158,'Forbrug af biomasse'!$D$2:$D$425,'Resultat-Produktion &amp; forbrug'!$D158,'Forbrug af biomasse'!$A$2:$A$425,'Resultat-Produktion &amp; forbrug'!L$2,'Forbrug af biomasse'!$B$2:$B$425,$E158),F158)</f>
        <v>0</v>
      </c>
      <c r="M158" s="158">
        <f>SUMIFS('Forbrug af biomasse'!E:E,'Forbrug af biomasse'!C:C,'Resultat-Produktion &amp; forbrug'!$A158,'Forbrug af biomasse'!D:D,'Resultat-Produktion &amp; forbrug'!$D158,'Forbrug af biomasse'!G:G,1,'Forbrug af biomasse'!B:B,$E158)</f>
        <v>0</v>
      </c>
      <c r="N158" s="205">
        <f t="shared" si="48"/>
        <v>-196999.76656780957</v>
      </c>
      <c r="O158" s="196">
        <f t="shared" si="39"/>
        <v>0</v>
      </c>
      <c r="P158" s="206">
        <f t="shared" si="49"/>
        <v>0</v>
      </c>
      <c r="Q158" s="193">
        <f>IFERROR(VLOOKUP(A158,[1]Energiindhold!$A$2:$C$11,3,FALSE),IFERROR(VLOOKUP(A158,[1]Biogasudbytte!$A$2:$B$18,2,FALSE)*[1]Energiindhold!$C$10,0))*O158</f>
        <v>0</v>
      </c>
      <c r="R158" s="193">
        <f>IF(A158&lt;&gt;"Biogas",IFERROR(VLOOKUP(A158,[1]Biogasudbytte!$A$2:$B$18,2,FALSE)*[1]Energiindhold!$C$10,0)*J158*IFERROR(VLOOKUP(A158,Biogasanlæg!$F$3:$G$8,2,FALSE),1)+IFERROR(VLOOKUP(A158,[1]Energiindhold!$A$2:$C$11,3,FALSE),0)*L158+IF(D158&lt;&gt;År1,Q158,0),0)</f>
        <v>0</v>
      </c>
      <c r="S158" s="193">
        <f>IFERROR(VLOOKUP(A158,[1]Biogasudbytte!$A$2:$B$18,2,FALSE)*[1]Energiindhold!$C$10,0)*J158*IFERROR(VLOOKUP(A158,Biogasanlæg!$F$3:$G$8,2,FALSE),1)</f>
        <v>0</v>
      </c>
      <c r="T158" s="194">
        <f t="shared" si="50"/>
        <v>0</v>
      </c>
      <c r="U158" s="192">
        <f>O158*IFERROR(VLOOKUP(A158,[1]Tørstofindhold!A$2:B$25,2,FALSE),0)</f>
        <v>0</v>
      </c>
      <c r="V158" s="193">
        <f>IF(D158=År1,P158,SUM(O158,P158))*IFERROR(VLOOKUP(A158,[1]Tørstofindhold!A$2:B$25,2,FALSE),0)</f>
        <v>0</v>
      </c>
      <c r="W158" s="193">
        <f>J158*IFERROR(VLOOKUP(A158,[1]Tørstofindhold!A$2:B$25,2,FALSE),0)</f>
        <v>0</v>
      </c>
      <c r="X158" s="194">
        <f t="shared" si="51"/>
        <v>0</v>
      </c>
      <c r="Y158" s="172">
        <f t="shared" si="43"/>
        <v>1</v>
      </c>
      <c r="Z158" s="104">
        <f t="shared" si="44"/>
        <v>0</v>
      </c>
    </row>
    <row r="159" spans="1:26" hidden="1" x14ac:dyDescent="0.55000000000000004">
      <c r="A159" s="195" t="s">
        <v>159</v>
      </c>
      <c r="B159" s="195" t="s">
        <v>159</v>
      </c>
      <c r="C159" s="195">
        <f>IF(COUNTIFS('Resultater - Danmark'!$D$3:$D$482,'Resultat-Produktion &amp; forbrug'!A159,'Resultater - Danmark'!$A$3:$A$482,"Til energi")+COUNTIFS('Resultater - Danmark'!$D$3:$D$482,'Resultat-Produktion &amp; forbrug'!A159,'Resultater - Danmark'!$A$3:$A$482,"Biogasanlæg")&gt;0,1,0)</f>
        <v>1</v>
      </c>
      <c r="D159" s="195">
        <f t="shared" si="47"/>
        <v>2019</v>
      </c>
      <c r="E159" s="193" t="s">
        <v>24</v>
      </c>
      <c r="F159" s="196">
        <f>IF(E159="Vestdanmark",SUMIFS(IF(D159=År1,'Resultater - Vestdanmark'!H$3:H$482,IF(D159=År2,'Resultater - Vestdanmark'!I$3:I$482,'Resultater - Vestdanmark'!J$3:J$482)),'Resultater - Vestdanmark'!$F$3:$F$482,$A159,IF(D159=År1,'Resultater - Vestdanmark'!H$3:H$482,IF(D159=År2,'Resultater - Vestdanmark'!I$3:I$482,'Resultater - Vestdanmark'!J$3:J$482)),"&gt;0"),SUMIFS(IF(D159=År1,'Resultater - Østdanmark'!H$3:H$482,IF(D159=År2,'Resultater - Østdanmark'!I$3:I$482,'Resultater - Østdanmark'!J$3:J$482)),'Resultater - Østdanmark'!$F$3:$F$482,$A159,IF(D159=År1,'Resultater - Østdanmark'!H$3:H$482,IF(D159=År2,'Resultater - Østdanmark'!I$3:I$482,'Resultater - Østdanmark'!J$3:J$482)),"&gt;0"))</f>
        <v>0</v>
      </c>
      <c r="G159" s="196">
        <f>SUMIFS('Forbrug af biomasse'!$E$2:$E$425,'Forbrug af biomasse'!$C$2:$C$425,'Resultat-Produktion &amp; forbrug'!$A159,'Forbrug af biomasse'!$D$2:$D$425,'Resultat-Produktion &amp; forbrug'!$D159,'Forbrug af biomasse'!$A$2:$A$425,'Resultat-Produktion &amp; forbrug'!G$2,'Forbrug af biomasse'!$B$2:$B$425,$E159)</f>
        <v>0</v>
      </c>
      <c r="H159" s="193">
        <f>IF(E159="Vestdanmark",-IF(A159="Halm",SUMIFS(IF(D159=År1,'Resultater - Vestdanmark'!H$3:H$482,IF(D159=År2,'Resultater - Vestdanmark'!I$3:I$482,'Resultater - Vestdanmark'!J$3:J$482)),'Resultater - Vestdanmark'!$F$3:$F$482,$A159,'Resultater - Vestdanmark'!H$3:H$482,"&lt;0"),0),-IF(A159="Halm",SUMIFS(IF(D159=År1,'Resultater - Østdanmark'!H$3:H$482,IF(D159=År2,'Resultater - Østdanmark'!I$3:I$482,'Resultater - Østdanmark'!J$3:J$482)),'Resultater - Østdanmark'!$F$3:$F$482,$A159,'Resultater - Østdanmark'!H$3:H$482,"&lt;0"),0))</f>
        <v>0</v>
      </c>
      <c r="I159" s="196">
        <f>SUMIFS('Forbrug af biomasse'!$E$2:$E$425,'Forbrug af biomasse'!$C$2:$C$425,'Resultat-Produktion &amp; forbrug'!$A159,'Forbrug af biomasse'!$D$2:$D$425,'Resultat-Produktion &amp; forbrug'!$D159,'Forbrug af biomasse'!$A$2:$A$425,'Resultat-Produktion &amp; forbrug'!I$2,'Forbrug af biomasse'!$B$2:$B$425,$E159)</f>
        <v>0</v>
      </c>
      <c r="J159" s="196">
        <f>SUMIFS('Forbrug af biomasse'!$E$2:$E$425,'Forbrug af biomasse'!$C$2:$C$425,'Resultat-Produktion &amp; forbrug'!$A159,'Forbrug af biomasse'!$D$2:$D$425,'Resultat-Produktion &amp; forbrug'!$D159,'Forbrug af biomasse'!$A$2:$A$425,'Resultat-Produktion &amp; forbrug'!J$2,'Forbrug af biomasse'!$B$2:$B$425,$E159)</f>
        <v>28548.400000000001</v>
      </c>
      <c r="K159" s="196">
        <f>SUMIFS('Forbrug af biomasse'!$E$2:$E$425,'Forbrug af biomasse'!$C$2:$C$425,'Resultat-Produktion &amp; forbrug'!$A159,'Forbrug af biomasse'!$D$2:$D$425,'Resultat-Produktion &amp; forbrug'!$D159,'Forbrug af biomasse'!$A$2:$A$425,'Resultat-Produktion &amp; forbrug'!K$2,'Forbrug af biomasse'!$B$2:$B$425,$E159)</f>
        <v>0</v>
      </c>
      <c r="L159" s="196">
        <f>IF(A159&lt;&gt;"Biogas",SUMIFS('Forbrug af biomasse'!$E$2:$E$425,'Forbrug af biomasse'!$C$2:$C$425,'Resultat-Produktion &amp; forbrug'!$A159,'Forbrug af biomasse'!$D$2:$D$425,'Resultat-Produktion &amp; forbrug'!$D159,'Forbrug af biomasse'!$A$2:$A$425,'Resultat-Produktion &amp; forbrug'!L$2,'Forbrug af biomasse'!$B$2:$B$425,$E159),F159)</f>
        <v>0</v>
      </c>
      <c r="M159" s="158">
        <f>SUMIFS('Forbrug af biomasse'!E:E,'Forbrug af biomasse'!C:C,'Resultat-Produktion &amp; forbrug'!$A159,'Forbrug af biomasse'!D:D,'Resultat-Produktion &amp; forbrug'!$D159,'Forbrug af biomasse'!G:G,1,'Forbrug af biomasse'!B:B,$E159)</f>
        <v>0</v>
      </c>
      <c r="N159" s="205">
        <f t="shared" si="48"/>
        <v>-28548.400000000001</v>
      </c>
      <c r="O159" s="196">
        <f t="shared" si="39"/>
        <v>0</v>
      </c>
      <c r="P159" s="206">
        <f t="shared" si="49"/>
        <v>28548.400000000001</v>
      </c>
      <c r="Q159" s="193">
        <f>IFERROR(VLOOKUP(A159,[1]Energiindhold!$A$2:$C$11,3,FALSE),IFERROR(VLOOKUP(A159,[1]Biogasudbytte!$A$2:$B$18,2,FALSE)*[1]Energiindhold!$C$10,0))*O159</f>
        <v>0</v>
      </c>
      <c r="R159" s="193">
        <f>IF(A159&lt;&gt;"Biogas",IFERROR(VLOOKUP(A159,[1]Biogasudbytte!$A$2:$B$18,2,FALSE)*[1]Energiindhold!$C$10,0)*J159*IFERROR(VLOOKUP(A159,Biogasanlæg!$F$3:$G$8,2,FALSE),1)+IFERROR(VLOOKUP(A159,[1]Energiindhold!$A$2:$C$11,3,FALSE),0)*L159+IF(D159&lt;&gt;År1,Q159,0),0)</f>
        <v>0.43389639740160008</v>
      </c>
      <c r="S159" s="193">
        <f>IFERROR(VLOOKUP(A159,[1]Biogasudbytte!$A$2:$B$18,2,FALSE)*[1]Energiindhold!$C$10,0)*J159*IFERROR(VLOOKUP(A159,Biogasanlæg!$F$3:$G$8,2,FALSE),1)</f>
        <v>0.43389639740160008</v>
      </c>
      <c r="T159" s="194">
        <f t="shared" si="50"/>
        <v>0</v>
      </c>
      <c r="U159" s="192">
        <f>O159*IFERROR(VLOOKUP(A159,[1]Tørstofindhold!A$2:B$25,2,FALSE),0)</f>
        <v>0</v>
      </c>
      <c r="V159" s="193">
        <f>IF(D159=År1,P159,SUM(O159,P159))*IFERROR(VLOOKUP(A159,[1]Tørstofindhold!A$2:B$25,2,FALSE),0)</f>
        <v>25693.56</v>
      </c>
      <c r="W159" s="193">
        <f>J159*IFERROR(VLOOKUP(A159,[1]Tørstofindhold!A$2:B$25,2,FALSE),0)</f>
        <v>25693.56</v>
      </c>
      <c r="X159" s="194">
        <f t="shared" si="51"/>
        <v>0</v>
      </c>
      <c r="Y159" s="172">
        <f t="shared" si="43"/>
        <v>1</v>
      </c>
      <c r="Z159" s="104">
        <f t="shared" si="44"/>
        <v>0</v>
      </c>
    </row>
    <row r="160" spans="1:26" hidden="1" x14ac:dyDescent="0.55000000000000004">
      <c r="A160" s="195" t="s">
        <v>51</v>
      </c>
      <c r="B160" s="195" t="s">
        <v>227</v>
      </c>
      <c r="C160" s="195">
        <f>IF(COUNTIFS('Resultater - Danmark'!$D$3:$D$482,'Resultat-Produktion &amp; forbrug'!A160,'Resultater - Danmark'!$A$3:$A$482,"Til energi")+COUNTIFS('Resultater - Danmark'!$D$3:$D$482,'Resultat-Produktion &amp; forbrug'!A160,'Resultater - Danmark'!$A$3:$A$482,"Biogasanlæg")&gt;0,1,0)</f>
        <v>1</v>
      </c>
      <c r="D160" s="195">
        <f t="shared" si="47"/>
        <v>2019</v>
      </c>
      <c r="E160" s="193" t="s">
        <v>24</v>
      </c>
      <c r="F160" s="196">
        <f>IF(E160="Vestdanmark",SUMIFS(IF(D160=År1,'Resultater - Vestdanmark'!H$3:H$482,IF(D160=År2,'Resultater - Vestdanmark'!I$3:I$482,'Resultater - Vestdanmark'!J$3:J$482)),'Resultater - Vestdanmark'!$F$3:$F$482,$A160,IF(D160=År1,'Resultater - Vestdanmark'!H$3:H$482,IF(D160=År2,'Resultater - Vestdanmark'!I$3:I$482,'Resultater - Vestdanmark'!J$3:J$482)),"&gt;0"),SUMIFS(IF(D160=År1,'Resultater - Østdanmark'!H$3:H$482,IF(D160=År2,'Resultater - Østdanmark'!I$3:I$482,'Resultater - Østdanmark'!J$3:J$482)),'Resultater - Østdanmark'!$F$3:$F$482,$A160,IF(D160=År1,'Resultater - Østdanmark'!H$3:H$482,IF(D160=År2,'Resultater - Østdanmark'!I$3:I$482,'Resultater - Østdanmark'!J$3:J$482)),"&gt;0"))</f>
        <v>2079827.1270254222</v>
      </c>
      <c r="G160" s="196">
        <f>SUMIFS('Forbrug af biomasse'!$E$2:$E$425,'Forbrug af biomasse'!$C$2:$C$425,'Resultat-Produktion &amp; forbrug'!$A160,'Forbrug af biomasse'!$D$2:$D$425,'Resultat-Produktion &amp; forbrug'!$D160,'Forbrug af biomasse'!$A$2:$A$425,'Resultat-Produktion &amp; forbrug'!G$2,'Forbrug af biomasse'!$B$2:$B$425,$E160)</f>
        <v>1502068.0760117143</v>
      </c>
      <c r="H160" s="193">
        <f>IF(E160="Vestdanmark",-IF(A160="Halm",SUMIFS(IF(D160=År1,'Resultater - Vestdanmark'!H$3:H$482,IF(D160=År2,'Resultater - Vestdanmark'!I$3:I$482,'Resultater - Vestdanmark'!J$3:J$482)),'Resultater - Vestdanmark'!$F$3:$F$482,$A160,'Resultater - Vestdanmark'!H$3:H$482,"&lt;0"),0),-IF(A160="Halm",SUMIFS(IF(D160=År1,'Resultater - Østdanmark'!H$3:H$482,IF(D160=År2,'Resultater - Østdanmark'!I$3:I$482,'Resultater - Østdanmark'!J$3:J$482)),'Resultater - Østdanmark'!$F$3:$F$482,$A160,'Resultater - Østdanmark'!H$3:H$482,"&lt;0"),0))</f>
        <v>0</v>
      </c>
      <c r="I160" s="196">
        <f>SUMIFS('Forbrug af biomasse'!$E$2:$E$425,'Forbrug af biomasse'!$C$2:$C$425,'Resultat-Produktion &amp; forbrug'!$A160,'Forbrug af biomasse'!$D$2:$D$425,'Resultat-Produktion &amp; forbrug'!$D160,'Forbrug af biomasse'!$A$2:$A$425,'Resultat-Produktion &amp; forbrug'!I$2,'Forbrug af biomasse'!$B$2:$B$425,$E160)</f>
        <v>0</v>
      </c>
      <c r="J160" s="196">
        <f>SUMIFS('Forbrug af biomasse'!$E$2:$E$425,'Forbrug af biomasse'!$C$2:$C$425,'Resultat-Produktion &amp; forbrug'!$A160,'Forbrug af biomasse'!$D$2:$D$425,'Resultat-Produktion &amp; forbrug'!$D160,'Forbrug af biomasse'!$A$2:$A$425,'Resultat-Produktion &amp; forbrug'!J$2,'Forbrug af biomasse'!$B$2:$B$425,$E160)</f>
        <v>9930.836100337272</v>
      </c>
      <c r="K160" s="196">
        <f>SUMIFS('Forbrug af biomasse'!$E$2:$E$425,'Forbrug af biomasse'!$C$2:$C$425,'Resultat-Produktion &amp; forbrug'!$A160,'Forbrug af biomasse'!$D$2:$D$425,'Resultat-Produktion &amp; forbrug'!$D160,'Forbrug af biomasse'!$A$2:$A$425,'Resultat-Produktion &amp; forbrug'!K$2,'Forbrug af biomasse'!$B$2:$B$425,$E160)</f>
        <v>0</v>
      </c>
      <c r="L160" s="196">
        <f>IF(A160&lt;&gt;"Biogas",SUMIFS('Forbrug af biomasse'!$E$2:$E$425,'Forbrug af biomasse'!$C$2:$C$425,'Resultat-Produktion &amp; forbrug'!$A160,'Forbrug af biomasse'!$D$2:$D$425,'Resultat-Produktion &amp; forbrug'!$D160,'Forbrug af biomasse'!$A$2:$A$425,'Resultat-Produktion &amp; forbrug'!L$2,'Forbrug af biomasse'!$B$2:$B$425,$E160),F160)</f>
        <v>0</v>
      </c>
      <c r="M160" s="158">
        <f>SUMIFS('Forbrug af biomasse'!E:E,'Forbrug af biomasse'!C:C,'Resultat-Produktion &amp; forbrug'!$A160,'Forbrug af biomasse'!D:D,'Resultat-Produktion &amp; forbrug'!$D160,'Forbrug af biomasse'!G:G,1,'Forbrug af biomasse'!B:B,$E160)</f>
        <v>0</v>
      </c>
      <c r="N160" s="205">
        <f t="shared" si="48"/>
        <v>567828.21491337055</v>
      </c>
      <c r="O160" s="196">
        <f t="shared" si="39"/>
        <v>567828.21491337055</v>
      </c>
      <c r="P160" s="206">
        <f t="shared" si="49"/>
        <v>9930.836100337272</v>
      </c>
      <c r="Q160" s="193">
        <f>IFERROR(VLOOKUP(A160,[1]Energiindhold!$A$2:$C$11,3,FALSE),IFERROR(VLOOKUP(A160,[1]Biogasudbytte!$A$2:$B$18,2,FALSE)*[1]Energiindhold!$C$10,0))*O160</f>
        <v>1.0447329369137377</v>
      </c>
      <c r="R160" s="193">
        <f>IF(A160&lt;&gt;"Biogas",IFERROR(VLOOKUP(A160,[1]Biogasudbytte!$A$2:$B$18,2,FALSE)*[1]Energiindhold!$C$10,0)*J160*IFERROR(VLOOKUP(A160,Biogasanlæg!$F$3:$G$8,2,FALSE),1)+IFERROR(VLOOKUP(A160,[1]Energiindhold!$A$2:$C$11,3,FALSE),0)*L160+IF(D160&lt;&gt;År1,Q160,0),0)</f>
        <v>1.8271497070108039E-2</v>
      </c>
      <c r="S160" s="193">
        <f>IFERROR(VLOOKUP(A160,[1]Biogasudbytte!$A$2:$B$18,2,FALSE)*[1]Energiindhold!$C$10,0)*J160*IFERROR(VLOOKUP(A160,Biogasanlæg!$F$3:$G$8,2,FALSE),1)</f>
        <v>1.8271497070108039E-2</v>
      </c>
      <c r="T160" s="194">
        <f t="shared" si="50"/>
        <v>0</v>
      </c>
      <c r="U160" s="192">
        <f>O160*IFERROR(VLOOKUP(A160,[1]Tørstofindhold!A$2:B$25,2,FALSE),0)</f>
        <v>158991.90017574377</v>
      </c>
      <c r="V160" s="193">
        <f>IF(D160=År1,P160,SUM(O160,P160))*IFERROR(VLOOKUP(A160,[1]Tørstofindhold!A$2:B$25,2,FALSE),0)</f>
        <v>2780.6341080944362</v>
      </c>
      <c r="W160" s="193">
        <f>J160*IFERROR(VLOOKUP(A160,[1]Tørstofindhold!A$2:B$25,2,FALSE),0)</f>
        <v>2780.6341080944362</v>
      </c>
      <c r="X160" s="194">
        <f t="shared" si="51"/>
        <v>0</v>
      </c>
      <c r="Y160" s="172">
        <f t="shared" si="43"/>
        <v>0</v>
      </c>
      <c r="Z160" s="104">
        <f t="shared" si="44"/>
        <v>1</v>
      </c>
    </row>
    <row r="161" spans="1:26" hidden="1" x14ac:dyDescent="0.55000000000000004">
      <c r="A161" s="195" t="s">
        <v>205</v>
      </c>
      <c r="B161" s="195"/>
      <c r="C161" s="195">
        <f>IF(COUNTIFS('Resultater - Danmark'!$D$3:$D$482,'Resultat-Produktion &amp; forbrug'!A161,'Resultater - Danmark'!$A$3:$A$482,"Til energi")+COUNTIFS('Resultater - Danmark'!$D$3:$D$482,'Resultat-Produktion &amp; forbrug'!A161,'Resultater - Danmark'!$A$3:$A$482,"Biogasanlæg")&gt;0,1,0)</f>
        <v>0</v>
      </c>
      <c r="D161" s="195">
        <f t="shared" si="47"/>
        <v>2019</v>
      </c>
      <c r="E161" s="193" t="s">
        <v>24</v>
      </c>
      <c r="F161" s="196">
        <f>IF(E161="Vestdanmark",SUMIFS(IF(D161=År1,'Resultater - Vestdanmark'!H$3:H$482,IF(D161=År2,'Resultater - Vestdanmark'!I$3:I$482,'Resultater - Vestdanmark'!J$3:J$482)),'Resultater - Vestdanmark'!$F$3:$F$482,$A161,IF(D161=År1,'Resultater - Vestdanmark'!H$3:H$482,IF(D161=År2,'Resultater - Vestdanmark'!I$3:I$482,'Resultater - Vestdanmark'!J$3:J$482)),"&gt;0"),SUMIFS(IF(D161=År1,'Resultater - Østdanmark'!H$3:H$482,IF(D161=År2,'Resultater - Østdanmark'!I$3:I$482,'Resultater - Østdanmark'!J$3:J$482)),'Resultater - Østdanmark'!$F$3:$F$482,$A161,IF(D161=År1,'Resultater - Østdanmark'!H$3:H$482,IF(D161=År2,'Resultater - Østdanmark'!I$3:I$482,'Resultater - Østdanmark'!J$3:J$482)),"&gt;0"))</f>
        <v>0</v>
      </c>
      <c r="G161" s="196">
        <f>SUMIFS('Forbrug af biomasse'!$E$2:$E$425,'Forbrug af biomasse'!$C$2:$C$425,'Resultat-Produktion &amp; forbrug'!$A161,'Forbrug af biomasse'!$D$2:$D$425,'Resultat-Produktion &amp; forbrug'!$D161,'Forbrug af biomasse'!$A$2:$A$425,'Resultat-Produktion &amp; forbrug'!G$2,'Forbrug af biomasse'!$B$2:$B$425,$E161)</f>
        <v>0</v>
      </c>
      <c r="H161" s="193">
        <f>IF(E161="Vestdanmark",-IF(A161="Halm",SUMIFS(IF(D161=År1,'Resultater - Vestdanmark'!H$3:H$482,IF(D161=År2,'Resultater - Vestdanmark'!I$3:I$482,'Resultater - Vestdanmark'!J$3:J$482)),'Resultater - Vestdanmark'!$F$3:$F$482,$A161,'Resultater - Vestdanmark'!H$3:H$482,"&lt;0"),0),-IF(A161="Halm",SUMIFS(IF(D161=År1,'Resultater - Østdanmark'!H$3:H$482,IF(D161=År2,'Resultater - Østdanmark'!I$3:I$482,'Resultater - Østdanmark'!J$3:J$482)),'Resultater - Østdanmark'!$F$3:$F$482,$A161,'Resultater - Østdanmark'!H$3:H$482,"&lt;0"),0))</f>
        <v>0</v>
      </c>
      <c r="I161" s="196">
        <f>SUMIFS('Forbrug af biomasse'!$E$2:$E$425,'Forbrug af biomasse'!$C$2:$C$425,'Resultat-Produktion &amp; forbrug'!$A161,'Forbrug af biomasse'!$D$2:$D$425,'Resultat-Produktion &amp; forbrug'!$D161,'Forbrug af biomasse'!$A$2:$A$425,'Resultat-Produktion &amp; forbrug'!I$2,'Forbrug af biomasse'!$B$2:$B$425,$E161)</f>
        <v>0</v>
      </c>
      <c r="J161" s="196">
        <f>SUMIFS('Forbrug af biomasse'!$E$2:$E$425,'Forbrug af biomasse'!$C$2:$C$425,'Resultat-Produktion &amp; forbrug'!$A161,'Forbrug af biomasse'!$D$2:$D$425,'Resultat-Produktion &amp; forbrug'!$D161,'Forbrug af biomasse'!$A$2:$A$425,'Resultat-Produktion &amp; forbrug'!J$2,'Forbrug af biomasse'!$B$2:$B$425,$E161)</f>
        <v>0</v>
      </c>
      <c r="K161" s="196">
        <f>SUMIFS('Forbrug af biomasse'!$E$2:$E$425,'Forbrug af biomasse'!$C$2:$C$425,'Resultat-Produktion &amp; forbrug'!$A161,'Forbrug af biomasse'!$D$2:$D$425,'Resultat-Produktion &amp; forbrug'!$D161,'Forbrug af biomasse'!$A$2:$A$425,'Resultat-Produktion &amp; forbrug'!K$2,'Forbrug af biomasse'!$B$2:$B$425,$E161)</f>
        <v>0</v>
      </c>
      <c r="L161" s="196">
        <f>IF(A161&lt;&gt;"Biogas",SUMIFS('Forbrug af biomasse'!$E$2:$E$425,'Forbrug af biomasse'!$C$2:$C$425,'Resultat-Produktion &amp; forbrug'!$A161,'Forbrug af biomasse'!$D$2:$D$425,'Resultat-Produktion &amp; forbrug'!$D161,'Forbrug af biomasse'!$A$2:$A$425,'Resultat-Produktion &amp; forbrug'!L$2,'Forbrug af biomasse'!$B$2:$B$425,$E161),F161)</f>
        <v>0</v>
      </c>
      <c r="M161" s="158">
        <f>SUMIFS('Forbrug af biomasse'!E:E,'Forbrug af biomasse'!C:C,'Resultat-Produktion &amp; forbrug'!$A161,'Forbrug af biomasse'!D:D,'Resultat-Produktion &amp; forbrug'!$D161,'Forbrug af biomasse'!G:G,1,'Forbrug af biomasse'!B:B,$E161)</f>
        <v>0</v>
      </c>
      <c r="N161" s="205">
        <f t="shared" si="48"/>
        <v>0</v>
      </c>
      <c r="O161" s="196">
        <f t="shared" si="39"/>
        <v>0</v>
      </c>
      <c r="P161" s="206">
        <f t="shared" si="49"/>
        <v>0</v>
      </c>
      <c r="Q161" s="193">
        <f>IFERROR(VLOOKUP(A161,[1]Energiindhold!$A$2:$C$11,3,FALSE),IFERROR(VLOOKUP(A161,[1]Biogasudbytte!$A$2:$B$18,2,FALSE)*[1]Energiindhold!$C$10,0))*O161</f>
        <v>0</v>
      </c>
      <c r="R161" s="193">
        <f>IF(A161&lt;&gt;"Biogas",IFERROR(VLOOKUP(A161,[1]Biogasudbytte!$A$2:$B$18,2,FALSE)*[1]Energiindhold!$C$10,0)*J161*IFERROR(VLOOKUP(A161,Biogasanlæg!$F$3:$G$8,2,FALSE),1)+IFERROR(VLOOKUP(A161,[1]Energiindhold!$A$2:$C$11,3,FALSE),0)*L161+IF(D161&lt;&gt;År1,Q161,0),0)</f>
        <v>0</v>
      </c>
      <c r="S161" s="193">
        <f>IFERROR(VLOOKUP(A161,[1]Biogasudbytte!$A$2:$B$18,2,FALSE)*[1]Energiindhold!$C$10,0)*J161*IFERROR(VLOOKUP(A161,Biogasanlæg!$F$3:$G$8,2,FALSE),1)</f>
        <v>0</v>
      </c>
      <c r="T161" s="194">
        <f t="shared" si="50"/>
        <v>0</v>
      </c>
      <c r="U161" s="192">
        <f>O161*IFERROR(VLOOKUP(A161,[1]Tørstofindhold!A$2:B$25,2,FALSE),0)</f>
        <v>0</v>
      </c>
      <c r="V161" s="193">
        <f>IF(D161=År1,P161,SUM(O161,P161))*IFERROR(VLOOKUP(A161,[1]Tørstofindhold!A$2:B$25,2,FALSE),0)</f>
        <v>0</v>
      </c>
      <c r="W161" s="193">
        <f>J161*IFERROR(VLOOKUP(A161,[1]Tørstofindhold!A$2:B$25,2,FALSE),0)</f>
        <v>0</v>
      </c>
      <c r="X161" s="194">
        <f t="shared" si="51"/>
        <v>0</v>
      </c>
      <c r="Y161" s="172">
        <f t="shared" si="43"/>
        <v>0</v>
      </c>
      <c r="Z161" s="104">
        <f t="shared" si="44"/>
        <v>0</v>
      </c>
    </row>
    <row r="162" spans="1:26" hidden="1" x14ac:dyDescent="0.55000000000000004">
      <c r="A162" s="195" t="s">
        <v>6</v>
      </c>
      <c r="B162" s="195"/>
      <c r="C162" s="195">
        <f>IF(COUNTIFS('Resultater - Danmark'!$D$3:$D$482,'Resultat-Produktion &amp; forbrug'!A162,'Resultater - Danmark'!$A$3:$A$482,"Til energi")+COUNTIFS('Resultater - Danmark'!$D$3:$D$482,'Resultat-Produktion &amp; forbrug'!A162,'Resultater - Danmark'!$A$3:$A$482,"Biogasanlæg")&gt;0,1,0)</f>
        <v>0</v>
      </c>
      <c r="D162" s="195">
        <f t="shared" si="47"/>
        <v>2019</v>
      </c>
      <c r="E162" s="193" t="s">
        <v>24</v>
      </c>
      <c r="F162" s="196">
        <f>IF(E162="Vestdanmark",SUMIFS(IF(D162=År1,'Resultater - Vestdanmark'!H$3:H$482,IF(D162=År2,'Resultater - Vestdanmark'!I$3:I$482,'Resultater - Vestdanmark'!J$3:J$482)),'Resultater - Vestdanmark'!$F$3:$F$482,$A162,IF(D162=År1,'Resultater - Vestdanmark'!H$3:H$482,IF(D162=År2,'Resultater - Vestdanmark'!I$3:I$482,'Resultater - Vestdanmark'!J$3:J$482)),"&gt;0"),SUMIFS(IF(D162=År1,'Resultater - Østdanmark'!H$3:H$482,IF(D162=År2,'Resultater - Østdanmark'!I$3:I$482,'Resultater - Østdanmark'!J$3:J$482)),'Resultater - Østdanmark'!$F$3:$F$482,$A162,IF(D162=År1,'Resultater - Østdanmark'!H$3:H$482,IF(D162=År2,'Resultater - Østdanmark'!I$3:I$482,'Resultater - Østdanmark'!J$3:J$482)),"&gt;0"))</f>
        <v>96079.800747233821</v>
      </c>
      <c r="G162" s="196">
        <f>SUMIFS('Forbrug af biomasse'!$E$2:$E$425,'Forbrug af biomasse'!$C$2:$C$425,'Resultat-Produktion &amp; forbrug'!$A162,'Forbrug af biomasse'!$D$2:$D$425,'Resultat-Produktion &amp; forbrug'!$D162,'Forbrug af biomasse'!$A$2:$A$425,'Resultat-Produktion &amp; forbrug'!G$2,'Forbrug af biomasse'!$B$2:$B$425,$E162)</f>
        <v>0</v>
      </c>
      <c r="H162" s="193">
        <f>IF(E162="Vestdanmark",-IF(A162="Halm",SUMIFS(IF(D162=År1,'Resultater - Vestdanmark'!H$3:H$482,IF(D162=År2,'Resultater - Vestdanmark'!I$3:I$482,'Resultater - Vestdanmark'!J$3:J$482)),'Resultater - Vestdanmark'!$F$3:$F$482,$A162,'Resultater - Vestdanmark'!H$3:H$482,"&lt;0"),0),-IF(A162="Halm",SUMIFS(IF(D162=År1,'Resultater - Østdanmark'!H$3:H$482,IF(D162=År2,'Resultater - Østdanmark'!I$3:I$482,'Resultater - Østdanmark'!J$3:J$482)),'Resultater - Østdanmark'!$F$3:$F$482,$A162,'Resultater - Østdanmark'!H$3:H$482,"&lt;0"),0))</f>
        <v>0</v>
      </c>
      <c r="I162" s="196">
        <f>SUMIFS('Forbrug af biomasse'!$E$2:$E$425,'Forbrug af biomasse'!$C$2:$C$425,'Resultat-Produktion &amp; forbrug'!$A162,'Forbrug af biomasse'!$D$2:$D$425,'Resultat-Produktion &amp; forbrug'!$D162,'Forbrug af biomasse'!$A$2:$A$425,'Resultat-Produktion &amp; forbrug'!I$2,'Forbrug af biomasse'!$B$2:$B$425,$E162)</f>
        <v>222884.49629995148</v>
      </c>
      <c r="J162" s="196">
        <f>SUMIFS('Forbrug af biomasse'!$E$2:$E$425,'Forbrug af biomasse'!$C$2:$C$425,'Resultat-Produktion &amp; forbrug'!$A162,'Forbrug af biomasse'!$D$2:$D$425,'Resultat-Produktion &amp; forbrug'!$D162,'Forbrug af biomasse'!$A$2:$A$425,'Resultat-Produktion &amp; forbrug'!J$2,'Forbrug af biomasse'!$B$2:$B$425,$E162)</f>
        <v>0</v>
      </c>
      <c r="K162" s="196">
        <f>SUMIFS('Forbrug af biomasse'!$E$2:$E$425,'Forbrug af biomasse'!$C$2:$C$425,'Resultat-Produktion &amp; forbrug'!$A162,'Forbrug af biomasse'!$D$2:$D$425,'Resultat-Produktion &amp; forbrug'!$D162,'Forbrug af biomasse'!$A$2:$A$425,'Resultat-Produktion &amp; forbrug'!K$2,'Forbrug af biomasse'!$B$2:$B$425,$E162)</f>
        <v>0</v>
      </c>
      <c r="L162" s="196">
        <f>IF(A162&lt;&gt;"Biogas",SUMIFS('Forbrug af biomasse'!$E$2:$E$425,'Forbrug af biomasse'!$C$2:$C$425,'Resultat-Produktion &amp; forbrug'!$A162,'Forbrug af biomasse'!$D$2:$D$425,'Resultat-Produktion &amp; forbrug'!$D162,'Forbrug af biomasse'!$A$2:$A$425,'Resultat-Produktion &amp; forbrug'!L$2,'Forbrug af biomasse'!$B$2:$B$425,$E162),F162)</f>
        <v>0</v>
      </c>
      <c r="M162" s="158">
        <f>SUMIFS('Forbrug af biomasse'!E:E,'Forbrug af biomasse'!C:C,'Resultat-Produktion &amp; forbrug'!$A162,'Forbrug af biomasse'!D:D,'Resultat-Produktion &amp; forbrug'!$D162,'Forbrug af biomasse'!G:G,1,'Forbrug af biomasse'!B:B,$E162)</f>
        <v>0</v>
      </c>
      <c r="N162" s="205">
        <f t="shared" si="48"/>
        <v>-126804.69555271766</v>
      </c>
      <c r="O162" s="196">
        <f t="shared" si="39"/>
        <v>0</v>
      </c>
      <c r="P162" s="206">
        <f t="shared" si="49"/>
        <v>0</v>
      </c>
      <c r="Q162" s="193">
        <f>IFERROR(VLOOKUP(A162,[1]Energiindhold!$A$2:$C$11,3,FALSE),IFERROR(VLOOKUP(A162,[1]Biogasudbytte!$A$2:$B$18,2,FALSE)*[1]Energiindhold!$C$10,0))*O162</f>
        <v>0</v>
      </c>
      <c r="R162" s="193">
        <f>IF(A162&lt;&gt;"Biogas",IFERROR(VLOOKUP(A162,[1]Biogasudbytte!$A$2:$B$18,2,FALSE)*[1]Energiindhold!$C$10,0)*J162*IFERROR(VLOOKUP(A162,Biogasanlæg!$F$3:$G$8,2,FALSE),1)+IFERROR(VLOOKUP(A162,[1]Energiindhold!$A$2:$C$11,3,FALSE),0)*L162+IF(D162&lt;&gt;År1,Q162,0),0)</f>
        <v>0</v>
      </c>
      <c r="S162" s="193">
        <f>IFERROR(VLOOKUP(A162,[1]Biogasudbytte!$A$2:$B$18,2,FALSE)*[1]Energiindhold!$C$10,0)*J162*IFERROR(VLOOKUP(A162,Biogasanlæg!$F$3:$G$8,2,FALSE),1)</f>
        <v>0</v>
      </c>
      <c r="T162" s="194">
        <f t="shared" si="50"/>
        <v>0</v>
      </c>
      <c r="U162" s="192">
        <f>O162*IFERROR(VLOOKUP(A162,[1]Tørstofindhold!A$2:B$25,2,FALSE),0)</f>
        <v>0</v>
      </c>
      <c r="V162" s="193">
        <f>IF(D162=År1,P162,SUM(O162,P162))*IFERROR(VLOOKUP(A162,[1]Tørstofindhold!A$2:B$25,2,FALSE),0)</f>
        <v>0</v>
      </c>
      <c r="W162" s="193">
        <f>J162*IFERROR(VLOOKUP(A162,[1]Tørstofindhold!A$2:B$25,2,FALSE),0)</f>
        <v>0</v>
      </c>
      <c r="X162" s="194">
        <f t="shared" si="51"/>
        <v>0</v>
      </c>
      <c r="Y162" s="172">
        <f t="shared" si="43"/>
        <v>1</v>
      </c>
      <c r="Z162" s="104">
        <f t="shared" si="44"/>
        <v>0</v>
      </c>
    </row>
    <row r="163" spans="1:26" hidden="1" x14ac:dyDescent="0.55000000000000004">
      <c r="A163" s="195" t="s">
        <v>68</v>
      </c>
      <c r="B163" s="195" t="s">
        <v>230</v>
      </c>
      <c r="C163" s="195">
        <f>IF(COUNTIFS('Resultater - Danmark'!$D$3:$D$482,'Resultat-Produktion &amp; forbrug'!A163,'Resultater - Danmark'!$A$3:$A$482,"Til energi")+COUNTIFS('Resultater - Danmark'!$D$3:$D$482,'Resultat-Produktion &amp; forbrug'!A163,'Resultater - Danmark'!$A$3:$A$482,"Biogasanlæg")&gt;0,1,0)</f>
        <v>1</v>
      </c>
      <c r="D163" s="195">
        <f t="shared" si="47"/>
        <v>2019</v>
      </c>
      <c r="E163" s="193" t="s">
        <v>24</v>
      </c>
      <c r="F163" s="196">
        <f>IF(E163="Vestdanmark",SUMIFS(IF(D163=År1,'Resultater - Vestdanmark'!H$3:H$482,IF(D163=År2,'Resultater - Vestdanmark'!I$3:I$482,'Resultater - Vestdanmark'!J$3:J$482)),'Resultater - Vestdanmark'!$F$3:$F$482,$A163,IF(D163=År1,'Resultater - Vestdanmark'!H$3:H$482,IF(D163=År2,'Resultater - Vestdanmark'!I$3:I$482,'Resultater - Vestdanmark'!J$3:J$482)),"&gt;0"),SUMIFS(IF(D163=År1,'Resultater - Østdanmark'!H$3:H$482,IF(D163=År2,'Resultater - Østdanmark'!I$3:I$482,'Resultater - Østdanmark'!J$3:J$482)),'Resultater - Østdanmark'!$F$3:$F$482,$A163,IF(D163=År1,'Resultater - Østdanmark'!H$3:H$482,IF(D163=År2,'Resultater - Østdanmark'!I$3:I$482,'Resultater - Østdanmark'!J$3:J$482)),"&gt;0"))</f>
        <v>955988.04344506538</v>
      </c>
      <c r="G163" s="196">
        <f>SUMIFS('Forbrug af biomasse'!$E$2:$E$425,'Forbrug af biomasse'!$C$2:$C$425,'Resultat-Produktion &amp; forbrug'!$A163,'Forbrug af biomasse'!$D$2:$D$425,'Resultat-Produktion &amp; forbrug'!$D163,'Forbrug af biomasse'!$A$2:$A$425,'Resultat-Produktion &amp; forbrug'!G$2,'Forbrug af biomasse'!$B$2:$B$425,$E163)</f>
        <v>94889.448034412548</v>
      </c>
      <c r="H163" s="193">
        <f>IF(E163="Vestdanmark",-IF(A163="Halm",SUMIFS(IF(D163=År1,'Resultater - Vestdanmark'!H$3:H$482,IF(D163=År2,'Resultater - Vestdanmark'!I$3:I$482,'Resultater - Vestdanmark'!J$3:J$482)),'Resultater - Vestdanmark'!$F$3:$F$482,$A163,'Resultater - Vestdanmark'!H$3:H$482,"&lt;0"),0),-IF(A163="Halm",SUMIFS(IF(D163=År1,'Resultater - Østdanmark'!H$3:H$482,IF(D163=År2,'Resultater - Østdanmark'!I$3:I$482,'Resultater - Østdanmark'!J$3:J$482)),'Resultater - Østdanmark'!$F$3:$F$482,$A163,'Resultater - Østdanmark'!H$3:H$482,"&lt;0"),0))</f>
        <v>104128.58905499999</v>
      </c>
      <c r="I163" s="196">
        <f>SUMIFS('Forbrug af biomasse'!$E$2:$E$425,'Forbrug af biomasse'!$C$2:$C$425,'Resultat-Produktion &amp; forbrug'!$A163,'Forbrug af biomasse'!$D$2:$D$425,'Resultat-Produktion &amp; forbrug'!$D163,'Forbrug af biomasse'!$A$2:$A$425,'Resultat-Produktion &amp; forbrug'!I$2,'Forbrug af biomasse'!$B$2:$B$425,$E163)</f>
        <v>0</v>
      </c>
      <c r="J163" s="196">
        <f>SUMIFS('Forbrug af biomasse'!$E$2:$E$425,'Forbrug af biomasse'!$C$2:$C$425,'Resultat-Produktion &amp; forbrug'!$A163,'Forbrug af biomasse'!$D$2:$D$425,'Resultat-Produktion &amp; forbrug'!$D163,'Forbrug af biomasse'!$A$2:$A$425,'Resultat-Produktion &amp; forbrug'!J$2,'Forbrug af biomasse'!$B$2:$B$425,$E163)</f>
        <v>22795.107252838847</v>
      </c>
      <c r="K163" s="196">
        <f>SUMIFS('Forbrug af biomasse'!$E$2:$E$425,'Forbrug af biomasse'!$C$2:$C$425,'Resultat-Produktion &amp; forbrug'!$A163,'Forbrug af biomasse'!$D$2:$D$425,'Resultat-Produktion &amp; forbrug'!$D163,'Forbrug af biomasse'!$A$2:$A$425,'Resultat-Produktion &amp; forbrug'!K$2,'Forbrug af biomasse'!$B$2:$B$425,$E163)</f>
        <v>0</v>
      </c>
      <c r="L163" s="196">
        <f>IF(A163&lt;&gt;"Biogas",SUMIFS('Forbrug af biomasse'!$E$2:$E$425,'Forbrug af biomasse'!$C$2:$C$425,'Resultat-Produktion &amp; forbrug'!$A163,'Forbrug af biomasse'!$D$2:$D$425,'Resultat-Produktion &amp; forbrug'!$D163,'Forbrug af biomasse'!$A$2:$A$425,'Resultat-Produktion &amp; forbrug'!L$2,'Forbrug af biomasse'!$B$2:$B$425,$E163),F163)</f>
        <v>734174.89910281403</v>
      </c>
      <c r="M163" s="158">
        <f>SUMIFS('Forbrug af biomasse'!E:E,'Forbrug af biomasse'!C:C,'Resultat-Produktion &amp; forbrug'!$A163,'Forbrug af biomasse'!D:D,'Resultat-Produktion &amp; forbrug'!$D163,'Forbrug af biomasse'!G:G,1,'Forbrug af biomasse'!B:B,$E163)</f>
        <v>0</v>
      </c>
      <c r="N163" s="205">
        <f t="shared" si="48"/>
        <v>0</v>
      </c>
      <c r="O163" s="196">
        <f t="shared" si="39"/>
        <v>0</v>
      </c>
      <c r="P163" s="206">
        <f t="shared" si="49"/>
        <v>756970.00635565282</v>
      </c>
      <c r="Q163" s="193">
        <f>IFERROR(VLOOKUP(A163,[1]Energiindhold!$A$2:$C$11,3,FALSE),IFERROR(VLOOKUP(A163,[1]Biogasudbytte!$A$2:$B$18,2,FALSE)*[1]Energiindhold!$C$10,0))*O163</f>
        <v>0</v>
      </c>
      <c r="R163" s="193">
        <f>IF(A163&lt;&gt;"Biogas",IFERROR(VLOOKUP(A163,[1]Biogasudbytte!$A$2:$B$18,2,FALSE)*[1]Energiindhold!$C$10,0)*J163*IFERROR(VLOOKUP(A163,Biogasanlæg!$F$3:$G$8,2,FALSE),1)+IFERROR(VLOOKUP(A163,[1]Energiindhold!$A$2:$C$11,3,FALSE),0)*L163+IF(D163&lt;&gt;År1,Q163,0),0)</f>
        <v>7.7197156788507311</v>
      </c>
      <c r="S163" s="193">
        <f>IFERROR(VLOOKUP(A163,[1]Biogasudbytte!$A$2:$B$18,2,FALSE)*[1]Energiindhold!$C$10,0)*J163*IFERROR(VLOOKUP(A163,Biogasanlæg!$F$3:$G$8,2,FALSE),1)</f>
        <v>0.13142610267053248</v>
      </c>
      <c r="T163" s="194">
        <f t="shared" si="50"/>
        <v>7.5882895761801983</v>
      </c>
      <c r="U163" s="192">
        <f>O163*IFERROR(VLOOKUP(A163,[1]Tørstofindhold!A$2:B$25,2,FALSE),0)</f>
        <v>0</v>
      </c>
      <c r="V163" s="193">
        <f>IF(D163=År1,P163,SUM(O163,P163))*IFERROR(VLOOKUP(A163,[1]Tørstofindhold!A$2:B$25,2,FALSE),0)</f>
        <v>643424.50540230493</v>
      </c>
      <c r="W163" s="193">
        <f>J163*IFERROR(VLOOKUP(A163,[1]Tørstofindhold!A$2:B$25,2,FALSE),0)</f>
        <v>19375.841164913018</v>
      </c>
      <c r="X163" s="194">
        <f t="shared" si="51"/>
        <v>624048.6642373919</v>
      </c>
      <c r="Y163" s="172">
        <f t="shared" si="43"/>
        <v>0</v>
      </c>
      <c r="Z163" s="104">
        <f t="shared" si="44"/>
        <v>0</v>
      </c>
    </row>
    <row r="164" spans="1:26" hidden="1" x14ac:dyDescent="0.55000000000000004">
      <c r="A164" s="195" t="s">
        <v>163</v>
      </c>
      <c r="B164" s="195" t="s">
        <v>233</v>
      </c>
      <c r="C164" s="195">
        <f>IF(COUNTIFS('Resultater - Danmark'!$D$3:$D$482,'Resultat-Produktion &amp; forbrug'!A164,'Resultater - Danmark'!$A$3:$A$482,"Til energi")+COUNTIFS('Resultater - Danmark'!$D$3:$D$482,'Resultat-Produktion &amp; forbrug'!A164,'Resultater - Danmark'!$A$3:$A$482,"Biogasanlæg")&gt;0,1,0)</f>
        <v>1</v>
      </c>
      <c r="D164" s="195">
        <f t="shared" si="47"/>
        <v>2019</v>
      </c>
      <c r="E164" s="193" t="s">
        <v>24</v>
      </c>
      <c r="F164" s="196">
        <f>IF(E164="Vestdanmark",SUMIFS(IF(D164=År1,'Resultater - Vestdanmark'!H$3:H$482,IF(D164=År2,'Resultater - Vestdanmark'!I$3:I$482,'Resultater - Vestdanmark'!J$3:J$482)),'Resultater - Vestdanmark'!$F$3:$F$482,$A164,IF(D164=År1,'Resultater - Vestdanmark'!H$3:H$482,IF(D164=År2,'Resultater - Vestdanmark'!I$3:I$482,'Resultater - Vestdanmark'!J$3:J$482)),"&gt;0"),SUMIFS(IF(D164=År1,'Resultater - Østdanmark'!H$3:H$482,IF(D164=År2,'Resultater - Østdanmark'!I$3:I$482,'Resultater - Østdanmark'!J$3:J$482)),'Resultater - Østdanmark'!$F$3:$F$482,$A164,IF(D164=År1,'Resultater - Østdanmark'!H$3:H$482,IF(D164=År2,'Resultater - Østdanmark'!I$3:I$482,'Resultater - Østdanmark'!J$3:J$482)),"&gt;0"))</f>
        <v>452346.51233766804</v>
      </c>
      <c r="G164" s="196">
        <f>SUMIFS('Forbrug af biomasse'!$E$2:$E$425,'Forbrug af biomasse'!$C$2:$C$425,'Resultat-Produktion &amp; forbrug'!$A164,'Forbrug af biomasse'!$D$2:$D$425,'Resultat-Produktion &amp; forbrug'!$D164,'Forbrug af biomasse'!$A$2:$A$425,'Resultat-Produktion &amp; forbrug'!G$2,'Forbrug af biomasse'!$B$2:$B$425,$E164)</f>
        <v>0</v>
      </c>
      <c r="H164" s="193">
        <f>IF(E164="Vestdanmark",-IF(A164="Halm",SUMIFS(IF(D164=År1,'Resultater - Vestdanmark'!H$3:H$482,IF(D164=År2,'Resultater - Vestdanmark'!I$3:I$482,'Resultater - Vestdanmark'!J$3:J$482)),'Resultater - Vestdanmark'!$F$3:$F$482,$A164,'Resultater - Vestdanmark'!H$3:H$482,"&lt;0"),0),-IF(A164="Halm",SUMIFS(IF(D164=År1,'Resultater - Østdanmark'!H$3:H$482,IF(D164=År2,'Resultater - Østdanmark'!I$3:I$482,'Resultater - Østdanmark'!J$3:J$482)),'Resultater - Østdanmark'!$F$3:$F$482,$A164,'Resultater - Østdanmark'!H$3:H$482,"&lt;0"),0))</f>
        <v>0</v>
      </c>
      <c r="I164" s="196">
        <f>SUMIFS('Forbrug af biomasse'!$E$2:$E$425,'Forbrug af biomasse'!$C$2:$C$425,'Resultat-Produktion &amp; forbrug'!$A164,'Forbrug af biomasse'!$D$2:$D$425,'Resultat-Produktion &amp; forbrug'!$D164,'Forbrug af biomasse'!$A$2:$A$425,'Resultat-Produktion &amp; forbrug'!I$2,'Forbrug af biomasse'!$B$2:$B$425,$E164)</f>
        <v>0</v>
      </c>
      <c r="J164" s="196">
        <f>SUMIFS('Forbrug af biomasse'!$E$2:$E$425,'Forbrug af biomasse'!$C$2:$C$425,'Resultat-Produktion &amp; forbrug'!$A164,'Forbrug af biomasse'!$D$2:$D$425,'Resultat-Produktion &amp; forbrug'!$D164,'Forbrug af biomasse'!$A$2:$A$425,'Resultat-Produktion &amp; forbrug'!J$2,'Forbrug af biomasse'!$B$2:$B$425,$E164)</f>
        <v>35.900188095894634</v>
      </c>
      <c r="K164" s="196">
        <f>SUMIFS('Forbrug af biomasse'!$E$2:$E$425,'Forbrug af biomasse'!$C$2:$C$425,'Resultat-Produktion &amp; forbrug'!$A164,'Forbrug af biomasse'!$D$2:$D$425,'Resultat-Produktion &amp; forbrug'!$D164,'Forbrug af biomasse'!$A$2:$A$425,'Resultat-Produktion &amp; forbrug'!K$2,'Forbrug af biomasse'!$B$2:$B$425,$E164)</f>
        <v>0</v>
      </c>
      <c r="L164" s="196">
        <f>IF(A164&lt;&gt;"Biogas",SUMIFS('Forbrug af biomasse'!$E$2:$E$425,'Forbrug af biomasse'!$C$2:$C$425,'Resultat-Produktion &amp; forbrug'!$A164,'Forbrug af biomasse'!$D$2:$D$425,'Resultat-Produktion &amp; forbrug'!$D164,'Forbrug af biomasse'!$A$2:$A$425,'Resultat-Produktion &amp; forbrug'!L$2,'Forbrug af biomasse'!$B$2:$B$425,$E164),F164)</f>
        <v>452310.61214957217</v>
      </c>
      <c r="M164" s="158">
        <f>SUMIFS('Forbrug af biomasse'!E:E,'Forbrug af biomasse'!C:C,'Resultat-Produktion &amp; forbrug'!$A164,'Forbrug af biomasse'!D:D,'Resultat-Produktion &amp; forbrug'!$D164,'Forbrug af biomasse'!G:G,1,'Forbrug af biomasse'!B:B,$E164)</f>
        <v>0</v>
      </c>
      <c r="N164" s="205">
        <f t="shared" si="48"/>
        <v>0</v>
      </c>
      <c r="O164" s="196">
        <f t="shared" si="39"/>
        <v>0</v>
      </c>
      <c r="P164" s="206">
        <f t="shared" si="49"/>
        <v>452346.51233766804</v>
      </c>
      <c r="Q164" s="193">
        <f>IFERROR(VLOOKUP(A164,[1]Energiindhold!$A$2:$C$11,3,FALSE),IFERROR(VLOOKUP(A164,[1]Biogasudbytte!$A$2:$B$18,2,FALSE)*[1]Energiindhold!$C$10,0))*O164</f>
        <v>0</v>
      </c>
      <c r="R164" s="193">
        <f>IF(A164&lt;&gt;"Biogas",IFERROR(VLOOKUP(A164,[1]Biogasudbytte!$A$2:$B$18,2,FALSE)*[1]Energiindhold!$C$10,0)*J164*IFERROR(VLOOKUP(A164,Biogasanlæg!$F$3:$G$8,2,FALSE),1)+IFERROR(VLOOKUP(A164,[1]Energiindhold!$A$2:$C$11,3,FALSE),0)*L164+IF(D164&lt;&gt;År1,Q164,0),0)</f>
        <v>8.0748097529675267</v>
      </c>
      <c r="S164" s="193">
        <f>IFERROR(VLOOKUP(A164,[1]Biogasudbytte!$A$2:$B$18,2,FALSE)*[1]Energiindhold!$C$10,0)*J164*IFERROR(VLOOKUP(A164,Biogasanlæg!$F$3:$G$8,2,FALSE),1)</f>
        <v>6.0961032399995807E-5</v>
      </c>
      <c r="T164" s="194">
        <f t="shared" si="50"/>
        <v>8.0747487919351268</v>
      </c>
      <c r="U164" s="192">
        <f>O164*IFERROR(VLOOKUP(A164,[1]Tørstofindhold!A$2:B$25,2,FALSE),0)</f>
        <v>0</v>
      </c>
      <c r="V164" s="193">
        <f>IF(D164=År1,P164,SUM(O164,P164))*IFERROR(VLOOKUP(A164,[1]Tørstofindhold!A$2:B$25,2,FALSE),0)</f>
        <v>135703.9537013004</v>
      </c>
      <c r="W164" s="193">
        <f>J164*IFERROR(VLOOKUP(A164,[1]Tørstofindhold!A$2:B$25,2,FALSE),0)</f>
        <v>10.77005642876839</v>
      </c>
      <c r="X164" s="194">
        <f t="shared" si="51"/>
        <v>135693.18364487163</v>
      </c>
      <c r="Y164" s="172">
        <f t="shared" si="43"/>
        <v>0</v>
      </c>
      <c r="Z164" s="104">
        <f t="shared" si="44"/>
        <v>0</v>
      </c>
    </row>
    <row r="165" spans="1:26" hidden="1" x14ac:dyDescent="0.55000000000000004">
      <c r="A165" s="193" t="s">
        <v>160</v>
      </c>
      <c r="B165" s="195"/>
      <c r="C165" s="195">
        <f>IF(COUNTIFS('Resultater - Danmark'!$D$3:$D$482,'Resultat-Produktion &amp; forbrug'!A165,'Resultater - Danmark'!$A$3:$A$482,"Til energi")+COUNTIFS('Resultater - Danmark'!$D$3:$D$482,'Resultat-Produktion &amp; forbrug'!A165,'Resultater - Danmark'!$A$3:$A$482,"Biogasanlæg")&gt;0,1,0)</f>
        <v>0</v>
      </c>
      <c r="D165" s="195">
        <f t="shared" si="47"/>
        <v>2019</v>
      </c>
      <c r="E165" s="193" t="s">
        <v>24</v>
      </c>
      <c r="F165" s="196">
        <f>IF(E165="Vestdanmark",SUMIFS(IF(D165=År1,'Resultater - Vestdanmark'!H$3:H$482,IF(D165=År2,'Resultater - Vestdanmark'!I$3:I$482,'Resultater - Vestdanmark'!J$3:J$482)),'Resultater - Vestdanmark'!$F$3:$F$482,$A165,IF(D165=År1,'Resultater - Vestdanmark'!H$3:H$482,IF(D165=År2,'Resultater - Vestdanmark'!I$3:I$482,'Resultater - Vestdanmark'!J$3:J$482)),"&gt;0"),SUMIFS(IF(D165=År1,'Resultater - Østdanmark'!H$3:H$482,IF(D165=År2,'Resultater - Østdanmark'!I$3:I$482,'Resultater - Østdanmark'!J$3:J$482)),'Resultater - Østdanmark'!$F$3:$F$482,$A165,IF(D165=År1,'Resultater - Østdanmark'!H$3:H$482,IF(D165=År2,'Resultater - Østdanmark'!I$3:I$482,'Resultater - Østdanmark'!J$3:J$482)),"&gt;0"))</f>
        <v>0</v>
      </c>
      <c r="G165" s="196">
        <f>SUMIFS('Forbrug af biomasse'!$E$2:$E$425,'Forbrug af biomasse'!$C$2:$C$425,'Resultat-Produktion &amp; forbrug'!$A165,'Forbrug af biomasse'!$D$2:$D$425,'Resultat-Produktion &amp; forbrug'!$D165,'Forbrug af biomasse'!$A$2:$A$425,'Resultat-Produktion &amp; forbrug'!G$2,'Forbrug af biomasse'!$B$2:$B$425,$E165)</f>
        <v>592646.72642582108</v>
      </c>
      <c r="H165" s="193">
        <f>IF(E165="Vestdanmark",-IF(A165="Halm",SUMIFS(IF(D165=År1,'Resultater - Vestdanmark'!H$3:H$482,IF(D165=År2,'Resultater - Vestdanmark'!I$3:I$482,'Resultater - Vestdanmark'!J$3:J$482)),'Resultater - Vestdanmark'!$F$3:$F$482,$A165,'Resultater - Vestdanmark'!H$3:H$482,"&lt;0"),0),-IF(A165="Halm",SUMIFS(IF(D165=År1,'Resultater - Østdanmark'!H$3:H$482,IF(D165=År2,'Resultater - Østdanmark'!I$3:I$482,'Resultater - Østdanmark'!J$3:J$482)),'Resultater - Østdanmark'!$F$3:$F$482,$A165,'Resultater - Østdanmark'!H$3:H$482,"&lt;0"),0))</f>
        <v>0</v>
      </c>
      <c r="I165" s="196">
        <f>SUMIFS('Forbrug af biomasse'!$E$2:$E$425,'Forbrug af biomasse'!$C$2:$C$425,'Resultat-Produktion &amp; forbrug'!$A165,'Forbrug af biomasse'!$D$2:$D$425,'Resultat-Produktion &amp; forbrug'!$D165,'Forbrug af biomasse'!$A$2:$A$425,'Resultat-Produktion &amp; forbrug'!I$2,'Forbrug af biomasse'!$B$2:$B$425,$E165)</f>
        <v>0</v>
      </c>
      <c r="J165" s="196">
        <f>SUMIFS('Forbrug af biomasse'!$E$2:$E$425,'Forbrug af biomasse'!$C$2:$C$425,'Resultat-Produktion &amp; forbrug'!$A165,'Forbrug af biomasse'!$D$2:$D$425,'Resultat-Produktion &amp; forbrug'!$D165,'Forbrug af biomasse'!$A$2:$A$425,'Resultat-Produktion &amp; forbrug'!J$2,'Forbrug af biomasse'!$B$2:$B$425,$E165)</f>
        <v>0</v>
      </c>
      <c r="K165" s="196">
        <f>SUMIFS('Forbrug af biomasse'!$E$2:$E$425,'Forbrug af biomasse'!$C$2:$C$425,'Resultat-Produktion &amp; forbrug'!$A165,'Forbrug af biomasse'!$D$2:$D$425,'Resultat-Produktion &amp; forbrug'!$D165,'Forbrug af biomasse'!$A$2:$A$425,'Resultat-Produktion &amp; forbrug'!K$2,'Forbrug af biomasse'!$B$2:$B$425,$E165)</f>
        <v>0</v>
      </c>
      <c r="L165" s="196">
        <f>IF(A165&lt;&gt;"Biogas",SUMIFS('Forbrug af biomasse'!$E$2:$E$425,'Forbrug af biomasse'!$C$2:$C$425,'Resultat-Produktion &amp; forbrug'!$A165,'Forbrug af biomasse'!$D$2:$D$425,'Resultat-Produktion &amp; forbrug'!$D165,'Forbrug af biomasse'!$A$2:$A$425,'Resultat-Produktion &amp; forbrug'!L$2,'Forbrug af biomasse'!$B$2:$B$425,$E165),F165)</f>
        <v>0</v>
      </c>
      <c r="M165" s="158">
        <f>SUMIFS('Forbrug af biomasse'!E:E,'Forbrug af biomasse'!C:C,'Resultat-Produktion &amp; forbrug'!$A165,'Forbrug af biomasse'!D:D,'Resultat-Produktion &amp; forbrug'!$D165,'Forbrug af biomasse'!G:G,1,'Forbrug af biomasse'!B:B,$E165)</f>
        <v>0</v>
      </c>
      <c r="N165" s="205">
        <f t="shared" si="48"/>
        <v>-592646.72642582108</v>
      </c>
      <c r="O165" s="196">
        <f t="shared" si="39"/>
        <v>0</v>
      </c>
      <c r="P165" s="206">
        <f t="shared" si="49"/>
        <v>0</v>
      </c>
      <c r="Q165" s="193">
        <f>IFERROR(VLOOKUP(A165,[1]Energiindhold!$A$2:$C$11,3,FALSE),IFERROR(VLOOKUP(A165,[1]Biogasudbytte!$A$2:$B$18,2,FALSE)*[1]Energiindhold!$C$10,0))*O165</f>
        <v>0</v>
      </c>
      <c r="R165" s="193">
        <f>IF(A165&lt;&gt;"Biogas",IFERROR(VLOOKUP(A165,[1]Biogasudbytte!$A$2:$B$18,2,FALSE)*[1]Energiindhold!$C$10,0)*J165*IFERROR(VLOOKUP(A165,Biogasanlæg!$F$3:$G$8,2,FALSE),1)+IFERROR(VLOOKUP(A165,[1]Energiindhold!$A$2:$C$11,3,FALSE),0)*L165+IF(D165&lt;&gt;År1,Q165,0),0)</f>
        <v>0</v>
      </c>
      <c r="S165" s="193">
        <f>IFERROR(VLOOKUP(A165,[1]Biogasudbytte!$A$2:$B$18,2,FALSE)*[1]Energiindhold!$C$10,0)*J165*IFERROR(VLOOKUP(A165,Biogasanlæg!$F$3:$G$8,2,FALSE),1)</f>
        <v>0</v>
      </c>
      <c r="T165" s="194">
        <f t="shared" si="50"/>
        <v>0</v>
      </c>
      <c r="U165" s="192">
        <f>O165*IFERROR(VLOOKUP(A165,[1]Tørstofindhold!A$2:B$25,2,FALSE),0)</f>
        <v>0</v>
      </c>
      <c r="V165" s="193">
        <f>IF(D165=År1,P165,SUM(O165,P165))*IFERROR(VLOOKUP(A165,[1]Tørstofindhold!A$2:B$25,2,FALSE),0)</f>
        <v>0</v>
      </c>
      <c r="W165" s="193">
        <f>J165*IFERROR(VLOOKUP(A165,[1]Tørstofindhold!A$2:B$25,2,FALSE),0)</f>
        <v>0</v>
      </c>
      <c r="X165" s="194">
        <f t="shared" si="51"/>
        <v>0</v>
      </c>
      <c r="Y165" s="172">
        <f t="shared" si="43"/>
        <v>1</v>
      </c>
      <c r="Z165" s="104">
        <f t="shared" si="44"/>
        <v>0</v>
      </c>
    </row>
    <row r="166" spans="1:26" hidden="1" x14ac:dyDescent="0.55000000000000004">
      <c r="A166" s="195" t="s">
        <v>104</v>
      </c>
      <c r="B166" s="195" t="s">
        <v>233</v>
      </c>
      <c r="C166" s="195">
        <f>IF(COUNTIFS('Resultater - Danmark'!$D$3:$D$482,'Resultat-Produktion &amp; forbrug'!A166,'Resultater - Danmark'!$A$3:$A$482,"Til energi")+COUNTIFS('Resultater - Danmark'!$D$3:$D$482,'Resultat-Produktion &amp; forbrug'!A166,'Resultater - Danmark'!$A$3:$A$482,"Biogasanlæg")&gt;0,1,0)</f>
        <v>1</v>
      </c>
      <c r="D166" s="195">
        <f t="shared" si="47"/>
        <v>2019</v>
      </c>
      <c r="E166" s="193" t="s">
        <v>24</v>
      </c>
      <c r="F166" s="196">
        <f>IF(E166="Vestdanmark",SUMIFS(IF(D166=År1,'Resultater - Vestdanmark'!H$3:H$482,IF(D166=År2,'Resultater - Vestdanmark'!I$3:I$482,'Resultater - Vestdanmark'!J$3:J$482)),'Resultater - Vestdanmark'!$F$3:$F$482,$A166,IF(D166=År1,'Resultater - Vestdanmark'!H$3:H$482,IF(D166=År2,'Resultater - Vestdanmark'!I$3:I$482,'Resultater - Vestdanmark'!J$3:J$482)),"&gt;0"),SUMIFS(IF(D166=År1,'Resultater - Østdanmark'!H$3:H$482,IF(D166=År2,'Resultater - Østdanmark'!I$3:I$482,'Resultater - Østdanmark'!J$3:J$482)),'Resultater - Østdanmark'!$F$3:$F$482,$A166,IF(D166=År1,'Resultater - Østdanmark'!H$3:H$482,IF(D166=År2,'Resultater - Østdanmark'!I$3:I$482,'Resultater - Østdanmark'!J$3:J$482)),"&gt;0"))</f>
        <v>200279.74928693369</v>
      </c>
      <c r="G166" s="196">
        <f>SUMIFS('Forbrug af biomasse'!$E$2:$E$425,'Forbrug af biomasse'!$C$2:$C$425,'Resultat-Produktion &amp; forbrug'!$A166,'Forbrug af biomasse'!$D$2:$D$425,'Resultat-Produktion &amp; forbrug'!$D166,'Forbrug af biomasse'!$A$2:$A$425,'Resultat-Produktion &amp; forbrug'!G$2,'Forbrug af biomasse'!$B$2:$B$425,$E166)</f>
        <v>0</v>
      </c>
      <c r="H166" s="193">
        <f>IF(E166="Vestdanmark",-IF(A166="Halm",SUMIFS(IF(D166=År1,'Resultater - Vestdanmark'!H$3:H$482,IF(D166=År2,'Resultater - Vestdanmark'!I$3:I$482,'Resultater - Vestdanmark'!J$3:J$482)),'Resultater - Vestdanmark'!$F$3:$F$482,$A166,'Resultater - Vestdanmark'!H$3:H$482,"&lt;0"),0),-IF(A166="Halm",SUMIFS(IF(D166=År1,'Resultater - Østdanmark'!H$3:H$482,IF(D166=År2,'Resultater - Østdanmark'!I$3:I$482,'Resultater - Østdanmark'!J$3:J$482)),'Resultater - Østdanmark'!$F$3:$F$482,$A166,'Resultater - Østdanmark'!H$3:H$482,"&lt;0"),0))</f>
        <v>0</v>
      </c>
      <c r="I166" s="196">
        <f>SUMIFS('Forbrug af biomasse'!$E$2:$E$425,'Forbrug af biomasse'!$C$2:$C$425,'Resultat-Produktion &amp; forbrug'!$A166,'Forbrug af biomasse'!$D$2:$D$425,'Resultat-Produktion &amp; forbrug'!$D166,'Forbrug af biomasse'!$A$2:$A$425,'Resultat-Produktion &amp; forbrug'!I$2,'Forbrug af biomasse'!$B$2:$B$425,$E166)</f>
        <v>0</v>
      </c>
      <c r="J166" s="196">
        <f>SUMIFS('Forbrug af biomasse'!$E$2:$E$425,'Forbrug af biomasse'!$C$2:$C$425,'Resultat-Produktion &amp; forbrug'!$A166,'Forbrug af biomasse'!$D$2:$D$425,'Resultat-Produktion &amp; forbrug'!$D166,'Forbrug af biomasse'!$A$2:$A$425,'Resultat-Produktion &amp; forbrug'!J$2,'Forbrug af biomasse'!$B$2:$B$425,$E166)</f>
        <v>279550.24796430691</v>
      </c>
      <c r="K166" s="196">
        <f>SUMIFS('Forbrug af biomasse'!$E$2:$E$425,'Forbrug af biomasse'!$C$2:$C$425,'Resultat-Produktion &amp; forbrug'!$A166,'Forbrug af biomasse'!$D$2:$D$425,'Resultat-Produktion &amp; forbrug'!$D166,'Forbrug af biomasse'!$A$2:$A$425,'Resultat-Produktion &amp; forbrug'!K$2,'Forbrug af biomasse'!$B$2:$B$425,$E166)</f>
        <v>0</v>
      </c>
      <c r="L166" s="196">
        <f>IF(A166&lt;&gt;"Biogas",SUMIFS('Forbrug af biomasse'!$E$2:$E$425,'Forbrug af biomasse'!$C$2:$C$425,'Resultat-Produktion &amp; forbrug'!$A166,'Forbrug af biomasse'!$D$2:$D$425,'Resultat-Produktion &amp; forbrug'!$D166,'Forbrug af biomasse'!$A$2:$A$425,'Resultat-Produktion &amp; forbrug'!L$2,'Forbrug af biomasse'!$B$2:$B$425,$E166),F166)</f>
        <v>0</v>
      </c>
      <c r="M166" s="158">
        <f>SUMIFS('Forbrug af biomasse'!E:E,'Forbrug af biomasse'!C:C,'Resultat-Produktion &amp; forbrug'!$A166,'Forbrug af biomasse'!D:D,'Resultat-Produktion &amp; forbrug'!$D166,'Forbrug af biomasse'!G:G,1,'Forbrug af biomasse'!B:B,$E166)</f>
        <v>0</v>
      </c>
      <c r="N166" s="205">
        <f t="shared" si="48"/>
        <v>-79270.498677373223</v>
      </c>
      <c r="O166" s="196">
        <f t="shared" si="39"/>
        <v>0</v>
      </c>
      <c r="P166" s="206">
        <f t="shared" si="49"/>
        <v>279550.24796430691</v>
      </c>
      <c r="Q166" s="193">
        <f>IFERROR(VLOOKUP(A166,[1]Energiindhold!$A$2:$C$11,3,FALSE),IFERROR(VLOOKUP(A166,[1]Biogasudbytte!$A$2:$B$18,2,FALSE)*[1]Energiindhold!$C$10,0))*O166</f>
        <v>0</v>
      </c>
      <c r="R166" s="193">
        <f>IF(A166&lt;&gt;"Biogas",IFERROR(VLOOKUP(A166,[1]Biogasudbytte!$A$2:$B$18,2,FALSE)*[1]Energiindhold!$C$10,0)*J166*IFERROR(VLOOKUP(A166,Biogasanlæg!$F$3:$G$8,2,FALSE),1)+IFERROR(VLOOKUP(A166,[1]Energiindhold!$A$2:$C$11,3,FALSE),0)*L166+IF(D166&lt;&gt;År1,Q166,0),0)</f>
        <v>1.0901948093654197</v>
      </c>
      <c r="S166" s="193">
        <f>IFERROR(VLOOKUP(A166,[1]Biogasudbytte!$A$2:$B$18,2,FALSE)*[1]Energiindhold!$C$10,0)*J166*IFERROR(VLOOKUP(A166,Biogasanlæg!$F$3:$G$8,2,FALSE),1)</f>
        <v>1.0901948093654197</v>
      </c>
      <c r="T166" s="194">
        <f t="shared" si="50"/>
        <v>0</v>
      </c>
      <c r="U166" s="192">
        <f>O166*IFERROR(VLOOKUP(A166,[1]Tørstofindhold!A$2:B$25,2,FALSE),0)</f>
        <v>0</v>
      </c>
      <c r="V166" s="193">
        <f>IF(D166=År1,P166,SUM(O166,P166))*IFERROR(VLOOKUP(A166,[1]Tørstofindhold!A$2:B$25,2,FALSE),0)</f>
        <v>117411.1041450089</v>
      </c>
      <c r="W166" s="193">
        <f>J166*IFERROR(VLOOKUP(A166,[1]Tørstofindhold!A$2:B$25,2,FALSE),0)</f>
        <v>117411.1041450089</v>
      </c>
      <c r="X166" s="194">
        <f t="shared" si="51"/>
        <v>0</v>
      </c>
      <c r="Y166" s="172">
        <f t="shared" si="43"/>
        <v>1</v>
      </c>
      <c r="Z166" s="104">
        <f t="shared" si="44"/>
        <v>0</v>
      </c>
    </row>
    <row r="167" spans="1:26" hidden="1" x14ac:dyDescent="0.55000000000000004">
      <c r="A167" s="195" t="s">
        <v>56</v>
      </c>
      <c r="B167" s="195"/>
      <c r="C167" s="195">
        <f>IF(COUNTIFS('Resultater - Danmark'!$D$3:$D$482,'Resultat-Produktion &amp; forbrug'!A167,'Resultater - Danmark'!$A$3:$A$482,"Til energi")+COUNTIFS('Resultater - Danmark'!$D$3:$D$482,'Resultat-Produktion &amp; forbrug'!A167,'Resultater - Danmark'!$A$3:$A$482,"Biogasanlæg")&gt;0,1,0)</f>
        <v>0</v>
      </c>
      <c r="D167" s="195">
        <f t="shared" si="47"/>
        <v>2019</v>
      </c>
      <c r="E167" s="193" t="s">
        <v>24</v>
      </c>
      <c r="F167" s="196">
        <f>IF(E167="Vestdanmark",SUMIFS(IF(D167=År1,'Resultater - Vestdanmark'!H$3:H$482,IF(D167=År2,'Resultater - Vestdanmark'!I$3:I$482,'Resultater - Vestdanmark'!J$3:J$482)),'Resultater - Vestdanmark'!$F$3:$F$482,$A167,IF(D167=År1,'Resultater - Vestdanmark'!H$3:H$482,IF(D167=År2,'Resultater - Vestdanmark'!I$3:I$482,'Resultater - Vestdanmark'!J$3:J$482)),"&gt;0"),SUMIFS(IF(D167=År1,'Resultater - Østdanmark'!H$3:H$482,IF(D167=År2,'Resultater - Østdanmark'!I$3:I$482,'Resultater - Østdanmark'!J$3:J$482)),'Resultater - Østdanmark'!$F$3:$F$482,$A167,IF(D167=År1,'Resultater - Østdanmark'!H$3:H$482,IF(D167=År2,'Resultater - Østdanmark'!I$3:I$482,'Resultater - Østdanmark'!J$3:J$482)),"&gt;0"))</f>
        <v>145851.60720031991</v>
      </c>
      <c r="G167" s="196">
        <f>SUMIFS('Forbrug af biomasse'!$E$2:$E$425,'Forbrug af biomasse'!$C$2:$C$425,'Resultat-Produktion &amp; forbrug'!$A167,'Forbrug af biomasse'!$D$2:$D$425,'Resultat-Produktion &amp; forbrug'!$D167,'Forbrug af biomasse'!$A$2:$A$425,'Resultat-Produktion &amp; forbrug'!G$2,'Forbrug af biomasse'!$B$2:$B$425,$E167)</f>
        <v>0</v>
      </c>
      <c r="H167" s="193">
        <f>IF(E167="Vestdanmark",-IF(A167="Halm",SUMIFS(IF(D167=År1,'Resultater - Vestdanmark'!H$3:H$482,IF(D167=År2,'Resultater - Vestdanmark'!I$3:I$482,'Resultater - Vestdanmark'!J$3:J$482)),'Resultater - Vestdanmark'!$F$3:$F$482,$A167,'Resultater - Vestdanmark'!H$3:H$482,"&lt;0"),0),-IF(A167="Halm",SUMIFS(IF(D167=År1,'Resultater - Østdanmark'!H$3:H$482,IF(D167=År2,'Resultater - Østdanmark'!I$3:I$482,'Resultater - Østdanmark'!J$3:J$482)),'Resultater - Østdanmark'!$F$3:$F$482,$A167,'Resultater - Østdanmark'!H$3:H$482,"&lt;0"),0))</f>
        <v>0</v>
      </c>
      <c r="I167" s="196">
        <f>SUMIFS('Forbrug af biomasse'!$E$2:$E$425,'Forbrug af biomasse'!$C$2:$C$425,'Resultat-Produktion &amp; forbrug'!$A167,'Forbrug af biomasse'!$D$2:$D$425,'Resultat-Produktion &amp; forbrug'!$D167,'Forbrug af biomasse'!$A$2:$A$425,'Resultat-Produktion &amp; forbrug'!I$2,'Forbrug af biomasse'!$B$2:$B$425,$E167)</f>
        <v>0</v>
      </c>
      <c r="J167" s="196">
        <f>SUMIFS('Forbrug af biomasse'!$E$2:$E$425,'Forbrug af biomasse'!$C$2:$C$425,'Resultat-Produktion &amp; forbrug'!$A167,'Forbrug af biomasse'!$D$2:$D$425,'Resultat-Produktion &amp; forbrug'!$D167,'Forbrug af biomasse'!$A$2:$A$425,'Resultat-Produktion &amp; forbrug'!J$2,'Forbrug af biomasse'!$B$2:$B$425,$E167)</f>
        <v>0</v>
      </c>
      <c r="K167" s="196">
        <f>SUMIFS('Forbrug af biomasse'!$E$2:$E$425,'Forbrug af biomasse'!$C$2:$C$425,'Resultat-Produktion &amp; forbrug'!$A167,'Forbrug af biomasse'!$D$2:$D$425,'Resultat-Produktion &amp; forbrug'!$D167,'Forbrug af biomasse'!$A$2:$A$425,'Resultat-Produktion &amp; forbrug'!K$2,'Forbrug af biomasse'!$B$2:$B$425,$E167)</f>
        <v>0</v>
      </c>
      <c r="L167" s="196">
        <f>IF(A167&lt;&gt;"Biogas",SUMIFS('Forbrug af biomasse'!$E$2:$E$425,'Forbrug af biomasse'!$C$2:$C$425,'Resultat-Produktion &amp; forbrug'!$A167,'Forbrug af biomasse'!$D$2:$D$425,'Resultat-Produktion &amp; forbrug'!$D167,'Forbrug af biomasse'!$A$2:$A$425,'Resultat-Produktion &amp; forbrug'!L$2,'Forbrug af biomasse'!$B$2:$B$425,$E167),F167)</f>
        <v>0</v>
      </c>
      <c r="M167" s="158">
        <f>SUMIFS('Forbrug af biomasse'!E:E,'Forbrug af biomasse'!C:C,'Resultat-Produktion &amp; forbrug'!$A167,'Forbrug af biomasse'!D:D,'Resultat-Produktion &amp; forbrug'!$D167,'Forbrug af biomasse'!G:G,1,'Forbrug af biomasse'!B:B,$E167)</f>
        <v>0</v>
      </c>
      <c r="N167" s="205">
        <f t="shared" si="48"/>
        <v>145851.60720031991</v>
      </c>
      <c r="O167" s="196">
        <f t="shared" si="39"/>
        <v>0</v>
      </c>
      <c r="P167" s="206">
        <f t="shared" si="49"/>
        <v>0</v>
      </c>
      <c r="Q167" s="193">
        <f>IFERROR(VLOOKUP(A167,[1]Energiindhold!$A$2:$C$11,3,FALSE),IFERROR(VLOOKUP(A167,[1]Biogasudbytte!$A$2:$B$18,2,FALSE)*[1]Energiindhold!$C$10,0))*O167</f>
        <v>0</v>
      </c>
      <c r="R167" s="193">
        <f>IF(A167&lt;&gt;"Biogas",IFERROR(VLOOKUP(A167,[1]Biogasudbytte!$A$2:$B$18,2,FALSE)*[1]Energiindhold!$C$10,0)*J167*IFERROR(VLOOKUP(A167,Biogasanlæg!$F$3:$G$8,2,FALSE),1)+IFERROR(VLOOKUP(A167,[1]Energiindhold!$A$2:$C$11,3,FALSE),0)*L167+IF(D167&lt;&gt;År1,Q167,0),0)</f>
        <v>0</v>
      </c>
      <c r="S167" s="193">
        <f>IFERROR(VLOOKUP(A167,[1]Biogasudbytte!$A$2:$B$18,2,FALSE)*[1]Energiindhold!$C$10,0)*J167*IFERROR(VLOOKUP(A167,Biogasanlæg!$F$3:$G$8,2,FALSE),1)</f>
        <v>0</v>
      </c>
      <c r="T167" s="194">
        <f t="shared" si="50"/>
        <v>0</v>
      </c>
      <c r="U167" s="192">
        <f>O167*IFERROR(VLOOKUP(A167,[1]Tørstofindhold!A$2:B$25,2,FALSE),0)</f>
        <v>0</v>
      </c>
      <c r="V167" s="193">
        <f>IF(D167=År1,P167,SUM(O167,P167))*IFERROR(VLOOKUP(A167,[1]Tørstofindhold!A$2:B$25,2,FALSE),0)</f>
        <v>0</v>
      </c>
      <c r="W167" s="193">
        <f>J167*IFERROR(VLOOKUP(A167,[1]Tørstofindhold!A$2:B$25,2,FALSE),0)</f>
        <v>0</v>
      </c>
      <c r="X167" s="194">
        <f t="shared" si="51"/>
        <v>0</v>
      </c>
      <c r="Y167" s="172">
        <f t="shared" si="43"/>
        <v>0</v>
      </c>
      <c r="Z167" s="104">
        <f t="shared" si="44"/>
        <v>1</v>
      </c>
    </row>
    <row r="168" spans="1:26" hidden="1" x14ac:dyDescent="0.55000000000000004">
      <c r="A168" s="195" t="s">
        <v>12</v>
      </c>
      <c r="B168" s="195"/>
      <c r="C168" s="195">
        <f>IF(COUNTIFS('Resultater - Danmark'!$D$3:$D$482,'Resultat-Produktion &amp; forbrug'!A168,'Resultater - Danmark'!$A$3:$A$482,"Til energi")+COUNTIFS('Resultater - Danmark'!$D$3:$D$482,'Resultat-Produktion &amp; forbrug'!A168,'Resultater - Danmark'!$A$3:$A$482,"Biogasanlæg")&gt;0,1,0)</f>
        <v>0</v>
      </c>
      <c r="D168" s="195">
        <f t="shared" si="47"/>
        <v>2019</v>
      </c>
      <c r="E168" s="193" t="s">
        <v>24</v>
      </c>
      <c r="F168" s="196">
        <f>IF(E168="Vestdanmark",SUMIFS(IF(D168=År1,'Resultater - Vestdanmark'!H$3:H$482,IF(D168=År2,'Resultater - Vestdanmark'!I$3:I$482,'Resultater - Vestdanmark'!J$3:J$482)),'Resultater - Vestdanmark'!$F$3:$F$482,$A168,IF(D168=År1,'Resultater - Vestdanmark'!H$3:H$482,IF(D168=År2,'Resultater - Vestdanmark'!I$3:I$482,'Resultater - Vestdanmark'!J$3:J$482)),"&gt;0"),SUMIFS(IF(D168=År1,'Resultater - Østdanmark'!H$3:H$482,IF(D168=År2,'Resultater - Østdanmark'!I$3:I$482,'Resultater - Østdanmark'!J$3:J$482)),'Resultater - Østdanmark'!$F$3:$F$482,$A168,IF(D168=År1,'Resultater - Østdanmark'!H$3:H$482,IF(D168=År2,'Resultater - Østdanmark'!I$3:I$482,'Resultater - Østdanmark'!J$3:J$482)),"&gt;0"))</f>
        <v>116414.7916544996</v>
      </c>
      <c r="G168" s="196">
        <f>SUMIFS('Forbrug af biomasse'!$E$2:$E$425,'Forbrug af biomasse'!$C$2:$C$425,'Resultat-Produktion &amp; forbrug'!$A168,'Forbrug af biomasse'!$D$2:$D$425,'Resultat-Produktion &amp; forbrug'!$D168,'Forbrug af biomasse'!$A$2:$A$425,'Resultat-Produktion &amp; forbrug'!G$2,'Forbrug af biomasse'!$B$2:$B$425,$E168)</f>
        <v>0</v>
      </c>
      <c r="H168" s="193">
        <f>IF(E168="Vestdanmark",-IF(A168="Halm",SUMIFS(IF(D168=År1,'Resultater - Vestdanmark'!H$3:H$482,IF(D168=År2,'Resultater - Vestdanmark'!I$3:I$482,'Resultater - Vestdanmark'!J$3:J$482)),'Resultater - Vestdanmark'!$F$3:$F$482,$A168,'Resultater - Vestdanmark'!H$3:H$482,"&lt;0"),0),-IF(A168="Halm",SUMIFS(IF(D168=År1,'Resultater - Østdanmark'!H$3:H$482,IF(D168=År2,'Resultater - Østdanmark'!I$3:I$482,'Resultater - Østdanmark'!J$3:J$482)),'Resultater - Østdanmark'!$F$3:$F$482,$A168,'Resultater - Østdanmark'!H$3:H$482,"&lt;0"),0))</f>
        <v>0</v>
      </c>
      <c r="I168" s="196">
        <f>SUMIFS('Forbrug af biomasse'!$E$2:$E$425,'Forbrug af biomasse'!$C$2:$C$425,'Resultat-Produktion &amp; forbrug'!$A168,'Forbrug af biomasse'!$D$2:$D$425,'Resultat-Produktion &amp; forbrug'!$D168,'Forbrug af biomasse'!$A$2:$A$425,'Resultat-Produktion &amp; forbrug'!I$2,'Forbrug af biomasse'!$B$2:$B$425,$E168)</f>
        <v>101922.05609696274</v>
      </c>
      <c r="J168" s="196">
        <f>SUMIFS('Forbrug af biomasse'!$E$2:$E$425,'Forbrug af biomasse'!$C$2:$C$425,'Resultat-Produktion &amp; forbrug'!$A168,'Forbrug af biomasse'!$D$2:$D$425,'Resultat-Produktion &amp; forbrug'!$D168,'Forbrug af biomasse'!$A$2:$A$425,'Resultat-Produktion &amp; forbrug'!J$2,'Forbrug af biomasse'!$B$2:$B$425,$E168)</f>
        <v>0</v>
      </c>
      <c r="K168" s="196">
        <f>SUMIFS('Forbrug af biomasse'!$E$2:$E$425,'Forbrug af biomasse'!$C$2:$C$425,'Resultat-Produktion &amp; forbrug'!$A168,'Forbrug af biomasse'!$D$2:$D$425,'Resultat-Produktion &amp; forbrug'!$D168,'Forbrug af biomasse'!$A$2:$A$425,'Resultat-Produktion &amp; forbrug'!K$2,'Forbrug af biomasse'!$B$2:$B$425,$E168)</f>
        <v>0</v>
      </c>
      <c r="L168" s="196">
        <f>IF(A168&lt;&gt;"Biogas",SUMIFS('Forbrug af biomasse'!$E$2:$E$425,'Forbrug af biomasse'!$C$2:$C$425,'Resultat-Produktion &amp; forbrug'!$A168,'Forbrug af biomasse'!$D$2:$D$425,'Resultat-Produktion &amp; forbrug'!$D168,'Forbrug af biomasse'!$A$2:$A$425,'Resultat-Produktion &amp; forbrug'!L$2,'Forbrug af biomasse'!$B$2:$B$425,$E168),F168)</f>
        <v>0</v>
      </c>
      <c r="M168" s="158">
        <f>SUMIFS('Forbrug af biomasse'!E:E,'Forbrug af biomasse'!C:C,'Resultat-Produktion &amp; forbrug'!$A168,'Forbrug af biomasse'!D:D,'Resultat-Produktion &amp; forbrug'!$D168,'Forbrug af biomasse'!G:G,1,'Forbrug af biomasse'!B:B,$E168)</f>
        <v>0</v>
      </c>
      <c r="N168" s="205">
        <f t="shared" si="48"/>
        <v>14492.735557536857</v>
      </c>
      <c r="O168" s="196">
        <f t="shared" si="39"/>
        <v>0</v>
      </c>
      <c r="P168" s="206">
        <f t="shared" si="49"/>
        <v>0</v>
      </c>
      <c r="Q168" s="193">
        <f>IFERROR(VLOOKUP(A168,[1]Energiindhold!$A$2:$C$11,3,FALSE),IFERROR(VLOOKUP(A168,[1]Biogasudbytte!$A$2:$B$18,2,FALSE)*[1]Energiindhold!$C$10,0))*O168</f>
        <v>0</v>
      </c>
      <c r="R168" s="193">
        <f>IF(A168&lt;&gt;"Biogas",IFERROR(VLOOKUP(A168,[1]Biogasudbytte!$A$2:$B$18,2,FALSE)*[1]Energiindhold!$C$10,0)*J168*IFERROR(VLOOKUP(A168,Biogasanlæg!$F$3:$G$8,2,FALSE),1)+IFERROR(VLOOKUP(A168,[1]Energiindhold!$A$2:$C$11,3,FALSE),0)*L168+IF(D168&lt;&gt;År1,Q168,0),0)</f>
        <v>0</v>
      </c>
      <c r="S168" s="193">
        <f>IFERROR(VLOOKUP(A168,[1]Biogasudbytte!$A$2:$B$18,2,FALSE)*[1]Energiindhold!$C$10,0)*J168*IFERROR(VLOOKUP(A168,Biogasanlæg!$F$3:$G$8,2,FALSE),1)</f>
        <v>0</v>
      </c>
      <c r="T168" s="194">
        <f t="shared" si="50"/>
        <v>0</v>
      </c>
      <c r="U168" s="192">
        <f>O168*IFERROR(VLOOKUP(A168,[1]Tørstofindhold!A$2:B$25,2,FALSE),0)</f>
        <v>0</v>
      </c>
      <c r="V168" s="193">
        <f>IF(D168=År1,P168,SUM(O168,P168))*IFERROR(VLOOKUP(A168,[1]Tørstofindhold!A$2:B$25,2,FALSE),0)</f>
        <v>0</v>
      </c>
      <c r="W168" s="193">
        <f>J168*IFERROR(VLOOKUP(A168,[1]Tørstofindhold!A$2:B$25,2,FALSE),0)</f>
        <v>0</v>
      </c>
      <c r="X168" s="194">
        <f t="shared" si="51"/>
        <v>0</v>
      </c>
      <c r="Y168" s="172">
        <f t="shared" si="43"/>
        <v>0</v>
      </c>
      <c r="Z168" s="104">
        <f t="shared" si="44"/>
        <v>1</v>
      </c>
    </row>
    <row r="169" spans="1:26" hidden="1" x14ac:dyDescent="0.55000000000000004">
      <c r="A169" s="195" t="s">
        <v>48</v>
      </c>
      <c r="B169" s="195" t="s">
        <v>230</v>
      </c>
      <c r="C169" s="195">
        <f>IF(COUNTIFS('Resultater - Danmark'!$D$3:$D$482,'Resultat-Produktion &amp; forbrug'!A169,'Resultater - Danmark'!$A$3:$A$482,"Til energi")+COUNTIFS('Resultater - Danmark'!$D$3:$D$482,'Resultat-Produktion &amp; forbrug'!A169,'Resultater - Danmark'!$A$3:$A$482,"Biogasanlæg")&gt;0,1,0)</f>
        <v>1</v>
      </c>
      <c r="D169" s="195">
        <f t="shared" si="47"/>
        <v>2019</v>
      </c>
      <c r="E169" s="193" t="s">
        <v>24</v>
      </c>
      <c r="F169" s="196">
        <f>IF(E169="Vestdanmark",SUMIFS(IF(D169=År1,'Resultater - Vestdanmark'!H$3:H$482,IF(D169=År2,'Resultater - Vestdanmark'!I$3:I$482,'Resultater - Vestdanmark'!J$3:J$482)),'Resultater - Vestdanmark'!$F$3:$F$482,$A169,IF(D169=År1,'Resultater - Vestdanmark'!H$3:H$482,IF(D169=År2,'Resultater - Vestdanmark'!I$3:I$482,'Resultater - Vestdanmark'!J$3:J$482)),"&gt;0"),SUMIFS(IF(D169=År1,'Resultater - Østdanmark'!H$3:H$482,IF(D169=År2,'Resultater - Østdanmark'!I$3:I$482,'Resultater - Østdanmark'!J$3:J$482)),'Resultater - Østdanmark'!$F$3:$F$482,$A169,IF(D169=År1,'Resultater - Østdanmark'!H$3:H$482,IF(D169=År2,'Resultater - Østdanmark'!I$3:I$482,'Resultater - Østdanmark'!J$3:J$482)),"&gt;0"))</f>
        <v>2275797.9689121391</v>
      </c>
      <c r="G169" s="196">
        <f>SUMIFS('Forbrug af biomasse'!$E$2:$E$425,'Forbrug af biomasse'!$C$2:$C$425,'Resultat-Produktion &amp; forbrug'!$A169,'Forbrug af biomasse'!$D$2:$D$425,'Resultat-Produktion &amp; forbrug'!$D169,'Forbrug af biomasse'!$A$2:$A$425,'Resultat-Produktion &amp; forbrug'!G$2,'Forbrug af biomasse'!$B$2:$B$425,$E169)</f>
        <v>721621.60770550335</v>
      </c>
      <c r="H169" s="193">
        <f>IF(E169="Vestdanmark",-IF(A169="Halm",SUMIFS(IF(D169=År1,'Resultater - Vestdanmark'!H$3:H$482,IF(D169=År2,'Resultater - Vestdanmark'!I$3:I$482,'Resultater - Vestdanmark'!J$3:J$482)),'Resultater - Vestdanmark'!$F$3:$F$482,$A169,'Resultater - Vestdanmark'!H$3:H$482,"&lt;0"),0),-IF(A169="Halm",SUMIFS(IF(D169=År1,'Resultater - Østdanmark'!H$3:H$482,IF(D169=År2,'Resultater - Østdanmark'!I$3:I$482,'Resultater - Østdanmark'!J$3:J$482)),'Resultater - Østdanmark'!$F$3:$F$482,$A169,'Resultater - Østdanmark'!H$3:H$482,"&lt;0"),0))</f>
        <v>0</v>
      </c>
      <c r="I169" s="196">
        <f>SUMIFS('Forbrug af biomasse'!$E$2:$E$425,'Forbrug af biomasse'!$C$2:$C$425,'Resultat-Produktion &amp; forbrug'!$A169,'Forbrug af biomasse'!$D$2:$D$425,'Resultat-Produktion &amp; forbrug'!$D169,'Forbrug af biomasse'!$A$2:$A$425,'Resultat-Produktion &amp; forbrug'!I$2,'Forbrug af biomasse'!$B$2:$B$425,$E169)</f>
        <v>244164.92559492172</v>
      </c>
      <c r="J169" s="196">
        <f>SUMIFS('Forbrug af biomasse'!$E$2:$E$425,'Forbrug af biomasse'!$C$2:$C$425,'Resultat-Produktion &amp; forbrug'!$A169,'Forbrug af biomasse'!$D$2:$D$425,'Resultat-Produktion &amp; forbrug'!$D169,'Forbrug af biomasse'!$A$2:$A$425,'Resultat-Produktion &amp; forbrug'!J$2,'Forbrug af biomasse'!$B$2:$B$425,$E169)</f>
        <v>945.81467090137289</v>
      </c>
      <c r="K169" s="196">
        <f>SUMIFS('Forbrug af biomasse'!$E$2:$E$425,'Forbrug af biomasse'!$C$2:$C$425,'Resultat-Produktion &amp; forbrug'!$A169,'Forbrug af biomasse'!$D$2:$D$425,'Resultat-Produktion &amp; forbrug'!$D169,'Forbrug af biomasse'!$A$2:$A$425,'Resultat-Produktion &amp; forbrug'!K$2,'Forbrug af biomasse'!$B$2:$B$425,$E169)</f>
        <v>0</v>
      </c>
      <c r="L169" s="196">
        <f>IF(A169&lt;&gt;"Biogas",SUMIFS('Forbrug af biomasse'!$E$2:$E$425,'Forbrug af biomasse'!$C$2:$C$425,'Resultat-Produktion &amp; forbrug'!$A169,'Forbrug af biomasse'!$D$2:$D$425,'Resultat-Produktion &amp; forbrug'!$D169,'Forbrug af biomasse'!$A$2:$A$425,'Resultat-Produktion &amp; forbrug'!L$2,'Forbrug af biomasse'!$B$2:$B$425,$E169),F169)</f>
        <v>0</v>
      </c>
      <c r="M169" s="158">
        <f>SUMIFS('Forbrug af biomasse'!E:E,'Forbrug af biomasse'!C:C,'Resultat-Produktion &amp; forbrug'!$A169,'Forbrug af biomasse'!D:D,'Resultat-Produktion &amp; forbrug'!$D169,'Forbrug af biomasse'!G:G,1,'Forbrug af biomasse'!B:B,$E169)</f>
        <v>0</v>
      </c>
      <c r="N169" s="205">
        <f t="shared" si="48"/>
        <v>1309065.6209408126</v>
      </c>
      <c r="O169" s="196">
        <f t="shared" si="39"/>
        <v>1309065.6209408126</v>
      </c>
      <c r="P169" s="206">
        <f t="shared" si="49"/>
        <v>945.81467090137289</v>
      </c>
      <c r="Q169" s="193">
        <f>IFERROR(VLOOKUP(A169,[1]Energiindhold!$A$2:$C$11,3,FALSE),IFERROR(VLOOKUP(A169,[1]Biogasudbytte!$A$2:$B$18,2,FALSE)*[1]Energiindhold!$C$10,0))*O169</f>
        <v>4.4833664825353523</v>
      </c>
      <c r="R169" s="193">
        <f>IF(A169&lt;&gt;"Biogas",IFERROR(VLOOKUP(A169,[1]Biogasudbytte!$A$2:$B$18,2,FALSE)*[1]Energiindhold!$C$10,0)*J169*IFERROR(VLOOKUP(A169,Biogasanlæg!$F$3:$G$8,2,FALSE),1)+IFERROR(VLOOKUP(A169,[1]Energiindhold!$A$2:$C$11,3,FALSE),0)*L169+IF(D169&lt;&gt;År1,Q169,0),0)</f>
        <v>3.2392828337832764E-3</v>
      </c>
      <c r="S169" s="193">
        <f>IFERROR(VLOOKUP(A169,[1]Biogasudbytte!$A$2:$B$18,2,FALSE)*[1]Energiindhold!$C$10,0)*J169*IFERROR(VLOOKUP(A169,Biogasanlæg!$F$3:$G$8,2,FALSE),1)</f>
        <v>3.2392828337832764E-3</v>
      </c>
      <c r="T169" s="194">
        <f t="shared" si="50"/>
        <v>0</v>
      </c>
      <c r="U169" s="192">
        <f>O169*IFERROR(VLOOKUP(A169,[1]Tørstofindhold!A$2:B$25,2,FALSE),0)</f>
        <v>405810.34249165189</v>
      </c>
      <c r="V169" s="193">
        <f>IF(D169=År1,P169,SUM(O169,P169))*IFERROR(VLOOKUP(A169,[1]Tørstofindhold!A$2:B$25,2,FALSE),0)</f>
        <v>293.20254797942562</v>
      </c>
      <c r="W169" s="193">
        <f>J169*IFERROR(VLOOKUP(A169,[1]Tørstofindhold!A$2:B$25,2,FALSE),0)</f>
        <v>293.20254797942562</v>
      </c>
      <c r="X169" s="194">
        <f t="shared" si="51"/>
        <v>0</v>
      </c>
      <c r="Y169" s="172">
        <f t="shared" si="43"/>
        <v>0</v>
      </c>
      <c r="Z169" s="104">
        <f t="shared" si="44"/>
        <v>1</v>
      </c>
    </row>
    <row r="170" spans="1:26" hidden="1" x14ac:dyDescent="0.55000000000000004">
      <c r="A170" s="195" t="s">
        <v>116</v>
      </c>
      <c r="B170" s="195"/>
      <c r="C170" s="195">
        <f>IF(COUNTIFS('Resultater - Danmark'!$D$3:$D$482,'Resultat-Produktion &amp; forbrug'!A170,'Resultater - Danmark'!$A$3:$A$482,"Til energi")+COUNTIFS('Resultater - Danmark'!$D$3:$D$482,'Resultat-Produktion &amp; forbrug'!A170,'Resultater - Danmark'!$A$3:$A$482,"Biogasanlæg")&gt;0,1,0)</f>
        <v>0</v>
      </c>
      <c r="D170" s="195">
        <f t="shared" si="47"/>
        <v>2019</v>
      </c>
      <c r="E170" s="193" t="s">
        <v>24</v>
      </c>
      <c r="F170" s="196">
        <f>IF(E170="Vestdanmark",SUMIFS(IF(D170=År1,'Resultater - Vestdanmark'!H$3:H$482,IF(D170=År2,'Resultater - Vestdanmark'!I$3:I$482,'Resultater - Vestdanmark'!J$3:J$482)),'Resultater - Vestdanmark'!$F$3:$F$482,$A170,IF(D170=År1,'Resultater - Vestdanmark'!H$3:H$482,IF(D170=År2,'Resultater - Vestdanmark'!I$3:I$482,'Resultater - Vestdanmark'!J$3:J$482)),"&gt;0"),SUMIFS(IF(D170=År1,'Resultater - Østdanmark'!H$3:H$482,IF(D170=År2,'Resultater - Østdanmark'!I$3:I$482,'Resultater - Østdanmark'!J$3:J$482)),'Resultater - Østdanmark'!$F$3:$F$482,$A170,IF(D170=År1,'Resultater - Østdanmark'!H$3:H$482,IF(D170=År2,'Resultater - Østdanmark'!I$3:I$482,'Resultater - Østdanmark'!J$3:J$482)),"&gt;0"))</f>
        <v>0</v>
      </c>
      <c r="G170" s="196">
        <f>SUMIFS('Forbrug af biomasse'!$E$2:$E$425,'Forbrug af biomasse'!$C$2:$C$425,'Resultat-Produktion &amp; forbrug'!$A170,'Forbrug af biomasse'!$D$2:$D$425,'Resultat-Produktion &amp; forbrug'!$D170,'Forbrug af biomasse'!$A$2:$A$425,'Resultat-Produktion &amp; forbrug'!G$2,'Forbrug af biomasse'!$B$2:$B$425,$E170)</f>
        <v>0</v>
      </c>
      <c r="H170" s="193">
        <f>IF(E170="Vestdanmark",-IF(A170="Halm",SUMIFS(IF(D170=År1,'Resultater - Vestdanmark'!H$3:H$482,IF(D170=År2,'Resultater - Vestdanmark'!I$3:I$482,'Resultater - Vestdanmark'!J$3:J$482)),'Resultater - Vestdanmark'!$F$3:$F$482,$A170,'Resultater - Vestdanmark'!H$3:H$482,"&lt;0"),0),-IF(A170="Halm",SUMIFS(IF(D170=År1,'Resultater - Østdanmark'!H$3:H$482,IF(D170=År2,'Resultater - Østdanmark'!I$3:I$482,'Resultater - Østdanmark'!J$3:J$482)),'Resultater - Østdanmark'!$F$3:$F$482,$A170,'Resultater - Østdanmark'!H$3:H$482,"&lt;0"),0))</f>
        <v>0</v>
      </c>
      <c r="I170" s="196">
        <f>SUMIFS('Forbrug af biomasse'!$E$2:$E$425,'Forbrug af biomasse'!$C$2:$C$425,'Resultat-Produktion &amp; forbrug'!$A170,'Forbrug af biomasse'!$D$2:$D$425,'Resultat-Produktion &amp; forbrug'!$D170,'Forbrug af biomasse'!$A$2:$A$425,'Resultat-Produktion &amp; forbrug'!I$2,'Forbrug af biomasse'!$B$2:$B$425,$E170)</f>
        <v>0</v>
      </c>
      <c r="J170" s="196">
        <f>SUMIFS('Forbrug af biomasse'!$E$2:$E$425,'Forbrug af biomasse'!$C$2:$C$425,'Resultat-Produktion &amp; forbrug'!$A170,'Forbrug af biomasse'!$D$2:$D$425,'Resultat-Produktion &amp; forbrug'!$D170,'Forbrug af biomasse'!$A$2:$A$425,'Resultat-Produktion &amp; forbrug'!J$2,'Forbrug af biomasse'!$B$2:$B$425,$E170)</f>
        <v>0</v>
      </c>
      <c r="K170" s="196">
        <f ca="1">SUMIFS('Forbrug af biomasse'!$E$2:$E$425,'Forbrug af biomasse'!$C$2:$C$425,'Resultat-Produktion &amp; forbrug'!$A170,'Forbrug af biomasse'!$D$2:$D$425,'Resultat-Produktion &amp; forbrug'!$D170,'Forbrug af biomasse'!$A$2:$A$425,'Resultat-Produktion &amp; forbrug'!K$2,'Forbrug af biomasse'!$B$2:$B$425,$E170)</f>
        <v>387847.14852834243</v>
      </c>
      <c r="L170" s="196">
        <f>IF(A170&lt;&gt;"Biogas",SUMIFS('Forbrug af biomasse'!$E$2:$E$425,'Forbrug af biomasse'!$C$2:$C$425,'Resultat-Produktion &amp; forbrug'!$A170,'Forbrug af biomasse'!$D$2:$D$425,'Resultat-Produktion &amp; forbrug'!$D170,'Forbrug af biomasse'!$A$2:$A$425,'Resultat-Produktion &amp; forbrug'!L$2,'Forbrug af biomasse'!$B$2:$B$425,$E170),F170)</f>
        <v>0</v>
      </c>
      <c r="M170" s="158">
        <f>SUMIFS('Forbrug af biomasse'!E:E,'Forbrug af biomasse'!C:C,'Resultat-Produktion &amp; forbrug'!$A170,'Forbrug af biomasse'!D:D,'Resultat-Produktion &amp; forbrug'!$D170,'Forbrug af biomasse'!G:G,1,'Forbrug af biomasse'!B:B,$E170)</f>
        <v>0</v>
      </c>
      <c r="N170" s="205">
        <f t="shared" ca="1" si="48"/>
        <v>-387847.14852834243</v>
      </c>
      <c r="O170" s="196">
        <f t="shared" si="39"/>
        <v>0</v>
      </c>
      <c r="P170" s="206">
        <f t="shared" si="49"/>
        <v>0</v>
      </c>
      <c r="Q170" s="193">
        <f>IFERROR(VLOOKUP(A170,[1]Energiindhold!$A$2:$C$11,3,FALSE),IFERROR(VLOOKUP(A170,[1]Biogasudbytte!$A$2:$B$18,2,FALSE)*[1]Energiindhold!$C$10,0))*O170</f>
        <v>0</v>
      </c>
      <c r="R170" s="193">
        <f>IF(A170&lt;&gt;"Biogas",IFERROR(VLOOKUP(A170,[1]Biogasudbytte!$A$2:$B$18,2,FALSE)*[1]Energiindhold!$C$10,0)*J170*IFERROR(VLOOKUP(A170,Biogasanlæg!$F$3:$G$8,2,FALSE),1)+IFERROR(VLOOKUP(A170,[1]Energiindhold!$A$2:$C$11,3,FALSE),0)*L170+IF(D170&lt;&gt;År1,Q170,0),0)</f>
        <v>0</v>
      </c>
      <c r="S170" s="193">
        <f>IFERROR(VLOOKUP(A170,[1]Biogasudbytte!$A$2:$B$18,2,FALSE)*[1]Energiindhold!$C$10,0)*J170*IFERROR(VLOOKUP(A170,Biogasanlæg!$F$3:$G$8,2,FALSE),1)</f>
        <v>0</v>
      </c>
      <c r="T170" s="194">
        <f t="shared" si="50"/>
        <v>0</v>
      </c>
      <c r="U170" s="192">
        <f>O170*IFERROR(VLOOKUP(A170,[1]Tørstofindhold!A$2:B$25,2,FALSE),0)</f>
        <v>0</v>
      </c>
      <c r="V170" s="193">
        <f>IF(D170=År1,P170,SUM(O170,P170))*IFERROR(VLOOKUP(A170,[1]Tørstofindhold!A$2:B$25,2,FALSE),0)</f>
        <v>0</v>
      </c>
      <c r="W170" s="193">
        <f>J170*IFERROR(VLOOKUP(A170,[1]Tørstofindhold!A$2:B$25,2,FALSE),0)</f>
        <v>0</v>
      </c>
      <c r="X170" s="194">
        <f t="shared" si="51"/>
        <v>0</v>
      </c>
      <c r="Y170" s="172">
        <f t="shared" ca="1" si="43"/>
        <v>1</v>
      </c>
      <c r="Z170" s="104">
        <f t="shared" ca="1" si="44"/>
        <v>0</v>
      </c>
    </row>
    <row r="171" spans="1:26" hidden="1" x14ac:dyDescent="0.55000000000000004">
      <c r="A171" s="195" t="s">
        <v>137</v>
      </c>
      <c r="B171" s="195" t="s">
        <v>225</v>
      </c>
      <c r="C171" s="195">
        <f>IF(COUNTIFS('Resultater - Danmark'!$D$3:$D$482,'Resultat-Produktion &amp; forbrug'!A171,'Resultater - Danmark'!$A$3:$A$482,"Til energi")+COUNTIFS('Resultater - Danmark'!$D$3:$D$482,'Resultat-Produktion &amp; forbrug'!A171,'Resultater - Danmark'!$A$3:$A$482,"Biogasanlæg")&gt;0,1,0)</f>
        <v>1</v>
      </c>
      <c r="D171" s="195">
        <f t="shared" si="47"/>
        <v>2019</v>
      </c>
      <c r="E171" s="193" t="s">
        <v>24</v>
      </c>
      <c r="F171" s="196">
        <f>IF(E171="Vestdanmark",SUMIFS(IF(D171=År1,'Resultater - Vestdanmark'!H$3:H$482,IF(D171=År2,'Resultater - Vestdanmark'!I$3:I$482,'Resultater - Vestdanmark'!J$3:J$482)),'Resultater - Vestdanmark'!$F$3:$F$482,$A171,IF(D171=År1,'Resultater - Vestdanmark'!H$3:H$482,IF(D171=År2,'Resultater - Vestdanmark'!I$3:I$482,'Resultater - Vestdanmark'!J$3:J$482)),"&gt;0"),SUMIFS(IF(D171=År1,'Resultater - Østdanmark'!H$3:H$482,IF(D171=År2,'Resultater - Østdanmark'!I$3:I$482,'Resultater - Østdanmark'!J$3:J$482)),'Resultater - Østdanmark'!$F$3:$F$482,$A171,IF(D171=År1,'Resultater - Østdanmark'!H$3:H$482,IF(D171=År2,'Resultater - Østdanmark'!I$3:I$482,'Resultater - Østdanmark'!J$3:J$482)),"&gt;0"))</f>
        <v>925084.21922943438</v>
      </c>
      <c r="G171" s="196">
        <f>SUMIFS('Forbrug af biomasse'!$E$2:$E$425,'Forbrug af biomasse'!$C$2:$C$425,'Resultat-Produktion &amp; forbrug'!$A171,'Forbrug af biomasse'!$D$2:$D$425,'Resultat-Produktion &amp; forbrug'!$D171,'Forbrug af biomasse'!$A$2:$A$425,'Resultat-Produktion &amp; forbrug'!G$2,'Forbrug af biomasse'!$B$2:$B$425,$E171)</f>
        <v>0</v>
      </c>
      <c r="H171" s="193">
        <f>IF(E171="Vestdanmark",-IF(A171="Halm",SUMIFS(IF(D171=År1,'Resultater - Vestdanmark'!H$3:H$482,IF(D171=År2,'Resultater - Vestdanmark'!I$3:I$482,'Resultater - Vestdanmark'!J$3:J$482)),'Resultater - Vestdanmark'!$F$3:$F$482,$A171,'Resultater - Vestdanmark'!H$3:H$482,"&lt;0"),0),-IF(A171="Halm",SUMIFS(IF(D171=År1,'Resultater - Østdanmark'!H$3:H$482,IF(D171=År2,'Resultater - Østdanmark'!I$3:I$482,'Resultater - Østdanmark'!J$3:J$482)),'Resultater - Østdanmark'!$F$3:$F$482,$A171,'Resultater - Østdanmark'!H$3:H$482,"&lt;0"),0))</f>
        <v>0</v>
      </c>
      <c r="I171" s="196">
        <f>SUMIFS('Forbrug af biomasse'!$E$2:$E$425,'Forbrug af biomasse'!$C$2:$C$425,'Resultat-Produktion &amp; forbrug'!$A171,'Forbrug af biomasse'!$D$2:$D$425,'Resultat-Produktion &amp; forbrug'!$D171,'Forbrug af biomasse'!$A$2:$A$425,'Resultat-Produktion &amp; forbrug'!I$2,'Forbrug af biomasse'!$B$2:$B$425,$E171)</f>
        <v>0</v>
      </c>
      <c r="J171" s="196">
        <f>SUMIFS('Forbrug af biomasse'!$E$2:$E$425,'Forbrug af biomasse'!$C$2:$C$425,'Resultat-Produktion &amp; forbrug'!$A171,'Forbrug af biomasse'!$D$2:$D$425,'Resultat-Produktion &amp; forbrug'!$D171,'Forbrug af biomasse'!$A$2:$A$425,'Resultat-Produktion &amp; forbrug'!J$2,'Forbrug af biomasse'!$B$2:$B$425,$E171)</f>
        <v>286645.05985025823</v>
      </c>
      <c r="K171" s="196">
        <f>SUMIFS('Forbrug af biomasse'!$E$2:$E$425,'Forbrug af biomasse'!$C$2:$C$425,'Resultat-Produktion &amp; forbrug'!$A171,'Forbrug af biomasse'!$D$2:$D$425,'Resultat-Produktion &amp; forbrug'!$D171,'Forbrug af biomasse'!$A$2:$A$425,'Resultat-Produktion &amp; forbrug'!K$2,'Forbrug af biomasse'!$B$2:$B$425,$E171)</f>
        <v>422965.94308870414</v>
      </c>
      <c r="L171" s="196">
        <f>IF(A171&lt;&gt;"Biogas",SUMIFS('Forbrug af biomasse'!$E$2:$E$425,'Forbrug af biomasse'!$C$2:$C$425,'Resultat-Produktion &amp; forbrug'!$A171,'Forbrug af biomasse'!$D$2:$D$425,'Resultat-Produktion &amp; forbrug'!$D171,'Forbrug af biomasse'!$A$2:$A$425,'Resultat-Produktion &amp; forbrug'!L$2,'Forbrug af biomasse'!$B$2:$B$425,$E171),F171)</f>
        <v>0</v>
      </c>
      <c r="M171" s="158">
        <f>SUMIFS('Forbrug af biomasse'!E:E,'Forbrug af biomasse'!C:C,'Resultat-Produktion &amp; forbrug'!$A171,'Forbrug af biomasse'!D:D,'Resultat-Produktion &amp; forbrug'!$D171,'Forbrug af biomasse'!G:G,1,'Forbrug af biomasse'!B:B,$E171)</f>
        <v>0</v>
      </c>
      <c r="N171" s="205">
        <f t="shared" si="48"/>
        <v>215473.21629047208</v>
      </c>
      <c r="O171" s="196">
        <f t="shared" si="39"/>
        <v>215473.21629047208</v>
      </c>
      <c r="P171" s="206">
        <f t="shared" si="49"/>
        <v>286645.05985025823</v>
      </c>
      <c r="Q171" s="193">
        <f>IFERROR(VLOOKUP(A171,[1]Energiindhold!$A$2:$C$11,3,FALSE),IFERROR(VLOOKUP(A171,[1]Biogasudbytte!$A$2:$B$18,2,FALSE)*[1]Energiindhold!$C$10,0))*O171</f>
        <v>0.10907038735407407</v>
      </c>
      <c r="R171" s="193">
        <f>IF(A171&lt;&gt;"Biogas",IFERROR(VLOOKUP(A171,[1]Biogasudbytte!$A$2:$B$18,2,FALSE)*[1]Energiindhold!$C$10,0)*J171*IFERROR(VLOOKUP(A171,Biogasanlæg!$F$3:$G$8,2,FALSE),1)+IFERROR(VLOOKUP(A171,[1]Energiindhold!$A$2:$C$11,3,FALSE),0)*L171+IF(D171&lt;&gt;År1,Q171,0),0)</f>
        <v>0.14509686284560222</v>
      </c>
      <c r="S171" s="193">
        <f>IFERROR(VLOOKUP(A171,[1]Biogasudbytte!$A$2:$B$18,2,FALSE)*[1]Energiindhold!$C$10,0)*J171*IFERROR(VLOOKUP(A171,Biogasanlæg!$F$3:$G$8,2,FALSE),1)</f>
        <v>0.14509686284560222</v>
      </c>
      <c r="T171" s="194">
        <f t="shared" si="50"/>
        <v>0</v>
      </c>
      <c r="U171" s="192">
        <f>O171*IFERROR(VLOOKUP(A171,[1]Tørstofindhold!A$2:B$25,2,FALSE),0)</f>
        <v>16375.964438075878</v>
      </c>
      <c r="V171" s="193">
        <f>IF(D171=År1,P171,SUM(O171,P171))*IFERROR(VLOOKUP(A171,[1]Tørstofindhold!A$2:B$25,2,FALSE),0)</f>
        <v>21785.024548619625</v>
      </c>
      <c r="W171" s="193">
        <f>J171*IFERROR(VLOOKUP(A171,[1]Tørstofindhold!A$2:B$25,2,FALSE),0)</f>
        <v>21785.024548619625</v>
      </c>
      <c r="X171" s="194">
        <f t="shared" si="51"/>
        <v>0</v>
      </c>
      <c r="Y171" s="172">
        <f t="shared" si="43"/>
        <v>0</v>
      </c>
      <c r="Z171" s="104">
        <f t="shared" si="44"/>
        <v>1</v>
      </c>
    </row>
    <row r="172" spans="1:26" hidden="1" x14ac:dyDescent="0.55000000000000004">
      <c r="A172" s="195" t="s">
        <v>109</v>
      </c>
      <c r="B172" s="195"/>
      <c r="C172" s="195">
        <f>IF(COUNTIFS('Resultater - Danmark'!$D$3:$D$482,'Resultat-Produktion &amp; forbrug'!A172,'Resultater - Danmark'!$A$3:$A$482,"Til energi")+COUNTIFS('Resultater - Danmark'!$D$3:$D$482,'Resultat-Produktion &amp; forbrug'!A172,'Resultater - Danmark'!$A$3:$A$482,"Biogasanlæg")&gt;0,1,0)</f>
        <v>0</v>
      </c>
      <c r="D172" s="195">
        <f t="shared" si="47"/>
        <v>2019</v>
      </c>
      <c r="E172" s="193" t="s">
        <v>24</v>
      </c>
      <c r="F172" s="196">
        <f>IF(E172="Vestdanmark",SUMIFS(IF(D172=År1,'Resultater - Vestdanmark'!H$3:H$482,IF(D172=År2,'Resultater - Vestdanmark'!I$3:I$482,'Resultater - Vestdanmark'!J$3:J$482)),'Resultater - Vestdanmark'!$F$3:$F$482,$A172,IF(D172=År1,'Resultater - Vestdanmark'!H$3:H$482,IF(D172=År2,'Resultater - Vestdanmark'!I$3:I$482,'Resultater - Vestdanmark'!J$3:J$482)),"&gt;0"),SUMIFS(IF(D172=År1,'Resultater - Østdanmark'!H$3:H$482,IF(D172=År2,'Resultater - Østdanmark'!I$3:I$482,'Resultater - Østdanmark'!J$3:J$482)),'Resultater - Østdanmark'!$F$3:$F$482,$A172,IF(D172=År1,'Resultater - Østdanmark'!H$3:H$482,IF(D172=År2,'Resultater - Østdanmark'!I$3:I$482,'Resultater - Østdanmark'!J$3:J$482)),"&gt;0"))</f>
        <v>115489.08079619991</v>
      </c>
      <c r="G172" s="196">
        <f>SUMIFS('Forbrug af biomasse'!$E$2:$E$425,'Forbrug af biomasse'!$C$2:$C$425,'Resultat-Produktion &amp; forbrug'!$A172,'Forbrug af biomasse'!$D$2:$D$425,'Resultat-Produktion &amp; forbrug'!$D172,'Forbrug af biomasse'!$A$2:$A$425,'Resultat-Produktion &amp; forbrug'!G$2,'Forbrug af biomasse'!$B$2:$B$425,$E172)</f>
        <v>186040.49371289223</v>
      </c>
      <c r="H172" s="193">
        <f>IF(E172="Vestdanmark",-IF(A172="Halm",SUMIFS(IF(D172=År1,'Resultater - Vestdanmark'!H$3:H$482,IF(D172=År2,'Resultater - Vestdanmark'!I$3:I$482,'Resultater - Vestdanmark'!J$3:J$482)),'Resultater - Vestdanmark'!$F$3:$F$482,$A172,'Resultater - Vestdanmark'!H$3:H$482,"&lt;0"),0),-IF(A172="Halm",SUMIFS(IF(D172=År1,'Resultater - Østdanmark'!H$3:H$482,IF(D172=År2,'Resultater - Østdanmark'!I$3:I$482,'Resultater - Østdanmark'!J$3:J$482)),'Resultater - Østdanmark'!$F$3:$F$482,$A172,'Resultater - Østdanmark'!H$3:H$482,"&lt;0"),0))</f>
        <v>0</v>
      </c>
      <c r="I172" s="196">
        <f>SUMIFS('Forbrug af biomasse'!$E$2:$E$425,'Forbrug af biomasse'!$C$2:$C$425,'Resultat-Produktion &amp; forbrug'!$A172,'Forbrug af biomasse'!$D$2:$D$425,'Resultat-Produktion &amp; forbrug'!$D172,'Forbrug af biomasse'!$A$2:$A$425,'Resultat-Produktion &amp; forbrug'!I$2,'Forbrug af biomasse'!$B$2:$B$425,$E172)</f>
        <v>0</v>
      </c>
      <c r="J172" s="196">
        <f>SUMIFS('Forbrug af biomasse'!$E$2:$E$425,'Forbrug af biomasse'!$C$2:$C$425,'Resultat-Produktion &amp; forbrug'!$A172,'Forbrug af biomasse'!$D$2:$D$425,'Resultat-Produktion &amp; forbrug'!$D172,'Forbrug af biomasse'!$A$2:$A$425,'Resultat-Produktion &amp; forbrug'!J$2,'Forbrug af biomasse'!$B$2:$B$425,$E172)</f>
        <v>0</v>
      </c>
      <c r="K172" s="196">
        <f>SUMIFS('Forbrug af biomasse'!$E$2:$E$425,'Forbrug af biomasse'!$C$2:$C$425,'Resultat-Produktion &amp; forbrug'!$A172,'Forbrug af biomasse'!$D$2:$D$425,'Resultat-Produktion &amp; forbrug'!$D172,'Forbrug af biomasse'!$A$2:$A$425,'Resultat-Produktion &amp; forbrug'!K$2,'Forbrug af biomasse'!$B$2:$B$425,$E172)</f>
        <v>0</v>
      </c>
      <c r="L172" s="196">
        <f>IF(A172&lt;&gt;"Biogas",SUMIFS('Forbrug af biomasse'!$E$2:$E$425,'Forbrug af biomasse'!$C$2:$C$425,'Resultat-Produktion &amp; forbrug'!$A172,'Forbrug af biomasse'!$D$2:$D$425,'Resultat-Produktion &amp; forbrug'!$D172,'Forbrug af biomasse'!$A$2:$A$425,'Resultat-Produktion &amp; forbrug'!L$2,'Forbrug af biomasse'!$B$2:$B$425,$E172),F172)</f>
        <v>0</v>
      </c>
      <c r="M172" s="158">
        <f>SUMIFS('Forbrug af biomasse'!E:E,'Forbrug af biomasse'!C:C,'Resultat-Produktion &amp; forbrug'!$A172,'Forbrug af biomasse'!D:D,'Resultat-Produktion &amp; forbrug'!$D172,'Forbrug af biomasse'!G:G,1,'Forbrug af biomasse'!B:B,$E172)</f>
        <v>0</v>
      </c>
      <c r="N172" s="205">
        <f t="shared" si="48"/>
        <v>-70551.412916692323</v>
      </c>
      <c r="O172" s="196">
        <f t="shared" si="39"/>
        <v>0</v>
      </c>
      <c r="P172" s="206">
        <f t="shared" si="49"/>
        <v>0</v>
      </c>
      <c r="Q172" s="193">
        <f>IFERROR(VLOOKUP(A172,[1]Energiindhold!$A$2:$C$11,3,FALSE),IFERROR(VLOOKUP(A172,[1]Biogasudbytte!$A$2:$B$18,2,FALSE)*[1]Energiindhold!$C$10,0))*O172</f>
        <v>0</v>
      </c>
      <c r="R172" s="193">
        <f>IF(A172&lt;&gt;"Biogas",IFERROR(VLOOKUP(A172,[1]Biogasudbytte!$A$2:$B$18,2,FALSE)*[1]Energiindhold!$C$10,0)*J172*IFERROR(VLOOKUP(A172,Biogasanlæg!$F$3:$G$8,2,FALSE),1)+IFERROR(VLOOKUP(A172,[1]Energiindhold!$A$2:$C$11,3,FALSE),0)*L172+IF(D172&lt;&gt;År1,Q172,0),0)</f>
        <v>0</v>
      </c>
      <c r="S172" s="193">
        <f>IFERROR(VLOOKUP(A172,[1]Biogasudbytte!$A$2:$B$18,2,FALSE)*[1]Energiindhold!$C$10,0)*J172*IFERROR(VLOOKUP(A172,Biogasanlæg!$F$3:$G$8,2,FALSE),1)</f>
        <v>0</v>
      </c>
      <c r="T172" s="194">
        <f t="shared" si="50"/>
        <v>0</v>
      </c>
      <c r="U172" s="192">
        <f>O172*IFERROR(VLOOKUP(A172,[1]Tørstofindhold!A$2:B$25,2,FALSE),0)</f>
        <v>0</v>
      </c>
      <c r="V172" s="193">
        <f>IF(D172=År1,P172,SUM(O172,P172))*IFERROR(VLOOKUP(A172,[1]Tørstofindhold!A$2:B$25,2,FALSE),0)</f>
        <v>0</v>
      </c>
      <c r="W172" s="193">
        <f>J172*IFERROR(VLOOKUP(A172,[1]Tørstofindhold!A$2:B$25,2,FALSE),0)</f>
        <v>0</v>
      </c>
      <c r="X172" s="194">
        <f t="shared" si="51"/>
        <v>0</v>
      </c>
      <c r="Y172" s="172">
        <f t="shared" si="43"/>
        <v>0</v>
      </c>
      <c r="Z172" s="104">
        <f t="shared" si="44"/>
        <v>1</v>
      </c>
    </row>
    <row r="173" spans="1:26" hidden="1" x14ac:dyDescent="0.55000000000000004">
      <c r="A173" s="193" t="s">
        <v>53</v>
      </c>
      <c r="B173" s="195" t="s">
        <v>227</v>
      </c>
      <c r="C173" s="195">
        <f>IF(COUNTIFS('Resultater - Danmark'!$D$3:$D$482,'Resultat-Produktion &amp; forbrug'!A173,'Resultater - Danmark'!$A$3:$A$482,"Til energi")+COUNTIFS('Resultater - Danmark'!$D$3:$D$482,'Resultat-Produktion &amp; forbrug'!A173,'Resultater - Danmark'!$A$3:$A$482,"Biogasanlæg")&gt;0,1,0)</f>
        <v>1</v>
      </c>
      <c r="D173" s="195">
        <f t="shared" si="47"/>
        <v>2019</v>
      </c>
      <c r="E173" s="193" t="s">
        <v>24</v>
      </c>
      <c r="F173" s="196">
        <f>IF(E173="Vestdanmark",SUMIFS(IF(D173=År1,'Resultater - Vestdanmark'!H$3:H$482,IF(D173=År2,'Resultater - Vestdanmark'!I$3:I$482,'Resultater - Vestdanmark'!J$3:J$482)),'Resultater - Vestdanmark'!$F$3:$F$482,$A173,IF(D173=År1,'Resultater - Vestdanmark'!H$3:H$482,IF(D173=År2,'Resultater - Vestdanmark'!I$3:I$482,'Resultater - Vestdanmark'!J$3:J$482)),"&gt;0"),SUMIFS(IF(D173=År1,'Resultater - Østdanmark'!H$3:H$482,IF(D173=År2,'Resultater - Østdanmark'!I$3:I$482,'Resultater - Østdanmark'!J$3:J$482)),'Resultater - Østdanmark'!$F$3:$F$482,$A173,IF(D173=År1,'Resultater - Østdanmark'!H$3:H$482,IF(D173=År2,'Resultater - Østdanmark'!I$3:I$482,'Resultater - Østdanmark'!J$3:J$482)),"&gt;0"))</f>
        <v>366156.75807184458</v>
      </c>
      <c r="G173" s="196">
        <f>SUMIFS('Forbrug af biomasse'!$E$2:$E$425,'Forbrug af biomasse'!$C$2:$C$425,'Resultat-Produktion &amp; forbrug'!$A173,'Forbrug af biomasse'!$D$2:$D$425,'Resultat-Produktion &amp; forbrug'!$D173,'Forbrug af biomasse'!$A$2:$A$425,'Resultat-Produktion &amp; forbrug'!G$2,'Forbrug af biomasse'!$B$2:$B$425,$E173)</f>
        <v>694353.2611092875</v>
      </c>
      <c r="H173" s="193">
        <f>IF(E173="Vestdanmark",-IF(A173="Halm",SUMIFS(IF(D173=År1,'Resultater - Vestdanmark'!H$3:H$482,IF(D173=År2,'Resultater - Vestdanmark'!I$3:I$482,'Resultater - Vestdanmark'!J$3:J$482)),'Resultater - Vestdanmark'!$F$3:$F$482,$A173,'Resultater - Vestdanmark'!H$3:H$482,"&lt;0"),0),-IF(A173="Halm",SUMIFS(IF(D173=År1,'Resultater - Østdanmark'!H$3:H$482,IF(D173=År2,'Resultater - Østdanmark'!I$3:I$482,'Resultater - Østdanmark'!J$3:J$482)),'Resultater - Østdanmark'!$F$3:$F$482,$A173,'Resultater - Østdanmark'!H$3:H$482,"&lt;0"),0))</f>
        <v>0</v>
      </c>
      <c r="I173" s="196">
        <f>SUMIFS('Forbrug af biomasse'!$E$2:$E$425,'Forbrug af biomasse'!$C$2:$C$425,'Resultat-Produktion &amp; forbrug'!$A173,'Forbrug af biomasse'!$D$2:$D$425,'Resultat-Produktion &amp; forbrug'!$D173,'Forbrug af biomasse'!$A$2:$A$425,'Resultat-Produktion &amp; forbrug'!I$2,'Forbrug af biomasse'!$B$2:$B$425,$E173)</f>
        <v>0</v>
      </c>
      <c r="J173" s="196">
        <f>SUMIFS('Forbrug af biomasse'!$E$2:$E$425,'Forbrug af biomasse'!$C$2:$C$425,'Resultat-Produktion &amp; forbrug'!$A173,'Forbrug af biomasse'!$D$2:$D$425,'Resultat-Produktion &amp; forbrug'!$D173,'Forbrug af biomasse'!$A$2:$A$425,'Resultat-Produktion &amp; forbrug'!J$2,'Forbrug af biomasse'!$B$2:$B$425,$E173)</f>
        <v>15204.565068438918</v>
      </c>
      <c r="K173" s="196">
        <f>SUMIFS('Forbrug af biomasse'!$E$2:$E$425,'Forbrug af biomasse'!$C$2:$C$425,'Resultat-Produktion &amp; forbrug'!$A173,'Forbrug af biomasse'!$D$2:$D$425,'Resultat-Produktion &amp; forbrug'!$D173,'Forbrug af biomasse'!$A$2:$A$425,'Resultat-Produktion &amp; forbrug'!K$2,'Forbrug af biomasse'!$B$2:$B$425,$E173)</f>
        <v>0</v>
      </c>
      <c r="L173" s="196">
        <f>IF(A173&lt;&gt;"Biogas",SUMIFS('Forbrug af biomasse'!$E$2:$E$425,'Forbrug af biomasse'!$C$2:$C$425,'Resultat-Produktion &amp; forbrug'!$A173,'Forbrug af biomasse'!$D$2:$D$425,'Resultat-Produktion &amp; forbrug'!$D173,'Forbrug af biomasse'!$A$2:$A$425,'Resultat-Produktion &amp; forbrug'!L$2,'Forbrug af biomasse'!$B$2:$B$425,$E173),F173)</f>
        <v>0</v>
      </c>
      <c r="M173" s="158">
        <f>SUMIFS('Forbrug af biomasse'!E:E,'Forbrug af biomasse'!C:C,'Resultat-Produktion &amp; forbrug'!$A173,'Forbrug af biomasse'!D:D,'Resultat-Produktion &amp; forbrug'!$D173,'Forbrug af biomasse'!G:G,1,'Forbrug af biomasse'!B:B,$E173)</f>
        <v>0</v>
      </c>
      <c r="N173" s="205">
        <f t="shared" si="48"/>
        <v>-343401.0681058818</v>
      </c>
      <c r="O173" s="196">
        <f t="shared" si="39"/>
        <v>0</v>
      </c>
      <c r="P173" s="206">
        <f t="shared" si="49"/>
        <v>15204.565068438918</v>
      </c>
      <c r="Q173" s="193">
        <f>IFERROR(VLOOKUP(A173,[1]Energiindhold!$A$2:$C$11,3,FALSE),IFERROR(VLOOKUP(A173,[1]Biogasudbytte!$A$2:$B$18,2,FALSE)*[1]Energiindhold!$C$10,0))*O173</f>
        <v>0</v>
      </c>
      <c r="R173" s="193">
        <f>IF(A173&lt;&gt;"Biogas",IFERROR(VLOOKUP(A173,[1]Biogasudbytte!$A$2:$B$18,2,FALSE)*[1]Energiindhold!$C$10,0)*J173*IFERROR(VLOOKUP(A173,Biogasanlæg!$F$3:$G$8,2,FALSE),1)+IFERROR(VLOOKUP(A173,[1]Energiindhold!$A$2:$C$11,3,FALSE),0)*L173+IF(D173&lt;&gt;År1,Q173,0),0)</f>
        <v>5.4584388595695719E-2</v>
      </c>
      <c r="S173" s="193">
        <f>IFERROR(VLOOKUP(A173,[1]Biogasudbytte!$A$2:$B$18,2,FALSE)*[1]Energiindhold!$C$10,0)*J173*IFERROR(VLOOKUP(A173,Biogasanlæg!$F$3:$G$8,2,FALSE),1)</f>
        <v>5.4584388595695719E-2</v>
      </c>
      <c r="T173" s="194">
        <f t="shared" si="50"/>
        <v>0</v>
      </c>
      <c r="U173" s="192">
        <f>O173*IFERROR(VLOOKUP(A173,[1]Tørstofindhold!A$2:B$25,2,FALSE),0)</f>
        <v>0</v>
      </c>
      <c r="V173" s="193">
        <f>IF(D173=År1,P173,SUM(O173,P173))*IFERROR(VLOOKUP(A173,[1]Tørstofindhold!A$2:B$25,2,FALSE),0)</f>
        <v>4561.3695205316753</v>
      </c>
      <c r="W173" s="193">
        <f>J173*IFERROR(VLOOKUP(A173,[1]Tørstofindhold!A$2:B$25,2,FALSE),0)</f>
        <v>4561.3695205316753</v>
      </c>
      <c r="X173" s="194">
        <f t="shared" si="51"/>
        <v>0</v>
      </c>
      <c r="Y173" s="172">
        <f t="shared" si="43"/>
        <v>0</v>
      </c>
      <c r="Z173" s="104">
        <f t="shared" si="44"/>
        <v>1</v>
      </c>
    </row>
    <row r="174" spans="1:26" hidden="1" x14ac:dyDescent="0.55000000000000004">
      <c r="A174" s="195" t="s">
        <v>117</v>
      </c>
      <c r="B174" s="195"/>
      <c r="C174" s="195">
        <f>IF(COUNTIFS('Resultater - Danmark'!$D$3:$D$482,'Resultat-Produktion &amp; forbrug'!A174,'Resultater - Danmark'!$A$3:$A$482,"Til energi")+COUNTIFS('Resultater - Danmark'!$D$3:$D$482,'Resultat-Produktion &amp; forbrug'!A174,'Resultater - Danmark'!$A$3:$A$482,"Biogasanlæg")&gt;0,1,0)</f>
        <v>0</v>
      </c>
      <c r="D174" s="195">
        <f t="shared" si="47"/>
        <v>2019</v>
      </c>
      <c r="E174" s="193" t="s">
        <v>24</v>
      </c>
      <c r="F174" s="196">
        <f>IF(E174="Vestdanmark",SUMIFS(IF(D174=År1,'Resultater - Vestdanmark'!H$3:H$482,IF(D174=År2,'Resultater - Vestdanmark'!I$3:I$482,'Resultater - Vestdanmark'!J$3:J$482)),'Resultater - Vestdanmark'!$F$3:$F$482,$A174,IF(D174=År1,'Resultater - Vestdanmark'!H$3:H$482,IF(D174=År2,'Resultater - Vestdanmark'!I$3:I$482,'Resultater - Vestdanmark'!J$3:J$482)),"&gt;0"),SUMIFS(IF(D174=År1,'Resultater - Østdanmark'!H$3:H$482,IF(D174=År2,'Resultater - Østdanmark'!I$3:I$482,'Resultater - Østdanmark'!J$3:J$482)),'Resultater - Østdanmark'!$F$3:$F$482,$A174,IF(D174=År1,'Resultater - Østdanmark'!H$3:H$482,IF(D174=År2,'Resultater - Østdanmark'!I$3:I$482,'Resultater - Østdanmark'!J$3:J$482)),"&gt;0"))</f>
        <v>222833.98833453824</v>
      </c>
      <c r="G174" s="196">
        <f>SUMIFS('Forbrug af biomasse'!$E$2:$E$425,'Forbrug af biomasse'!$C$2:$C$425,'Resultat-Produktion &amp; forbrug'!$A174,'Forbrug af biomasse'!$D$2:$D$425,'Resultat-Produktion &amp; forbrug'!$D174,'Forbrug af biomasse'!$A$2:$A$425,'Resultat-Produktion &amp; forbrug'!G$2,'Forbrug af biomasse'!$B$2:$B$425,$E174)</f>
        <v>0</v>
      </c>
      <c r="H174" s="193">
        <f>IF(E174="Vestdanmark",-IF(A174="Halm",SUMIFS(IF(D174=År1,'Resultater - Vestdanmark'!H$3:H$482,IF(D174=År2,'Resultater - Vestdanmark'!I$3:I$482,'Resultater - Vestdanmark'!J$3:J$482)),'Resultater - Vestdanmark'!$F$3:$F$482,$A174,'Resultater - Vestdanmark'!H$3:H$482,"&lt;0"),0),-IF(A174="Halm",SUMIFS(IF(D174=År1,'Resultater - Østdanmark'!H$3:H$482,IF(D174=År2,'Resultater - Østdanmark'!I$3:I$482,'Resultater - Østdanmark'!J$3:J$482)),'Resultater - Østdanmark'!$F$3:$F$482,$A174,'Resultater - Østdanmark'!H$3:H$482,"&lt;0"),0))</f>
        <v>0</v>
      </c>
      <c r="I174" s="196">
        <f>SUMIFS('Forbrug af biomasse'!$E$2:$E$425,'Forbrug af biomasse'!$C$2:$C$425,'Resultat-Produktion &amp; forbrug'!$A174,'Forbrug af biomasse'!$D$2:$D$425,'Resultat-Produktion &amp; forbrug'!$D174,'Forbrug af biomasse'!$A$2:$A$425,'Resultat-Produktion &amp; forbrug'!I$2,'Forbrug af biomasse'!$B$2:$B$425,$E174)</f>
        <v>389767.86287629709</v>
      </c>
      <c r="J174" s="196">
        <f>SUMIFS('Forbrug af biomasse'!$E$2:$E$425,'Forbrug af biomasse'!$C$2:$C$425,'Resultat-Produktion &amp; forbrug'!$A174,'Forbrug af biomasse'!$D$2:$D$425,'Resultat-Produktion &amp; forbrug'!$D174,'Forbrug af biomasse'!$A$2:$A$425,'Resultat-Produktion &amp; forbrug'!J$2,'Forbrug af biomasse'!$B$2:$B$425,$E174)</f>
        <v>0</v>
      </c>
      <c r="K174" s="196">
        <f>SUMIFS('Forbrug af biomasse'!$E$2:$E$425,'Forbrug af biomasse'!$C$2:$C$425,'Resultat-Produktion &amp; forbrug'!$A174,'Forbrug af biomasse'!$D$2:$D$425,'Resultat-Produktion &amp; forbrug'!$D174,'Forbrug af biomasse'!$A$2:$A$425,'Resultat-Produktion &amp; forbrug'!K$2,'Forbrug af biomasse'!$B$2:$B$425,$E174)</f>
        <v>0</v>
      </c>
      <c r="L174" s="196">
        <f>IF(A174&lt;&gt;"Biogas",SUMIFS('Forbrug af biomasse'!$E$2:$E$425,'Forbrug af biomasse'!$C$2:$C$425,'Resultat-Produktion &amp; forbrug'!$A174,'Forbrug af biomasse'!$D$2:$D$425,'Resultat-Produktion &amp; forbrug'!$D174,'Forbrug af biomasse'!$A$2:$A$425,'Resultat-Produktion &amp; forbrug'!L$2,'Forbrug af biomasse'!$B$2:$B$425,$E174),F174)</f>
        <v>0</v>
      </c>
      <c r="M174" s="158">
        <f>SUMIFS('Forbrug af biomasse'!E:E,'Forbrug af biomasse'!C:C,'Resultat-Produktion &amp; forbrug'!$A174,'Forbrug af biomasse'!D:D,'Resultat-Produktion &amp; forbrug'!$D174,'Forbrug af biomasse'!G:G,1,'Forbrug af biomasse'!B:B,$E174)</f>
        <v>0</v>
      </c>
      <c r="N174" s="205">
        <f t="shared" si="48"/>
        <v>-166933.87454175885</v>
      </c>
      <c r="O174" s="196">
        <f t="shared" si="39"/>
        <v>0</v>
      </c>
      <c r="P174" s="206">
        <f t="shared" si="49"/>
        <v>0</v>
      </c>
      <c r="Q174" s="193">
        <f>IFERROR(VLOOKUP(A174,[1]Energiindhold!$A$2:$C$11,3,FALSE),IFERROR(VLOOKUP(A174,[1]Biogasudbytte!$A$2:$B$18,2,FALSE)*[1]Energiindhold!$C$10,0))*O174</f>
        <v>0</v>
      </c>
      <c r="R174" s="193">
        <f>IF(A174&lt;&gt;"Biogas",IFERROR(VLOOKUP(A174,[1]Biogasudbytte!$A$2:$B$18,2,FALSE)*[1]Energiindhold!$C$10,0)*J174*IFERROR(VLOOKUP(A174,Biogasanlæg!$F$3:$G$8,2,FALSE),1)+IFERROR(VLOOKUP(A174,[1]Energiindhold!$A$2:$C$11,3,FALSE),0)*L174+IF(D174&lt;&gt;År1,Q174,0),0)</f>
        <v>0</v>
      </c>
      <c r="S174" s="193">
        <f>IFERROR(VLOOKUP(A174,[1]Biogasudbytte!$A$2:$B$18,2,FALSE)*[1]Energiindhold!$C$10,0)*J174*IFERROR(VLOOKUP(A174,Biogasanlæg!$F$3:$G$8,2,FALSE),1)</f>
        <v>0</v>
      </c>
      <c r="T174" s="194">
        <f t="shared" si="50"/>
        <v>0</v>
      </c>
      <c r="U174" s="192">
        <f>O174*IFERROR(VLOOKUP(A174,[1]Tørstofindhold!A$2:B$25,2,FALSE),0)</f>
        <v>0</v>
      </c>
      <c r="V174" s="193">
        <f>IF(D174=År1,P174,SUM(O174,P174))*IFERROR(VLOOKUP(A174,[1]Tørstofindhold!A$2:B$25,2,FALSE),0)</f>
        <v>0</v>
      </c>
      <c r="W174" s="193">
        <f>J174*IFERROR(VLOOKUP(A174,[1]Tørstofindhold!A$2:B$25,2,FALSE),0)</f>
        <v>0</v>
      </c>
      <c r="X174" s="194">
        <f t="shared" si="51"/>
        <v>0</v>
      </c>
      <c r="Y174" s="172">
        <f t="shared" si="43"/>
        <v>0</v>
      </c>
      <c r="Z174" s="104">
        <f t="shared" si="44"/>
        <v>1</v>
      </c>
    </row>
    <row r="175" spans="1:26" x14ac:dyDescent="0.55000000000000004">
      <c r="A175" s="195" t="s">
        <v>107</v>
      </c>
      <c r="B175" s="195" t="s">
        <v>229</v>
      </c>
      <c r="C175" s="195">
        <f>IF(COUNTIFS('Resultater - Danmark'!$D$3:$D$482,'Resultat-Produktion &amp; forbrug'!A175,'Resultater - Danmark'!$A$3:$A$482,"Til energi")+COUNTIFS('Resultater - Danmark'!$D$3:$D$482,'Resultat-Produktion &amp; forbrug'!A175,'Resultater - Danmark'!$A$3:$A$482,"Biogasanlæg")&gt;0,1,0)</f>
        <v>1</v>
      </c>
      <c r="D175" s="195">
        <f t="shared" si="47"/>
        <v>2019</v>
      </c>
      <c r="E175" s="193" t="s">
        <v>24</v>
      </c>
      <c r="F175" s="196">
        <f>IF(E175="Vestdanmark",SUMIFS(IF(D175=År1,'Resultater - Vestdanmark'!H$3:H$482,IF(D175=År2,'Resultater - Vestdanmark'!I$3:I$482,'Resultater - Vestdanmark'!J$3:J$482)),'Resultater - Vestdanmark'!$F$3:$F$482,$A175,IF(D175=År1,'Resultater - Vestdanmark'!H$3:H$482,IF(D175=År2,'Resultater - Vestdanmark'!I$3:I$482,'Resultater - Vestdanmark'!J$3:J$482)),"&gt;0"),SUMIFS(IF(D175=År1,'Resultater - Østdanmark'!H$3:H$482,IF(D175=År2,'Resultater - Østdanmark'!I$3:I$482,'Resultater - Østdanmark'!J$3:J$482)),'Resultater - Østdanmark'!$F$3:$F$482,$A175,IF(D175=År1,'Resultater - Østdanmark'!H$3:H$482,IF(D175=År2,'Resultater - Østdanmark'!I$3:I$482,'Resultater - Østdanmark'!J$3:J$482)),"&gt;0"))</f>
        <v>1.1976865502381491</v>
      </c>
      <c r="G175" s="196">
        <f>SUMIFS('Forbrug af biomasse'!$E$2:$E$425,'Forbrug af biomasse'!$C$2:$C$425,'Resultat-Produktion &amp; forbrug'!$A175,'Forbrug af biomasse'!$D$2:$D$425,'Resultat-Produktion &amp; forbrug'!$D175,'Forbrug af biomasse'!$A$2:$A$425,'Resultat-Produktion &amp; forbrug'!G$2,'Forbrug af biomasse'!$B$2:$B$425,$E175)</f>
        <v>0</v>
      </c>
      <c r="H175" s="193">
        <f>IF(E175="Vestdanmark",-IF(A175="Halm",SUMIFS(IF(D175=År1,'Resultater - Vestdanmark'!H$3:H$482,IF(D175=År2,'Resultater - Vestdanmark'!I$3:I$482,'Resultater - Vestdanmark'!J$3:J$482)),'Resultater - Vestdanmark'!$F$3:$F$482,$A175,'Resultater - Vestdanmark'!H$3:H$482,"&lt;0"),0),-IF(A175="Halm",SUMIFS(IF(D175=År1,'Resultater - Østdanmark'!H$3:H$482,IF(D175=År2,'Resultater - Østdanmark'!I$3:I$482,'Resultater - Østdanmark'!J$3:J$482)),'Resultater - Østdanmark'!$F$3:$F$482,$A175,'Resultater - Østdanmark'!H$3:H$482,"&lt;0"),0))</f>
        <v>0</v>
      </c>
      <c r="I175" s="196">
        <f>SUMIFS('Forbrug af biomasse'!$E$2:$E$425,'Forbrug af biomasse'!$C$2:$C$425,'Resultat-Produktion &amp; forbrug'!$A175,'Forbrug af biomasse'!$D$2:$D$425,'Resultat-Produktion &amp; forbrug'!$D175,'Forbrug af biomasse'!$A$2:$A$425,'Resultat-Produktion &amp; forbrug'!I$2,'Forbrug af biomasse'!$B$2:$B$425,$E175)</f>
        <v>0</v>
      </c>
      <c r="J175" s="196">
        <f>SUMIFS('Forbrug af biomasse'!$E$2:$E$425,'Forbrug af biomasse'!$C$2:$C$425,'Resultat-Produktion &amp; forbrug'!$A175,'Forbrug af biomasse'!$D$2:$D$425,'Resultat-Produktion &amp; forbrug'!$D175,'Forbrug af biomasse'!$A$2:$A$425,'Resultat-Produktion &amp; forbrug'!J$2,'Forbrug af biomasse'!$B$2:$B$425,$E175)</f>
        <v>0</v>
      </c>
      <c r="K175" s="196">
        <f>SUMIFS('Forbrug af biomasse'!$E$2:$E$425,'Forbrug af biomasse'!$C$2:$C$425,'Resultat-Produktion &amp; forbrug'!$A175,'Forbrug af biomasse'!$D$2:$D$425,'Resultat-Produktion &amp; forbrug'!$D175,'Forbrug af biomasse'!$A$2:$A$425,'Resultat-Produktion &amp; forbrug'!K$2,'Forbrug af biomasse'!$B$2:$B$425,$E175)</f>
        <v>0</v>
      </c>
      <c r="L175" s="196">
        <f>IF(A175&lt;&gt;"Biogas",SUMIFS('Forbrug af biomasse'!$E$2:$E$425,'Forbrug af biomasse'!$C$2:$C$425,'Resultat-Produktion &amp; forbrug'!$A175,'Forbrug af biomasse'!$D$2:$D$425,'Resultat-Produktion &amp; forbrug'!$D175,'Forbrug af biomasse'!$A$2:$A$425,'Resultat-Produktion &amp; forbrug'!L$2,'Forbrug af biomasse'!$B$2:$B$425,$E175),F175)</f>
        <v>0</v>
      </c>
      <c r="M175" s="158">
        <f>SUMIFS('Forbrug af biomasse'!E:E,'Forbrug af biomasse'!C:C,'Resultat-Produktion &amp; forbrug'!$A175,'Forbrug af biomasse'!D:D,'Resultat-Produktion &amp; forbrug'!$D175,'Forbrug af biomasse'!G:G,1,'Forbrug af biomasse'!B:B,$E175)</f>
        <v>0</v>
      </c>
      <c r="N175" s="205">
        <f t="shared" si="48"/>
        <v>1.1976865502381491</v>
      </c>
      <c r="O175" s="196">
        <f t="shared" si="39"/>
        <v>1.1976865502381491</v>
      </c>
      <c r="P175" s="206">
        <f t="shared" si="49"/>
        <v>0</v>
      </c>
      <c r="Q175" s="193">
        <f>IFERROR(VLOOKUP(A175,[1]Energiindhold!$A$2:$C$11,3,FALSE),IFERROR(VLOOKUP(A175,[1]Biogasudbytte!$A$2:$B$18,2,FALSE)*[1]Energiindhold!$C$10,0))*O175</f>
        <v>1.0749236788387388E-6</v>
      </c>
      <c r="R175" s="193">
        <f>IF(A175&lt;&gt;"Biogas",IFERROR(VLOOKUP(A175,[1]Biogasudbytte!$A$2:$B$18,2,FALSE)*[1]Energiindhold!$C$10,0)*J175*IFERROR(VLOOKUP(A175,Biogasanlæg!$F$3:$G$8,2,FALSE),1)+IFERROR(VLOOKUP(A175,[1]Energiindhold!$A$2:$C$11,3,FALSE),0)*L175+IF(D175&lt;&gt;År1,Q175,0),0)</f>
        <v>0</v>
      </c>
      <c r="S175" s="193">
        <f>IFERROR(VLOOKUP(A175,[1]Biogasudbytte!$A$2:$B$18,2,FALSE)*[1]Energiindhold!$C$10,0)*J175*IFERROR(VLOOKUP(A175,Biogasanlæg!$F$3:$G$8,2,FALSE),1)</f>
        <v>0</v>
      </c>
      <c r="T175" s="194">
        <f t="shared" si="50"/>
        <v>0</v>
      </c>
      <c r="U175" s="192">
        <f>O175*IFERROR(VLOOKUP(A175,[1]Tørstofindhold!A$2:B$25,2,FALSE),0)</f>
        <v>0.17965298253572234</v>
      </c>
      <c r="V175" s="193">
        <f>IF(D175=År1,P175,SUM(O175,P175))*IFERROR(VLOOKUP(A175,[1]Tørstofindhold!A$2:B$25,2,FALSE),0)</f>
        <v>0</v>
      </c>
      <c r="W175" s="193">
        <f>J175*IFERROR(VLOOKUP(A175,[1]Tørstofindhold!A$2:B$25,2,FALSE),0)</f>
        <v>0</v>
      </c>
      <c r="X175" s="194">
        <f t="shared" si="51"/>
        <v>0</v>
      </c>
      <c r="Y175" s="172">
        <f t="shared" si="43"/>
        <v>0</v>
      </c>
      <c r="Z175" s="104">
        <f t="shared" si="44"/>
        <v>1</v>
      </c>
    </row>
    <row r="176" spans="1:26" hidden="1" x14ac:dyDescent="0.55000000000000004">
      <c r="A176" s="195" t="s">
        <v>14</v>
      </c>
      <c r="B176" s="195"/>
      <c r="C176" s="195">
        <f>IF(COUNTIFS('Resultater - Danmark'!$D$3:$D$482,'Resultat-Produktion &amp; forbrug'!A176,'Resultater - Danmark'!$A$3:$A$482,"Til energi")+COUNTIFS('Resultater - Danmark'!$D$3:$D$482,'Resultat-Produktion &amp; forbrug'!A176,'Resultater - Danmark'!$A$3:$A$482,"Biogasanlæg")&gt;0,1,0)</f>
        <v>0</v>
      </c>
      <c r="D176" s="195">
        <f t="shared" si="47"/>
        <v>2019</v>
      </c>
      <c r="E176" s="193" t="s">
        <v>24</v>
      </c>
      <c r="F176" s="196">
        <f>IF(E176="Vestdanmark",SUMIFS(IF(D176=År1,'Resultater - Vestdanmark'!H$3:H$482,IF(D176=År2,'Resultater - Vestdanmark'!I$3:I$482,'Resultater - Vestdanmark'!J$3:J$482)),'Resultater - Vestdanmark'!$F$3:$F$482,$A176,IF(D176=År1,'Resultater - Vestdanmark'!H$3:H$482,IF(D176=År2,'Resultater - Vestdanmark'!I$3:I$482,'Resultater - Vestdanmark'!J$3:J$482)),"&gt;0"),SUMIFS(IF(D176=År1,'Resultater - Østdanmark'!H$3:H$482,IF(D176=År2,'Resultater - Østdanmark'!I$3:I$482,'Resultater - Østdanmark'!J$3:J$482)),'Resultater - Østdanmark'!$F$3:$F$482,$A176,IF(D176=År1,'Resultater - Østdanmark'!H$3:H$482,IF(D176=År2,'Resultater - Østdanmark'!I$3:I$482,'Resultater - Østdanmark'!J$3:J$482)),"&gt;0"))</f>
        <v>7577.0634215631153</v>
      </c>
      <c r="G176" s="196">
        <f>SUMIFS('Forbrug af biomasse'!$E$2:$E$425,'Forbrug af biomasse'!$C$2:$C$425,'Resultat-Produktion &amp; forbrug'!$A176,'Forbrug af biomasse'!$D$2:$D$425,'Resultat-Produktion &amp; forbrug'!$D176,'Forbrug af biomasse'!$A$2:$A$425,'Resultat-Produktion &amp; forbrug'!G$2,'Forbrug af biomasse'!$B$2:$B$425,$E176)</f>
        <v>0</v>
      </c>
      <c r="H176" s="193">
        <f>IF(E176="Vestdanmark",-IF(A176="Halm",SUMIFS(IF(D176=År1,'Resultater - Vestdanmark'!H$3:H$482,IF(D176=År2,'Resultater - Vestdanmark'!I$3:I$482,'Resultater - Vestdanmark'!J$3:J$482)),'Resultater - Vestdanmark'!$F$3:$F$482,$A176,'Resultater - Vestdanmark'!H$3:H$482,"&lt;0"),0),-IF(A176="Halm",SUMIFS(IF(D176=År1,'Resultater - Østdanmark'!H$3:H$482,IF(D176=År2,'Resultater - Østdanmark'!I$3:I$482,'Resultater - Østdanmark'!J$3:J$482)),'Resultater - Østdanmark'!$F$3:$F$482,$A176,'Resultater - Østdanmark'!H$3:H$482,"&lt;0"),0))</f>
        <v>0</v>
      </c>
      <c r="I176" s="196">
        <f>SUMIFS('Forbrug af biomasse'!$E$2:$E$425,'Forbrug af biomasse'!$C$2:$C$425,'Resultat-Produktion &amp; forbrug'!$A176,'Forbrug af biomasse'!$D$2:$D$425,'Resultat-Produktion &amp; forbrug'!$D176,'Forbrug af biomasse'!$A$2:$A$425,'Resultat-Produktion &amp; forbrug'!I$2,'Forbrug af biomasse'!$B$2:$B$425,$E176)</f>
        <v>49527.399127557059</v>
      </c>
      <c r="J176" s="196">
        <f>SUMIFS('Forbrug af biomasse'!$E$2:$E$425,'Forbrug af biomasse'!$C$2:$C$425,'Resultat-Produktion &amp; forbrug'!$A176,'Forbrug af biomasse'!$D$2:$D$425,'Resultat-Produktion &amp; forbrug'!$D176,'Forbrug af biomasse'!$A$2:$A$425,'Resultat-Produktion &amp; forbrug'!J$2,'Forbrug af biomasse'!$B$2:$B$425,$E176)</f>
        <v>0</v>
      </c>
      <c r="K176" s="196">
        <f>SUMIFS('Forbrug af biomasse'!$E$2:$E$425,'Forbrug af biomasse'!$C$2:$C$425,'Resultat-Produktion &amp; forbrug'!$A176,'Forbrug af biomasse'!$D$2:$D$425,'Resultat-Produktion &amp; forbrug'!$D176,'Forbrug af biomasse'!$A$2:$A$425,'Resultat-Produktion &amp; forbrug'!K$2,'Forbrug af biomasse'!$B$2:$B$425,$E176)</f>
        <v>0</v>
      </c>
      <c r="L176" s="196">
        <f>IF(A176&lt;&gt;"Biogas",SUMIFS('Forbrug af biomasse'!$E$2:$E$425,'Forbrug af biomasse'!$C$2:$C$425,'Resultat-Produktion &amp; forbrug'!$A176,'Forbrug af biomasse'!$D$2:$D$425,'Resultat-Produktion &amp; forbrug'!$D176,'Forbrug af biomasse'!$A$2:$A$425,'Resultat-Produktion &amp; forbrug'!L$2,'Forbrug af biomasse'!$B$2:$B$425,$E176),F176)</f>
        <v>0</v>
      </c>
      <c r="M176" s="158">
        <f>SUMIFS('Forbrug af biomasse'!E:E,'Forbrug af biomasse'!C:C,'Resultat-Produktion &amp; forbrug'!$A176,'Forbrug af biomasse'!D:D,'Resultat-Produktion &amp; forbrug'!$D176,'Forbrug af biomasse'!G:G,1,'Forbrug af biomasse'!B:B,$E176)</f>
        <v>0</v>
      </c>
      <c r="N176" s="205">
        <f t="shared" si="48"/>
        <v>-41950.335705993944</v>
      </c>
      <c r="O176" s="196">
        <f t="shared" si="39"/>
        <v>0</v>
      </c>
      <c r="P176" s="206">
        <f t="shared" si="49"/>
        <v>0</v>
      </c>
      <c r="Q176" s="193">
        <f>IFERROR(VLOOKUP(A176,[1]Energiindhold!$A$2:$C$11,3,FALSE),IFERROR(VLOOKUP(A176,[1]Biogasudbytte!$A$2:$B$18,2,FALSE)*[1]Energiindhold!$C$10,0))*O176</f>
        <v>0</v>
      </c>
      <c r="R176" s="193">
        <f>IF(A176&lt;&gt;"Biogas",IFERROR(VLOOKUP(A176,[1]Biogasudbytte!$A$2:$B$18,2,FALSE)*[1]Energiindhold!$C$10,0)*J176*IFERROR(VLOOKUP(A176,Biogasanlæg!$F$3:$G$8,2,FALSE),1)+IFERROR(VLOOKUP(A176,[1]Energiindhold!$A$2:$C$11,3,FALSE),0)*L176+IF(D176&lt;&gt;År1,Q176,0),0)</f>
        <v>0</v>
      </c>
      <c r="S176" s="193">
        <f>IFERROR(VLOOKUP(A176,[1]Biogasudbytte!$A$2:$B$18,2,FALSE)*[1]Energiindhold!$C$10,0)*J176*IFERROR(VLOOKUP(A176,Biogasanlæg!$F$3:$G$8,2,FALSE),1)</f>
        <v>0</v>
      </c>
      <c r="T176" s="194">
        <f t="shared" si="50"/>
        <v>0</v>
      </c>
      <c r="U176" s="192">
        <f>O176*IFERROR(VLOOKUP(A176,[1]Tørstofindhold!A$2:B$25,2,FALSE),0)</f>
        <v>0</v>
      </c>
      <c r="V176" s="193">
        <f>IF(D176=År1,P176,SUM(O176,P176))*IFERROR(VLOOKUP(A176,[1]Tørstofindhold!A$2:B$25,2,FALSE),0)</f>
        <v>0</v>
      </c>
      <c r="W176" s="193">
        <f>J176*IFERROR(VLOOKUP(A176,[1]Tørstofindhold!A$2:B$25,2,FALSE),0)</f>
        <v>0</v>
      </c>
      <c r="X176" s="194">
        <f t="shared" si="51"/>
        <v>0</v>
      </c>
      <c r="Y176" s="172">
        <f t="shared" si="43"/>
        <v>0</v>
      </c>
      <c r="Z176" s="104">
        <f t="shared" si="44"/>
        <v>1</v>
      </c>
    </row>
    <row r="177" spans="1:26" hidden="1" x14ac:dyDescent="0.55000000000000004">
      <c r="A177" s="195" t="s">
        <v>55</v>
      </c>
      <c r="B177" s="195"/>
      <c r="C177" s="195">
        <f>IF(COUNTIFS('Resultater - Danmark'!$D$3:$D$482,'Resultat-Produktion &amp; forbrug'!A177,'Resultater - Danmark'!$A$3:$A$482,"Til energi")+COUNTIFS('Resultater - Danmark'!$D$3:$D$482,'Resultat-Produktion &amp; forbrug'!A177,'Resultater - Danmark'!$A$3:$A$482,"Biogasanlæg")&gt;0,1,0)</f>
        <v>0</v>
      </c>
      <c r="D177" s="195">
        <f t="shared" si="47"/>
        <v>2019</v>
      </c>
      <c r="E177" s="193" t="s">
        <v>24</v>
      </c>
      <c r="F177" s="196">
        <f>IF(E177="Vestdanmark",SUMIFS(IF(D177=År1,'Resultater - Vestdanmark'!H$3:H$482,IF(D177=År2,'Resultater - Vestdanmark'!I$3:I$482,'Resultater - Vestdanmark'!J$3:J$482)),'Resultater - Vestdanmark'!$F$3:$F$482,$A177,IF(D177=År1,'Resultater - Vestdanmark'!H$3:H$482,IF(D177=År2,'Resultater - Vestdanmark'!I$3:I$482,'Resultater - Vestdanmark'!J$3:J$482)),"&gt;0"),SUMIFS(IF(D177=År1,'Resultater - Østdanmark'!H$3:H$482,IF(D177=År2,'Resultater - Østdanmark'!I$3:I$482,'Resultater - Østdanmark'!J$3:J$482)),'Resultater - Østdanmark'!$F$3:$F$482,$A177,IF(D177=År1,'Resultater - Østdanmark'!H$3:H$482,IF(D177=År2,'Resultater - Østdanmark'!I$3:I$482,'Resultater - Østdanmark'!J$3:J$482)),"&gt;0"))</f>
        <v>396057.87190930446</v>
      </c>
      <c r="G177" s="196">
        <f>SUMIFS('Forbrug af biomasse'!$E$2:$E$425,'Forbrug af biomasse'!$C$2:$C$425,'Resultat-Produktion &amp; forbrug'!$A177,'Forbrug af biomasse'!$D$2:$D$425,'Resultat-Produktion &amp; forbrug'!$D177,'Forbrug af biomasse'!$A$2:$A$425,'Resultat-Produktion &amp; forbrug'!G$2,'Forbrug af biomasse'!$B$2:$B$425,$E177)</f>
        <v>0</v>
      </c>
      <c r="H177" s="193">
        <f>IF(E177="Vestdanmark",-IF(A177="Halm",SUMIFS(IF(D177=År1,'Resultater - Vestdanmark'!H$3:H$482,IF(D177=År2,'Resultater - Vestdanmark'!I$3:I$482,'Resultater - Vestdanmark'!J$3:J$482)),'Resultater - Vestdanmark'!$F$3:$F$482,$A177,'Resultater - Vestdanmark'!H$3:H$482,"&lt;0"),0),-IF(A177="Halm",SUMIFS(IF(D177=År1,'Resultater - Østdanmark'!H$3:H$482,IF(D177=År2,'Resultater - Østdanmark'!I$3:I$482,'Resultater - Østdanmark'!J$3:J$482)),'Resultater - Østdanmark'!$F$3:$F$482,$A177,'Resultater - Østdanmark'!H$3:H$482,"&lt;0"),0))</f>
        <v>0</v>
      </c>
      <c r="I177" s="196">
        <f>SUMIFS('Forbrug af biomasse'!$E$2:$E$425,'Forbrug af biomasse'!$C$2:$C$425,'Resultat-Produktion &amp; forbrug'!$A177,'Forbrug af biomasse'!$D$2:$D$425,'Resultat-Produktion &amp; forbrug'!$D177,'Forbrug af biomasse'!$A$2:$A$425,'Resultat-Produktion &amp; forbrug'!I$2,'Forbrug af biomasse'!$B$2:$B$425,$E177)</f>
        <v>0</v>
      </c>
      <c r="J177" s="196">
        <f>SUMIFS('Forbrug af biomasse'!$E$2:$E$425,'Forbrug af biomasse'!$C$2:$C$425,'Resultat-Produktion &amp; forbrug'!$A177,'Forbrug af biomasse'!$D$2:$D$425,'Resultat-Produktion &amp; forbrug'!$D177,'Forbrug af biomasse'!$A$2:$A$425,'Resultat-Produktion &amp; forbrug'!J$2,'Forbrug af biomasse'!$B$2:$B$425,$E177)</f>
        <v>0</v>
      </c>
      <c r="K177" s="196">
        <f>SUMIFS('Forbrug af biomasse'!$E$2:$E$425,'Forbrug af biomasse'!$C$2:$C$425,'Resultat-Produktion &amp; forbrug'!$A177,'Forbrug af biomasse'!$D$2:$D$425,'Resultat-Produktion &amp; forbrug'!$D177,'Forbrug af biomasse'!$A$2:$A$425,'Resultat-Produktion &amp; forbrug'!K$2,'Forbrug af biomasse'!$B$2:$B$425,$E177)</f>
        <v>0</v>
      </c>
      <c r="L177" s="196">
        <f>IF(A177&lt;&gt;"Biogas",SUMIFS('Forbrug af biomasse'!$E$2:$E$425,'Forbrug af biomasse'!$C$2:$C$425,'Resultat-Produktion &amp; forbrug'!$A177,'Forbrug af biomasse'!$D$2:$D$425,'Resultat-Produktion &amp; forbrug'!$D177,'Forbrug af biomasse'!$A$2:$A$425,'Resultat-Produktion &amp; forbrug'!L$2,'Forbrug af biomasse'!$B$2:$B$425,$E177),F177)</f>
        <v>0</v>
      </c>
      <c r="M177" s="158">
        <f>SUMIFS('Forbrug af biomasse'!E:E,'Forbrug af biomasse'!C:C,'Resultat-Produktion &amp; forbrug'!$A177,'Forbrug af biomasse'!D:D,'Resultat-Produktion &amp; forbrug'!$D177,'Forbrug af biomasse'!G:G,1,'Forbrug af biomasse'!B:B,$E177)</f>
        <v>0</v>
      </c>
      <c r="N177" s="205">
        <f t="shared" si="48"/>
        <v>396057.87190930446</v>
      </c>
      <c r="O177" s="196">
        <f t="shared" si="39"/>
        <v>0</v>
      </c>
      <c r="P177" s="206">
        <f t="shared" si="49"/>
        <v>0</v>
      </c>
      <c r="Q177" s="193">
        <f>IFERROR(VLOOKUP(A177,[1]Energiindhold!$A$2:$C$11,3,FALSE),IFERROR(VLOOKUP(A177,[1]Biogasudbytte!$A$2:$B$18,2,FALSE)*[1]Energiindhold!$C$10,0))*O177</f>
        <v>0</v>
      </c>
      <c r="R177" s="193">
        <f>IF(A177&lt;&gt;"Biogas",IFERROR(VLOOKUP(A177,[1]Biogasudbytte!$A$2:$B$18,2,FALSE)*[1]Energiindhold!$C$10,0)*J177*IFERROR(VLOOKUP(A177,Biogasanlæg!$F$3:$G$8,2,FALSE),1)+IFERROR(VLOOKUP(A177,[1]Energiindhold!$A$2:$C$11,3,FALSE),0)*L177+IF(D177&lt;&gt;År1,Q177,0),0)</f>
        <v>0</v>
      </c>
      <c r="S177" s="193">
        <f>IFERROR(VLOOKUP(A177,[1]Biogasudbytte!$A$2:$B$18,2,FALSE)*[1]Energiindhold!$C$10,0)*J177*IFERROR(VLOOKUP(A177,Biogasanlæg!$F$3:$G$8,2,FALSE),1)</f>
        <v>0</v>
      </c>
      <c r="T177" s="194">
        <f t="shared" si="50"/>
        <v>0</v>
      </c>
      <c r="U177" s="192">
        <f>O177*IFERROR(VLOOKUP(A177,[1]Tørstofindhold!A$2:B$25,2,FALSE),0)</f>
        <v>0</v>
      </c>
      <c r="V177" s="193">
        <f>IF(D177=År1,P177,SUM(O177,P177))*IFERROR(VLOOKUP(A177,[1]Tørstofindhold!A$2:B$25,2,FALSE),0)</f>
        <v>0</v>
      </c>
      <c r="W177" s="193">
        <f>J177*IFERROR(VLOOKUP(A177,[1]Tørstofindhold!A$2:B$25,2,FALSE),0)</f>
        <v>0</v>
      </c>
      <c r="X177" s="194">
        <f t="shared" si="51"/>
        <v>0</v>
      </c>
      <c r="Y177" s="172">
        <f t="shared" si="43"/>
        <v>0</v>
      </c>
      <c r="Z177" s="104">
        <f t="shared" si="44"/>
        <v>1</v>
      </c>
    </row>
    <row r="178" spans="1:26" hidden="1" x14ac:dyDescent="0.55000000000000004">
      <c r="A178" s="195" t="s">
        <v>96</v>
      </c>
      <c r="B178" s="195" t="s">
        <v>228</v>
      </c>
      <c r="C178" s="195">
        <f>IF(COUNTIFS('Resultater - Danmark'!$D$3:$D$482,'Resultat-Produktion &amp; forbrug'!A178,'Resultater - Danmark'!$A$3:$A$482,"Til energi")+COUNTIFS('Resultater - Danmark'!$D$3:$D$482,'Resultat-Produktion &amp; forbrug'!A178,'Resultater - Danmark'!$A$3:$A$482,"Biogasanlæg")&gt;0,1,0)</f>
        <v>1</v>
      </c>
      <c r="D178" s="195">
        <f t="shared" si="47"/>
        <v>2019</v>
      </c>
      <c r="E178" s="193" t="s">
        <v>24</v>
      </c>
      <c r="F178" s="196">
        <f>IF(E178="Vestdanmark",SUMIFS(IF(D178=År1,'Resultater - Vestdanmark'!H$3:H$482,IF(D178=År2,'Resultater - Vestdanmark'!I$3:I$482,'Resultater - Vestdanmark'!J$3:J$482)),'Resultater - Vestdanmark'!$F$3:$F$482,$A178,IF(D178=År1,'Resultater - Vestdanmark'!H$3:H$482,IF(D178=År2,'Resultater - Vestdanmark'!I$3:I$482,'Resultater - Vestdanmark'!J$3:J$482)),"&gt;0"),SUMIFS(IF(D178=År1,'Resultater - Østdanmark'!H$3:H$482,IF(D178=År2,'Resultater - Østdanmark'!I$3:I$482,'Resultater - Østdanmark'!J$3:J$482)),'Resultater - Østdanmark'!$F$3:$F$482,$A178,IF(D178=År1,'Resultater - Østdanmark'!H$3:H$482,IF(D178=År2,'Resultater - Østdanmark'!I$3:I$482,'Resultater - Østdanmark'!J$3:J$482)),"&gt;0"))</f>
        <v>37577.319945022478</v>
      </c>
      <c r="G178" s="196">
        <f>SUMIFS('Forbrug af biomasse'!$E$2:$E$425,'Forbrug af biomasse'!$C$2:$C$425,'Resultat-Produktion &amp; forbrug'!$A178,'Forbrug af biomasse'!$D$2:$D$425,'Resultat-Produktion &amp; forbrug'!$D178,'Forbrug af biomasse'!$A$2:$A$425,'Resultat-Produktion &amp; forbrug'!G$2,'Forbrug af biomasse'!$B$2:$B$425,$E178)</f>
        <v>0</v>
      </c>
      <c r="H178" s="193">
        <f>IF(E178="Vestdanmark",-IF(A178="Halm",SUMIFS(IF(D178=År1,'Resultater - Vestdanmark'!H$3:H$482,IF(D178=År2,'Resultater - Vestdanmark'!I$3:I$482,'Resultater - Vestdanmark'!J$3:J$482)),'Resultater - Vestdanmark'!$F$3:$F$482,$A178,'Resultater - Vestdanmark'!H$3:H$482,"&lt;0"),0),-IF(A178="Halm",SUMIFS(IF(D178=År1,'Resultater - Østdanmark'!H$3:H$482,IF(D178=År2,'Resultater - Østdanmark'!I$3:I$482,'Resultater - Østdanmark'!J$3:J$482)),'Resultater - Østdanmark'!$F$3:$F$482,$A178,'Resultater - Østdanmark'!H$3:H$482,"&lt;0"),0))</f>
        <v>0</v>
      </c>
      <c r="I178" s="196">
        <f>SUMIFS('Forbrug af biomasse'!$E$2:$E$425,'Forbrug af biomasse'!$C$2:$C$425,'Resultat-Produktion &amp; forbrug'!$A178,'Forbrug af biomasse'!$D$2:$D$425,'Resultat-Produktion &amp; forbrug'!$D178,'Forbrug af biomasse'!$A$2:$A$425,'Resultat-Produktion &amp; forbrug'!I$2,'Forbrug af biomasse'!$B$2:$B$425,$E178)</f>
        <v>0</v>
      </c>
      <c r="J178" s="196">
        <f>SUMIFS('Forbrug af biomasse'!$E$2:$E$425,'Forbrug af biomasse'!$C$2:$C$425,'Resultat-Produktion &amp; forbrug'!$A178,'Forbrug af biomasse'!$D$2:$D$425,'Resultat-Produktion &amp; forbrug'!$D178,'Forbrug af biomasse'!$A$2:$A$425,'Resultat-Produktion &amp; forbrug'!J$2,'Forbrug af biomasse'!$B$2:$B$425,$E178)</f>
        <v>0</v>
      </c>
      <c r="K178" s="196">
        <f>SUMIFS('Forbrug af biomasse'!$E$2:$E$425,'Forbrug af biomasse'!$C$2:$C$425,'Resultat-Produktion &amp; forbrug'!$A178,'Forbrug af biomasse'!$D$2:$D$425,'Resultat-Produktion &amp; forbrug'!$D178,'Forbrug af biomasse'!$A$2:$A$425,'Resultat-Produktion &amp; forbrug'!K$2,'Forbrug af biomasse'!$B$2:$B$425,$E178)</f>
        <v>0</v>
      </c>
      <c r="L178" s="196">
        <f>IF(A178&lt;&gt;"Biogas",SUMIFS('Forbrug af biomasse'!$E$2:$E$425,'Forbrug af biomasse'!$C$2:$C$425,'Resultat-Produktion &amp; forbrug'!$A178,'Forbrug af biomasse'!$D$2:$D$425,'Resultat-Produktion &amp; forbrug'!$D178,'Forbrug af biomasse'!$A$2:$A$425,'Resultat-Produktion &amp; forbrug'!L$2,'Forbrug af biomasse'!$B$2:$B$425,$E178),F178)</f>
        <v>37577.319945022478</v>
      </c>
      <c r="M178" s="158">
        <f>SUMIFS('Forbrug af biomasse'!E:E,'Forbrug af biomasse'!C:C,'Resultat-Produktion &amp; forbrug'!$A178,'Forbrug af biomasse'!D:D,'Resultat-Produktion &amp; forbrug'!$D178,'Forbrug af biomasse'!G:G,1,'Forbrug af biomasse'!B:B,$E178)</f>
        <v>0</v>
      </c>
      <c r="N178" s="205">
        <f t="shared" si="48"/>
        <v>0</v>
      </c>
      <c r="O178" s="196">
        <f t="shared" si="39"/>
        <v>0</v>
      </c>
      <c r="P178" s="206">
        <f t="shared" si="49"/>
        <v>37577.319945022478</v>
      </c>
      <c r="Q178" s="193">
        <f>IFERROR(VLOOKUP(A178,[1]Energiindhold!$A$2:$C$11,3,FALSE),IFERROR(VLOOKUP(A178,[1]Biogasudbytte!$A$2:$B$18,2,FALSE)*[1]Energiindhold!$C$10,0))*O178</f>
        <v>0</v>
      </c>
      <c r="R178" s="193">
        <f>IF(A178&lt;&gt;"Biogas",IFERROR(VLOOKUP(A178,[1]Biogasudbytte!$A$2:$B$18,2,FALSE)*[1]Energiindhold!$C$10,0)*J178*IFERROR(VLOOKUP(A178,Biogasanlæg!$F$3:$G$8,2,FALSE),1)+IFERROR(VLOOKUP(A178,[1]Energiindhold!$A$2:$C$11,3,FALSE),0)*L178+IF(D178&lt;&gt;År1,Q178,0),0)</f>
        <v>0.69142268698841347</v>
      </c>
      <c r="S178" s="193">
        <f>IFERROR(VLOOKUP(A178,[1]Biogasudbytte!$A$2:$B$18,2,FALSE)*[1]Energiindhold!$C$10,0)*J178*IFERROR(VLOOKUP(A178,Biogasanlæg!$F$3:$G$8,2,FALSE),1)</f>
        <v>0</v>
      </c>
      <c r="T178" s="194">
        <f t="shared" si="50"/>
        <v>0.69142268698841347</v>
      </c>
      <c r="U178" s="192">
        <f>O178*IFERROR(VLOOKUP(A178,[1]Tørstofindhold!A$2:B$25,2,FALSE),0)</f>
        <v>0</v>
      </c>
      <c r="V178" s="193">
        <f>IF(D178=År1,P178,SUM(O178,P178))*IFERROR(VLOOKUP(A178,[1]Tørstofindhold!A$2:B$25,2,FALSE),0)</f>
        <v>15594.58777718433</v>
      </c>
      <c r="W178" s="193">
        <f>J178*IFERROR(VLOOKUP(A178,[1]Tørstofindhold!A$2:B$25,2,FALSE),0)</f>
        <v>0</v>
      </c>
      <c r="X178" s="194">
        <f t="shared" si="51"/>
        <v>15594.58777718433</v>
      </c>
      <c r="Y178" s="172">
        <f t="shared" si="43"/>
        <v>0</v>
      </c>
      <c r="Z178" s="104">
        <f t="shared" si="44"/>
        <v>0</v>
      </c>
    </row>
    <row r="179" spans="1:26" hidden="1" x14ac:dyDescent="0.55000000000000004">
      <c r="A179" s="195" t="s">
        <v>323</v>
      </c>
      <c r="B179" s="195" t="s">
        <v>329</v>
      </c>
      <c r="C179" s="195">
        <f>IF(COUNTIFS('Resultater - Danmark'!$D$3:$D$482,'Resultat-Produktion &amp; forbrug'!A179,'Resultater - Danmark'!$A$3:$A$482,"Til energi")+COUNTIFS('Resultater - Danmark'!$D$3:$D$482,'Resultat-Produktion &amp; forbrug'!A179,'Resultater - Danmark'!$A$3:$A$482,"Biogasanlæg")&gt;0,1,0)</f>
        <v>1</v>
      </c>
      <c r="D179" s="195">
        <f t="shared" si="47"/>
        <v>2019</v>
      </c>
      <c r="E179" s="193" t="s">
        <v>24</v>
      </c>
      <c r="F179" s="196">
        <f>IF(E179="Vestdanmark",SUMIFS(IF(D179=År1,'Resultater - Vestdanmark'!H$3:H$482,IF(D179=År2,'Resultater - Vestdanmark'!I$3:I$482,'Resultater - Vestdanmark'!J$3:J$482)),'Resultater - Vestdanmark'!$F$3:$F$482,$A179,IF(D179=År1,'Resultater - Vestdanmark'!H$3:H$482,IF(D179=År2,'Resultater - Vestdanmark'!I$3:I$482,'Resultater - Vestdanmark'!J$3:J$482)),"&gt;0"),SUMIFS(IF(D179=År1,'Resultater - Østdanmark'!H$3:H$482,IF(D179=År2,'Resultater - Østdanmark'!I$3:I$482,'Resultater - Østdanmark'!J$3:J$482)),'Resultater - Østdanmark'!$F$3:$F$482,$A179,IF(D179=År1,'Resultater - Østdanmark'!H$3:H$482,IF(D179=År2,'Resultater - Østdanmark'!I$3:I$482,'Resultater - Østdanmark'!J$3:J$482)),"&gt;0"))</f>
        <v>0</v>
      </c>
      <c r="G179" s="196">
        <f>SUMIFS('Forbrug af biomasse'!$E$2:$E$425,'Forbrug af biomasse'!$C$2:$C$425,'Resultat-Produktion &amp; forbrug'!$A179,'Forbrug af biomasse'!$D$2:$D$425,'Resultat-Produktion &amp; forbrug'!$D179,'Forbrug af biomasse'!$A$2:$A$425,'Resultat-Produktion &amp; forbrug'!G$2,'Forbrug af biomasse'!$B$2:$B$425,$E179)</f>
        <v>0</v>
      </c>
      <c r="H179" s="193">
        <f>IF(E179="Vestdanmark",-IF(A179="Halm",SUMIFS(IF(D179=År1,'Resultater - Vestdanmark'!H$3:H$482,IF(D179=År2,'Resultater - Vestdanmark'!I$3:I$482,'Resultater - Vestdanmark'!J$3:J$482)),'Resultater - Vestdanmark'!$F$3:$F$482,$A179,'Resultater - Vestdanmark'!H$3:H$482,"&lt;0"),0),-IF(A179="Halm",SUMIFS(IF(D179=År1,'Resultater - Østdanmark'!H$3:H$482,IF(D179=År2,'Resultater - Østdanmark'!I$3:I$482,'Resultater - Østdanmark'!J$3:J$482)),'Resultater - Østdanmark'!$F$3:$F$482,$A179,'Resultater - Østdanmark'!H$3:H$482,"&lt;0"),0))</f>
        <v>0</v>
      </c>
      <c r="I179" s="196">
        <f>SUMIFS('Forbrug af biomasse'!$E$2:$E$425,'Forbrug af biomasse'!$C$2:$C$425,'Resultat-Produktion &amp; forbrug'!$A179,'Forbrug af biomasse'!$D$2:$D$425,'Resultat-Produktion &amp; forbrug'!$D179,'Forbrug af biomasse'!$A$2:$A$425,'Resultat-Produktion &amp; forbrug'!I$2,'Forbrug af biomasse'!$B$2:$B$425,$E179)</f>
        <v>0</v>
      </c>
      <c r="J179" s="196">
        <f>SUMIFS('Forbrug af biomasse'!$E$2:$E$425,'Forbrug af biomasse'!$C$2:$C$425,'Resultat-Produktion &amp; forbrug'!$A179,'Forbrug af biomasse'!$D$2:$D$425,'Resultat-Produktion &amp; forbrug'!$D179,'Forbrug af biomasse'!$A$2:$A$425,'Resultat-Produktion &amp; forbrug'!J$2,'Forbrug af biomasse'!$B$2:$B$425,$E179)</f>
        <v>0</v>
      </c>
      <c r="K179" s="196">
        <f>SUMIFS('Forbrug af biomasse'!$E$2:$E$425,'Forbrug af biomasse'!$C$2:$C$425,'Resultat-Produktion &amp; forbrug'!$A179,'Forbrug af biomasse'!$D$2:$D$425,'Resultat-Produktion &amp; forbrug'!$D179,'Forbrug af biomasse'!$A$2:$A$425,'Resultat-Produktion &amp; forbrug'!K$2,'Forbrug af biomasse'!$B$2:$B$425,$E179)</f>
        <v>0</v>
      </c>
      <c r="L179" s="196">
        <f>IF(A179&lt;&gt;"Biogas",SUMIFS('Forbrug af biomasse'!$E$2:$E$425,'Forbrug af biomasse'!$C$2:$C$425,'Resultat-Produktion &amp; forbrug'!$A179,'Forbrug af biomasse'!$D$2:$D$425,'Resultat-Produktion &amp; forbrug'!$D179,'Forbrug af biomasse'!$A$2:$A$425,'Resultat-Produktion &amp; forbrug'!L$2,'Forbrug af biomasse'!$B$2:$B$425,$E179),F179)</f>
        <v>0</v>
      </c>
      <c r="M179" s="158">
        <f>SUMIFS('Forbrug af biomasse'!E:E,'Forbrug af biomasse'!C:C,'Resultat-Produktion &amp; forbrug'!$A179,'Forbrug af biomasse'!D:D,'Resultat-Produktion &amp; forbrug'!$D179,'Forbrug af biomasse'!G:G,1,'Forbrug af biomasse'!B:B,$E179)</f>
        <v>0</v>
      </c>
      <c r="N179" s="205">
        <f t="shared" ref="N179:N180" si="52">F179-SUM(G179:M179)</f>
        <v>0</v>
      </c>
      <c r="O179" s="196">
        <f t="shared" si="39"/>
        <v>0</v>
      </c>
      <c r="P179" s="206">
        <f t="shared" ref="P179:P180" si="53">SUM(J179,L179)</f>
        <v>0</v>
      </c>
      <c r="Q179" s="193">
        <f>IFERROR(VLOOKUP(A179,[1]Energiindhold!$A$2:$C$11,3,FALSE),IFERROR(VLOOKUP(A179,[1]Biogasudbytte!$A$2:$B$18,2,FALSE)*[1]Energiindhold!$C$10,0))*O179</f>
        <v>0</v>
      </c>
      <c r="R179" s="193">
        <f>IF(A179&lt;&gt;"Biogas",IFERROR(VLOOKUP(A179,[1]Biogasudbytte!$A$2:$B$18,2,FALSE)*[1]Energiindhold!$C$10,0)*J179*IFERROR(VLOOKUP(A179,Biogasanlæg!$F$3:$G$8,2,FALSE),1)+IFERROR(VLOOKUP(A179,[1]Energiindhold!$A$2:$C$11,3,FALSE),0)*L179+IF(D179&lt;&gt;År1,Q179,0),0)</f>
        <v>0</v>
      </c>
      <c r="S179" s="193">
        <f>IFERROR(VLOOKUP(A179,[1]Biogasudbytte!$A$2:$B$18,2,FALSE)*[1]Energiindhold!$C$10,0)*J179*IFERROR(VLOOKUP(A179,Biogasanlæg!$F$3:$G$8,2,FALSE),1)</f>
        <v>0</v>
      </c>
      <c r="T179" s="194">
        <f t="shared" ref="T179:T180" si="54">R179-S179</f>
        <v>0</v>
      </c>
      <c r="U179" s="192">
        <f>O179*IFERROR(VLOOKUP(A179,[1]Tørstofindhold!A$2:B$25,2,FALSE),0)</f>
        <v>0</v>
      </c>
      <c r="V179" s="193">
        <f>IF(D179=År1,P179,SUM(O179,P179))*IFERROR(VLOOKUP(A179,[1]Tørstofindhold!A$2:B$25,2,FALSE),0)</f>
        <v>0</v>
      </c>
      <c r="W179" s="193">
        <f>J179*IFERROR(VLOOKUP(A179,[1]Tørstofindhold!A$2:B$25,2,FALSE),0)</f>
        <v>0</v>
      </c>
      <c r="X179" s="194">
        <f t="shared" ref="X179:X180" si="55">V179-W179</f>
        <v>0</v>
      </c>
      <c r="Y179" s="172">
        <f t="shared" si="43"/>
        <v>0</v>
      </c>
      <c r="Z179" s="104">
        <f t="shared" si="44"/>
        <v>0</v>
      </c>
    </row>
    <row r="180" spans="1:26" hidden="1" x14ac:dyDescent="0.55000000000000004">
      <c r="A180" s="195" t="s">
        <v>324</v>
      </c>
      <c r="B180" s="195" t="s">
        <v>329</v>
      </c>
      <c r="C180" s="195">
        <f>IF(COUNTIFS('Resultater - Danmark'!$D$3:$D$482,'Resultat-Produktion &amp; forbrug'!A180,'Resultater - Danmark'!$A$3:$A$482,"Til energi")+COUNTIFS('Resultater - Danmark'!$D$3:$D$482,'Resultat-Produktion &amp; forbrug'!A180,'Resultater - Danmark'!$A$3:$A$482,"Biogasanlæg")&gt;0,1,0)</f>
        <v>1</v>
      </c>
      <c r="D180" s="195">
        <f t="shared" si="47"/>
        <v>2019</v>
      </c>
      <c r="E180" s="193" t="s">
        <v>24</v>
      </c>
      <c r="F180" s="196">
        <f>IF(E180="Vestdanmark",SUMIFS(IF(D180=År1,'Resultater - Vestdanmark'!H$3:H$482,IF(D180=År2,'Resultater - Vestdanmark'!I$3:I$482,'Resultater - Vestdanmark'!J$3:J$482)),'Resultater - Vestdanmark'!$F$3:$F$482,$A180,IF(D180=År1,'Resultater - Vestdanmark'!H$3:H$482,IF(D180=År2,'Resultater - Vestdanmark'!I$3:I$482,'Resultater - Vestdanmark'!J$3:J$482)),"&gt;0"),SUMIFS(IF(D180=År1,'Resultater - Østdanmark'!H$3:H$482,IF(D180=År2,'Resultater - Østdanmark'!I$3:I$482,'Resultater - Østdanmark'!J$3:J$482)),'Resultater - Østdanmark'!$F$3:$F$482,$A180,IF(D180=År1,'Resultater - Østdanmark'!H$3:H$482,IF(D180=År2,'Resultater - Østdanmark'!I$3:I$482,'Resultater - Østdanmark'!J$3:J$482)),"&gt;0"))</f>
        <v>0</v>
      </c>
      <c r="G180" s="196">
        <f>SUMIFS('Forbrug af biomasse'!$E$2:$E$425,'Forbrug af biomasse'!$C$2:$C$425,'Resultat-Produktion &amp; forbrug'!$A180,'Forbrug af biomasse'!$D$2:$D$425,'Resultat-Produktion &amp; forbrug'!$D180,'Forbrug af biomasse'!$A$2:$A$425,'Resultat-Produktion &amp; forbrug'!G$2,'Forbrug af biomasse'!$B$2:$B$425,$E180)</f>
        <v>0</v>
      </c>
      <c r="H180" s="193">
        <f>IF(E180="Vestdanmark",-IF(A180="Halm",SUMIFS(IF(D180=År1,'Resultater - Vestdanmark'!H$3:H$482,IF(D180=År2,'Resultater - Vestdanmark'!I$3:I$482,'Resultater - Vestdanmark'!J$3:J$482)),'Resultater - Vestdanmark'!$F$3:$F$482,$A180,'Resultater - Vestdanmark'!H$3:H$482,"&lt;0"),0),-IF(A180="Halm",SUMIFS(IF(D180=År1,'Resultater - Østdanmark'!H$3:H$482,IF(D180=År2,'Resultater - Østdanmark'!I$3:I$482,'Resultater - Østdanmark'!J$3:J$482)),'Resultater - Østdanmark'!$F$3:$F$482,$A180,'Resultater - Østdanmark'!H$3:H$482,"&lt;0"),0))</f>
        <v>0</v>
      </c>
      <c r="I180" s="196">
        <f>SUMIFS('Forbrug af biomasse'!$E$2:$E$425,'Forbrug af biomasse'!$C$2:$C$425,'Resultat-Produktion &amp; forbrug'!$A180,'Forbrug af biomasse'!$D$2:$D$425,'Resultat-Produktion &amp; forbrug'!$D180,'Forbrug af biomasse'!$A$2:$A$425,'Resultat-Produktion &amp; forbrug'!I$2,'Forbrug af biomasse'!$B$2:$B$425,$E180)</f>
        <v>0</v>
      </c>
      <c r="J180" s="196">
        <f>SUMIFS('Forbrug af biomasse'!$E$2:$E$425,'Forbrug af biomasse'!$C$2:$C$425,'Resultat-Produktion &amp; forbrug'!$A180,'Forbrug af biomasse'!$D$2:$D$425,'Resultat-Produktion &amp; forbrug'!$D180,'Forbrug af biomasse'!$A$2:$A$425,'Resultat-Produktion &amp; forbrug'!J$2,'Forbrug af biomasse'!$B$2:$B$425,$E180)</f>
        <v>0</v>
      </c>
      <c r="K180" s="196">
        <f>SUMIFS('Forbrug af biomasse'!$E$2:$E$425,'Forbrug af biomasse'!$C$2:$C$425,'Resultat-Produktion &amp; forbrug'!$A180,'Forbrug af biomasse'!$D$2:$D$425,'Resultat-Produktion &amp; forbrug'!$D180,'Forbrug af biomasse'!$A$2:$A$425,'Resultat-Produktion &amp; forbrug'!K$2,'Forbrug af biomasse'!$B$2:$B$425,$E180)</f>
        <v>0</v>
      </c>
      <c r="L180" s="196">
        <f>IF(A180&lt;&gt;"Biogas",SUMIFS('Forbrug af biomasse'!$E$2:$E$425,'Forbrug af biomasse'!$C$2:$C$425,'Resultat-Produktion &amp; forbrug'!$A180,'Forbrug af biomasse'!$D$2:$D$425,'Resultat-Produktion &amp; forbrug'!$D180,'Forbrug af biomasse'!$A$2:$A$425,'Resultat-Produktion &amp; forbrug'!L$2,'Forbrug af biomasse'!$B$2:$B$425,$E180),F180)</f>
        <v>0</v>
      </c>
      <c r="M180" s="158">
        <f>SUMIFS('Forbrug af biomasse'!E:E,'Forbrug af biomasse'!C:C,'Resultat-Produktion &amp; forbrug'!$A180,'Forbrug af biomasse'!D:D,'Resultat-Produktion &amp; forbrug'!$D180,'Forbrug af biomasse'!G:G,1,'Forbrug af biomasse'!B:B,$E180)</f>
        <v>0</v>
      </c>
      <c r="N180" s="205">
        <f t="shared" si="52"/>
        <v>0</v>
      </c>
      <c r="O180" s="196">
        <f t="shared" si="39"/>
        <v>0</v>
      </c>
      <c r="P180" s="206">
        <f t="shared" si="53"/>
        <v>0</v>
      </c>
      <c r="Q180" s="193">
        <f>IFERROR(VLOOKUP(A180,[1]Energiindhold!$A$2:$C$11,3,FALSE),IFERROR(VLOOKUP(A180,[1]Biogasudbytte!$A$2:$B$18,2,FALSE)*[1]Energiindhold!$C$10,0))*O180</f>
        <v>0</v>
      </c>
      <c r="R180" s="193">
        <f>IF(A180&lt;&gt;"Biogas",IFERROR(VLOOKUP(A180,[1]Biogasudbytte!$A$2:$B$18,2,FALSE)*[1]Energiindhold!$C$10,0)*J180*IFERROR(VLOOKUP(A180,Biogasanlæg!$F$3:$G$8,2,FALSE),1)+IFERROR(VLOOKUP(A180,[1]Energiindhold!$A$2:$C$11,3,FALSE),0)*L180+IF(D180&lt;&gt;År1,Q180,0),0)</f>
        <v>0</v>
      </c>
      <c r="S180" s="193">
        <f>IFERROR(VLOOKUP(A180,[1]Biogasudbytte!$A$2:$B$18,2,FALSE)*[1]Energiindhold!$C$10,0)*J180*IFERROR(VLOOKUP(A180,Biogasanlæg!$F$3:$G$8,2,FALSE),1)</f>
        <v>0</v>
      </c>
      <c r="T180" s="194">
        <f t="shared" si="54"/>
        <v>0</v>
      </c>
      <c r="U180" s="192">
        <f>O180*IFERROR(VLOOKUP(A180,[1]Tørstofindhold!A$2:B$25,2,FALSE),0)</f>
        <v>0</v>
      </c>
      <c r="V180" s="193">
        <f>IF(D180=År1,P180,SUM(O180,P180))*IFERROR(VLOOKUP(A180,[1]Tørstofindhold!A$2:B$25,2,FALSE),0)</f>
        <v>0</v>
      </c>
      <c r="W180" s="193">
        <f>J180*IFERROR(VLOOKUP(A180,[1]Tørstofindhold!A$2:B$25,2,FALSE),0)</f>
        <v>0</v>
      </c>
      <c r="X180" s="194">
        <f t="shared" si="55"/>
        <v>0</v>
      </c>
      <c r="Y180" s="172">
        <f t="shared" si="43"/>
        <v>0</v>
      </c>
      <c r="Z180" s="104">
        <f t="shared" si="44"/>
        <v>0</v>
      </c>
    </row>
    <row r="181" spans="1:26" hidden="1" x14ac:dyDescent="0.55000000000000004">
      <c r="A181" s="195" t="s">
        <v>118</v>
      </c>
      <c r="B181" s="195"/>
      <c r="C181" s="195">
        <f>IF(COUNTIFS('Resultater - Danmark'!$D$3:$D$482,'Resultat-Produktion &amp; forbrug'!A181,'Resultater - Danmark'!$A$3:$A$482,"Til energi")+COUNTIFS('Resultater - Danmark'!$D$3:$D$482,'Resultat-Produktion &amp; forbrug'!A181,'Resultater - Danmark'!$A$3:$A$482,"Biogasanlæg")&gt;0,1,0)</f>
        <v>0</v>
      </c>
      <c r="D181" s="195">
        <f t="shared" si="47"/>
        <v>2019</v>
      </c>
      <c r="E181" s="193" t="s">
        <v>24</v>
      </c>
      <c r="F181" s="196">
        <f>IF(E181="Vestdanmark",SUMIFS(IF(D181=År1,'Resultater - Vestdanmark'!H$3:H$482,IF(D181=År2,'Resultater - Vestdanmark'!I$3:I$482,'Resultater - Vestdanmark'!J$3:J$482)),'Resultater - Vestdanmark'!$F$3:$F$482,$A181,IF(D181=År1,'Resultater - Vestdanmark'!H$3:H$482,IF(D181=År2,'Resultater - Vestdanmark'!I$3:I$482,'Resultater - Vestdanmark'!J$3:J$482)),"&gt;0"),SUMIFS(IF(D181=År1,'Resultater - Østdanmark'!H$3:H$482,IF(D181=År2,'Resultater - Østdanmark'!I$3:I$482,'Resultater - Østdanmark'!J$3:J$482)),'Resultater - Østdanmark'!$F$3:$F$482,$A181,IF(D181=År1,'Resultater - Østdanmark'!H$3:H$482,IF(D181=År2,'Resultater - Østdanmark'!I$3:I$482,'Resultater - Østdanmark'!J$3:J$482)),"&gt;0"))</f>
        <v>346998.01962126989</v>
      </c>
      <c r="G181" s="196">
        <f>SUMIFS('Forbrug af biomasse'!$E$2:$E$425,'Forbrug af biomasse'!$C$2:$C$425,'Resultat-Produktion &amp; forbrug'!$A181,'Forbrug af biomasse'!$D$2:$D$425,'Resultat-Produktion &amp; forbrug'!$D181,'Forbrug af biomasse'!$A$2:$A$425,'Resultat-Produktion &amp; forbrug'!G$2,'Forbrug af biomasse'!$B$2:$B$425,$E181)</f>
        <v>0</v>
      </c>
      <c r="H181" s="193">
        <f>IF(E181="Vestdanmark",-IF(A181="Halm",SUMIFS(IF(D181=År1,'Resultater - Vestdanmark'!H$3:H$482,IF(D181=År2,'Resultater - Vestdanmark'!I$3:I$482,'Resultater - Vestdanmark'!J$3:J$482)),'Resultater - Vestdanmark'!$F$3:$F$482,$A181,'Resultater - Vestdanmark'!H$3:H$482,"&lt;0"),0),-IF(A181="Halm",SUMIFS(IF(D181=År1,'Resultater - Østdanmark'!H$3:H$482,IF(D181=År2,'Resultater - Østdanmark'!I$3:I$482,'Resultater - Østdanmark'!J$3:J$482)),'Resultater - Østdanmark'!$F$3:$F$482,$A181,'Resultater - Østdanmark'!H$3:H$482,"&lt;0"),0))</f>
        <v>0</v>
      </c>
      <c r="I181" s="196">
        <f>SUMIFS('Forbrug af biomasse'!$E$2:$E$425,'Forbrug af biomasse'!$C$2:$C$425,'Resultat-Produktion &amp; forbrug'!$A181,'Forbrug af biomasse'!$D$2:$D$425,'Resultat-Produktion &amp; forbrug'!$D181,'Forbrug af biomasse'!$A$2:$A$425,'Resultat-Produktion &amp; forbrug'!I$2,'Forbrug af biomasse'!$B$2:$B$425,$E181)</f>
        <v>0</v>
      </c>
      <c r="J181" s="196">
        <f>SUMIFS('Forbrug af biomasse'!$E$2:$E$425,'Forbrug af biomasse'!$C$2:$C$425,'Resultat-Produktion &amp; forbrug'!$A181,'Forbrug af biomasse'!$D$2:$D$425,'Resultat-Produktion &amp; forbrug'!$D181,'Forbrug af biomasse'!$A$2:$A$425,'Resultat-Produktion &amp; forbrug'!J$2,'Forbrug af biomasse'!$B$2:$B$425,$E181)</f>
        <v>0</v>
      </c>
      <c r="K181" s="196">
        <f>SUMIFS('Forbrug af biomasse'!$E$2:$E$425,'Forbrug af biomasse'!$C$2:$C$425,'Resultat-Produktion &amp; forbrug'!$A181,'Forbrug af biomasse'!$D$2:$D$425,'Resultat-Produktion &amp; forbrug'!$D181,'Forbrug af biomasse'!$A$2:$A$425,'Resultat-Produktion &amp; forbrug'!K$2,'Forbrug af biomasse'!$B$2:$B$425,$E181)</f>
        <v>0</v>
      </c>
      <c r="L181" s="196">
        <f>IF(A181&lt;&gt;"Biogas",SUMIFS('Forbrug af biomasse'!$E$2:$E$425,'Forbrug af biomasse'!$C$2:$C$425,'Resultat-Produktion &amp; forbrug'!$A181,'Forbrug af biomasse'!$D$2:$D$425,'Resultat-Produktion &amp; forbrug'!$D181,'Forbrug af biomasse'!$A$2:$A$425,'Resultat-Produktion &amp; forbrug'!L$2,'Forbrug af biomasse'!$B$2:$B$425,$E181),F181)</f>
        <v>0</v>
      </c>
      <c r="M181" s="158">
        <f>SUMIFS('Forbrug af biomasse'!E:E,'Forbrug af biomasse'!C:C,'Resultat-Produktion &amp; forbrug'!$A181,'Forbrug af biomasse'!D:D,'Resultat-Produktion &amp; forbrug'!$D181,'Forbrug af biomasse'!G:G,1,'Forbrug af biomasse'!B:B,$E181)</f>
        <v>0</v>
      </c>
      <c r="N181" s="205">
        <f t="shared" si="48"/>
        <v>346998.01962126989</v>
      </c>
      <c r="O181" s="196">
        <f t="shared" si="39"/>
        <v>0</v>
      </c>
      <c r="P181" s="206">
        <f t="shared" si="49"/>
        <v>0</v>
      </c>
      <c r="Q181" s="193">
        <f>IFERROR(VLOOKUP(A181,[1]Energiindhold!$A$2:$C$11,3,FALSE),IFERROR(VLOOKUP(A181,[1]Biogasudbytte!$A$2:$B$18,2,FALSE)*[1]Energiindhold!$C$10,0))*O181</f>
        <v>0</v>
      </c>
      <c r="R181" s="193">
        <f>IF(A181&lt;&gt;"Biogas",IFERROR(VLOOKUP(A181,[1]Biogasudbytte!$A$2:$B$18,2,FALSE)*[1]Energiindhold!$C$10,0)*J181*IFERROR(VLOOKUP(A181,Biogasanlæg!$F$3:$G$8,2,FALSE),1)+IFERROR(VLOOKUP(A181,[1]Energiindhold!$A$2:$C$11,3,FALSE),0)*L181+IF(D181&lt;&gt;År1,Q181,0),0)</f>
        <v>0</v>
      </c>
      <c r="S181" s="193">
        <f>IFERROR(VLOOKUP(A181,[1]Biogasudbytte!$A$2:$B$18,2,FALSE)*[1]Energiindhold!$C$10,0)*J181*IFERROR(VLOOKUP(A181,Biogasanlæg!$F$3:$G$8,2,FALSE),1)</f>
        <v>0</v>
      </c>
      <c r="T181" s="194">
        <f t="shared" si="50"/>
        <v>0</v>
      </c>
      <c r="U181" s="192">
        <f>O181*IFERROR(VLOOKUP(A181,[1]Tørstofindhold!A$2:B$25,2,FALSE),0)</f>
        <v>0</v>
      </c>
      <c r="V181" s="193">
        <f>IF(D181=År1,P181,SUM(O181,P181))*IFERROR(VLOOKUP(A181,[1]Tørstofindhold!A$2:B$25,2,FALSE),0)</f>
        <v>0</v>
      </c>
      <c r="W181" s="193">
        <f>J181*IFERROR(VLOOKUP(A181,[1]Tørstofindhold!A$2:B$25,2,FALSE),0)</f>
        <v>0</v>
      </c>
      <c r="X181" s="194">
        <f t="shared" si="51"/>
        <v>0</v>
      </c>
      <c r="Y181" s="172">
        <f t="shared" si="43"/>
        <v>0</v>
      </c>
      <c r="Z181" s="104">
        <f t="shared" si="44"/>
        <v>1</v>
      </c>
    </row>
    <row r="182" spans="1:26" hidden="1" x14ac:dyDescent="0.55000000000000004">
      <c r="A182" s="193" t="s">
        <v>50</v>
      </c>
      <c r="B182" s="195"/>
      <c r="C182" s="195">
        <f>IF(COUNTIFS('Resultater - Danmark'!$D$3:$D$482,'Resultat-Produktion &amp; forbrug'!A182,'Resultater - Danmark'!$A$3:$A$482,"Til energi")+COUNTIFS('Resultater - Danmark'!$D$3:$D$482,'Resultat-Produktion &amp; forbrug'!A182,'Resultater - Danmark'!$A$3:$A$482,"Biogasanlæg")&gt;0,1,0)</f>
        <v>0</v>
      </c>
      <c r="D182" s="195">
        <f t="shared" si="47"/>
        <v>2019</v>
      </c>
      <c r="E182" s="193" t="s">
        <v>24</v>
      </c>
      <c r="F182" s="196">
        <f>IF(E182="Vestdanmark",SUMIFS(IF(D182=År1,'Resultater - Vestdanmark'!H$3:H$482,IF(D182=År2,'Resultater - Vestdanmark'!I$3:I$482,'Resultater - Vestdanmark'!J$3:J$482)),'Resultater - Vestdanmark'!$F$3:$F$482,$A182,IF(D182=År1,'Resultater - Vestdanmark'!H$3:H$482,IF(D182=År2,'Resultater - Vestdanmark'!I$3:I$482,'Resultater - Vestdanmark'!J$3:J$482)),"&gt;0"),SUMIFS(IF(D182=År1,'Resultater - Østdanmark'!H$3:H$482,IF(D182=År2,'Resultater - Østdanmark'!I$3:I$482,'Resultater - Østdanmark'!J$3:J$482)),'Resultater - Østdanmark'!$F$3:$F$482,$A182,IF(D182=År1,'Resultater - Østdanmark'!H$3:H$482,IF(D182=År2,'Resultater - Østdanmark'!I$3:I$482,'Resultater - Østdanmark'!J$3:J$482)),"&gt;0"))</f>
        <v>193574.13238370849</v>
      </c>
      <c r="G182" s="196">
        <f>SUMIFS('Forbrug af biomasse'!$E$2:$E$425,'Forbrug af biomasse'!$C$2:$C$425,'Resultat-Produktion &amp; forbrug'!$A182,'Forbrug af biomasse'!$D$2:$D$425,'Resultat-Produktion &amp; forbrug'!$D182,'Forbrug af biomasse'!$A$2:$A$425,'Resultat-Produktion &amp; forbrug'!G$2,'Forbrug af biomasse'!$B$2:$B$425,$E182)</f>
        <v>0</v>
      </c>
      <c r="H182" s="193">
        <f>IF(E182="Vestdanmark",-IF(A182="Halm",SUMIFS(IF(D182=År1,'Resultater - Vestdanmark'!H$3:H$482,IF(D182=År2,'Resultater - Vestdanmark'!I$3:I$482,'Resultater - Vestdanmark'!J$3:J$482)),'Resultater - Vestdanmark'!$F$3:$F$482,$A182,'Resultater - Vestdanmark'!H$3:H$482,"&lt;0"),0),-IF(A182="Halm",SUMIFS(IF(D182=År1,'Resultater - Østdanmark'!H$3:H$482,IF(D182=År2,'Resultater - Østdanmark'!I$3:I$482,'Resultater - Østdanmark'!J$3:J$482)),'Resultater - Østdanmark'!$F$3:$F$482,$A182,'Resultater - Østdanmark'!H$3:H$482,"&lt;0"),0))</f>
        <v>0</v>
      </c>
      <c r="I182" s="196">
        <f>SUMIFS('Forbrug af biomasse'!$E$2:$E$425,'Forbrug af biomasse'!$C$2:$C$425,'Resultat-Produktion &amp; forbrug'!$A182,'Forbrug af biomasse'!$D$2:$D$425,'Resultat-Produktion &amp; forbrug'!$D182,'Forbrug af biomasse'!$A$2:$A$425,'Resultat-Produktion &amp; forbrug'!I$2,'Forbrug af biomasse'!$B$2:$B$425,$E182)</f>
        <v>0</v>
      </c>
      <c r="J182" s="196">
        <f>SUMIFS('Forbrug af biomasse'!$E$2:$E$425,'Forbrug af biomasse'!$C$2:$C$425,'Resultat-Produktion &amp; forbrug'!$A182,'Forbrug af biomasse'!$D$2:$D$425,'Resultat-Produktion &amp; forbrug'!$D182,'Forbrug af biomasse'!$A$2:$A$425,'Resultat-Produktion &amp; forbrug'!J$2,'Forbrug af biomasse'!$B$2:$B$425,$E182)</f>
        <v>0</v>
      </c>
      <c r="K182" s="196">
        <f>SUMIFS('Forbrug af biomasse'!$E$2:$E$425,'Forbrug af biomasse'!$C$2:$C$425,'Resultat-Produktion &amp; forbrug'!$A182,'Forbrug af biomasse'!$D$2:$D$425,'Resultat-Produktion &amp; forbrug'!$D182,'Forbrug af biomasse'!$A$2:$A$425,'Resultat-Produktion &amp; forbrug'!K$2,'Forbrug af biomasse'!$B$2:$B$425,$E182)</f>
        <v>0</v>
      </c>
      <c r="L182" s="196">
        <f>IF(A182&lt;&gt;"Biogas",SUMIFS('Forbrug af biomasse'!$E$2:$E$425,'Forbrug af biomasse'!$C$2:$C$425,'Resultat-Produktion &amp; forbrug'!$A182,'Forbrug af biomasse'!$D$2:$D$425,'Resultat-Produktion &amp; forbrug'!$D182,'Forbrug af biomasse'!$A$2:$A$425,'Resultat-Produktion &amp; forbrug'!L$2,'Forbrug af biomasse'!$B$2:$B$425,$E182),F182)</f>
        <v>0</v>
      </c>
      <c r="M182" s="158">
        <f>SUMIFS('Forbrug af biomasse'!E:E,'Forbrug af biomasse'!C:C,'Resultat-Produktion &amp; forbrug'!$A182,'Forbrug af biomasse'!D:D,'Resultat-Produktion &amp; forbrug'!$D182,'Forbrug af biomasse'!G:G,1,'Forbrug af biomasse'!B:B,$E182)</f>
        <v>193574.13238370849</v>
      </c>
      <c r="N182" s="205">
        <f t="shared" si="48"/>
        <v>0</v>
      </c>
      <c r="O182" s="196">
        <f t="shared" si="39"/>
        <v>0</v>
      </c>
      <c r="P182" s="206">
        <f t="shared" si="49"/>
        <v>0</v>
      </c>
      <c r="Q182" s="193">
        <f>IFERROR(VLOOKUP(A182,[1]Energiindhold!$A$2:$C$11,3,FALSE),IFERROR(VLOOKUP(A182,[1]Biogasudbytte!$A$2:$B$18,2,FALSE)*[1]Energiindhold!$C$10,0))*O182</f>
        <v>0</v>
      </c>
      <c r="R182" s="193">
        <f>IF(A182&lt;&gt;"Biogas",IFERROR(VLOOKUP(A182,[1]Biogasudbytte!$A$2:$B$18,2,FALSE)*[1]Energiindhold!$C$10,0)*J182*IFERROR(VLOOKUP(A182,Biogasanlæg!$F$3:$G$8,2,FALSE),1)+IFERROR(VLOOKUP(A182,[1]Energiindhold!$A$2:$C$11,3,FALSE),0)*L182+IF(D182&lt;&gt;År1,Q182,0),0)</f>
        <v>0</v>
      </c>
      <c r="S182" s="193">
        <f>IFERROR(VLOOKUP(A182,[1]Biogasudbytte!$A$2:$B$18,2,FALSE)*[1]Energiindhold!$C$10,0)*J182*IFERROR(VLOOKUP(A182,Biogasanlæg!$F$3:$G$8,2,FALSE),1)</f>
        <v>0</v>
      </c>
      <c r="T182" s="194">
        <f t="shared" si="50"/>
        <v>0</v>
      </c>
      <c r="U182" s="192">
        <f>O182*IFERROR(VLOOKUP(A182,[1]Tørstofindhold!A$2:B$25,2,FALSE),0)</f>
        <v>0</v>
      </c>
      <c r="V182" s="193">
        <f>IF(D182=År1,P182,SUM(O182,P182))*IFERROR(VLOOKUP(A182,[1]Tørstofindhold!A$2:B$25,2,FALSE),0)</f>
        <v>0</v>
      </c>
      <c r="W182" s="193">
        <f>J182*IFERROR(VLOOKUP(A182,[1]Tørstofindhold!A$2:B$25,2,FALSE),0)</f>
        <v>0</v>
      </c>
      <c r="X182" s="194">
        <f t="shared" si="51"/>
        <v>0</v>
      </c>
      <c r="Y182" s="172">
        <f t="shared" si="43"/>
        <v>0</v>
      </c>
      <c r="Z182" s="104">
        <f t="shared" si="44"/>
        <v>0</v>
      </c>
    </row>
    <row r="183" spans="1:26" hidden="1" x14ac:dyDescent="0.55000000000000004">
      <c r="A183" s="193" t="s">
        <v>241</v>
      </c>
      <c r="B183" s="195"/>
      <c r="C183" s="195">
        <f>IF(COUNTIFS('Resultater - Danmark'!$D$3:$D$482,'Resultat-Produktion &amp; forbrug'!A183,'Resultater - Danmark'!$A$3:$A$482,"Til energi")+COUNTIFS('Resultater - Danmark'!$D$3:$D$482,'Resultat-Produktion &amp; forbrug'!A183,'Resultater - Danmark'!$A$3:$A$482,"Biogasanlæg")&gt;0,1,0)</f>
        <v>0</v>
      </c>
      <c r="D183" s="195">
        <f t="shared" si="47"/>
        <v>2019</v>
      </c>
      <c r="E183" s="193" t="s">
        <v>24</v>
      </c>
      <c r="F183" s="196">
        <f>IF(E183="Vestdanmark",SUMIFS(IF(D183=År1,'Resultater - Vestdanmark'!H$3:H$482,IF(D183=År2,'Resultater - Vestdanmark'!I$3:I$482,'Resultater - Vestdanmark'!J$3:J$482)),'Resultater - Vestdanmark'!$F$3:$F$482,$A183,IF(D183=År1,'Resultater - Vestdanmark'!H$3:H$482,IF(D183=År2,'Resultater - Vestdanmark'!I$3:I$482,'Resultater - Vestdanmark'!J$3:J$482)),"&gt;0"),SUMIFS(IF(D183=År1,'Resultater - Østdanmark'!H$3:H$482,IF(D183=År2,'Resultater - Østdanmark'!I$3:I$482,'Resultater - Østdanmark'!J$3:J$482)),'Resultater - Østdanmark'!$F$3:$F$482,$A183,IF(D183=År1,'Resultater - Østdanmark'!H$3:H$482,IF(D183=År2,'Resultater - Østdanmark'!I$3:I$482,'Resultater - Østdanmark'!J$3:J$482)),"&gt;0"))</f>
        <v>96787.066191854246</v>
      </c>
      <c r="G183" s="196">
        <f>SUMIFS('Forbrug af biomasse'!$E$2:$E$425,'Forbrug af biomasse'!$C$2:$C$425,'Resultat-Produktion &amp; forbrug'!$A183,'Forbrug af biomasse'!$D$2:$D$425,'Resultat-Produktion &amp; forbrug'!$D183,'Forbrug af biomasse'!$A$2:$A$425,'Resultat-Produktion &amp; forbrug'!G$2,'Forbrug af biomasse'!$B$2:$B$425,$E183)</f>
        <v>26278.769501998373</v>
      </c>
      <c r="H183" s="193">
        <f>IF(E183="Vestdanmark",-IF(A183="Halm",SUMIFS(IF(D183=År1,'Resultater - Vestdanmark'!H$3:H$482,IF(D183=År2,'Resultater - Vestdanmark'!I$3:I$482,'Resultater - Vestdanmark'!J$3:J$482)),'Resultater - Vestdanmark'!$F$3:$F$482,$A183,'Resultater - Vestdanmark'!H$3:H$482,"&lt;0"),0),-IF(A183="Halm",SUMIFS(IF(D183=År1,'Resultater - Østdanmark'!H$3:H$482,IF(D183=År2,'Resultater - Østdanmark'!I$3:I$482,'Resultater - Østdanmark'!J$3:J$482)),'Resultater - Østdanmark'!$F$3:$F$482,$A183,'Resultater - Østdanmark'!H$3:H$482,"&lt;0"),0))</f>
        <v>0</v>
      </c>
      <c r="I183" s="196">
        <f>SUMIFS('Forbrug af biomasse'!$E$2:$E$425,'Forbrug af biomasse'!$C$2:$C$425,'Resultat-Produktion &amp; forbrug'!$A183,'Forbrug af biomasse'!$D$2:$D$425,'Resultat-Produktion &amp; forbrug'!$D183,'Forbrug af biomasse'!$A$2:$A$425,'Resultat-Produktion &amp; forbrug'!I$2,'Forbrug af biomasse'!$B$2:$B$425,$E183)</f>
        <v>0</v>
      </c>
      <c r="J183" s="196">
        <f>SUMIFS('Forbrug af biomasse'!$E$2:$E$425,'Forbrug af biomasse'!$C$2:$C$425,'Resultat-Produktion &amp; forbrug'!$A183,'Forbrug af biomasse'!$D$2:$D$425,'Resultat-Produktion &amp; forbrug'!$D183,'Forbrug af biomasse'!$A$2:$A$425,'Resultat-Produktion &amp; forbrug'!J$2,'Forbrug af biomasse'!$B$2:$B$425,$E183)</f>
        <v>0</v>
      </c>
      <c r="K183" s="196">
        <f>SUMIFS('Forbrug af biomasse'!$E$2:$E$425,'Forbrug af biomasse'!$C$2:$C$425,'Resultat-Produktion &amp; forbrug'!$A183,'Forbrug af biomasse'!$D$2:$D$425,'Resultat-Produktion &amp; forbrug'!$D183,'Forbrug af biomasse'!$A$2:$A$425,'Resultat-Produktion &amp; forbrug'!K$2,'Forbrug af biomasse'!$B$2:$B$425,$E183)</f>
        <v>0</v>
      </c>
      <c r="L183" s="196">
        <f>IF(A183&lt;&gt;"Biogas",SUMIFS('Forbrug af biomasse'!$E$2:$E$425,'Forbrug af biomasse'!$C$2:$C$425,'Resultat-Produktion &amp; forbrug'!$A183,'Forbrug af biomasse'!$D$2:$D$425,'Resultat-Produktion &amp; forbrug'!$D183,'Forbrug af biomasse'!$A$2:$A$425,'Resultat-Produktion &amp; forbrug'!L$2,'Forbrug af biomasse'!$B$2:$B$425,$E183),F183)</f>
        <v>0</v>
      </c>
      <c r="M183" s="158">
        <f>SUMIFS('Forbrug af biomasse'!E:E,'Forbrug af biomasse'!C:C,'Resultat-Produktion &amp; forbrug'!$A183,'Forbrug af biomasse'!D:D,'Resultat-Produktion &amp; forbrug'!$D183,'Forbrug af biomasse'!G:G,1,'Forbrug af biomasse'!B:B,$E183)</f>
        <v>0</v>
      </c>
      <c r="N183" s="205">
        <f t="shared" si="48"/>
        <v>70508.296689855866</v>
      </c>
      <c r="O183" s="196">
        <f t="shared" si="39"/>
        <v>0</v>
      </c>
      <c r="P183" s="206">
        <f t="shared" si="49"/>
        <v>0</v>
      </c>
      <c r="Q183" s="193">
        <f>IFERROR(VLOOKUP(A183,[1]Energiindhold!$A$2:$C$11,3,FALSE),IFERROR(VLOOKUP(A183,[1]Biogasudbytte!$A$2:$B$18,2,FALSE)*[1]Energiindhold!$C$10,0))*O183</f>
        <v>0</v>
      </c>
      <c r="R183" s="193">
        <f>IF(A183&lt;&gt;"Biogas",IFERROR(VLOOKUP(A183,[1]Biogasudbytte!$A$2:$B$18,2,FALSE)*[1]Energiindhold!$C$10,0)*J183*IFERROR(VLOOKUP(A183,Biogasanlæg!$F$3:$G$8,2,FALSE),1)+IFERROR(VLOOKUP(A183,[1]Energiindhold!$A$2:$C$11,3,FALSE),0)*L183+IF(D183&lt;&gt;År1,Q183,0),0)</f>
        <v>0</v>
      </c>
      <c r="S183" s="193">
        <f>IFERROR(VLOOKUP(A183,[1]Biogasudbytte!$A$2:$B$18,2,FALSE)*[1]Energiindhold!$C$10,0)*J183*IFERROR(VLOOKUP(A183,Biogasanlæg!$F$3:$G$8,2,FALSE),1)</f>
        <v>0</v>
      </c>
      <c r="T183" s="194">
        <f t="shared" si="50"/>
        <v>0</v>
      </c>
      <c r="U183" s="192">
        <f>O183*IFERROR(VLOOKUP(A183,[1]Tørstofindhold!A$2:B$25,2,FALSE),0)</f>
        <v>0</v>
      </c>
      <c r="V183" s="193">
        <f>IF(D183=År1,P183,SUM(O183,P183))*IFERROR(VLOOKUP(A183,[1]Tørstofindhold!A$2:B$25,2,FALSE),0)</f>
        <v>0</v>
      </c>
      <c r="W183" s="193">
        <f>J183*IFERROR(VLOOKUP(A183,[1]Tørstofindhold!A$2:B$25,2,FALSE),0)</f>
        <v>0</v>
      </c>
      <c r="X183" s="194">
        <f t="shared" si="51"/>
        <v>0</v>
      </c>
      <c r="Y183" s="172">
        <f t="shared" si="43"/>
        <v>0</v>
      </c>
      <c r="Z183" s="104">
        <f t="shared" si="44"/>
        <v>1</v>
      </c>
    </row>
    <row r="184" spans="1:26" hidden="1" x14ac:dyDescent="0.55000000000000004">
      <c r="A184" s="193" t="s">
        <v>234</v>
      </c>
      <c r="B184" s="195" t="s">
        <v>234</v>
      </c>
      <c r="C184" s="195">
        <f>IF(COUNTIFS('Resultater - Danmark'!$D$3:$D$482,'Resultat-Produktion &amp; forbrug'!A184,'Resultater - Danmark'!$A$3:$A$482,"Til energi")+COUNTIFS('Resultater - Danmark'!$D$3:$D$482,'Resultat-Produktion &amp; forbrug'!A184,'Resultater - Danmark'!$A$3:$A$482,"Biogasanlæg")&gt;0,1,0)</f>
        <v>1</v>
      </c>
      <c r="D184" s="195">
        <f t="shared" si="47"/>
        <v>2019</v>
      </c>
      <c r="E184" s="193" t="s">
        <v>24</v>
      </c>
      <c r="F184" s="196">
        <f>IF(E184="Vestdanmark",SUMIFS(IF(D184=År1,'Resultater - Vestdanmark'!H$3:H$482,IF(D184=År2,'Resultater - Vestdanmark'!I$3:I$482,'Resultater - Vestdanmark'!J$3:J$482)),'Resultater - Vestdanmark'!$F$3:$F$482,$A184,IF(D184=År1,'Resultater - Vestdanmark'!H$3:H$482,IF(D184=År2,'Resultater - Vestdanmark'!I$3:I$482,'Resultater - Vestdanmark'!J$3:J$482)),"&gt;0"),SUMIFS(IF(D184=År1,'Resultater - Østdanmark'!H$3:H$482,IF(D184=År2,'Resultater - Østdanmark'!I$3:I$482,'Resultater - Østdanmark'!J$3:J$482)),'Resultater - Østdanmark'!$F$3:$F$482,$A184,IF(D184=År1,'Resultater - Østdanmark'!H$3:H$482,IF(D184=År2,'Resultater - Østdanmark'!I$3:I$482,'Resultater - Østdanmark'!J$3:J$482)),"&gt;0"))</f>
        <v>61943.722362786721</v>
      </c>
      <c r="G184" s="196">
        <f>SUMIFS('Forbrug af biomasse'!$E$2:$E$425,'Forbrug af biomasse'!$C$2:$C$425,'Resultat-Produktion &amp; forbrug'!$A184,'Forbrug af biomasse'!$D$2:$D$425,'Resultat-Produktion &amp; forbrug'!$D184,'Forbrug af biomasse'!$A$2:$A$425,'Resultat-Produktion &amp; forbrug'!G$2,'Forbrug af biomasse'!$B$2:$B$425,$E184)</f>
        <v>0</v>
      </c>
      <c r="H184" s="193">
        <f>IF(E184="Vestdanmark",-IF(A184="Halm",SUMIFS(IF(D184=År1,'Resultater - Vestdanmark'!H$3:H$482,IF(D184=År2,'Resultater - Vestdanmark'!I$3:I$482,'Resultater - Vestdanmark'!J$3:J$482)),'Resultater - Vestdanmark'!$F$3:$F$482,$A184,'Resultater - Vestdanmark'!H$3:H$482,"&lt;0"),0),-IF(A184="Halm",SUMIFS(IF(D184=År1,'Resultater - Østdanmark'!H$3:H$482,IF(D184=År2,'Resultater - Østdanmark'!I$3:I$482,'Resultater - Østdanmark'!J$3:J$482)),'Resultater - Østdanmark'!$F$3:$F$482,$A184,'Resultater - Østdanmark'!H$3:H$482,"&lt;0"),0))</f>
        <v>0</v>
      </c>
      <c r="I184" s="196">
        <f>SUMIFS('Forbrug af biomasse'!$E$2:$E$425,'Forbrug af biomasse'!$C$2:$C$425,'Resultat-Produktion &amp; forbrug'!$A184,'Forbrug af biomasse'!$D$2:$D$425,'Resultat-Produktion &amp; forbrug'!$D184,'Forbrug af biomasse'!$A$2:$A$425,'Resultat-Produktion &amp; forbrug'!I$2,'Forbrug af biomasse'!$B$2:$B$425,$E184)</f>
        <v>0</v>
      </c>
      <c r="J184" s="196">
        <f>SUMIFS('Forbrug af biomasse'!$E$2:$E$425,'Forbrug af biomasse'!$C$2:$C$425,'Resultat-Produktion &amp; forbrug'!$A184,'Forbrug af biomasse'!$D$2:$D$425,'Resultat-Produktion &amp; forbrug'!$D184,'Forbrug af biomasse'!$A$2:$A$425,'Resultat-Produktion &amp; forbrug'!J$2,'Forbrug af biomasse'!$B$2:$B$425,$E184)</f>
        <v>0</v>
      </c>
      <c r="K184" s="196">
        <f>SUMIFS('Forbrug af biomasse'!$E$2:$E$425,'Forbrug af biomasse'!$C$2:$C$425,'Resultat-Produktion &amp; forbrug'!$A184,'Forbrug af biomasse'!$D$2:$D$425,'Resultat-Produktion &amp; forbrug'!$D184,'Forbrug af biomasse'!$A$2:$A$425,'Resultat-Produktion &amp; forbrug'!K$2,'Forbrug af biomasse'!$B$2:$B$425,$E184)</f>
        <v>0</v>
      </c>
      <c r="L184" s="196">
        <f>IF(A184&lt;&gt;"Biogas",SUMIFS('Forbrug af biomasse'!$E$2:$E$425,'Forbrug af biomasse'!$C$2:$C$425,'Resultat-Produktion &amp; forbrug'!$A184,'Forbrug af biomasse'!$D$2:$D$425,'Resultat-Produktion &amp; forbrug'!$D184,'Forbrug af biomasse'!$A$2:$A$425,'Resultat-Produktion &amp; forbrug'!L$2,'Forbrug af biomasse'!$B$2:$B$425,$E184),F184)</f>
        <v>1238.8744472557355</v>
      </c>
      <c r="M184" s="158">
        <f>SUMIFS('Forbrug af biomasse'!E:E,'Forbrug af biomasse'!C:C,'Resultat-Produktion &amp; forbrug'!$A184,'Forbrug af biomasse'!D:D,'Resultat-Produktion &amp; forbrug'!$D184,'Forbrug af biomasse'!G:G,1,'Forbrug af biomasse'!B:B,$E184)</f>
        <v>60704.847915530983</v>
      </c>
      <c r="N184" s="205">
        <f t="shared" si="48"/>
        <v>0</v>
      </c>
      <c r="O184" s="196">
        <f t="shared" si="39"/>
        <v>0</v>
      </c>
      <c r="P184" s="206">
        <f t="shared" si="49"/>
        <v>1238.8744472557355</v>
      </c>
      <c r="Q184" s="193">
        <f>IFERROR(VLOOKUP(A184,[1]Energiindhold!$A$2:$C$11,3,FALSE),IFERROR(VLOOKUP(A184,[1]Biogasudbytte!$A$2:$B$18,2,FALSE)*[1]Energiindhold!$C$10,0))*O184</f>
        <v>0</v>
      </c>
      <c r="R184" s="193">
        <f>IF(A184&lt;&gt;"Biogas",IFERROR(VLOOKUP(A184,[1]Biogasudbytte!$A$2:$B$18,2,FALSE)*[1]Energiindhold!$C$10,0)*J184*IFERROR(VLOOKUP(A184,Biogasanlæg!$F$3:$G$8,2,FALSE),1)+IFERROR(VLOOKUP(A184,[1]Energiindhold!$A$2:$C$11,3,FALSE),0)*L184+IF(D184&lt;&gt;År1,Q184,0),0)</f>
        <v>4.3360605653950737E-2</v>
      </c>
      <c r="S184" s="193">
        <f>IFERROR(VLOOKUP(A184,[1]Biogasudbytte!$A$2:$B$18,2,FALSE)*[1]Energiindhold!$C$10,0)*J184*IFERROR(VLOOKUP(A184,Biogasanlæg!$F$3:$G$8,2,FALSE),1)</f>
        <v>0</v>
      </c>
      <c r="T184" s="194">
        <f t="shared" si="50"/>
        <v>4.3360605653950737E-2</v>
      </c>
      <c r="U184" s="192">
        <f>O184*IFERROR(VLOOKUP(A184,[1]Tørstofindhold!A$2:B$25,2,FALSE),0)</f>
        <v>0</v>
      </c>
      <c r="V184" s="193">
        <f>IF(D184=År1,P184,SUM(O184,P184))*IFERROR(VLOOKUP(A184,[1]Tørstofindhold!A$2:B$25,2,FALSE),0)</f>
        <v>1127.3757470027194</v>
      </c>
      <c r="W184" s="193">
        <f>J184*IFERROR(VLOOKUP(A184,[1]Tørstofindhold!A$2:B$25,2,FALSE),0)</f>
        <v>0</v>
      </c>
      <c r="X184" s="194">
        <f t="shared" si="51"/>
        <v>1127.3757470027194</v>
      </c>
      <c r="Y184" s="172">
        <f t="shared" si="43"/>
        <v>0</v>
      </c>
      <c r="Z184" s="104">
        <f t="shared" si="44"/>
        <v>0</v>
      </c>
    </row>
    <row r="185" spans="1:26" hidden="1" x14ac:dyDescent="0.55000000000000004">
      <c r="A185" s="193" t="s">
        <v>52</v>
      </c>
      <c r="B185" s="195" t="s">
        <v>227</v>
      </c>
      <c r="C185" s="195">
        <f>IF(COUNTIFS('Resultater - Danmark'!$D$3:$D$482,'Resultat-Produktion &amp; forbrug'!A185,'Resultater - Danmark'!$A$3:$A$482,"Til energi")+COUNTIFS('Resultater - Danmark'!$D$3:$D$482,'Resultat-Produktion &amp; forbrug'!A185,'Resultater - Danmark'!$A$3:$A$482,"Biogasanlæg")&gt;0,1,0)</f>
        <v>1</v>
      </c>
      <c r="D185" s="195">
        <f t="shared" si="47"/>
        <v>2019</v>
      </c>
      <c r="E185" s="193" t="s">
        <v>24</v>
      </c>
      <c r="F185" s="196">
        <f>IF(E185="Vestdanmark",SUMIFS(IF(D185=År1,'Resultater - Vestdanmark'!H$3:H$482,IF(D185=År2,'Resultater - Vestdanmark'!I$3:I$482,'Resultater - Vestdanmark'!J$3:J$482)),'Resultater - Vestdanmark'!$F$3:$F$482,$A185,IF(D185=År1,'Resultater - Vestdanmark'!H$3:H$482,IF(D185=År2,'Resultater - Vestdanmark'!I$3:I$482,'Resultater - Vestdanmark'!J$3:J$482)),"&gt;0"),SUMIFS(IF(D185=År1,'Resultater - Østdanmark'!H$3:H$482,IF(D185=År2,'Resultater - Østdanmark'!I$3:I$482,'Resultater - Østdanmark'!J$3:J$482)),'Resultater - Østdanmark'!$F$3:$F$482,$A185,IF(D185=År1,'Resultater - Østdanmark'!H$3:H$482,IF(D185=År2,'Resultater - Østdanmark'!I$3:I$482,'Resultater - Østdanmark'!J$3:J$482)),"&gt;0"))</f>
        <v>2252973.7408705982</v>
      </c>
      <c r="G185" s="196">
        <f>SUMIFS('Forbrug af biomasse'!$E$2:$E$425,'Forbrug af biomasse'!$C$2:$C$425,'Resultat-Produktion &amp; forbrug'!$A185,'Forbrug af biomasse'!$D$2:$D$425,'Resultat-Produktion &amp; forbrug'!$D185,'Forbrug af biomasse'!$A$2:$A$425,'Resultat-Produktion &amp; forbrug'!G$2,'Forbrug af biomasse'!$B$2:$B$425,$E185)</f>
        <v>103245.87683002709</v>
      </c>
      <c r="H185" s="193">
        <f>IF(E185="Vestdanmark",-IF(A185="Halm",SUMIFS(IF(D185=År1,'Resultater - Vestdanmark'!H$3:H$482,IF(D185=År2,'Resultater - Vestdanmark'!I$3:I$482,'Resultater - Vestdanmark'!J$3:J$482)),'Resultater - Vestdanmark'!$F$3:$F$482,$A185,'Resultater - Vestdanmark'!H$3:H$482,"&lt;0"),0),-IF(A185="Halm",SUMIFS(IF(D185=År1,'Resultater - Østdanmark'!H$3:H$482,IF(D185=År2,'Resultater - Østdanmark'!I$3:I$482,'Resultater - Østdanmark'!J$3:J$482)),'Resultater - Østdanmark'!$F$3:$F$482,$A185,'Resultater - Østdanmark'!H$3:H$482,"&lt;0"),0))</f>
        <v>0</v>
      </c>
      <c r="I185" s="196">
        <f>SUMIFS('Forbrug af biomasse'!$E$2:$E$425,'Forbrug af biomasse'!$C$2:$C$425,'Resultat-Produktion &amp; forbrug'!$A185,'Forbrug af biomasse'!$D$2:$D$425,'Resultat-Produktion &amp; forbrug'!$D185,'Forbrug af biomasse'!$A$2:$A$425,'Resultat-Produktion &amp; forbrug'!I$2,'Forbrug af biomasse'!$B$2:$B$425,$E185)</f>
        <v>0</v>
      </c>
      <c r="J185" s="196">
        <f>SUMIFS('Forbrug af biomasse'!$E$2:$E$425,'Forbrug af biomasse'!$C$2:$C$425,'Resultat-Produktion &amp; forbrug'!$A185,'Forbrug af biomasse'!$D$2:$D$425,'Resultat-Produktion &amp; forbrug'!$D185,'Forbrug af biomasse'!$A$2:$A$425,'Resultat-Produktion &amp; forbrug'!J$2,'Forbrug af biomasse'!$B$2:$B$425,$E185)</f>
        <v>24543.951075802775</v>
      </c>
      <c r="K185" s="196">
        <f>SUMIFS('Forbrug af biomasse'!$E$2:$E$425,'Forbrug af biomasse'!$C$2:$C$425,'Resultat-Produktion &amp; forbrug'!$A185,'Forbrug af biomasse'!$D$2:$D$425,'Resultat-Produktion &amp; forbrug'!$D185,'Forbrug af biomasse'!$A$2:$A$425,'Resultat-Produktion &amp; forbrug'!K$2,'Forbrug af biomasse'!$B$2:$B$425,$E185)</f>
        <v>0</v>
      </c>
      <c r="L185" s="196">
        <f>IF(A185&lt;&gt;"Biogas",SUMIFS('Forbrug af biomasse'!$E$2:$E$425,'Forbrug af biomasse'!$C$2:$C$425,'Resultat-Produktion &amp; forbrug'!$A185,'Forbrug af biomasse'!$D$2:$D$425,'Resultat-Produktion &amp; forbrug'!$D185,'Forbrug af biomasse'!$A$2:$A$425,'Resultat-Produktion &amp; forbrug'!L$2,'Forbrug af biomasse'!$B$2:$B$425,$E185),F185)</f>
        <v>0</v>
      </c>
      <c r="M185" s="158">
        <f>SUMIFS('Forbrug af biomasse'!E:E,'Forbrug af biomasse'!C:C,'Resultat-Produktion &amp; forbrug'!$A185,'Forbrug af biomasse'!D:D,'Resultat-Produktion &amp; forbrug'!$D185,'Forbrug af biomasse'!G:G,1,'Forbrug af biomasse'!B:B,$E185)</f>
        <v>0</v>
      </c>
      <c r="N185" s="205">
        <f t="shared" si="48"/>
        <v>2125183.9129647682</v>
      </c>
      <c r="O185" s="196">
        <f t="shared" si="39"/>
        <v>1656364.6415009145</v>
      </c>
      <c r="P185" s="206">
        <f t="shared" si="49"/>
        <v>24543.951075802775</v>
      </c>
      <c r="Q185" s="193">
        <f>IFERROR(VLOOKUP(A185,[1]Energiindhold!$A$2:$C$11,3,FALSE),IFERROR(VLOOKUP(A185,[1]Biogasudbytte!$A$2:$B$18,2,FALSE)*[1]Energiindhold!$C$10,0))*O185</f>
        <v>4.4954398916191423</v>
      </c>
      <c r="R185" s="193">
        <f>IF(A185&lt;&gt;"Biogas",IFERROR(VLOOKUP(A185,[1]Biogasudbytte!$A$2:$B$18,2,FALSE)*[1]Energiindhold!$C$10,0)*J185*IFERROR(VLOOKUP(A185,Biogasanlæg!$F$3:$G$8,2,FALSE),1)+IFERROR(VLOOKUP(A185,[1]Energiindhold!$A$2:$C$11,3,FALSE),0)*L185+IF(D185&lt;&gt;År1,Q185,0),0)</f>
        <v>6.6613264977771772E-2</v>
      </c>
      <c r="S185" s="193">
        <f>IFERROR(VLOOKUP(A185,[1]Biogasudbytte!$A$2:$B$18,2,FALSE)*[1]Energiindhold!$C$10,0)*J185*IFERROR(VLOOKUP(A185,Biogasanlæg!$F$3:$G$8,2,FALSE),1)</f>
        <v>6.6613264977771772E-2</v>
      </c>
      <c r="T185" s="194">
        <f t="shared" si="50"/>
        <v>0</v>
      </c>
      <c r="U185" s="192">
        <f>O185*IFERROR(VLOOKUP(A185,[1]Tørstofindhold!A$2:B$25,2,FALSE),0)</f>
        <v>331272.92830018292</v>
      </c>
      <c r="V185" s="193">
        <f>IF(D185=År1,P185,SUM(O185,P185))*IFERROR(VLOOKUP(A185,[1]Tørstofindhold!A$2:B$25,2,FALSE),0)</f>
        <v>4908.7902151605549</v>
      </c>
      <c r="W185" s="193">
        <f>J185*IFERROR(VLOOKUP(A185,[1]Tørstofindhold!A$2:B$25,2,FALSE),0)</f>
        <v>4908.7902151605549</v>
      </c>
      <c r="X185" s="194">
        <f t="shared" si="51"/>
        <v>0</v>
      </c>
      <c r="Y185" s="172">
        <f t="shared" si="43"/>
        <v>0</v>
      </c>
      <c r="Z185" s="104">
        <f t="shared" si="44"/>
        <v>1</v>
      </c>
    </row>
    <row r="186" spans="1:26" hidden="1" x14ac:dyDescent="0.55000000000000004">
      <c r="A186" s="193" t="s">
        <v>122</v>
      </c>
      <c r="B186" s="195"/>
      <c r="C186" s="195">
        <f>IF(COUNTIFS('Resultater - Danmark'!$D$3:$D$482,'Resultat-Produktion &amp; forbrug'!A186,'Resultater - Danmark'!$A$3:$A$482,"Til energi")+COUNTIFS('Resultater - Danmark'!$D$3:$D$482,'Resultat-Produktion &amp; forbrug'!A186,'Resultater - Danmark'!$A$3:$A$482,"Biogasanlæg")&gt;0,1,0)</f>
        <v>0</v>
      </c>
      <c r="D186" s="195">
        <f t="shared" si="47"/>
        <v>2019</v>
      </c>
      <c r="E186" s="193" t="s">
        <v>24</v>
      </c>
      <c r="F186" s="196">
        <f>IF(E186="Vestdanmark",SUMIFS(IF(D186=År1,'Resultater - Vestdanmark'!H$3:H$482,IF(D186=År2,'Resultater - Vestdanmark'!I$3:I$482,'Resultater - Vestdanmark'!J$3:J$482)),'Resultater - Vestdanmark'!$F$3:$F$482,$A186,IF(D186=År1,'Resultater - Vestdanmark'!H$3:H$482,IF(D186=År2,'Resultater - Vestdanmark'!I$3:I$482,'Resultater - Vestdanmark'!J$3:J$482)),"&gt;0"),SUMIFS(IF(D186=År1,'Resultater - Østdanmark'!H$3:H$482,IF(D186=År2,'Resultater - Østdanmark'!I$3:I$482,'Resultater - Østdanmark'!J$3:J$482)),'Resultater - Østdanmark'!$F$3:$F$482,$A186,IF(D186=År1,'Resultater - Østdanmark'!H$3:H$482,IF(D186=År2,'Resultater - Østdanmark'!I$3:I$482,'Resultater - Østdanmark'!J$3:J$482)),"&gt;0"))</f>
        <v>23179.475218292017</v>
      </c>
      <c r="G186" s="196">
        <f>SUMIFS('Forbrug af biomasse'!$E$2:$E$425,'Forbrug af biomasse'!$C$2:$C$425,'Resultat-Produktion &amp; forbrug'!$A186,'Forbrug af biomasse'!$D$2:$D$425,'Resultat-Produktion &amp; forbrug'!$D186,'Forbrug af biomasse'!$A$2:$A$425,'Resultat-Produktion &amp; forbrug'!G$2,'Forbrug af biomasse'!$B$2:$B$425,$E186)</f>
        <v>0</v>
      </c>
      <c r="H186" s="193">
        <f>IF(E186="Vestdanmark",-IF(A186="Halm",SUMIFS(IF(D186=År1,'Resultater - Vestdanmark'!H$3:H$482,IF(D186=År2,'Resultater - Vestdanmark'!I$3:I$482,'Resultater - Vestdanmark'!J$3:J$482)),'Resultater - Vestdanmark'!$F$3:$F$482,$A186,'Resultater - Vestdanmark'!H$3:H$482,"&lt;0"),0),-IF(A186="Halm",SUMIFS(IF(D186=År1,'Resultater - Østdanmark'!H$3:H$482,IF(D186=År2,'Resultater - Østdanmark'!I$3:I$482,'Resultater - Østdanmark'!J$3:J$482)),'Resultater - Østdanmark'!$F$3:$F$482,$A186,'Resultater - Østdanmark'!H$3:H$482,"&lt;0"),0))</f>
        <v>0</v>
      </c>
      <c r="I186" s="196">
        <f>SUMIFS('Forbrug af biomasse'!$E$2:$E$425,'Forbrug af biomasse'!$C$2:$C$425,'Resultat-Produktion &amp; forbrug'!$A186,'Forbrug af biomasse'!$D$2:$D$425,'Resultat-Produktion &amp; forbrug'!$D186,'Forbrug af biomasse'!$A$2:$A$425,'Resultat-Produktion &amp; forbrug'!I$2,'Forbrug af biomasse'!$B$2:$B$425,$E186)</f>
        <v>0</v>
      </c>
      <c r="J186" s="196">
        <f>SUMIFS('Forbrug af biomasse'!$E$2:$E$425,'Forbrug af biomasse'!$C$2:$C$425,'Resultat-Produktion &amp; forbrug'!$A186,'Forbrug af biomasse'!$D$2:$D$425,'Resultat-Produktion &amp; forbrug'!$D186,'Forbrug af biomasse'!$A$2:$A$425,'Resultat-Produktion &amp; forbrug'!J$2,'Forbrug af biomasse'!$B$2:$B$425,$E186)</f>
        <v>0</v>
      </c>
      <c r="K186" s="196">
        <f>SUMIFS('Forbrug af biomasse'!$E$2:$E$425,'Forbrug af biomasse'!$C$2:$C$425,'Resultat-Produktion &amp; forbrug'!$A186,'Forbrug af biomasse'!$D$2:$D$425,'Resultat-Produktion &amp; forbrug'!$D186,'Forbrug af biomasse'!$A$2:$A$425,'Resultat-Produktion &amp; forbrug'!K$2,'Forbrug af biomasse'!$B$2:$B$425,$E186)</f>
        <v>0</v>
      </c>
      <c r="L186" s="196">
        <f>IF(A186&lt;&gt;"Biogas",SUMIFS('Forbrug af biomasse'!$E$2:$E$425,'Forbrug af biomasse'!$C$2:$C$425,'Resultat-Produktion &amp; forbrug'!$A186,'Forbrug af biomasse'!$D$2:$D$425,'Resultat-Produktion &amp; forbrug'!$D186,'Forbrug af biomasse'!$A$2:$A$425,'Resultat-Produktion &amp; forbrug'!L$2,'Forbrug af biomasse'!$B$2:$B$425,$E186),F186)</f>
        <v>0</v>
      </c>
      <c r="M186" s="158">
        <f>SUMIFS('Forbrug af biomasse'!E:E,'Forbrug af biomasse'!C:C,'Resultat-Produktion &amp; forbrug'!$A186,'Forbrug af biomasse'!D:D,'Resultat-Produktion &amp; forbrug'!$D186,'Forbrug af biomasse'!G:G,1,'Forbrug af biomasse'!B:B,$E186)</f>
        <v>0</v>
      </c>
      <c r="N186" s="205">
        <f t="shared" si="48"/>
        <v>23179.475218292017</v>
      </c>
      <c r="O186" s="196">
        <f t="shared" si="39"/>
        <v>0</v>
      </c>
      <c r="P186" s="206">
        <f t="shared" si="49"/>
        <v>0</v>
      </c>
      <c r="Q186" s="193">
        <f>IFERROR(VLOOKUP(A186,[1]Energiindhold!$A$2:$C$11,3,FALSE),IFERROR(VLOOKUP(A186,[1]Biogasudbytte!$A$2:$B$18,2,FALSE)*[1]Energiindhold!$C$10,0))*O186</f>
        <v>0</v>
      </c>
      <c r="R186" s="193">
        <f>IF(A186&lt;&gt;"Biogas",IFERROR(VLOOKUP(A186,[1]Biogasudbytte!$A$2:$B$18,2,FALSE)*[1]Energiindhold!$C$10,0)*J186*IFERROR(VLOOKUP(A186,Biogasanlæg!$F$3:$G$8,2,FALSE),1)+IFERROR(VLOOKUP(A186,[1]Energiindhold!$A$2:$C$11,3,FALSE),0)*L186+IF(D186&lt;&gt;År1,Q186,0),0)</f>
        <v>0</v>
      </c>
      <c r="S186" s="193">
        <f>IFERROR(VLOOKUP(A186,[1]Biogasudbytte!$A$2:$B$18,2,FALSE)*[1]Energiindhold!$C$10,0)*J186*IFERROR(VLOOKUP(A186,Biogasanlæg!$F$3:$G$8,2,FALSE),1)</f>
        <v>0</v>
      </c>
      <c r="T186" s="194">
        <f t="shared" si="50"/>
        <v>0</v>
      </c>
      <c r="U186" s="192">
        <f>O186*IFERROR(VLOOKUP(A186,[1]Tørstofindhold!A$2:B$25,2,FALSE),0)</f>
        <v>0</v>
      </c>
      <c r="V186" s="193">
        <f>IF(D186=År1,P186,SUM(O186,P186))*IFERROR(VLOOKUP(A186,[1]Tørstofindhold!A$2:B$25,2,FALSE),0)</f>
        <v>0</v>
      </c>
      <c r="W186" s="193">
        <f>J186*IFERROR(VLOOKUP(A186,[1]Tørstofindhold!A$2:B$25,2,FALSE),0)</f>
        <v>0</v>
      </c>
      <c r="X186" s="194">
        <f t="shared" si="51"/>
        <v>0</v>
      </c>
      <c r="Y186" s="172">
        <f t="shared" si="43"/>
        <v>0</v>
      </c>
      <c r="Z186" s="104">
        <f t="shared" si="44"/>
        <v>1</v>
      </c>
    </row>
    <row r="187" spans="1:26" hidden="1" x14ac:dyDescent="0.55000000000000004">
      <c r="A187" s="193" t="s">
        <v>108</v>
      </c>
      <c r="B187" s="195"/>
      <c r="C187" s="195">
        <f>IF(COUNTIFS('Resultater - Danmark'!$D$3:$D$482,'Resultat-Produktion &amp; forbrug'!A187,'Resultater - Danmark'!$A$3:$A$482,"Til energi")+COUNTIFS('Resultater - Danmark'!$D$3:$D$482,'Resultat-Produktion &amp; forbrug'!A187,'Resultater - Danmark'!$A$3:$A$482,"Biogasanlæg")&gt;0,1,0)</f>
        <v>0</v>
      </c>
      <c r="D187" s="195">
        <f t="shared" si="47"/>
        <v>2019</v>
      </c>
      <c r="E187" s="193" t="s">
        <v>24</v>
      </c>
      <c r="F187" s="196">
        <f>IF(E187="Vestdanmark",SUMIFS(IF(D187=År1,'Resultater - Vestdanmark'!H$3:H$482,IF(D187=År2,'Resultater - Vestdanmark'!I$3:I$482,'Resultater - Vestdanmark'!J$3:J$482)),'Resultater - Vestdanmark'!$F$3:$F$482,$A187,IF(D187=År1,'Resultater - Vestdanmark'!H$3:H$482,IF(D187=År2,'Resultater - Vestdanmark'!I$3:I$482,'Resultater - Vestdanmark'!J$3:J$482)),"&gt;0"),SUMIFS(IF(D187=År1,'Resultater - Østdanmark'!H$3:H$482,IF(D187=År2,'Resultater - Østdanmark'!I$3:I$482,'Resultater - Østdanmark'!J$3:J$482)),'Resultater - Østdanmark'!$F$3:$F$482,$A187,IF(D187=År1,'Resultater - Østdanmark'!H$3:H$482,IF(D187=År2,'Resultater - Østdanmark'!I$3:I$482,'Resultater - Østdanmark'!J$3:J$482)),"&gt;0"))</f>
        <v>18923.903166389329</v>
      </c>
      <c r="G187" s="196">
        <f>SUMIFS('Forbrug af biomasse'!$E$2:$E$425,'Forbrug af biomasse'!$C$2:$C$425,'Resultat-Produktion &amp; forbrug'!$A187,'Forbrug af biomasse'!$D$2:$D$425,'Resultat-Produktion &amp; forbrug'!$D187,'Forbrug af biomasse'!$A$2:$A$425,'Resultat-Produktion &amp; forbrug'!G$2,'Forbrug af biomasse'!$B$2:$B$425,$E187)</f>
        <v>4837.9324606189475</v>
      </c>
      <c r="H187" s="193">
        <f>IF(E187="Vestdanmark",-IF(A187="Halm",SUMIFS(IF(D187=År1,'Resultater - Vestdanmark'!H$3:H$482,IF(D187=År2,'Resultater - Vestdanmark'!I$3:I$482,'Resultater - Vestdanmark'!J$3:J$482)),'Resultater - Vestdanmark'!$F$3:$F$482,$A187,'Resultater - Vestdanmark'!H$3:H$482,"&lt;0"),0),-IF(A187="Halm",SUMIFS(IF(D187=År1,'Resultater - Østdanmark'!H$3:H$482,IF(D187=År2,'Resultater - Østdanmark'!I$3:I$482,'Resultater - Østdanmark'!J$3:J$482)),'Resultater - Østdanmark'!$F$3:$F$482,$A187,'Resultater - Østdanmark'!H$3:H$482,"&lt;0"),0))</f>
        <v>0</v>
      </c>
      <c r="I187" s="196">
        <f>SUMIFS('Forbrug af biomasse'!$E$2:$E$425,'Forbrug af biomasse'!$C$2:$C$425,'Resultat-Produktion &amp; forbrug'!$A187,'Forbrug af biomasse'!$D$2:$D$425,'Resultat-Produktion &amp; forbrug'!$D187,'Forbrug af biomasse'!$A$2:$A$425,'Resultat-Produktion &amp; forbrug'!I$2,'Forbrug af biomasse'!$B$2:$B$425,$E187)</f>
        <v>0</v>
      </c>
      <c r="J187" s="196">
        <f>SUMIFS('Forbrug af biomasse'!$E$2:$E$425,'Forbrug af biomasse'!$C$2:$C$425,'Resultat-Produktion &amp; forbrug'!$A187,'Forbrug af biomasse'!$D$2:$D$425,'Resultat-Produktion &amp; forbrug'!$D187,'Forbrug af biomasse'!$A$2:$A$425,'Resultat-Produktion &amp; forbrug'!J$2,'Forbrug af biomasse'!$B$2:$B$425,$E187)</f>
        <v>0</v>
      </c>
      <c r="K187" s="196">
        <f>SUMIFS('Forbrug af biomasse'!$E$2:$E$425,'Forbrug af biomasse'!$C$2:$C$425,'Resultat-Produktion &amp; forbrug'!$A187,'Forbrug af biomasse'!$D$2:$D$425,'Resultat-Produktion &amp; forbrug'!$D187,'Forbrug af biomasse'!$A$2:$A$425,'Resultat-Produktion &amp; forbrug'!K$2,'Forbrug af biomasse'!$B$2:$B$425,$E187)</f>
        <v>0</v>
      </c>
      <c r="L187" s="196">
        <f>IF(A187&lt;&gt;"Biogas",SUMIFS('Forbrug af biomasse'!$E$2:$E$425,'Forbrug af biomasse'!$C$2:$C$425,'Resultat-Produktion &amp; forbrug'!$A187,'Forbrug af biomasse'!$D$2:$D$425,'Resultat-Produktion &amp; forbrug'!$D187,'Forbrug af biomasse'!$A$2:$A$425,'Resultat-Produktion &amp; forbrug'!L$2,'Forbrug af biomasse'!$B$2:$B$425,$E187),F187)</f>
        <v>0</v>
      </c>
      <c r="M187" s="158">
        <f>SUMIFS('Forbrug af biomasse'!E:E,'Forbrug af biomasse'!C:C,'Resultat-Produktion &amp; forbrug'!$A187,'Forbrug af biomasse'!D:D,'Resultat-Produktion &amp; forbrug'!$D187,'Forbrug af biomasse'!G:G,1,'Forbrug af biomasse'!B:B,$E187)</f>
        <v>0</v>
      </c>
      <c r="N187" s="205">
        <f t="shared" si="48"/>
        <v>14085.970705770382</v>
      </c>
      <c r="O187" s="196">
        <f t="shared" si="39"/>
        <v>0</v>
      </c>
      <c r="P187" s="206">
        <f t="shared" si="49"/>
        <v>0</v>
      </c>
      <c r="Q187" s="193">
        <f>IFERROR(VLOOKUP(A187,[1]Energiindhold!$A$2:$C$11,3,FALSE),IFERROR(VLOOKUP(A187,[1]Biogasudbytte!$A$2:$B$18,2,FALSE)*[1]Energiindhold!$C$10,0))*O187</f>
        <v>0</v>
      </c>
      <c r="R187" s="193">
        <f>IF(A187&lt;&gt;"Biogas",IFERROR(VLOOKUP(A187,[1]Biogasudbytte!$A$2:$B$18,2,FALSE)*[1]Energiindhold!$C$10,0)*J187*IFERROR(VLOOKUP(A187,Biogasanlæg!$F$3:$G$8,2,FALSE),1)+IFERROR(VLOOKUP(A187,[1]Energiindhold!$A$2:$C$11,3,FALSE),0)*L187+IF(D187&lt;&gt;År1,Q187,0),0)</f>
        <v>0</v>
      </c>
      <c r="S187" s="193">
        <f>IFERROR(VLOOKUP(A187,[1]Biogasudbytte!$A$2:$B$18,2,FALSE)*[1]Energiindhold!$C$10,0)*J187*IFERROR(VLOOKUP(A187,Biogasanlæg!$F$3:$G$8,2,FALSE),1)</f>
        <v>0</v>
      </c>
      <c r="T187" s="194">
        <f t="shared" si="50"/>
        <v>0</v>
      </c>
      <c r="U187" s="192">
        <f>O187*IFERROR(VLOOKUP(A187,[1]Tørstofindhold!A$2:B$25,2,FALSE),0)</f>
        <v>0</v>
      </c>
      <c r="V187" s="193">
        <f>IF(D187=År1,P187,SUM(O187,P187))*IFERROR(VLOOKUP(A187,[1]Tørstofindhold!A$2:B$25,2,FALSE),0)</f>
        <v>0</v>
      </c>
      <c r="W187" s="193">
        <f>J187*IFERROR(VLOOKUP(A187,[1]Tørstofindhold!A$2:B$25,2,FALSE),0)</f>
        <v>0</v>
      </c>
      <c r="X187" s="194">
        <f t="shared" si="51"/>
        <v>0</v>
      </c>
      <c r="Y187" s="172">
        <f t="shared" si="43"/>
        <v>0</v>
      </c>
      <c r="Z187" s="104">
        <f t="shared" si="44"/>
        <v>1</v>
      </c>
    </row>
    <row r="188" spans="1:26" hidden="1" x14ac:dyDescent="0.55000000000000004">
      <c r="A188" s="195" t="s">
        <v>141</v>
      </c>
      <c r="B188" s="195" t="s">
        <v>233</v>
      </c>
      <c r="C188" s="195">
        <f>IF(COUNTIFS('Resultater - Danmark'!$D$3:$D$482,'Resultat-Produktion &amp; forbrug'!A188,'Resultater - Danmark'!$A$3:$A$482,"Til energi")+COUNTIFS('Resultater - Danmark'!$D$3:$D$482,'Resultat-Produktion &amp; forbrug'!A188,'Resultater - Danmark'!$A$3:$A$482,"Biogasanlæg")&gt;0,1,0)</f>
        <v>1</v>
      </c>
      <c r="D188" s="195">
        <f t="shared" si="47"/>
        <v>2019</v>
      </c>
      <c r="E188" s="193" t="s">
        <v>24</v>
      </c>
      <c r="F188" s="196">
        <f>IF(E188="Vestdanmark",SUMIFS(IF(D188=År1,'Resultater - Vestdanmark'!H$3:H$482,IF(D188=År2,'Resultater - Vestdanmark'!I$3:I$482,'Resultater - Vestdanmark'!J$3:J$482)),'Resultater - Vestdanmark'!$F$3:$F$482,$A188,IF(D188=År1,'Resultater - Vestdanmark'!H$3:H$482,IF(D188=År2,'Resultater - Vestdanmark'!I$3:I$482,'Resultater - Vestdanmark'!J$3:J$482)),"&gt;0"),SUMIFS(IF(D188=År1,'Resultater - Østdanmark'!H$3:H$482,IF(D188=År2,'Resultater - Østdanmark'!I$3:I$482,'Resultater - Østdanmark'!J$3:J$482)),'Resultater - Østdanmark'!$F$3:$F$482,$A188,IF(D188=År1,'Resultater - Østdanmark'!H$3:H$482,IF(D188=År2,'Resultater - Østdanmark'!I$3:I$482,'Resultater - Østdanmark'!J$3:J$482)),"&gt;0"))</f>
        <v>3186961.3614372411</v>
      </c>
      <c r="G188" s="196">
        <f>SUMIFS('Forbrug af biomasse'!$E$2:$E$425,'Forbrug af biomasse'!$C$2:$C$425,'Resultat-Produktion &amp; forbrug'!$A188,'Forbrug af biomasse'!$D$2:$D$425,'Resultat-Produktion &amp; forbrug'!$D188,'Forbrug af biomasse'!$A$2:$A$425,'Resultat-Produktion &amp; forbrug'!G$2,'Forbrug af biomasse'!$B$2:$B$425,$E188)</f>
        <v>0</v>
      </c>
      <c r="H188" s="193">
        <f>IF(E188="Vestdanmark",-IF(A188="Halm",SUMIFS(IF(D188=År1,'Resultater - Vestdanmark'!H$3:H$482,IF(D188=År2,'Resultater - Vestdanmark'!I$3:I$482,'Resultater - Vestdanmark'!J$3:J$482)),'Resultater - Vestdanmark'!$F$3:$F$482,$A188,'Resultater - Vestdanmark'!H$3:H$482,"&lt;0"),0),-IF(A188="Halm",SUMIFS(IF(D188=År1,'Resultater - Østdanmark'!H$3:H$482,IF(D188=År2,'Resultater - Østdanmark'!I$3:I$482,'Resultater - Østdanmark'!J$3:J$482)),'Resultater - Østdanmark'!$F$3:$F$482,$A188,'Resultater - Østdanmark'!H$3:H$482,"&lt;0"),0))</f>
        <v>0</v>
      </c>
      <c r="I188" s="196">
        <f>SUMIFS('Forbrug af biomasse'!$E$2:$E$425,'Forbrug af biomasse'!$C$2:$C$425,'Resultat-Produktion &amp; forbrug'!$A188,'Forbrug af biomasse'!$D$2:$D$425,'Resultat-Produktion &amp; forbrug'!$D188,'Forbrug af biomasse'!$A$2:$A$425,'Resultat-Produktion &amp; forbrug'!I$2,'Forbrug af biomasse'!$B$2:$B$425,$E188)</f>
        <v>0</v>
      </c>
      <c r="J188" s="196">
        <f>SUMIFS('Forbrug af biomasse'!$E$2:$E$425,'Forbrug af biomasse'!$C$2:$C$425,'Resultat-Produktion &amp; forbrug'!$A188,'Forbrug af biomasse'!$D$2:$D$425,'Resultat-Produktion &amp; forbrug'!$D188,'Forbrug af biomasse'!$A$2:$A$425,'Resultat-Produktion &amp; forbrug'!J$2,'Forbrug af biomasse'!$B$2:$B$425,$E188)</f>
        <v>1208651.4125341829</v>
      </c>
      <c r="K188" s="196">
        <f>SUMIFS('Forbrug af biomasse'!$E$2:$E$425,'Forbrug af biomasse'!$C$2:$C$425,'Resultat-Produktion &amp; forbrug'!$A188,'Forbrug af biomasse'!$D$2:$D$425,'Resultat-Produktion &amp; forbrug'!$D188,'Forbrug af biomasse'!$A$2:$A$425,'Resultat-Produktion &amp; forbrug'!K$2,'Forbrug af biomasse'!$B$2:$B$425,$E188)</f>
        <v>0</v>
      </c>
      <c r="L188" s="196">
        <f>IF(A188&lt;&gt;"Biogas",SUMIFS('Forbrug af biomasse'!$E$2:$E$425,'Forbrug af biomasse'!$C$2:$C$425,'Resultat-Produktion &amp; forbrug'!$A188,'Forbrug af biomasse'!$D$2:$D$425,'Resultat-Produktion &amp; forbrug'!$D188,'Forbrug af biomasse'!$A$2:$A$425,'Resultat-Produktion &amp; forbrug'!L$2,'Forbrug af biomasse'!$B$2:$B$425,$E188),F188)</f>
        <v>0</v>
      </c>
      <c r="M188" s="158">
        <f>SUMIFS('Forbrug af biomasse'!E:E,'Forbrug af biomasse'!C:C,'Resultat-Produktion &amp; forbrug'!$A188,'Forbrug af biomasse'!D:D,'Resultat-Produktion &amp; forbrug'!$D188,'Forbrug af biomasse'!G:G,1,'Forbrug af biomasse'!B:B,$E188)</f>
        <v>0</v>
      </c>
      <c r="N188" s="205">
        <f t="shared" si="48"/>
        <v>1978309.9489030582</v>
      </c>
      <c r="O188" s="196">
        <f t="shared" si="39"/>
        <v>1978309.9489030582</v>
      </c>
      <c r="P188" s="206">
        <f t="shared" si="49"/>
        <v>1208651.4125341829</v>
      </c>
      <c r="Q188" s="193">
        <f>IFERROR(VLOOKUP(A188,[1]Energiindhold!$A$2:$C$11,3,FALSE),IFERROR(VLOOKUP(A188,[1]Biogasudbytte!$A$2:$B$18,2,FALSE)*[1]Energiindhold!$C$10,0))*O188</f>
        <v>0.98719644760211522</v>
      </c>
      <c r="R188" s="193">
        <f>IF(A188&lt;&gt;"Biogas",IFERROR(VLOOKUP(A188,[1]Biogasudbytte!$A$2:$B$18,2,FALSE)*[1]Energiindhold!$C$10,0)*J188*IFERROR(VLOOKUP(A188,Biogasanlæg!$F$3:$G$8,2,FALSE),1)+IFERROR(VLOOKUP(A188,[1]Energiindhold!$A$2:$C$11,3,FALSE),0)*L188+IF(D188&lt;&gt;År1,Q188,0),0)</f>
        <v>0.60312914136868268</v>
      </c>
      <c r="S188" s="193">
        <f>IFERROR(VLOOKUP(A188,[1]Biogasudbytte!$A$2:$B$18,2,FALSE)*[1]Energiindhold!$C$10,0)*J188*IFERROR(VLOOKUP(A188,Biogasanlæg!$F$3:$G$8,2,FALSE),1)</f>
        <v>0.60312914136868268</v>
      </c>
      <c r="T188" s="194">
        <f t="shared" si="50"/>
        <v>0</v>
      </c>
      <c r="U188" s="192">
        <f>O188*IFERROR(VLOOKUP(A188,[1]Tørstofindhold!A$2:B$25,2,FALSE),0)</f>
        <v>118698.59693418349</v>
      </c>
      <c r="V188" s="193">
        <f>IF(D188=År1,P188,SUM(O188,P188))*IFERROR(VLOOKUP(A188,[1]Tørstofindhold!A$2:B$25,2,FALSE),0)</f>
        <v>72519.084752050971</v>
      </c>
      <c r="W188" s="193">
        <f>J188*IFERROR(VLOOKUP(A188,[1]Tørstofindhold!A$2:B$25,2,FALSE),0)</f>
        <v>72519.084752050971</v>
      </c>
      <c r="X188" s="194">
        <f t="shared" si="51"/>
        <v>0</v>
      </c>
      <c r="Y188" s="172">
        <f t="shared" si="43"/>
        <v>0</v>
      </c>
      <c r="Z188" s="104">
        <f t="shared" si="44"/>
        <v>1</v>
      </c>
    </row>
    <row r="189" spans="1:26" hidden="1" x14ac:dyDescent="0.55000000000000004">
      <c r="A189" s="195" t="s">
        <v>136</v>
      </c>
      <c r="B189" s="195" t="s">
        <v>225</v>
      </c>
      <c r="C189" s="195">
        <f>IF(COUNTIFS('Resultater - Danmark'!$D$3:$D$482,'Resultat-Produktion &amp; forbrug'!A189,'Resultater - Danmark'!$A$3:$A$482,"Til energi")+COUNTIFS('Resultater - Danmark'!$D$3:$D$482,'Resultat-Produktion &amp; forbrug'!A189,'Resultater - Danmark'!$A$3:$A$482,"Biogasanlæg")&gt;0,1,0)</f>
        <v>1</v>
      </c>
      <c r="D189" s="195">
        <f t="shared" si="47"/>
        <v>2019</v>
      </c>
      <c r="E189" s="193" t="s">
        <v>24</v>
      </c>
      <c r="F189" s="196">
        <f>IF(E189="Vestdanmark",SUMIFS(IF(D189=År1,'Resultater - Vestdanmark'!H$3:H$482,IF(D189=År2,'Resultater - Vestdanmark'!I$3:I$482,'Resultater - Vestdanmark'!J$3:J$482)),'Resultater - Vestdanmark'!$F$3:$F$482,$A189,IF(D189=År1,'Resultater - Vestdanmark'!H$3:H$482,IF(D189=År2,'Resultater - Vestdanmark'!I$3:I$482,'Resultater - Vestdanmark'!J$3:J$482)),"&gt;0"),SUMIFS(IF(D189=År1,'Resultater - Østdanmark'!H$3:H$482,IF(D189=År2,'Resultater - Østdanmark'!I$3:I$482,'Resultater - Østdanmark'!J$3:J$482)),'Resultater - Østdanmark'!$F$3:$F$482,$A189,IF(D189=År1,'Resultater - Østdanmark'!H$3:H$482,IF(D189=År2,'Resultater - Østdanmark'!I$3:I$482,'Resultater - Østdanmark'!J$3:J$482)),"&gt;0"))</f>
        <v>2304461.4931079326</v>
      </c>
      <c r="G189" s="196">
        <f>SUMIFS('Forbrug af biomasse'!$E$2:$E$425,'Forbrug af biomasse'!$C$2:$C$425,'Resultat-Produktion &amp; forbrug'!$A189,'Forbrug af biomasse'!$D$2:$D$425,'Resultat-Produktion &amp; forbrug'!$D189,'Forbrug af biomasse'!$A$2:$A$425,'Resultat-Produktion &amp; forbrug'!G$2,'Forbrug af biomasse'!$B$2:$B$425,$E189)</f>
        <v>0</v>
      </c>
      <c r="H189" s="193">
        <f>IF(E189="Vestdanmark",-IF(A189="Halm",SUMIFS(IF(D189=År1,'Resultater - Vestdanmark'!H$3:H$482,IF(D189=År2,'Resultater - Vestdanmark'!I$3:I$482,'Resultater - Vestdanmark'!J$3:J$482)),'Resultater - Vestdanmark'!$F$3:$F$482,$A189,'Resultater - Vestdanmark'!H$3:H$482,"&lt;0"),0),-IF(A189="Halm",SUMIFS(IF(D189=År1,'Resultater - Østdanmark'!H$3:H$482,IF(D189=År2,'Resultater - Østdanmark'!I$3:I$482,'Resultater - Østdanmark'!J$3:J$482)),'Resultater - Østdanmark'!$F$3:$F$482,$A189,'Resultater - Østdanmark'!H$3:H$482,"&lt;0"),0))</f>
        <v>0</v>
      </c>
      <c r="I189" s="196">
        <f>SUMIFS('Forbrug af biomasse'!$E$2:$E$425,'Forbrug af biomasse'!$C$2:$C$425,'Resultat-Produktion &amp; forbrug'!$A189,'Forbrug af biomasse'!$D$2:$D$425,'Resultat-Produktion &amp; forbrug'!$D189,'Forbrug af biomasse'!$A$2:$A$425,'Resultat-Produktion &amp; forbrug'!I$2,'Forbrug af biomasse'!$B$2:$B$425,$E189)</f>
        <v>0</v>
      </c>
      <c r="J189" s="196">
        <f>SUMIFS('Forbrug af biomasse'!$E$2:$E$425,'Forbrug af biomasse'!$C$2:$C$425,'Resultat-Produktion &amp; forbrug'!$A189,'Forbrug af biomasse'!$D$2:$D$425,'Resultat-Produktion &amp; forbrug'!$D189,'Forbrug af biomasse'!$A$2:$A$425,'Resultat-Produktion &amp; forbrug'!J$2,'Forbrug af biomasse'!$B$2:$B$425,$E189)</f>
        <v>380427.26035611134</v>
      </c>
      <c r="K189" s="196">
        <f>SUMIFS('Forbrug af biomasse'!$E$2:$E$425,'Forbrug af biomasse'!$C$2:$C$425,'Resultat-Produktion &amp; forbrug'!$A189,'Forbrug af biomasse'!$D$2:$D$425,'Resultat-Produktion &amp; forbrug'!$D189,'Forbrug af biomasse'!$A$2:$A$425,'Resultat-Produktion &amp; forbrug'!K$2,'Forbrug af biomasse'!$B$2:$B$425,$E189)</f>
        <v>1924034.2327518209</v>
      </c>
      <c r="L189" s="196">
        <f>IF(A189&lt;&gt;"Biogas",SUMIFS('Forbrug af biomasse'!$E$2:$E$425,'Forbrug af biomasse'!$C$2:$C$425,'Resultat-Produktion &amp; forbrug'!$A189,'Forbrug af biomasse'!$D$2:$D$425,'Resultat-Produktion &amp; forbrug'!$D189,'Forbrug af biomasse'!$A$2:$A$425,'Resultat-Produktion &amp; forbrug'!L$2,'Forbrug af biomasse'!$B$2:$B$425,$E189),F189)</f>
        <v>0</v>
      </c>
      <c r="M189" s="158">
        <f>SUMIFS('Forbrug af biomasse'!E:E,'Forbrug af biomasse'!C:C,'Resultat-Produktion &amp; forbrug'!$A189,'Forbrug af biomasse'!D:D,'Resultat-Produktion &amp; forbrug'!$D189,'Forbrug af biomasse'!G:G,1,'Forbrug af biomasse'!B:B,$E189)</f>
        <v>0</v>
      </c>
      <c r="N189" s="205">
        <f t="shared" si="48"/>
        <v>0</v>
      </c>
      <c r="O189" s="196">
        <f t="shared" si="39"/>
        <v>0</v>
      </c>
      <c r="P189" s="206">
        <f t="shared" si="49"/>
        <v>380427.26035611134</v>
      </c>
      <c r="Q189" s="193">
        <f>IFERROR(VLOOKUP(A189,[1]Energiindhold!$A$2:$C$11,3,FALSE),IFERROR(VLOOKUP(A189,[1]Biogasudbytte!$A$2:$B$18,2,FALSE)*[1]Energiindhold!$C$10,0))*O189</f>
        <v>0</v>
      </c>
      <c r="R189" s="193">
        <f>IF(A189&lt;&gt;"Biogas",IFERROR(VLOOKUP(A189,[1]Biogasudbytte!$A$2:$B$18,2,FALSE)*[1]Energiindhold!$C$10,0)*J189*IFERROR(VLOOKUP(A189,Biogasanlæg!$F$3:$G$8,2,FALSE),1)+IFERROR(VLOOKUP(A189,[1]Energiindhold!$A$2:$C$11,3,FALSE),0)*L189+IF(D189&lt;&gt;År1,Q189,0),0)</f>
        <v>0.16388806376141279</v>
      </c>
      <c r="S189" s="193">
        <f>IFERROR(VLOOKUP(A189,[1]Biogasudbytte!$A$2:$B$18,2,FALSE)*[1]Energiindhold!$C$10,0)*J189*IFERROR(VLOOKUP(A189,Biogasanlæg!$F$3:$G$8,2,FALSE),1)</f>
        <v>0.16388806376141279</v>
      </c>
      <c r="T189" s="194">
        <f t="shared" si="50"/>
        <v>0</v>
      </c>
      <c r="U189" s="192">
        <f>O189*IFERROR(VLOOKUP(A189,[1]Tørstofindhold!A$2:B$25,2,FALSE),0)</f>
        <v>0</v>
      </c>
      <c r="V189" s="193">
        <f>IF(D189=År1,P189,SUM(O189,P189))*IFERROR(VLOOKUP(A189,[1]Tørstofindhold!A$2:B$25,2,FALSE),0)</f>
        <v>19021.363017805568</v>
      </c>
      <c r="W189" s="193">
        <f>J189*IFERROR(VLOOKUP(A189,[1]Tørstofindhold!A$2:B$25,2,FALSE),0)</f>
        <v>19021.363017805568</v>
      </c>
      <c r="X189" s="194">
        <f t="shared" si="51"/>
        <v>0</v>
      </c>
      <c r="Y189" s="172">
        <f t="shared" si="43"/>
        <v>0</v>
      </c>
      <c r="Z189" s="104">
        <f t="shared" si="44"/>
        <v>0</v>
      </c>
    </row>
    <row r="190" spans="1:26" hidden="1" x14ac:dyDescent="0.55000000000000004">
      <c r="A190" s="195" t="s">
        <v>13</v>
      </c>
      <c r="B190" s="195"/>
      <c r="C190" s="195">
        <f>IF(COUNTIFS('Resultater - Danmark'!$D$3:$D$482,'Resultat-Produktion &amp; forbrug'!A190,'Resultater - Danmark'!$A$3:$A$482,"Til energi")+COUNTIFS('Resultater - Danmark'!$D$3:$D$482,'Resultat-Produktion &amp; forbrug'!A190,'Resultater - Danmark'!$A$3:$A$482,"Biogasanlæg")&gt;0,1,0)</f>
        <v>0</v>
      </c>
      <c r="D190" s="195">
        <f t="shared" si="47"/>
        <v>2019</v>
      </c>
      <c r="E190" s="193" t="s">
        <v>24</v>
      </c>
      <c r="F190" s="196">
        <f>IF(E190="Vestdanmark",SUMIFS(IF(D190=År1,'Resultater - Vestdanmark'!H$3:H$482,IF(D190=År2,'Resultater - Vestdanmark'!I$3:I$482,'Resultater - Vestdanmark'!J$3:J$482)),'Resultater - Vestdanmark'!$F$3:$F$482,$A190,IF(D190=År1,'Resultater - Vestdanmark'!H$3:H$482,IF(D190=År2,'Resultater - Vestdanmark'!I$3:I$482,'Resultater - Vestdanmark'!J$3:J$482)),"&gt;0"),SUMIFS(IF(D190=År1,'Resultater - Østdanmark'!H$3:H$482,IF(D190=År2,'Resultater - Østdanmark'!I$3:I$482,'Resultater - Østdanmark'!J$3:J$482)),'Resultater - Østdanmark'!$F$3:$F$482,$A190,IF(D190=År1,'Resultater - Østdanmark'!H$3:H$482,IF(D190=År2,'Resultater - Østdanmark'!I$3:I$482,'Resultater - Østdanmark'!J$3:J$482)),"&gt;0"))</f>
        <v>206750.71206041813</v>
      </c>
      <c r="G190" s="196">
        <f>SUMIFS('Forbrug af biomasse'!$E$2:$E$425,'Forbrug af biomasse'!$C$2:$C$425,'Resultat-Produktion &amp; forbrug'!$A190,'Forbrug af biomasse'!$D$2:$D$425,'Resultat-Produktion &amp; forbrug'!$D190,'Forbrug af biomasse'!$A$2:$A$425,'Resultat-Produktion &amp; forbrug'!G$2,'Forbrug af biomasse'!$B$2:$B$425,$E190)</f>
        <v>0</v>
      </c>
      <c r="H190" s="193">
        <f>IF(E190="Vestdanmark",-IF(A190="Halm",SUMIFS(IF(D190=År1,'Resultater - Vestdanmark'!H$3:H$482,IF(D190=År2,'Resultater - Vestdanmark'!I$3:I$482,'Resultater - Vestdanmark'!J$3:J$482)),'Resultater - Vestdanmark'!$F$3:$F$482,$A190,'Resultater - Vestdanmark'!H$3:H$482,"&lt;0"),0),-IF(A190="Halm",SUMIFS(IF(D190=År1,'Resultater - Østdanmark'!H$3:H$482,IF(D190=År2,'Resultater - Østdanmark'!I$3:I$482,'Resultater - Østdanmark'!J$3:J$482)),'Resultater - Østdanmark'!$F$3:$F$482,$A190,'Resultater - Østdanmark'!H$3:H$482,"&lt;0"),0))</f>
        <v>0</v>
      </c>
      <c r="I190" s="196">
        <f>SUMIFS('Forbrug af biomasse'!$E$2:$E$425,'Forbrug af biomasse'!$C$2:$C$425,'Resultat-Produktion &amp; forbrug'!$A190,'Forbrug af biomasse'!$D$2:$D$425,'Resultat-Produktion &amp; forbrug'!$D190,'Forbrug af biomasse'!$A$2:$A$425,'Resultat-Produktion &amp; forbrug'!I$2,'Forbrug af biomasse'!$B$2:$B$425,$E190)</f>
        <v>100555.62853170674</v>
      </c>
      <c r="J190" s="196">
        <f>SUMIFS('Forbrug af biomasse'!$E$2:$E$425,'Forbrug af biomasse'!$C$2:$C$425,'Resultat-Produktion &amp; forbrug'!$A190,'Forbrug af biomasse'!$D$2:$D$425,'Resultat-Produktion &amp; forbrug'!$D190,'Forbrug af biomasse'!$A$2:$A$425,'Resultat-Produktion &amp; forbrug'!J$2,'Forbrug af biomasse'!$B$2:$B$425,$E190)</f>
        <v>0</v>
      </c>
      <c r="K190" s="196">
        <f>SUMIFS('Forbrug af biomasse'!$E$2:$E$425,'Forbrug af biomasse'!$C$2:$C$425,'Resultat-Produktion &amp; forbrug'!$A190,'Forbrug af biomasse'!$D$2:$D$425,'Resultat-Produktion &amp; forbrug'!$D190,'Forbrug af biomasse'!$A$2:$A$425,'Resultat-Produktion &amp; forbrug'!K$2,'Forbrug af biomasse'!$B$2:$B$425,$E190)</f>
        <v>0</v>
      </c>
      <c r="L190" s="196">
        <f>IF(A190&lt;&gt;"Biogas",SUMIFS('Forbrug af biomasse'!$E$2:$E$425,'Forbrug af biomasse'!$C$2:$C$425,'Resultat-Produktion &amp; forbrug'!$A190,'Forbrug af biomasse'!$D$2:$D$425,'Resultat-Produktion &amp; forbrug'!$D190,'Forbrug af biomasse'!$A$2:$A$425,'Resultat-Produktion &amp; forbrug'!L$2,'Forbrug af biomasse'!$B$2:$B$425,$E190),F190)</f>
        <v>0</v>
      </c>
      <c r="M190" s="158">
        <f>SUMIFS('Forbrug af biomasse'!E:E,'Forbrug af biomasse'!C:C,'Resultat-Produktion &amp; forbrug'!$A190,'Forbrug af biomasse'!D:D,'Resultat-Produktion &amp; forbrug'!$D190,'Forbrug af biomasse'!G:G,1,'Forbrug af biomasse'!B:B,$E190)</f>
        <v>0</v>
      </c>
      <c r="N190" s="205">
        <f t="shared" si="48"/>
        <v>106195.08352871139</v>
      </c>
      <c r="O190" s="196">
        <f t="shared" si="39"/>
        <v>0</v>
      </c>
      <c r="P190" s="206">
        <f t="shared" si="49"/>
        <v>0</v>
      </c>
      <c r="Q190" s="193">
        <f>IFERROR(VLOOKUP(A190,[1]Energiindhold!$A$2:$C$11,3,FALSE),IFERROR(VLOOKUP(A190,[1]Biogasudbytte!$A$2:$B$18,2,FALSE)*[1]Energiindhold!$C$10,0))*O190</f>
        <v>0</v>
      </c>
      <c r="R190" s="193">
        <f>IF(A190&lt;&gt;"Biogas",IFERROR(VLOOKUP(A190,[1]Biogasudbytte!$A$2:$B$18,2,FALSE)*[1]Energiindhold!$C$10,0)*J190*IFERROR(VLOOKUP(A190,Biogasanlæg!$F$3:$G$8,2,FALSE),1)+IFERROR(VLOOKUP(A190,[1]Energiindhold!$A$2:$C$11,3,FALSE),0)*L190+IF(D190&lt;&gt;År1,Q190,0),0)</f>
        <v>0</v>
      </c>
      <c r="S190" s="193">
        <f>IFERROR(VLOOKUP(A190,[1]Biogasudbytte!$A$2:$B$18,2,FALSE)*[1]Energiindhold!$C$10,0)*J190*IFERROR(VLOOKUP(A190,Biogasanlæg!$F$3:$G$8,2,FALSE),1)</f>
        <v>0</v>
      </c>
      <c r="T190" s="194">
        <f t="shared" si="50"/>
        <v>0</v>
      </c>
      <c r="U190" s="192">
        <f>O190*IFERROR(VLOOKUP(A190,[1]Tørstofindhold!A$2:B$25,2,FALSE),0)</f>
        <v>0</v>
      </c>
      <c r="V190" s="193">
        <f>IF(D190=År1,P190,SUM(O190,P190))*IFERROR(VLOOKUP(A190,[1]Tørstofindhold!A$2:B$25,2,FALSE),0)</f>
        <v>0</v>
      </c>
      <c r="W190" s="193">
        <f>J190*IFERROR(VLOOKUP(A190,[1]Tørstofindhold!A$2:B$25,2,FALSE),0)</f>
        <v>0</v>
      </c>
      <c r="X190" s="194">
        <f t="shared" si="51"/>
        <v>0</v>
      </c>
      <c r="Y190" s="172">
        <f t="shared" si="43"/>
        <v>0</v>
      </c>
      <c r="Z190" s="104">
        <f t="shared" si="44"/>
        <v>1</v>
      </c>
    </row>
    <row r="191" spans="1:26" x14ac:dyDescent="0.55000000000000004">
      <c r="A191" s="195" t="s">
        <v>100</v>
      </c>
      <c r="B191" s="195" t="s">
        <v>229</v>
      </c>
      <c r="C191" s="195">
        <f>IF(COUNTIFS('Resultater - Danmark'!$D$3:$D$482,'Resultat-Produktion &amp; forbrug'!A191,'Resultater - Danmark'!$A$3:$A$482,"Til energi")+COUNTIFS('Resultater - Danmark'!$D$3:$D$482,'Resultat-Produktion &amp; forbrug'!A191,'Resultater - Danmark'!$A$3:$A$482,"Biogasanlæg")&gt;0,1,0)</f>
        <v>1</v>
      </c>
      <c r="D191" s="195">
        <f t="shared" si="47"/>
        <v>2019</v>
      </c>
      <c r="E191" s="193" t="s">
        <v>24</v>
      </c>
      <c r="F191" s="196">
        <f>IF(E191="Vestdanmark",SUMIFS(IF(D191=År1,'Resultater - Vestdanmark'!H$3:H$482,IF(D191=År2,'Resultater - Vestdanmark'!I$3:I$482,'Resultater - Vestdanmark'!J$3:J$482)),'Resultater - Vestdanmark'!$F$3:$F$482,$A191,IF(D191=År1,'Resultater - Vestdanmark'!H$3:H$482,IF(D191=År2,'Resultater - Vestdanmark'!I$3:I$482,'Resultater - Vestdanmark'!J$3:J$482)),"&gt;0"),SUMIFS(IF(D191=År1,'Resultater - Østdanmark'!H$3:H$482,IF(D191=År2,'Resultater - Østdanmark'!I$3:I$482,'Resultater - Østdanmark'!J$3:J$482)),'Resultater - Østdanmark'!$F$3:$F$482,$A191,IF(D191=År1,'Resultater - Østdanmark'!H$3:H$482,IF(D191=År2,'Resultater - Østdanmark'!I$3:I$482,'Resultater - Østdanmark'!J$3:J$482)),"&gt;0"))</f>
        <v>0</v>
      </c>
      <c r="G191" s="196">
        <f>SUMIFS('Forbrug af biomasse'!$E$2:$E$425,'Forbrug af biomasse'!$C$2:$C$425,'Resultat-Produktion &amp; forbrug'!$A191,'Forbrug af biomasse'!$D$2:$D$425,'Resultat-Produktion &amp; forbrug'!$D191,'Forbrug af biomasse'!$A$2:$A$425,'Resultat-Produktion &amp; forbrug'!G$2,'Forbrug af biomasse'!$B$2:$B$425,$E191)</f>
        <v>0</v>
      </c>
      <c r="H191" s="193">
        <f>IF(E191="Vestdanmark",-IF(A191="Halm",SUMIFS(IF(D191=År1,'Resultater - Vestdanmark'!H$3:H$482,IF(D191=År2,'Resultater - Vestdanmark'!I$3:I$482,'Resultater - Vestdanmark'!J$3:J$482)),'Resultater - Vestdanmark'!$F$3:$F$482,$A191,'Resultater - Vestdanmark'!H$3:H$482,"&lt;0"),0),-IF(A191="Halm",SUMIFS(IF(D191=År1,'Resultater - Østdanmark'!H$3:H$482,IF(D191=År2,'Resultater - Østdanmark'!I$3:I$482,'Resultater - Østdanmark'!J$3:J$482)),'Resultater - Østdanmark'!$F$3:$F$482,$A191,'Resultater - Østdanmark'!H$3:H$482,"&lt;0"),0))</f>
        <v>0</v>
      </c>
      <c r="I191" s="196">
        <f>SUMIFS('Forbrug af biomasse'!$E$2:$E$425,'Forbrug af biomasse'!$C$2:$C$425,'Resultat-Produktion &amp; forbrug'!$A191,'Forbrug af biomasse'!$D$2:$D$425,'Resultat-Produktion &amp; forbrug'!$D191,'Forbrug af biomasse'!$A$2:$A$425,'Resultat-Produktion &amp; forbrug'!I$2,'Forbrug af biomasse'!$B$2:$B$425,$E191)</f>
        <v>0</v>
      </c>
      <c r="J191" s="196">
        <f>SUMIFS('Forbrug af biomasse'!$E$2:$E$425,'Forbrug af biomasse'!$C$2:$C$425,'Resultat-Produktion &amp; forbrug'!$A191,'Forbrug af biomasse'!$D$2:$D$425,'Resultat-Produktion &amp; forbrug'!$D191,'Forbrug af biomasse'!$A$2:$A$425,'Resultat-Produktion &amp; forbrug'!J$2,'Forbrug af biomasse'!$B$2:$B$425,$E191)</f>
        <v>0</v>
      </c>
      <c r="K191" s="196">
        <f>SUMIFS('Forbrug af biomasse'!$E$2:$E$425,'Forbrug af biomasse'!$C$2:$C$425,'Resultat-Produktion &amp; forbrug'!$A191,'Forbrug af biomasse'!$D$2:$D$425,'Resultat-Produktion &amp; forbrug'!$D191,'Forbrug af biomasse'!$A$2:$A$425,'Resultat-Produktion &amp; forbrug'!K$2,'Forbrug af biomasse'!$B$2:$B$425,$E191)</f>
        <v>0</v>
      </c>
      <c r="L191" s="196">
        <f>IF(A191&lt;&gt;"Biogas",SUMIFS('Forbrug af biomasse'!$E$2:$E$425,'Forbrug af biomasse'!$C$2:$C$425,'Resultat-Produktion &amp; forbrug'!$A191,'Forbrug af biomasse'!$D$2:$D$425,'Resultat-Produktion &amp; forbrug'!$D191,'Forbrug af biomasse'!$A$2:$A$425,'Resultat-Produktion &amp; forbrug'!L$2,'Forbrug af biomasse'!$B$2:$B$425,$E191),F191)</f>
        <v>0</v>
      </c>
      <c r="M191" s="158">
        <f>SUMIFS('Forbrug af biomasse'!E:E,'Forbrug af biomasse'!C:C,'Resultat-Produktion &amp; forbrug'!$A191,'Forbrug af biomasse'!D:D,'Resultat-Produktion &amp; forbrug'!$D191,'Forbrug af biomasse'!G:G,1,'Forbrug af biomasse'!B:B,$E191)</f>
        <v>0</v>
      </c>
      <c r="N191" s="205">
        <f t="shared" si="48"/>
        <v>0</v>
      </c>
      <c r="O191" s="196">
        <f t="shared" si="39"/>
        <v>0</v>
      </c>
      <c r="P191" s="206">
        <f t="shared" si="49"/>
        <v>0</v>
      </c>
      <c r="Q191" s="193">
        <f>IFERROR(VLOOKUP(A191,[1]Energiindhold!$A$2:$C$11,3,FALSE),IFERROR(VLOOKUP(A191,[1]Biogasudbytte!$A$2:$B$18,2,FALSE)*[1]Energiindhold!$C$10,0))*O191</f>
        <v>0</v>
      </c>
      <c r="R191" s="193">
        <f>IF(A191&lt;&gt;"Biogas",IFERROR(VLOOKUP(A191,[1]Biogasudbytte!$A$2:$B$18,2,FALSE)*[1]Energiindhold!$C$10,0)*J191*IFERROR(VLOOKUP(A191,Biogasanlæg!$F$3:$G$8,2,FALSE),1)+IFERROR(VLOOKUP(A191,[1]Energiindhold!$A$2:$C$11,3,FALSE),0)*L191+IF(D191&lt;&gt;År1,Q191,0),0)</f>
        <v>0</v>
      </c>
      <c r="S191" s="193">
        <f>IFERROR(VLOOKUP(A191,[1]Biogasudbytte!$A$2:$B$18,2,FALSE)*[1]Energiindhold!$C$10,0)*J191*IFERROR(VLOOKUP(A191,Biogasanlæg!$F$3:$G$8,2,FALSE),1)</f>
        <v>0</v>
      </c>
      <c r="T191" s="194">
        <f t="shared" si="50"/>
        <v>0</v>
      </c>
      <c r="U191" s="192">
        <f>O191*IFERROR(VLOOKUP(A191,[1]Tørstofindhold!A$2:B$25,2,FALSE),0)</f>
        <v>0</v>
      </c>
      <c r="V191" s="193">
        <f>IF(D191=År1,P191,SUM(O191,P191))*IFERROR(VLOOKUP(A191,[1]Tørstofindhold!A$2:B$25,2,FALSE),0)</f>
        <v>0</v>
      </c>
      <c r="W191" s="193">
        <f>J191*IFERROR(VLOOKUP(A191,[1]Tørstofindhold!A$2:B$25,2,FALSE),0)</f>
        <v>0</v>
      </c>
      <c r="X191" s="194">
        <f t="shared" si="51"/>
        <v>0</v>
      </c>
      <c r="Y191" s="172">
        <f t="shared" si="43"/>
        <v>0</v>
      </c>
      <c r="Z191" s="104">
        <f t="shared" si="44"/>
        <v>1</v>
      </c>
    </row>
    <row r="192" spans="1:26" hidden="1" x14ac:dyDescent="0.55000000000000004">
      <c r="A192" s="195" t="s">
        <v>105</v>
      </c>
      <c r="B192" s="195"/>
      <c r="C192" s="195">
        <f>IF(COUNTIFS('Resultater - Danmark'!$D$3:$D$482,'Resultat-Produktion &amp; forbrug'!A192,'Resultater - Danmark'!$A$3:$A$482,"Til energi")+COUNTIFS('Resultater - Danmark'!$D$3:$D$482,'Resultat-Produktion &amp; forbrug'!A192,'Resultater - Danmark'!$A$3:$A$482,"Biogasanlæg")&gt;0,1,0)</f>
        <v>1</v>
      </c>
      <c r="D192" s="195">
        <f t="shared" si="47"/>
        <v>2019</v>
      </c>
      <c r="E192" s="193" t="s">
        <v>24</v>
      </c>
      <c r="F192" s="196">
        <f>IF(E192="Vestdanmark",SUMIFS(IF(D192=År1,'Resultater - Vestdanmark'!H$3:H$482,IF(D192=År2,'Resultater - Vestdanmark'!I$3:I$482,'Resultater - Vestdanmark'!J$3:J$482)),'Resultater - Vestdanmark'!$F$3:$F$482,$A192,IF(D192=År1,'Resultater - Vestdanmark'!H$3:H$482,IF(D192=År2,'Resultater - Vestdanmark'!I$3:I$482,'Resultater - Vestdanmark'!J$3:J$482)),"&gt;0"),SUMIFS(IF(D192=År1,'Resultater - Østdanmark'!H$3:H$482,IF(D192=År2,'Resultater - Østdanmark'!I$3:I$482,'Resultater - Østdanmark'!J$3:J$482)),'Resultater - Østdanmark'!$F$3:$F$482,$A192,IF(D192=År1,'Resultater - Østdanmark'!H$3:H$482,IF(D192=År2,'Resultater - Østdanmark'!I$3:I$482,'Resultater - Østdanmark'!J$3:J$482)),"&gt;0"))</f>
        <v>0</v>
      </c>
      <c r="G192" s="196">
        <f>SUMIFS('Forbrug af biomasse'!$E$2:$E$425,'Forbrug af biomasse'!$C$2:$C$425,'Resultat-Produktion &amp; forbrug'!$A192,'Forbrug af biomasse'!$D$2:$D$425,'Resultat-Produktion &amp; forbrug'!$D192,'Forbrug af biomasse'!$A$2:$A$425,'Resultat-Produktion &amp; forbrug'!G$2,'Forbrug af biomasse'!$B$2:$B$425,$E192)</f>
        <v>0</v>
      </c>
      <c r="H192" s="193">
        <f>IF(E192="Vestdanmark",-IF(A192="Halm",SUMIFS(IF(D192=År1,'Resultater - Vestdanmark'!H$3:H$482,IF(D192=År2,'Resultater - Vestdanmark'!I$3:I$482,'Resultater - Vestdanmark'!J$3:J$482)),'Resultater - Vestdanmark'!$F$3:$F$482,$A192,'Resultater - Vestdanmark'!H$3:H$482,"&lt;0"),0),-IF(A192="Halm",SUMIFS(IF(D192=År1,'Resultater - Østdanmark'!H$3:H$482,IF(D192=År2,'Resultater - Østdanmark'!I$3:I$482,'Resultater - Østdanmark'!J$3:J$482)),'Resultater - Østdanmark'!$F$3:$F$482,$A192,'Resultater - Østdanmark'!H$3:H$482,"&lt;0"),0))</f>
        <v>0</v>
      </c>
      <c r="I192" s="196">
        <f>SUMIFS('Forbrug af biomasse'!$E$2:$E$425,'Forbrug af biomasse'!$C$2:$C$425,'Resultat-Produktion &amp; forbrug'!$A192,'Forbrug af biomasse'!$D$2:$D$425,'Resultat-Produktion &amp; forbrug'!$D192,'Forbrug af biomasse'!$A$2:$A$425,'Resultat-Produktion &amp; forbrug'!I$2,'Forbrug af biomasse'!$B$2:$B$425,$E192)</f>
        <v>0</v>
      </c>
      <c r="J192" s="196">
        <f>SUMIFS('Forbrug af biomasse'!$E$2:$E$425,'Forbrug af biomasse'!$C$2:$C$425,'Resultat-Produktion &amp; forbrug'!$A192,'Forbrug af biomasse'!$D$2:$D$425,'Resultat-Produktion &amp; forbrug'!$D192,'Forbrug af biomasse'!$A$2:$A$425,'Resultat-Produktion &amp; forbrug'!J$2,'Forbrug af biomasse'!$B$2:$B$425,$E192)</f>
        <v>0</v>
      </c>
      <c r="K192" s="196">
        <f>SUMIFS('Forbrug af biomasse'!$E$2:$E$425,'Forbrug af biomasse'!$C$2:$C$425,'Resultat-Produktion &amp; forbrug'!$A192,'Forbrug af biomasse'!$D$2:$D$425,'Resultat-Produktion &amp; forbrug'!$D192,'Forbrug af biomasse'!$A$2:$A$425,'Resultat-Produktion &amp; forbrug'!K$2,'Forbrug af biomasse'!$B$2:$B$425,$E192)</f>
        <v>0</v>
      </c>
      <c r="L192" s="196">
        <f>IF(A192&lt;&gt;"Biogas",SUMIFS('Forbrug af biomasse'!$E$2:$E$425,'Forbrug af biomasse'!$C$2:$C$425,'Resultat-Produktion &amp; forbrug'!$A192,'Forbrug af biomasse'!$D$2:$D$425,'Resultat-Produktion &amp; forbrug'!$D192,'Forbrug af biomasse'!$A$2:$A$425,'Resultat-Produktion &amp; forbrug'!L$2,'Forbrug af biomasse'!$B$2:$B$425,$E192),F192)</f>
        <v>0</v>
      </c>
      <c r="M192" s="158">
        <f>SUMIFS('Forbrug af biomasse'!E:E,'Forbrug af biomasse'!C:C,'Resultat-Produktion &amp; forbrug'!$A192,'Forbrug af biomasse'!D:D,'Resultat-Produktion &amp; forbrug'!$D192,'Forbrug af biomasse'!G:G,1,'Forbrug af biomasse'!B:B,$E192)</f>
        <v>0</v>
      </c>
      <c r="N192" s="205">
        <f t="shared" si="48"/>
        <v>0</v>
      </c>
      <c r="O192" s="196">
        <f t="shared" si="39"/>
        <v>0</v>
      </c>
      <c r="P192" s="206">
        <f t="shared" si="49"/>
        <v>0</v>
      </c>
      <c r="Q192" s="193">
        <f>IFERROR(VLOOKUP(A192,[1]Energiindhold!$A$2:$C$11,3,FALSE),IFERROR(VLOOKUP(A192,[1]Biogasudbytte!$A$2:$B$18,2,FALSE)*[1]Energiindhold!$C$10,0))*O192</f>
        <v>0</v>
      </c>
      <c r="R192" s="193">
        <f>IF(A192&lt;&gt;"Biogas",IFERROR(VLOOKUP(A192,[1]Biogasudbytte!$A$2:$B$18,2,FALSE)*[1]Energiindhold!$C$10,0)*J192*IFERROR(VLOOKUP(A192,Biogasanlæg!$F$3:$G$8,2,FALSE),1)+IFERROR(VLOOKUP(A192,[1]Energiindhold!$A$2:$C$11,3,FALSE),0)*L192+IF(D192&lt;&gt;År1,Q192,0),0)</f>
        <v>0</v>
      </c>
      <c r="S192" s="193">
        <f>IFERROR(VLOOKUP(A192,[1]Biogasudbytte!$A$2:$B$18,2,FALSE)*[1]Energiindhold!$C$10,0)*J192*IFERROR(VLOOKUP(A192,Biogasanlæg!$F$3:$G$8,2,FALSE),1)</f>
        <v>0</v>
      </c>
      <c r="T192" s="194">
        <f t="shared" si="50"/>
        <v>0</v>
      </c>
      <c r="U192" s="192">
        <f>O192*IFERROR(VLOOKUP(A192,[1]Tørstofindhold!A$2:B$25,2,FALSE),0)</f>
        <v>0</v>
      </c>
      <c r="V192" s="193">
        <f>IF(D192=År1,P192,SUM(O192,P192))*IFERROR(VLOOKUP(A192,[1]Tørstofindhold!A$2:B$25,2,FALSE),0)</f>
        <v>0</v>
      </c>
      <c r="W192" s="193">
        <f>J192*IFERROR(VLOOKUP(A192,[1]Tørstofindhold!A$2:B$25,2,FALSE),0)</f>
        <v>0</v>
      </c>
      <c r="X192" s="194">
        <f t="shared" si="51"/>
        <v>0</v>
      </c>
      <c r="Y192" s="172">
        <f t="shared" si="43"/>
        <v>0</v>
      </c>
      <c r="Z192" s="104">
        <f t="shared" si="44"/>
        <v>0</v>
      </c>
    </row>
    <row r="193" spans="1:26" hidden="1" x14ac:dyDescent="0.55000000000000004">
      <c r="A193" s="195" t="s">
        <v>120</v>
      </c>
      <c r="B193" s="195" t="s">
        <v>228</v>
      </c>
      <c r="C193" s="195">
        <f>IF(COUNTIFS('Resultater - Danmark'!$D$3:$D$482,'Resultat-Produktion &amp; forbrug'!A193,'Resultater - Danmark'!$A$3:$A$482,"Til energi")+COUNTIFS('Resultater - Danmark'!$D$3:$D$482,'Resultat-Produktion &amp; forbrug'!A193,'Resultater - Danmark'!$A$3:$A$482,"Biogasanlæg")&gt;0,1,0)</f>
        <v>1</v>
      </c>
      <c r="D193" s="195">
        <f t="shared" si="47"/>
        <v>2019</v>
      </c>
      <c r="E193" s="193" t="s">
        <v>24</v>
      </c>
      <c r="F193" s="196">
        <f>IF(E193="Vestdanmark",SUMIFS(IF(D193=År1,'Resultater - Vestdanmark'!H$3:H$482,IF(D193=År2,'Resultater - Vestdanmark'!I$3:I$482,'Resultater - Vestdanmark'!J$3:J$482)),'Resultater - Vestdanmark'!$F$3:$F$482,$A193,IF(D193=År1,'Resultater - Vestdanmark'!H$3:H$482,IF(D193=År2,'Resultater - Vestdanmark'!I$3:I$482,'Resultater - Vestdanmark'!J$3:J$482)),"&gt;0"),SUMIFS(IF(D193=År1,'Resultater - Østdanmark'!H$3:H$482,IF(D193=År2,'Resultater - Østdanmark'!I$3:I$482,'Resultater - Østdanmark'!J$3:J$482)),'Resultater - Østdanmark'!$F$3:$F$482,$A193,IF(D193=År1,'Resultater - Østdanmark'!H$3:H$482,IF(D193=År2,'Resultater - Østdanmark'!I$3:I$482,'Resultater - Østdanmark'!J$3:J$482)),"&gt;0"))</f>
        <v>681602.85349434032</v>
      </c>
      <c r="G193" s="196">
        <f>SUMIFS('Forbrug af biomasse'!$E$2:$E$425,'Forbrug af biomasse'!$C$2:$C$425,'Resultat-Produktion &amp; forbrug'!$A193,'Forbrug af biomasse'!$D$2:$D$425,'Resultat-Produktion &amp; forbrug'!$D193,'Forbrug af biomasse'!$A$2:$A$425,'Resultat-Produktion &amp; forbrug'!G$2,'Forbrug af biomasse'!$B$2:$B$425,$E193)</f>
        <v>0</v>
      </c>
      <c r="H193" s="193">
        <f>IF(E193="Vestdanmark",-IF(A193="Halm",SUMIFS(IF(D193=År1,'Resultater - Vestdanmark'!H$3:H$482,IF(D193=År2,'Resultater - Vestdanmark'!I$3:I$482,'Resultater - Vestdanmark'!J$3:J$482)),'Resultater - Vestdanmark'!$F$3:$F$482,$A193,'Resultater - Vestdanmark'!H$3:H$482,"&lt;0"),0),-IF(A193="Halm",SUMIFS(IF(D193=År1,'Resultater - Østdanmark'!H$3:H$482,IF(D193=År2,'Resultater - Østdanmark'!I$3:I$482,'Resultater - Østdanmark'!J$3:J$482)),'Resultater - Østdanmark'!$F$3:$F$482,$A193,'Resultater - Østdanmark'!H$3:H$482,"&lt;0"),0))</f>
        <v>0</v>
      </c>
      <c r="I193" s="196">
        <f>SUMIFS('Forbrug af biomasse'!$E$2:$E$425,'Forbrug af biomasse'!$C$2:$C$425,'Resultat-Produktion &amp; forbrug'!$A193,'Forbrug af biomasse'!$D$2:$D$425,'Resultat-Produktion &amp; forbrug'!$D193,'Forbrug af biomasse'!$A$2:$A$425,'Resultat-Produktion &amp; forbrug'!I$2,'Forbrug af biomasse'!$B$2:$B$425,$E193)</f>
        <v>0</v>
      </c>
      <c r="J193" s="196">
        <f>SUMIFS('Forbrug af biomasse'!$E$2:$E$425,'Forbrug af biomasse'!$C$2:$C$425,'Resultat-Produktion &amp; forbrug'!$A193,'Forbrug af biomasse'!$D$2:$D$425,'Resultat-Produktion &amp; forbrug'!$D193,'Forbrug af biomasse'!$A$2:$A$425,'Resultat-Produktion &amp; forbrug'!J$2,'Forbrug af biomasse'!$B$2:$B$425,$E193)</f>
        <v>0</v>
      </c>
      <c r="K193" s="196">
        <f>SUMIFS('Forbrug af biomasse'!$E$2:$E$425,'Forbrug af biomasse'!$C$2:$C$425,'Resultat-Produktion &amp; forbrug'!$A193,'Forbrug af biomasse'!$D$2:$D$425,'Resultat-Produktion &amp; forbrug'!$D193,'Forbrug af biomasse'!$A$2:$A$425,'Resultat-Produktion &amp; forbrug'!K$2,'Forbrug af biomasse'!$B$2:$B$425,$E193)</f>
        <v>0</v>
      </c>
      <c r="L193" s="196">
        <f>IF(A193&lt;&gt;"Biogas",SUMIFS('Forbrug af biomasse'!$E$2:$E$425,'Forbrug af biomasse'!$C$2:$C$425,'Resultat-Produktion &amp; forbrug'!$A193,'Forbrug af biomasse'!$D$2:$D$425,'Resultat-Produktion &amp; forbrug'!$D193,'Forbrug af biomasse'!$A$2:$A$425,'Resultat-Produktion &amp; forbrug'!L$2,'Forbrug af biomasse'!$B$2:$B$425,$E193),F193)</f>
        <v>681602.85349434032</v>
      </c>
      <c r="M193" s="158">
        <f>SUMIFS('Forbrug af biomasse'!E:E,'Forbrug af biomasse'!C:C,'Resultat-Produktion &amp; forbrug'!$A193,'Forbrug af biomasse'!D:D,'Resultat-Produktion &amp; forbrug'!$D193,'Forbrug af biomasse'!G:G,1,'Forbrug af biomasse'!B:B,$E193)</f>
        <v>0</v>
      </c>
      <c r="N193" s="205">
        <f t="shared" si="48"/>
        <v>0</v>
      </c>
      <c r="O193" s="196">
        <f t="shared" si="39"/>
        <v>0</v>
      </c>
      <c r="P193" s="206">
        <f t="shared" si="49"/>
        <v>681602.85349434032</v>
      </c>
      <c r="Q193" s="193">
        <f>IFERROR(VLOOKUP(A193,[1]Energiindhold!$A$2:$C$11,3,FALSE),IFERROR(VLOOKUP(A193,[1]Biogasudbytte!$A$2:$B$18,2,FALSE)*[1]Energiindhold!$C$10,0))*O193</f>
        <v>0</v>
      </c>
      <c r="R193" s="193">
        <f>IF(A193&lt;&gt;"Biogas",IFERROR(VLOOKUP(A193,[1]Biogasudbytte!$A$2:$B$18,2,FALSE)*[1]Energiindhold!$C$10,0)*J193*IFERROR(VLOOKUP(A193,Biogasanlæg!$F$3:$G$8,2,FALSE),1)+IFERROR(VLOOKUP(A193,[1]Energiindhold!$A$2:$C$11,3,FALSE),0)*L193+IF(D193&lt;&gt;År1,Q193,0),0)</f>
        <v>9.878857920085288</v>
      </c>
      <c r="S193" s="193">
        <f>IFERROR(VLOOKUP(A193,[1]Biogasudbytte!$A$2:$B$18,2,FALSE)*[1]Energiindhold!$C$10,0)*J193*IFERROR(VLOOKUP(A193,Biogasanlæg!$F$3:$G$8,2,FALSE),1)</f>
        <v>0</v>
      </c>
      <c r="T193" s="194">
        <f t="shared" si="50"/>
        <v>9.878857920085288</v>
      </c>
      <c r="U193" s="192">
        <f>O193*IFERROR(VLOOKUP(A193,[1]Tørstofindhold!A$2:B$25,2,FALSE),0)</f>
        <v>0</v>
      </c>
      <c r="V193" s="193">
        <f>IF(D193=År1,P193,SUM(O193,P193))*IFERROR(VLOOKUP(A193,[1]Tørstofindhold!A$2:B$25,2,FALSE),0)</f>
        <v>337109.41129074246</v>
      </c>
      <c r="W193" s="193">
        <f>J193*IFERROR(VLOOKUP(A193,[1]Tørstofindhold!A$2:B$25,2,FALSE),0)</f>
        <v>0</v>
      </c>
      <c r="X193" s="194">
        <f t="shared" si="51"/>
        <v>337109.41129074246</v>
      </c>
      <c r="Y193" s="172">
        <f t="shared" si="43"/>
        <v>0</v>
      </c>
      <c r="Z193" s="104">
        <f t="shared" si="44"/>
        <v>0</v>
      </c>
    </row>
    <row r="194" spans="1:26" hidden="1" x14ac:dyDescent="0.55000000000000004">
      <c r="A194" s="195" t="s">
        <v>119</v>
      </c>
      <c r="B194" s="195"/>
      <c r="C194" s="195">
        <f>IF(COUNTIFS('Resultater - Danmark'!$D$3:$D$482,'Resultat-Produktion &amp; forbrug'!A194,'Resultater - Danmark'!$A$3:$A$482,"Til energi")+COUNTIFS('Resultater - Danmark'!$D$3:$D$482,'Resultat-Produktion &amp; forbrug'!A194,'Resultater - Danmark'!$A$3:$A$482,"Biogasanlæg")&gt;0,1,0)</f>
        <v>0</v>
      </c>
      <c r="D194" s="195">
        <f t="shared" si="47"/>
        <v>2019</v>
      </c>
      <c r="E194" s="193" t="s">
        <v>24</v>
      </c>
      <c r="F194" s="196">
        <f>IF(E194="Vestdanmark",SUMIFS(IF(D194=År1,'Resultater - Vestdanmark'!H$3:H$482,IF(D194=År2,'Resultater - Vestdanmark'!I$3:I$482,'Resultater - Vestdanmark'!J$3:J$482)),'Resultater - Vestdanmark'!$F$3:$F$482,$A194,IF(D194=År1,'Resultater - Vestdanmark'!H$3:H$482,IF(D194=År2,'Resultater - Vestdanmark'!I$3:I$482,'Resultater - Vestdanmark'!J$3:J$482)),"&gt;0"),SUMIFS(IF(D194=År1,'Resultater - Østdanmark'!H$3:H$482,IF(D194=År2,'Resultater - Østdanmark'!I$3:I$482,'Resultater - Østdanmark'!J$3:J$482)),'Resultater - Østdanmark'!$F$3:$F$482,$A194,IF(D194=År1,'Resultater - Østdanmark'!H$3:H$482,IF(D194=År2,'Resultater - Østdanmark'!I$3:I$482,'Resultater - Østdanmark'!J$3:J$482)),"&gt;0"))</f>
        <v>187413.07432328182</v>
      </c>
      <c r="G194" s="196">
        <f>SUMIFS('Forbrug af biomasse'!$E$2:$E$425,'Forbrug af biomasse'!$C$2:$C$425,'Resultat-Produktion &amp; forbrug'!$A194,'Forbrug af biomasse'!$D$2:$D$425,'Resultat-Produktion &amp; forbrug'!$D194,'Forbrug af biomasse'!$A$2:$A$425,'Resultat-Produktion &amp; forbrug'!G$2,'Forbrug af biomasse'!$B$2:$B$425,$E194)</f>
        <v>0</v>
      </c>
      <c r="H194" s="193">
        <f>IF(E194="Vestdanmark",-IF(A194="Halm",SUMIFS(IF(D194=År1,'Resultater - Vestdanmark'!H$3:H$482,IF(D194=År2,'Resultater - Vestdanmark'!I$3:I$482,'Resultater - Vestdanmark'!J$3:J$482)),'Resultater - Vestdanmark'!$F$3:$F$482,$A194,'Resultater - Vestdanmark'!H$3:H$482,"&lt;0"),0),-IF(A194="Halm",SUMIFS(IF(D194=År1,'Resultater - Østdanmark'!H$3:H$482,IF(D194=År2,'Resultater - Østdanmark'!I$3:I$482,'Resultater - Østdanmark'!J$3:J$482)),'Resultater - Østdanmark'!$F$3:$F$482,$A194,'Resultater - Østdanmark'!H$3:H$482,"&lt;0"),0))</f>
        <v>0</v>
      </c>
      <c r="I194" s="196">
        <f>SUMIFS('Forbrug af biomasse'!$E$2:$E$425,'Forbrug af biomasse'!$C$2:$C$425,'Resultat-Produktion &amp; forbrug'!$A194,'Forbrug af biomasse'!$D$2:$D$425,'Resultat-Produktion &amp; forbrug'!$D194,'Forbrug af biomasse'!$A$2:$A$425,'Resultat-Produktion &amp; forbrug'!I$2,'Forbrug af biomasse'!$B$2:$B$425,$E194)</f>
        <v>0</v>
      </c>
      <c r="J194" s="196">
        <f>SUMIFS('Forbrug af biomasse'!$E$2:$E$425,'Forbrug af biomasse'!$C$2:$C$425,'Resultat-Produktion &amp; forbrug'!$A194,'Forbrug af biomasse'!$D$2:$D$425,'Resultat-Produktion &amp; forbrug'!$D194,'Forbrug af biomasse'!$A$2:$A$425,'Resultat-Produktion &amp; forbrug'!J$2,'Forbrug af biomasse'!$B$2:$B$425,$E194)</f>
        <v>0</v>
      </c>
      <c r="K194" s="196">
        <f>SUMIFS('Forbrug af biomasse'!$E$2:$E$425,'Forbrug af biomasse'!$C$2:$C$425,'Resultat-Produktion &amp; forbrug'!$A194,'Forbrug af biomasse'!$D$2:$D$425,'Resultat-Produktion &amp; forbrug'!$D194,'Forbrug af biomasse'!$A$2:$A$425,'Resultat-Produktion &amp; forbrug'!K$2,'Forbrug af biomasse'!$B$2:$B$425,$E194)</f>
        <v>0</v>
      </c>
      <c r="L194" s="196">
        <f>IF(A194&lt;&gt;"Biogas",SUMIFS('Forbrug af biomasse'!$E$2:$E$425,'Forbrug af biomasse'!$C$2:$C$425,'Resultat-Produktion &amp; forbrug'!$A194,'Forbrug af biomasse'!$D$2:$D$425,'Resultat-Produktion &amp; forbrug'!$D194,'Forbrug af biomasse'!$A$2:$A$425,'Resultat-Produktion &amp; forbrug'!L$2,'Forbrug af biomasse'!$B$2:$B$425,$E194),F194)</f>
        <v>0</v>
      </c>
      <c r="M194" s="158">
        <f>SUMIFS('Forbrug af biomasse'!E:E,'Forbrug af biomasse'!C:C,'Resultat-Produktion &amp; forbrug'!$A194,'Forbrug af biomasse'!D:D,'Resultat-Produktion &amp; forbrug'!$D194,'Forbrug af biomasse'!G:G,1,'Forbrug af biomasse'!B:B,$E194)</f>
        <v>0</v>
      </c>
      <c r="N194" s="205">
        <f t="shared" si="48"/>
        <v>187413.07432328182</v>
      </c>
      <c r="O194" s="196">
        <f t="shared" si="39"/>
        <v>0</v>
      </c>
      <c r="P194" s="206">
        <f t="shared" si="49"/>
        <v>0</v>
      </c>
      <c r="Q194" s="193">
        <f>IFERROR(VLOOKUP(A194,[1]Energiindhold!$A$2:$C$11,3,FALSE),IFERROR(VLOOKUP(A194,[1]Biogasudbytte!$A$2:$B$18,2,FALSE)*[1]Energiindhold!$C$10,0))*O194</f>
        <v>0</v>
      </c>
      <c r="R194" s="193">
        <f>IF(A194&lt;&gt;"Biogas",IFERROR(VLOOKUP(A194,[1]Biogasudbytte!$A$2:$B$18,2,FALSE)*[1]Energiindhold!$C$10,0)*J194*IFERROR(VLOOKUP(A194,Biogasanlæg!$F$3:$G$8,2,FALSE),1)+IFERROR(VLOOKUP(A194,[1]Energiindhold!$A$2:$C$11,3,FALSE),0)*L194+IF(D194&lt;&gt;År1,Q194,0),0)</f>
        <v>0</v>
      </c>
      <c r="S194" s="193">
        <f>IFERROR(VLOOKUP(A194,[1]Biogasudbytte!$A$2:$B$18,2,FALSE)*[1]Energiindhold!$C$10,0)*J194*IFERROR(VLOOKUP(A194,Biogasanlæg!$F$3:$G$8,2,FALSE),1)</f>
        <v>0</v>
      </c>
      <c r="T194" s="194">
        <f t="shared" si="50"/>
        <v>0</v>
      </c>
      <c r="U194" s="192">
        <f>O194*IFERROR(VLOOKUP(A194,[1]Tørstofindhold!A$2:B$25,2,FALSE),0)</f>
        <v>0</v>
      </c>
      <c r="V194" s="193">
        <f>IF(D194=År1,P194,SUM(O194,P194))*IFERROR(VLOOKUP(A194,[1]Tørstofindhold!A$2:B$25,2,FALSE),0)</f>
        <v>0</v>
      </c>
      <c r="W194" s="193">
        <f>J194*IFERROR(VLOOKUP(A194,[1]Tørstofindhold!A$2:B$25,2,FALSE),0)</f>
        <v>0</v>
      </c>
      <c r="X194" s="194">
        <f t="shared" si="51"/>
        <v>0</v>
      </c>
      <c r="Y194" s="172">
        <f t="shared" si="43"/>
        <v>0</v>
      </c>
      <c r="Z194" s="104">
        <f t="shared" si="44"/>
        <v>1</v>
      </c>
    </row>
    <row r="195" spans="1:26" hidden="1" x14ac:dyDescent="0.55000000000000004">
      <c r="A195" s="195" t="str">
        <f t="shared" ref="A195:A226" si="56">A147</f>
        <v>Æg</v>
      </c>
      <c r="B195" s="195" t="str">
        <f t="shared" ref="B195:B226" si="57">IF(B147&lt;&gt;"",B147,"")</f>
        <v/>
      </c>
      <c r="C195" s="195">
        <f>IF(COUNTIFS('Resultater - Danmark'!$D$3:$D$482,'Resultat-Produktion &amp; forbrug'!A195,'Resultater - Danmark'!$A$3:$A$482,"Til energi")+COUNTIFS('Resultater - Danmark'!$D$3:$D$482,'Resultat-Produktion &amp; forbrug'!A195,'Resultater - Danmark'!$A$3:$A$482,"Biogasanlæg")&gt;0,1,0)</f>
        <v>0</v>
      </c>
      <c r="D195" s="195">
        <f t="shared" ref="D195:D242" si="58">År2</f>
        <v>2030</v>
      </c>
      <c r="E195" s="193" t="s">
        <v>24</v>
      </c>
      <c r="F195" s="196">
        <f>IF(E195="Vestdanmark",SUMIFS(IF(D195=År1,'Resultater - Vestdanmark'!H$3:H$482,IF(D195=År2,'Resultater - Vestdanmark'!I$3:I$482,'Resultater - Vestdanmark'!J$3:J$482)),'Resultater - Vestdanmark'!$F$3:$F$482,$A195,IF(D195=År1,'Resultater - Vestdanmark'!H$3:H$482,IF(D195=År2,'Resultater - Vestdanmark'!I$3:I$482,'Resultater - Vestdanmark'!J$3:J$482)),"&gt;0"),SUMIFS(IF(D195=År1,'Resultater - Østdanmark'!H$3:H$482,IF(D195=År2,'Resultater - Østdanmark'!I$3:I$482,'Resultater - Østdanmark'!J$3:J$482)),'Resultater - Østdanmark'!$F$3:$F$482,$A195,IF(D195=År1,'Resultater - Østdanmark'!H$3:H$482,IF(D195=År2,'Resultater - Østdanmark'!I$3:I$482,'Resultater - Østdanmark'!J$3:J$482)),"&gt;0"))</f>
        <v>17943.479437897957</v>
      </c>
      <c r="G195" s="196">
        <f>SUMIFS('Forbrug af biomasse'!$E$2:$E$425,'Forbrug af biomasse'!$C$2:$C$425,'Resultat-Produktion &amp; forbrug'!$A195,'Forbrug af biomasse'!$D$2:$D$425,'Resultat-Produktion &amp; forbrug'!$D195,'Forbrug af biomasse'!$A$2:$A$425,'Resultat-Produktion &amp; forbrug'!G$2,'Forbrug af biomasse'!$B$2:$B$425,$E195)</f>
        <v>0</v>
      </c>
      <c r="H195" s="193">
        <f>IF(E195="Vestdanmark",-IF(A195="Halm",SUMIFS(IF(D195=År1,'Resultater - Vestdanmark'!H$3:H$482,IF(D195=År2,'Resultater - Vestdanmark'!I$3:I$482,'Resultater - Vestdanmark'!J$3:J$482)),'Resultater - Vestdanmark'!$F$3:$F$482,$A195,'Resultater - Vestdanmark'!H$3:H$482,"&lt;0"),0),-IF(A195="Halm",SUMIFS(IF(D195=År1,'Resultater - Østdanmark'!H$3:H$482,IF(D195=År2,'Resultater - Østdanmark'!I$3:I$482,'Resultater - Østdanmark'!J$3:J$482)),'Resultater - Østdanmark'!$F$3:$F$482,$A195,'Resultater - Østdanmark'!H$3:H$482,"&lt;0"),0))</f>
        <v>0</v>
      </c>
      <c r="I195" s="196">
        <f>SUMIFS('Forbrug af biomasse'!$E$2:$E$425,'Forbrug af biomasse'!$C$2:$C$425,'Resultat-Produktion &amp; forbrug'!$A195,'Forbrug af biomasse'!$D$2:$D$425,'Resultat-Produktion &amp; forbrug'!$D195,'Forbrug af biomasse'!$A$2:$A$425,'Resultat-Produktion &amp; forbrug'!I$2,'Forbrug af biomasse'!$B$2:$B$425,$E195)</f>
        <v>28209.340124628539</v>
      </c>
      <c r="J195" s="196">
        <f>SUMIFS('Forbrug af biomasse'!$E$2:$E$425,'Forbrug af biomasse'!$C$2:$C$425,'Resultat-Produktion &amp; forbrug'!$A195,'Forbrug af biomasse'!$D$2:$D$425,'Resultat-Produktion &amp; forbrug'!$D195,'Forbrug af biomasse'!$A$2:$A$425,'Resultat-Produktion &amp; forbrug'!J$2,'Forbrug af biomasse'!$B$2:$B$425,$E195)</f>
        <v>0</v>
      </c>
      <c r="K195" s="196">
        <f>SUMIFS('Forbrug af biomasse'!$E$2:$E$425,'Forbrug af biomasse'!$C$2:$C$425,'Resultat-Produktion &amp; forbrug'!$A195,'Forbrug af biomasse'!$D$2:$D$425,'Resultat-Produktion &amp; forbrug'!$D195,'Forbrug af biomasse'!$A$2:$A$425,'Resultat-Produktion &amp; forbrug'!K$2,'Forbrug af biomasse'!$B$2:$B$425,$E195)</f>
        <v>0</v>
      </c>
      <c r="L195" s="196">
        <f>IF(A195&lt;&gt;"Biogas",SUMIFS('Forbrug af biomasse'!$E$2:$E$425,'Forbrug af biomasse'!$C$2:$C$425,'Resultat-Produktion &amp; forbrug'!$A195,'Forbrug af biomasse'!$D$2:$D$425,'Resultat-Produktion &amp; forbrug'!$D195,'Forbrug af biomasse'!$A$2:$A$425,'Resultat-Produktion &amp; forbrug'!L$2,'Forbrug af biomasse'!$B$2:$B$425,$E195),F195)</f>
        <v>0</v>
      </c>
      <c r="M195" s="158">
        <f>SUMIFS('Forbrug af biomasse'!E:E,'Forbrug af biomasse'!C:C,'Resultat-Produktion &amp; forbrug'!$A195,'Forbrug af biomasse'!D:D,'Resultat-Produktion &amp; forbrug'!$D195,'Forbrug af biomasse'!G:G,1,'Forbrug af biomasse'!B:B,$E195)</f>
        <v>0</v>
      </c>
      <c r="N195" s="205">
        <f t="shared" si="48"/>
        <v>-10265.860686730583</v>
      </c>
      <c r="O195" s="196">
        <f t="shared" ref="O195:O258" si="59">IF(C195=1,IF(N195+IF(SUMIFS($N$3:$N$290,$A$3:$A$290,A195,$D$3:$D$290,D195,$E$3:$E$290,"&lt;&gt;"&amp;E195)&lt;0,SUMIFS($N$3:$N$290,$A$3:$A$290,A195,$D$3:$D$290,D195,$E$3:$E$290,"&lt;&gt;"&amp;E195),0)&gt;0,N195+IF(SUMIFS($N$3:$N$290,$A$3:$A$290,A195,$D$3:$D$290,D195,$E$3:$E$290,"&lt;&gt;"&amp;E195)&lt;0,SUMIFS($N$3:$N$290,$A$3:$A$290,A195,$D$3:$D$290,D195,$E$3:$E$290,"&lt;&gt;"&amp;E195),0),0),0)</f>
        <v>0</v>
      </c>
      <c r="P195" s="206">
        <f t="shared" si="49"/>
        <v>0</v>
      </c>
      <c r="Q195" s="193">
        <f>IFERROR(VLOOKUP(A195,[1]Energiindhold!$A$2:$C$11,3,FALSE),IFERROR(VLOOKUP(A195,[1]Biogasudbytte!$A$2:$B$18,2,FALSE)*[1]Energiindhold!$C$10,0))*O195</f>
        <v>0</v>
      </c>
      <c r="R195" s="193">
        <f>IF(A195&lt;&gt;"Biogas",IFERROR(VLOOKUP(A195,[1]Biogasudbytte!$A$2:$B$18,2,FALSE)*[1]Energiindhold!$C$10,0)*J195*IFERROR(VLOOKUP(A195,Biogasanlæg!$F$3:$G$8,2,FALSE),1)+IFERROR(VLOOKUP(A195,[1]Energiindhold!$A$2:$C$11,3,FALSE),0)*L195+IF(D195&lt;&gt;År1,Q195,0),0)</f>
        <v>0</v>
      </c>
      <c r="S195" s="193">
        <f>IFERROR(VLOOKUP(A195,[1]Biogasudbytte!$A$2:$B$18,2,FALSE)*[1]Energiindhold!$C$10,0)*J195*IFERROR(VLOOKUP(A195,Biogasanlæg!$F$3:$G$8,2,FALSE),1)</f>
        <v>0</v>
      </c>
      <c r="T195" s="194">
        <f t="shared" si="50"/>
        <v>0</v>
      </c>
      <c r="U195" s="192">
        <f>O195*IFERROR(VLOOKUP(A195,[1]Tørstofindhold!A$2:B$25,2,FALSE),0)</f>
        <v>0</v>
      </c>
      <c r="V195" s="193">
        <f>IF(D195=År1,P195,SUM(O195,P195))*IFERROR(VLOOKUP(A195,[1]Tørstofindhold!A$2:B$25,2,FALSE),0)</f>
        <v>0</v>
      </c>
      <c r="W195" s="193">
        <f>J195*IFERROR(VLOOKUP(A195,[1]Tørstofindhold!A$2:B$25,2,FALSE),0)</f>
        <v>0</v>
      </c>
      <c r="X195" s="194">
        <f t="shared" si="51"/>
        <v>0</v>
      </c>
      <c r="Y195" s="172">
        <f t="shared" ref="Y195:Y258" si="60">IF(SUMIFS($N$3:$N$290,$A$3:$A$290,A195,$D$3:$D$290,D195)&lt;0,1,0)</f>
        <v>0</v>
      </c>
      <c r="Z195" s="104">
        <f t="shared" ref="Z195:Z258" si="61">IF(SUMIFS($N$3:$N$290,$A$3:$A$290,A195,$D$3:$D$290,D195)&gt;0,1,0)</f>
        <v>1</v>
      </c>
    </row>
    <row r="196" spans="1:26" x14ac:dyDescent="0.55000000000000004">
      <c r="A196" s="195" t="str">
        <f t="shared" si="56"/>
        <v>Bælgsæd</v>
      </c>
      <c r="B196" s="195" t="str">
        <f t="shared" si="57"/>
        <v/>
      </c>
      <c r="C196" s="195">
        <f>IF(COUNTIFS('Resultater - Danmark'!$D$3:$D$482,'Resultat-Produktion &amp; forbrug'!A196,'Resultater - Danmark'!$A$3:$A$482,"Til energi")+COUNTIFS('Resultater - Danmark'!$D$3:$D$482,'Resultat-Produktion &amp; forbrug'!A196,'Resultater - Danmark'!$A$3:$A$482,"Biogasanlæg")&gt;0,1,0)</f>
        <v>0</v>
      </c>
      <c r="D196" s="195">
        <f t="shared" si="58"/>
        <v>2030</v>
      </c>
      <c r="E196" s="193" t="s">
        <v>24</v>
      </c>
      <c r="F196" s="196">
        <f>IF(E196="Vestdanmark",SUMIFS(IF(D196=År1,'Resultater - Vestdanmark'!H$3:H$482,IF(D196=År2,'Resultater - Vestdanmark'!I$3:I$482,'Resultater - Vestdanmark'!J$3:J$482)),'Resultater - Vestdanmark'!$F$3:$F$482,$A196,IF(D196=År1,'Resultater - Vestdanmark'!H$3:H$482,IF(D196=År2,'Resultater - Vestdanmark'!I$3:I$482,'Resultater - Vestdanmark'!J$3:J$482)),"&gt;0"),SUMIFS(IF(D196=År1,'Resultater - Østdanmark'!H$3:H$482,IF(D196=År2,'Resultater - Østdanmark'!I$3:I$482,'Resultater - Østdanmark'!J$3:J$482)),'Resultater - Østdanmark'!$F$3:$F$482,$A196,IF(D196=År1,'Resultater - Østdanmark'!H$3:H$482,IF(D196=År2,'Resultater - Østdanmark'!I$3:I$482,'Resultater - Østdanmark'!J$3:J$482)),"&gt;0"))</f>
        <v>28552.425442007137</v>
      </c>
      <c r="G196" s="196">
        <f>SUMIFS('Forbrug af biomasse'!$E$2:$E$425,'Forbrug af biomasse'!$C$2:$C$425,'Resultat-Produktion &amp; forbrug'!$A196,'Forbrug af biomasse'!$D$2:$D$425,'Resultat-Produktion &amp; forbrug'!$D196,'Forbrug af biomasse'!$A$2:$A$425,'Resultat-Produktion &amp; forbrug'!G$2,'Forbrug af biomasse'!$B$2:$B$425,$E196)</f>
        <v>7916.616753740097</v>
      </c>
      <c r="H196" s="193">
        <f>IF(E196="Vestdanmark",-IF(A196="Halm",SUMIFS(IF(D196=År1,'Resultater - Vestdanmark'!H$3:H$482,IF(D196=År2,'Resultater - Vestdanmark'!I$3:I$482,'Resultater - Vestdanmark'!J$3:J$482)),'Resultater - Vestdanmark'!$F$3:$F$482,$A196,'Resultater - Vestdanmark'!H$3:H$482,"&lt;0"),0),-IF(A196="Halm",SUMIFS(IF(D196=År1,'Resultater - Østdanmark'!H$3:H$482,IF(D196=År2,'Resultater - Østdanmark'!I$3:I$482,'Resultater - Østdanmark'!J$3:J$482)),'Resultater - Østdanmark'!$F$3:$F$482,$A196,'Resultater - Østdanmark'!H$3:H$482,"&lt;0"),0))</f>
        <v>0</v>
      </c>
      <c r="I196" s="196">
        <f>SUMIFS('Forbrug af biomasse'!$E$2:$E$425,'Forbrug af biomasse'!$C$2:$C$425,'Resultat-Produktion &amp; forbrug'!$A196,'Forbrug af biomasse'!$D$2:$D$425,'Resultat-Produktion &amp; forbrug'!$D196,'Forbrug af biomasse'!$A$2:$A$425,'Resultat-Produktion &amp; forbrug'!I$2,'Forbrug af biomasse'!$B$2:$B$425,$E196)</f>
        <v>0</v>
      </c>
      <c r="J196" s="196">
        <f>SUMIFS('Forbrug af biomasse'!$E$2:$E$425,'Forbrug af biomasse'!$C$2:$C$425,'Resultat-Produktion &amp; forbrug'!$A196,'Forbrug af biomasse'!$D$2:$D$425,'Resultat-Produktion &amp; forbrug'!$D196,'Forbrug af biomasse'!$A$2:$A$425,'Resultat-Produktion &amp; forbrug'!J$2,'Forbrug af biomasse'!$B$2:$B$425,$E196)</f>
        <v>0</v>
      </c>
      <c r="K196" s="196">
        <f>SUMIFS('Forbrug af biomasse'!$E$2:$E$425,'Forbrug af biomasse'!$C$2:$C$425,'Resultat-Produktion &amp; forbrug'!$A196,'Forbrug af biomasse'!$D$2:$D$425,'Resultat-Produktion &amp; forbrug'!$D196,'Forbrug af biomasse'!$A$2:$A$425,'Resultat-Produktion &amp; forbrug'!K$2,'Forbrug af biomasse'!$B$2:$B$425,$E196)</f>
        <v>0</v>
      </c>
      <c r="L196" s="196">
        <f>IF(A196&lt;&gt;"Biogas",SUMIFS('Forbrug af biomasse'!$E$2:$E$425,'Forbrug af biomasse'!$C$2:$C$425,'Resultat-Produktion &amp; forbrug'!$A196,'Forbrug af biomasse'!$D$2:$D$425,'Resultat-Produktion &amp; forbrug'!$D196,'Forbrug af biomasse'!$A$2:$A$425,'Resultat-Produktion &amp; forbrug'!L$2,'Forbrug af biomasse'!$B$2:$B$425,$E196),F196)</f>
        <v>0</v>
      </c>
      <c r="M196" s="158">
        <f>SUMIFS('Forbrug af biomasse'!E:E,'Forbrug af biomasse'!C:C,'Resultat-Produktion &amp; forbrug'!$A196,'Forbrug af biomasse'!D:D,'Resultat-Produktion &amp; forbrug'!$D196,'Forbrug af biomasse'!G:G,1,'Forbrug af biomasse'!B:B,$E196)</f>
        <v>0</v>
      </c>
      <c r="N196" s="205">
        <f t="shared" si="48"/>
        <v>20635.80868826704</v>
      </c>
      <c r="O196" s="196">
        <f t="shared" si="59"/>
        <v>0</v>
      </c>
      <c r="P196" s="206">
        <f t="shared" si="49"/>
        <v>0</v>
      </c>
      <c r="Q196" s="193">
        <f>IFERROR(VLOOKUP(A196,[1]Energiindhold!$A$2:$C$11,3,FALSE),IFERROR(VLOOKUP(A196,[1]Biogasudbytte!$A$2:$B$18,2,FALSE)*[1]Energiindhold!$C$10,0))*O196</f>
        <v>0</v>
      </c>
      <c r="R196" s="193">
        <f>IF(A196&lt;&gt;"Biogas",IFERROR(VLOOKUP(A196,[1]Biogasudbytte!$A$2:$B$18,2,FALSE)*[1]Energiindhold!$C$10,0)*J196*IFERROR(VLOOKUP(A196,Biogasanlæg!$F$3:$G$8,2,FALSE),1)+IFERROR(VLOOKUP(A196,[1]Energiindhold!$A$2:$C$11,3,FALSE),0)*L196+IF(D196&lt;&gt;År1,Q196,0),0)</f>
        <v>0</v>
      </c>
      <c r="S196" s="193">
        <f>IFERROR(VLOOKUP(A196,[1]Biogasudbytte!$A$2:$B$18,2,FALSE)*[1]Energiindhold!$C$10,0)*J196*IFERROR(VLOOKUP(A196,Biogasanlæg!$F$3:$G$8,2,FALSE),1)</f>
        <v>0</v>
      </c>
      <c r="T196" s="194">
        <f t="shared" si="50"/>
        <v>0</v>
      </c>
      <c r="U196" s="192">
        <f>O196*IFERROR(VLOOKUP(A196,[1]Tørstofindhold!A$2:B$25,2,FALSE),0)</f>
        <v>0</v>
      </c>
      <c r="V196" s="193">
        <f>IF(D196=År1,P196,SUM(O196,P196))*IFERROR(VLOOKUP(A196,[1]Tørstofindhold!A$2:B$25,2,FALSE),0)</f>
        <v>0</v>
      </c>
      <c r="W196" s="193">
        <f>J196*IFERROR(VLOOKUP(A196,[1]Tørstofindhold!A$2:B$25,2,FALSE),0)</f>
        <v>0</v>
      </c>
      <c r="X196" s="194">
        <f t="shared" si="51"/>
        <v>0</v>
      </c>
      <c r="Y196" s="172">
        <f t="shared" si="60"/>
        <v>0</v>
      </c>
      <c r="Z196" s="104">
        <f t="shared" si="61"/>
        <v>1</v>
      </c>
    </row>
    <row r="197" spans="1:26" hidden="1" x14ac:dyDescent="0.55000000000000004">
      <c r="A197" s="195" t="str">
        <f t="shared" si="56"/>
        <v>Bioaffald</v>
      </c>
      <c r="B197" s="195" t="str">
        <f t="shared" si="57"/>
        <v>Bionedbrydeligt affald</v>
      </c>
      <c r="C197" s="195">
        <f>IF(COUNTIFS('Resultater - Danmark'!$D$3:$D$482,'Resultat-Produktion &amp; forbrug'!A197,'Resultater - Danmark'!$A$3:$A$482,"Til energi")+COUNTIFS('Resultater - Danmark'!$D$3:$D$482,'Resultat-Produktion &amp; forbrug'!A197,'Resultater - Danmark'!$A$3:$A$482,"Biogasanlæg")&gt;0,1,0)</f>
        <v>1</v>
      </c>
      <c r="D197" s="195">
        <f t="shared" si="58"/>
        <v>2030</v>
      </c>
      <c r="E197" s="193" t="s">
        <v>24</v>
      </c>
      <c r="F197" s="196">
        <f ca="1">IF(E197="Vestdanmark",SUMIFS(IF(D197=År1,'Resultater - Vestdanmark'!H$3:H$482,IF(D197=År2,'Resultater - Vestdanmark'!I$3:I$482,'Resultater - Vestdanmark'!J$3:J$482)),'Resultater - Vestdanmark'!$F$3:$F$482,$A197,IF(D197=År1,'Resultater - Vestdanmark'!H$3:H$482,IF(D197=År2,'Resultater - Vestdanmark'!I$3:I$482,'Resultater - Vestdanmark'!J$3:J$482)),"&gt;0"),SUMIFS(IF(D197=År1,'Resultater - Østdanmark'!H$3:H$482,IF(D197=År2,'Resultater - Østdanmark'!I$3:I$482,'Resultater - Østdanmark'!J$3:J$482)),'Resultater - Østdanmark'!$F$3:$F$482,$A197,IF(D197=År1,'Resultater - Østdanmark'!H$3:H$482,IF(D197=År2,'Resultater - Østdanmark'!I$3:I$482,'Resultater - Østdanmark'!J$3:J$482)),"&gt;0"))</f>
        <v>168912.745758362</v>
      </c>
      <c r="G197" s="196">
        <f>SUMIFS('Forbrug af biomasse'!$E$2:$E$425,'Forbrug af biomasse'!$C$2:$C$425,'Resultat-Produktion &amp; forbrug'!$A197,'Forbrug af biomasse'!$D$2:$D$425,'Resultat-Produktion &amp; forbrug'!$D197,'Forbrug af biomasse'!$A$2:$A$425,'Resultat-Produktion &amp; forbrug'!G$2,'Forbrug af biomasse'!$B$2:$B$425,$E197)</f>
        <v>0</v>
      </c>
      <c r="H197" s="193">
        <f>IF(E197="Vestdanmark",-IF(A197="Halm",SUMIFS(IF(D197=År1,'Resultater - Vestdanmark'!H$3:H$482,IF(D197=År2,'Resultater - Vestdanmark'!I$3:I$482,'Resultater - Vestdanmark'!J$3:J$482)),'Resultater - Vestdanmark'!$F$3:$F$482,$A197,'Resultater - Vestdanmark'!H$3:H$482,"&lt;0"),0),-IF(A197="Halm",SUMIFS(IF(D197=År1,'Resultater - Østdanmark'!H$3:H$482,IF(D197=År2,'Resultater - Østdanmark'!I$3:I$482,'Resultater - Østdanmark'!J$3:J$482)),'Resultater - Østdanmark'!$F$3:$F$482,$A197,'Resultater - Østdanmark'!H$3:H$482,"&lt;0"),0))</f>
        <v>0</v>
      </c>
      <c r="I197" s="196">
        <f>SUMIFS('Forbrug af biomasse'!$E$2:$E$425,'Forbrug af biomasse'!$C$2:$C$425,'Resultat-Produktion &amp; forbrug'!$A197,'Forbrug af biomasse'!$D$2:$D$425,'Resultat-Produktion &amp; forbrug'!$D197,'Forbrug af biomasse'!$A$2:$A$425,'Resultat-Produktion &amp; forbrug'!I$2,'Forbrug af biomasse'!$B$2:$B$425,$E197)</f>
        <v>0</v>
      </c>
      <c r="J197" s="196">
        <f ca="1">SUMIFS('Forbrug af biomasse'!$E$2:$E$425,'Forbrug af biomasse'!$C$2:$C$425,'Resultat-Produktion &amp; forbrug'!$A197,'Forbrug af biomasse'!$D$2:$D$425,'Resultat-Produktion &amp; forbrug'!$D197,'Forbrug af biomasse'!$A$2:$A$425,'Resultat-Produktion &amp; forbrug'!J$2,'Forbrug af biomasse'!$B$2:$B$425,$E197)</f>
        <v>168912.75887120995</v>
      </c>
      <c r="K197" s="196">
        <f>SUMIFS('Forbrug af biomasse'!$E$2:$E$425,'Forbrug af biomasse'!$C$2:$C$425,'Resultat-Produktion &amp; forbrug'!$A197,'Forbrug af biomasse'!$D$2:$D$425,'Resultat-Produktion &amp; forbrug'!$D197,'Forbrug af biomasse'!$A$2:$A$425,'Resultat-Produktion &amp; forbrug'!K$2,'Forbrug af biomasse'!$B$2:$B$425,$E197)</f>
        <v>0</v>
      </c>
      <c r="L197" s="196">
        <f ca="1">IF(A197&lt;&gt;"Biogas",SUMIFS('Forbrug af biomasse'!$E$2:$E$425,'Forbrug af biomasse'!$C$2:$C$425,'Resultat-Produktion &amp; forbrug'!$A197,'Forbrug af biomasse'!$D$2:$D$425,'Resultat-Produktion &amp; forbrug'!$D197,'Forbrug af biomasse'!$A$2:$A$425,'Resultat-Produktion &amp; forbrug'!L$2,'Forbrug af biomasse'!$B$2:$B$425,$E197),F197)</f>
        <v>0</v>
      </c>
      <c r="M197" s="158">
        <f ca="1">SUMIFS('Forbrug af biomasse'!E:E,'Forbrug af biomasse'!C:C,'Resultat-Produktion &amp; forbrug'!$A197,'Forbrug af biomasse'!D:D,'Resultat-Produktion &amp; forbrug'!$D197,'Forbrug af biomasse'!G:G,1,'Forbrug af biomasse'!B:B,$E197)</f>
        <v>0</v>
      </c>
      <c r="N197" s="205">
        <f t="shared" ca="1" si="48"/>
        <v>-1.3112847955198959E-2</v>
      </c>
      <c r="O197" s="196">
        <f t="shared" ca="1" si="59"/>
        <v>0</v>
      </c>
      <c r="P197" s="206">
        <f t="shared" ca="1" si="49"/>
        <v>168912.75887120995</v>
      </c>
      <c r="Q197" s="193">
        <f ca="1">IFERROR(VLOOKUP(A197,[1]Energiindhold!$A$2:$C$11,3,FALSE),IFERROR(VLOOKUP(A197,[1]Biogasudbytte!$A$2:$B$18,2,FALSE)*[1]Energiindhold!$C$10,0))*O197</f>
        <v>0</v>
      </c>
      <c r="R197" s="193">
        <f ca="1">IF(A197&lt;&gt;"Biogas",IFERROR(VLOOKUP(A197,[1]Biogasudbytte!$A$2:$B$18,2,FALSE)*[1]Energiindhold!$C$10,0)*J197*IFERROR(VLOOKUP(A197,Biogasanlæg!$F$3:$G$8,2,FALSE),1)+IFERROR(VLOOKUP(A197,[1]Energiindhold!$A$2:$C$11,3,FALSE),0)*L197+IF(D197&lt;&gt;År1,Q197,0),0)</f>
        <v>0.51792351059332264</v>
      </c>
      <c r="S197" s="193">
        <f ca="1">IFERROR(VLOOKUP(A197,[1]Biogasudbytte!$A$2:$B$18,2,FALSE)*[1]Energiindhold!$C$10,0)*J197*IFERROR(VLOOKUP(A197,Biogasanlæg!$F$3:$G$8,2,FALSE),1)</f>
        <v>0.51792351059332264</v>
      </c>
      <c r="T197" s="194">
        <f t="shared" ca="1" si="50"/>
        <v>0</v>
      </c>
      <c r="U197" s="192">
        <f ca="1">O197*IFERROR(VLOOKUP(A197,[1]Tørstofindhold!A$2:B$25,2,FALSE),0)</f>
        <v>0</v>
      </c>
      <c r="V197" s="193">
        <f ca="1">IF(D197=År1,P197,SUM(O197,P197))*IFERROR(VLOOKUP(A197,[1]Tørstofindhold!A$2:B$25,2,FALSE),0)</f>
        <v>47295.572483938791</v>
      </c>
      <c r="W197" s="193">
        <f ca="1">J197*IFERROR(VLOOKUP(A197,[1]Tørstofindhold!A$2:B$25,2,FALSE),0)</f>
        <v>47295.572483938791</v>
      </c>
      <c r="X197" s="194">
        <f t="shared" ca="1" si="51"/>
        <v>0</v>
      </c>
      <c r="Y197" s="172">
        <f t="shared" ca="1" si="60"/>
        <v>1</v>
      </c>
      <c r="Z197" s="104">
        <f t="shared" ca="1" si="61"/>
        <v>0</v>
      </c>
    </row>
    <row r="198" spans="1:26" hidden="1" x14ac:dyDescent="0.55000000000000004">
      <c r="A198" s="195" t="str">
        <f t="shared" si="56"/>
        <v>Biogas</v>
      </c>
      <c r="B198" s="195" t="str">
        <f t="shared" si="57"/>
        <v/>
      </c>
      <c r="C198" s="195">
        <f>IF(COUNTIFS('Resultater - Danmark'!$D$3:$D$482,'Resultat-Produktion &amp; forbrug'!A198,'Resultater - Danmark'!$A$3:$A$482,"Til energi")+COUNTIFS('Resultater - Danmark'!$D$3:$D$482,'Resultat-Produktion &amp; forbrug'!A198,'Resultater - Danmark'!$A$3:$A$482,"Biogasanlæg")&gt;0,1,0)</f>
        <v>1</v>
      </c>
      <c r="D198" s="195">
        <f t="shared" si="58"/>
        <v>2030</v>
      </c>
      <c r="E198" s="193" t="s">
        <v>24</v>
      </c>
      <c r="F198" s="196">
        <f ca="1">IF(E198="Vestdanmark",SUMIFS(IF(D198=År1,'Resultater - Vestdanmark'!H$3:H$482,IF(D198=År2,'Resultater - Vestdanmark'!I$3:I$482,'Resultater - Vestdanmark'!J$3:J$482)),'Resultater - Vestdanmark'!$F$3:$F$482,$A198,IF(D198=År1,'Resultater - Vestdanmark'!H$3:H$482,IF(D198=År2,'Resultater - Vestdanmark'!I$3:I$482,'Resultater - Vestdanmark'!J$3:J$482)),"&gt;0"),SUMIFS(IF(D198=År1,'Resultater - Østdanmark'!H$3:H$482,IF(D198=År2,'Resultater - Østdanmark'!I$3:I$482,'Resultater - Østdanmark'!J$3:J$482)),'Resultater - Østdanmark'!$F$3:$F$482,$A198,IF(D198=År1,'Resultater - Østdanmark'!H$3:H$482,IF(D198=År2,'Resultater - Østdanmark'!I$3:I$482,'Resultater - Østdanmark'!J$3:J$482)),"&gt;0"))</f>
        <v>108206581.84740166</v>
      </c>
      <c r="G198" s="196">
        <f>SUMIFS('Forbrug af biomasse'!$E$2:$E$425,'Forbrug af biomasse'!$C$2:$C$425,'Resultat-Produktion &amp; forbrug'!$A198,'Forbrug af biomasse'!$D$2:$D$425,'Resultat-Produktion &amp; forbrug'!$D198,'Forbrug af biomasse'!$A$2:$A$425,'Resultat-Produktion &amp; forbrug'!G$2,'Forbrug af biomasse'!$B$2:$B$425,$E198)</f>
        <v>0</v>
      </c>
      <c r="H198" s="193">
        <f>IF(E198="Vestdanmark",-IF(A198="Halm",SUMIFS(IF(D198=År1,'Resultater - Vestdanmark'!H$3:H$482,IF(D198=År2,'Resultater - Vestdanmark'!I$3:I$482,'Resultater - Vestdanmark'!J$3:J$482)),'Resultater - Vestdanmark'!$F$3:$F$482,$A198,'Resultater - Vestdanmark'!H$3:H$482,"&lt;0"),0),-IF(A198="Halm",SUMIFS(IF(D198=År1,'Resultater - Østdanmark'!H$3:H$482,IF(D198=År2,'Resultater - Østdanmark'!I$3:I$482,'Resultater - Østdanmark'!J$3:J$482)),'Resultater - Østdanmark'!$F$3:$F$482,$A198,'Resultater - Østdanmark'!H$3:H$482,"&lt;0"),0))</f>
        <v>0</v>
      </c>
      <c r="I198" s="196">
        <f>SUMIFS('Forbrug af biomasse'!$E$2:$E$425,'Forbrug af biomasse'!$C$2:$C$425,'Resultat-Produktion &amp; forbrug'!$A198,'Forbrug af biomasse'!$D$2:$D$425,'Resultat-Produktion &amp; forbrug'!$D198,'Forbrug af biomasse'!$A$2:$A$425,'Resultat-Produktion &amp; forbrug'!I$2,'Forbrug af biomasse'!$B$2:$B$425,$E198)</f>
        <v>0</v>
      </c>
      <c r="J198" s="196">
        <f>SUMIFS('Forbrug af biomasse'!$E$2:$E$425,'Forbrug af biomasse'!$C$2:$C$425,'Resultat-Produktion &amp; forbrug'!$A198,'Forbrug af biomasse'!$D$2:$D$425,'Resultat-Produktion &amp; forbrug'!$D198,'Forbrug af biomasse'!$A$2:$A$425,'Resultat-Produktion &amp; forbrug'!J$2,'Forbrug af biomasse'!$B$2:$B$425,$E198)</f>
        <v>0</v>
      </c>
      <c r="K198" s="196">
        <f>SUMIFS('Forbrug af biomasse'!$E$2:$E$425,'Forbrug af biomasse'!$C$2:$C$425,'Resultat-Produktion &amp; forbrug'!$A198,'Forbrug af biomasse'!$D$2:$D$425,'Resultat-Produktion &amp; forbrug'!$D198,'Forbrug af biomasse'!$A$2:$A$425,'Resultat-Produktion &amp; forbrug'!K$2,'Forbrug af biomasse'!$B$2:$B$425,$E198)</f>
        <v>0</v>
      </c>
      <c r="L198" s="196">
        <f ca="1">IF(A198&lt;&gt;"Biogas",SUMIFS('Forbrug af biomasse'!$E$2:$E$425,'Forbrug af biomasse'!$C$2:$C$425,'Resultat-Produktion &amp; forbrug'!$A198,'Forbrug af biomasse'!$D$2:$D$425,'Resultat-Produktion &amp; forbrug'!$D198,'Forbrug af biomasse'!$A$2:$A$425,'Resultat-Produktion &amp; forbrug'!L$2,'Forbrug af biomasse'!$B$2:$B$425,$E198),F198)</f>
        <v>108206581.84740166</v>
      </c>
      <c r="M198" s="158">
        <f>SUMIFS('Forbrug af biomasse'!E:E,'Forbrug af biomasse'!C:C,'Resultat-Produktion &amp; forbrug'!$A198,'Forbrug af biomasse'!D:D,'Resultat-Produktion &amp; forbrug'!$D198,'Forbrug af biomasse'!G:G,1,'Forbrug af biomasse'!B:B,$E198)</f>
        <v>0</v>
      </c>
      <c r="N198" s="205">
        <f t="shared" ca="1" si="48"/>
        <v>0</v>
      </c>
      <c r="O198" s="196">
        <f t="shared" ca="1" si="59"/>
        <v>0</v>
      </c>
      <c r="P198" s="206">
        <f t="shared" ca="1" si="49"/>
        <v>108206581.84740166</v>
      </c>
      <c r="Q198" s="193">
        <f ca="1">IFERROR(VLOOKUP(A198,[1]Energiindhold!$A$2:$C$11,3,FALSE),IFERROR(VLOOKUP(A198,[1]Biogasudbytte!$A$2:$B$18,2,FALSE)*[1]Energiindhold!$C$10,0))*O198</f>
        <v>0</v>
      </c>
      <c r="R198" s="193">
        <f>IF(A198&lt;&gt;"Biogas",IFERROR(VLOOKUP(A198,[1]Biogasudbytte!$A$2:$B$18,2,FALSE)*[1]Energiindhold!$C$10,0)*J198*IFERROR(VLOOKUP(A198,Biogasanlæg!$F$3:$G$8,2,FALSE),1)+IFERROR(VLOOKUP(A198,[1]Energiindhold!$A$2:$C$11,3,FALSE),0)*L198+IF(D198&lt;&gt;År1,Q198,0),0)</f>
        <v>0</v>
      </c>
      <c r="S198" s="193">
        <f>IFERROR(VLOOKUP(A198,[1]Biogasudbytte!$A$2:$B$18,2,FALSE)*[1]Energiindhold!$C$10,0)*J198*IFERROR(VLOOKUP(A198,Biogasanlæg!$F$3:$G$8,2,FALSE),1)</f>
        <v>0</v>
      </c>
      <c r="T198" s="194">
        <f t="shared" si="50"/>
        <v>0</v>
      </c>
      <c r="U198" s="192">
        <f ca="1">O198*IFERROR(VLOOKUP(A198,[1]Tørstofindhold!A$2:B$25,2,FALSE),0)</f>
        <v>0</v>
      </c>
      <c r="V198" s="193">
        <f ca="1">IF(D198=År1,P198,SUM(O198,P198))*IFERROR(VLOOKUP(A198,[1]Tørstofindhold!A$2:B$25,2,FALSE),0)</f>
        <v>0</v>
      </c>
      <c r="W198" s="193">
        <f>J198*IFERROR(VLOOKUP(A198,[1]Tørstofindhold!A$2:B$25,2,FALSE),0)</f>
        <v>0</v>
      </c>
      <c r="X198" s="194">
        <f t="shared" ca="1" si="51"/>
        <v>0</v>
      </c>
      <c r="Y198" s="172">
        <f t="shared" ca="1" si="60"/>
        <v>0</v>
      </c>
      <c r="Z198" s="104">
        <f t="shared" ca="1" si="61"/>
        <v>0</v>
      </c>
    </row>
    <row r="199" spans="1:26" hidden="1" x14ac:dyDescent="0.55000000000000004">
      <c r="A199" s="195" t="str">
        <f t="shared" si="56"/>
        <v>Biogasgylle</v>
      </c>
      <c r="B199" s="195" t="str">
        <f t="shared" si="57"/>
        <v/>
      </c>
      <c r="C199" s="195">
        <f>IF(COUNTIFS('Resultater - Danmark'!$D$3:$D$482,'Resultat-Produktion &amp; forbrug'!A199,'Resultater - Danmark'!$A$3:$A$482,"Til energi")+COUNTIFS('Resultater - Danmark'!$D$3:$D$482,'Resultat-Produktion &amp; forbrug'!A199,'Resultater - Danmark'!$A$3:$A$482,"Biogasanlæg")&gt;0,1,0)</f>
        <v>0</v>
      </c>
      <c r="D199" s="195">
        <f t="shared" si="58"/>
        <v>2030</v>
      </c>
      <c r="E199" s="193" t="s">
        <v>24</v>
      </c>
      <c r="F199" s="196">
        <f ca="1">IF(E199="Vestdanmark",SUMIFS(IF(D199=År1,'Resultater - Vestdanmark'!H$3:H$482,IF(D199=År2,'Resultater - Vestdanmark'!I$3:I$482,'Resultater - Vestdanmark'!J$3:J$482)),'Resultater - Vestdanmark'!$F$3:$F$482,$A199,IF(D199=År1,'Resultater - Vestdanmark'!H$3:H$482,IF(D199=År2,'Resultater - Vestdanmark'!I$3:I$482,'Resultater - Vestdanmark'!J$3:J$482)),"&gt;0"),SUMIFS(IF(D199=År1,'Resultater - Østdanmark'!H$3:H$482,IF(D199=År2,'Resultater - Østdanmark'!I$3:I$482,'Resultater - Østdanmark'!J$3:J$482)),'Resultater - Østdanmark'!$F$3:$F$482,$A199,IF(D199=År1,'Resultater - Østdanmark'!H$3:H$482,IF(D199=År2,'Resultater - Østdanmark'!I$3:I$482,'Resultater - Østdanmark'!J$3:J$482)),"&gt;0"))</f>
        <v>3474664.144204089</v>
      </c>
      <c r="G199" s="196">
        <f>SUMIFS('Forbrug af biomasse'!$E$2:$E$425,'Forbrug af biomasse'!$C$2:$C$425,'Resultat-Produktion &amp; forbrug'!$A199,'Forbrug af biomasse'!$D$2:$D$425,'Resultat-Produktion &amp; forbrug'!$D199,'Forbrug af biomasse'!$A$2:$A$425,'Resultat-Produktion &amp; forbrug'!G$2,'Forbrug af biomasse'!$B$2:$B$425,$E199)</f>
        <v>0</v>
      </c>
      <c r="H199" s="193">
        <f>IF(E199="Vestdanmark",-IF(A199="Halm",SUMIFS(IF(D199=År1,'Resultater - Vestdanmark'!H$3:H$482,IF(D199=År2,'Resultater - Vestdanmark'!I$3:I$482,'Resultater - Vestdanmark'!J$3:J$482)),'Resultater - Vestdanmark'!$F$3:$F$482,$A199,'Resultater - Vestdanmark'!H$3:H$482,"&lt;0"),0),-IF(A199="Halm",SUMIFS(IF(D199=År1,'Resultater - Østdanmark'!H$3:H$482,IF(D199=År2,'Resultater - Østdanmark'!I$3:I$482,'Resultater - Østdanmark'!J$3:J$482)),'Resultater - Østdanmark'!$F$3:$F$482,$A199,'Resultater - Østdanmark'!H$3:H$482,"&lt;0"),0))</f>
        <v>0</v>
      </c>
      <c r="I199" s="196">
        <f>SUMIFS('Forbrug af biomasse'!$E$2:$E$425,'Forbrug af biomasse'!$C$2:$C$425,'Resultat-Produktion &amp; forbrug'!$A199,'Forbrug af biomasse'!$D$2:$D$425,'Resultat-Produktion &amp; forbrug'!$D199,'Forbrug af biomasse'!$A$2:$A$425,'Resultat-Produktion &amp; forbrug'!I$2,'Forbrug af biomasse'!$B$2:$B$425,$E199)</f>
        <v>0</v>
      </c>
      <c r="J199" s="196">
        <f>SUMIFS('Forbrug af biomasse'!$E$2:$E$425,'Forbrug af biomasse'!$C$2:$C$425,'Resultat-Produktion &amp; forbrug'!$A199,'Forbrug af biomasse'!$D$2:$D$425,'Resultat-Produktion &amp; forbrug'!$D199,'Forbrug af biomasse'!$A$2:$A$425,'Resultat-Produktion &amp; forbrug'!J$2,'Forbrug af biomasse'!$B$2:$B$425,$E199)</f>
        <v>0</v>
      </c>
      <c r="K199" s="196">
        <f ca="1">SUMIFS('Forbrug af biomasse'!$E$2:$E$425,'Forbrug af biomasse'!$C$2:$C$425,'Resultat-Produktion &amp; forbrug'!$A199,'Forbrug af biomasse'!$D$2:$D$425,'Resultat-Produktion &amp; forbrug'!$D199,'Forbrug af biomasse'!$A$2:$A$425,'Resultat-Produktion &amp; forbrug'!K$2,'Forbrug af biomasse'!$B$2:$B$425,$E199)</f>
        <v>3045994.5041906848</v>
      </c>
      <c r="L199" s="196">
        <f>IF(A199&lt;&gt;"Biogas",SUMIFS('Forbrug af biomasse'!$E$2:$E$425,'Forbrug af biomasse'!$C$2:$C$425,'Resultat-Produktion &amp; forbrug'!$A199,'Forbrug af biomasse'!$D$2:$D$425,'Resultat-Produktion &amp; forbrug'!$D199,'Forbrug af biomasse'!$A$2:$A$425,'Resultat-Produktion &amp; forbrug'!L$2,'Forbrug af biomasse'!$B$2:$B$425,$E199),F199)</f>
        <v>0</v>
      </c>
      <c r="M199" s="158">
        <f>SUMIFS('Forbrug af biomasse'!E:E,'Forbrug af biomasse'!C:C,'Resultat-Produktion &amp; forbrug'!$A199,'Forbrug af biomasse'!D:D,'Resultat-Produktion &amp; forbrug'!$D199,'Forbrug af biomasse'!G:G,1,'Forbrug af biomasse'!B:B,$E199)</f>
        <v>0</v>
      </c>
      <c r="N199" s="205">
        <f t="shared" ca="1" si="48"/>
        <v>428669.64001340419</v>
      </c>
      <c r="O199" s="196">
        <f t="shared" si="59"/>
        <v>0</v>
      </c>
      <c r="P199" s="206">
        <f t="shared" si="49"/>
        <v>0</v>
      </c>
      <c r="Q199" s="193">
        <f>IFERROR(VLOOKUP(A199,[1]Energiindhold!$A$2:$C$11,3,FALSE),IFERROR(VLOOKUP(A199,[1]Biogasudbytte!$A$2:$B$18,2,FALSE)*[1]Energiindhold!$C$10,0))*O199</f>
        <v>0</v>
      </c>
      <c r="R199" s="193">
        <f>IF(A199&lt;&gt;"Biogas",IFERROR(VLOOKUP(A199,[1]Biogasudbytte!$A$2:$B$18,2,FALSE)*[1]Energiindhold!$C$10,0)*J199*IFERROR(VLOOKUP(A199,Biogasanlæg!$F$3:$G$8,2,FALSE),1)+IFERROR(VLOOKUP(A199,[1]Energiindhold!$A$2:$C$11,3,FALSE),0)*L199+IF(D199&lt;&gt;År1,Q199,0),0)</f>
        <v>0</v>
      </c>
      <c r="S199" s="193">
        <f>IFERROR(VLOOKUP(A199,[1]Biogasudbytte!$A$2:$B$18,2,FALSE)*[1]Energiindhold!$C$10,0)*J199*IFERROR(VLOOKUP(A199,Biogasanlæg!$F$3:$G$8,2,FALSE),1)</f>
        <v>0</v>
      </c>
      <c r="T199" s="194">
        <f t="shared" si="50"/>
        <v>0</v>
      </c>
      <c r="U199" s="192">
        <f>O199*IFERROR(VLOOKUP(A199,[1]Tørstofindhold!A$2:B$25,2,FALSE),0)</f>
        <v>0</v>
      </c>
      <c r="V199" s="193">
        <f>IF(D199=År1,P199,SUM(O199,P199))*IFERROR(VLOOKUP(A199,[1]Tørstofindhold!A$2:B$25,2,FALSE),0)</f>
        <v>0</v>
      </c>
      <c r="W199" s="193">
        <f>J199*IFERROR(VLOOKUP(A199,[1]Tørstofindhold!A$2:B$25,2,FALSE),0)</f>
        <v>0</v>
      </c>
      <c r="X199" s="194">
        <f t="shared" si="51"/>
        <v>0</v>
      </c>
      <c r="Y199" s="172">
        <f t="shared" ca="1" si="60"/>
        <v>0</v>
      </c>
      <c r="Z199" s="104">
        <f t="shared" ca="1" si="61"/>
        <v>1</v>
      </c>
    </row>
    <row r="200" spans="1:26" hidden="1" x14ac:dyDescent="0.55000000000000004">
      <c r="A200" s="195" t="str">
        <f t="shared" si="56"/>
        <v>Brun saft</v>
      </c>
      <c r="B200" s="195" t="str">
        <f t="shared" si="57"/>
        <v>Bionedbrydeligt affald</v>
      </c>
      <c r="C200" s="195">
        <f>IF(COUNTIFS('Resultater - Danmark'!$D$3:$D$482,'Resultat-Produktion &amp; forbrug'!A200,'Resultater - Danmark'!$A$3:$A$482,"Til energi")+COUNTIFS('Resultater - Danmark'!$D$3:$D$482,'Resultat-Produktion &amp; forbrug'!A200,'Resultater - Danmark'!$A$3:$A$482,"Biogasanlæg")&gt;0,1,0)</f>
        <v>1</v>
      </c>
      <c r="D200" s="195">
        <f t="shared" si="58"/>
        <v>2030</v>
      </c>
      <c r="E200" s="193" t="s">
        <v>24</v>
      </c>
      <c r="F200" s="196">
        <f>IF(E200="Vestdanmark",SUMIFS(IF(D200=År1,'Resultater - Vestdanmark'!H$3:H$482,IF(D200=År2,'Resultater - Vestdanmark'!I$3:I$482,'Resultater - Vestdanmark'!J$3:J$482)),'Resultater - Vestdanmark'!$F$3:$F$482,$A200,IF(D200=År1,'Resultater - Vestdanmark'!H$3:H$482,IF(D200=År2,'Resultater - Vestdanmark'!I$3:I$482,'Resultater - Vestdanmark'!J$3:J$482)),"&gt;0"),SUMIFS(IF(D200=År1,'Resultater - Østdanmark'!H$3:H$482,IF(D200=År2,'Resultater - Østdanmark'!I$3:I$482,'Resultater - Østdanmark'!J$3:J$482)),'Resultater - Østdanmark'!$F$3:$F$482,$A200,IF(D200=År1,'Resultater - Østdanmark'!H$3:H$482,IF(D200=År2,'Resultater - Østdanmark'!I$3:I$482,'Resultater - Østdanmark'!J$3:J$482)),"&gt;0"))</f>
        <v>0</v>
      </c>
      <c r="G200" s="196">
        <f>SUMIFS('Forbrug af biomasse'!$E$2:$E$425,'Forbrug af biomasse'!$C$2:$C$425,'Resultat-Produktion &amp; forbrug'!$A200,'Forbrug af biomasse'!$D$2:$D$425,'Resultat-Produktion &amp; forbrug'!$D200,'Forbrug af biomasse'!$A$2:$A$425,'Resultat-Produktion &amp; forbrug'!G$2,'Forbrug af biomasse'!$B$2:$B$425,$E200)</f>
        <v>0</v>
      </c>
      <c r="H200" s="193">
        <f>IF(E200="Vestdanmark",-IF(A200="Halm",SUMIFS(IF(D200=År1,'Resultater - Vestdanmark'!H$3:H$482,IF(D200=År2,'Resultater - Vestdanmark'!I$3:I$482,'Resultater - Vestdanmark'!J$3:J$482)),'Resultater - Vestdanmark'!$F$3:$F$482,$A200,'Resultater - Vestdanmark'!H$3:H$482,"&lt;0"),0),-IF(A200="Halm",SUMIFS(IF(D200=År1,'Resultater - Østdanmark'!H$3:H$482,IF(D200=År2,'Resultater - Østdanmark'!I$3:I$482,'Resultater - Østdanmark'!J$3:J$482)),'Resultater - Østdanmark'!$F$3:$F$482,$A200,'Resultater - Østdanmark'!H$3:H$482,"&lt;0"),0))</f>
        <v>0</v>
      </c>
      <c r="I200" s="196">
        <f>SUMIFS('Forbrug af biomasse'!$E$2:$E$425,'Forbrug af biomasse'!$C$2:$C$425,'Resultat-Produktion &amp; forbrug'!$A200,'Forbrug af biomasse'!$D$2:$D$425,'Resultat-Produktion &amp; forbrug'!$D200,'Forbrug af biomasse'!$A$2:$A$425,'Resultat-Produktion &amp; forbrug'!I$2,'Forbrug af biomasse'!$B$2:$B$425,$E200)</f>
        <v>0</v>
      </c>
      <c r="J200" s="196">
        <f>SUMIFS('Forbrug af biomasse'!$E$2:$E$425,'Forbrug af biomasse'!$C$2:$C$425,'Resultat-Produktion &amp; forbrug'!$A200,'Forbrug af biomasse'!$D$2:$D$425,'Resultat-Produktion &amp; forbrug'!$D200,'Forbrug af biomasse'!$A$2:$A$425,'Resultat-Produktion &amp; forbrug'!J$2,'Forbrug af biomasse'!$B$2:$B$425,$E200)</f>
        <v>0</v>
      </c>
      <c r="K200" s="196">
        <f>SUMIFS('Forbrug af biomasse'!$E$2:$E$425,'Forbrug af biomasse'!$C$2:$C$425,'Resultat-Produktion &amp; forbrug'!$A200,'Forbrug af biomasse'!$D$2:$D$425,'Resultat-Produktion &amp; forbrug'!$D200,'Forbrug af biomasse'!$A$2:$A$425,'Resultat-Produktion &amp; forbrug'!K$2,'Forbrug af biomasse'!$B$2:$B$425,$E200)</f>
        <v>0</v>
      </c>
      <c r="L200" s="196">
        <f>IF(A200&lt;&gt;"Biogas",SUMIFS('Forbrug af biomasse'!$E$2:$E$425,'Forbrug af biomasse'!$C$2:$C$425,'Resultat-Produktion &amp; forbrug'!$A200,'Forbrug af biomasse'!$D$2:$D$425,'Resultat-Produktion &amp; forbrug'!$D200,'Forbrug af biomasse'!$A$2:$A$425,'Resultat-Produktion &amp; forbrug'!L$2,'Forbrug af biomasse'!$B$2:$B$425,$E200),F200)</f>
        <v>0</v>
      </c>
      <c r="M200" s="158">
        <f>SUMIFS('Forbrug af biomasse'!E:E,'Forbrug af biomasse'!C:C,'Resultat-Produktion &amp; forbrug'!$A200,'Forbrug af biomasse'!D:D,'Resultat-Produktion &amp; forbrug'!$D200,'Forbrug af biomasse'!G:G,1,'Forbrug af biomasse'!B:B,$E200)</f>
        <v>0</v>
      </c>
      <c r="N200" s="205">
        <f t="shared" si="48"/>
        <v>0</v>
      </c>
      <c r="O200" s="196">
        <f t="shared" si="59"/>
        <v>0</v>
      </c>
      <c r="P200" s="206">
        <f t="shared" si="49"/>
        <v>0</v>
      </c>
      <c r="Q200" s="193">
        <f>IFERROR(VLOOKUP(A200,[1]Energiindhold!$A$2:$C$11,3,FALSE),IFERROR(VLOOKUP(A200,[1]Biogasudbytte!$A$2:$B$18,2,FALSE)*[1]Energiindhold!$C$10,0))*O200</f>
        <v>0</v>
      </c>
      <c r="R200" s="193">
        <f>IF(A200&lt;&gt;"Biogas",IFERROR(VLOOKUP(A200,[1]Biogasudbytte!$A$2:$B$18,2,FALSE)*[1]Energiindhold!$C$10,0)*J200*IFERROR(VLOOKUP(A200,Biogasanlæg!$F$3:$G$8,2,FALSE),1)+IFERROR(VLOOKUP(A200,[1]Energiindhold!$A$2:$C$11,3,FALSE),0)*L200+IF(D200&lt;&gt;År1,Q200,0),0)</f>
        <v>0</v>
      </c>
      <c r="S200" s="193">
        <f>IFERROR(VLOOKUP(A200,[1]Biogasudbytte!$A$2:$B$18,2,FALSE)*[1]Energiindhold!$C$10,0)*J200*IFERROR(VLOOKUP(A200,Biogasanlæg!$F$3:$G$8,2,FALSE),1)</f>
        <v>0</v>
      </c>
      <c r="T200" s="194">
        <f t="shared" si="50"/>
        <v>0</v>
      </c>
      <c r="U200" s="192">
        <f>O200*IFERROR(VLOOKUP(A200,[1]Tørstofindhold!A$2:B$25,2,FALSE),0)</f>
        <v>0</v>
      </c>
      <c r="V200" s="193">
        <f>IF(D200=År1,P200,SUM(O200,P200))*IFERROR(VLOOKUP(A200,[1]Tørstofindhold!A$2:B$25,2,FALSE),0)</f>
        <v>0</v>
      </c>
      <c r="W200" s="193">
        <f>J200*IFERROR(VLOOKUP(A200,[1]Tørstofindhold!A$2:B$25,2,FALSE),0)</f>
        <v>0</v>
      </c>
      <c r="X200" s="194">
        <f t="shared" si="51"/>
        <v>0</v>
      </c>
      <c r="Y200" s="172">
        <f t="shared" si="60"/>
        <v>0</v>
      </c>
      <c r="Z200" s="104">
        <f t="shared" si="61"/>
        <v>0</v>
      </c>
    </row>
    <row r="201" spans="1:26" hidden="1" x14ac:dyDescent="0.55000000000000004">
      <c r="A201" s="195" t="str">
        <f t="shared" si="56"/>
        <v>Dybstrøelse</v>
      </c>
      <c r="B201" s="195" t="str">
        <f t="shared" si="57"/>
        <v>Husdyrgødning</v>
      </c>
      <c r="C201" s="195">
        <f>IF(COUNTIFS('Resultater - Danmark'!$D$3:$D$482,'Resultat-Produktion &amp; forbrug'!A201,'Resultater - Danmark'!$A$3:$A$482,"Til energi")+COUNTIFS('Resultater - Danmark'!$D$3:$D$482,'Resultat-Produktion &amp; forbrug'!A201,'Resultater - Danmark'!$A$3:$A$482,"Biogasanlæg")&gt;0,1,0)</f>
        <v>1</v>
      </c>
      <c r="D201" s="195">
        <f t="shared" si="58"/>
        <v>2030</v>
      </c>
      <c r="E201" s="193" t="s">
        <v>24</v>
      </c>
      <c r="F201" s="196">
        <f>IF(E201="Vestdanmark",SUMIFS(IF(D201=År1,'Resultater - Vestdanmark'!H$3:H$482,IF(D201=År2,'Resultater - Vestdanmark'!I$3:I$482,'Resultater - Vestdanmark'!J$3:J$482)),'Resultater - Vestdanmark'!$F$3:$F$482,$A201,IF(D201=År1,'Resultater - Vestdanmark'!H$3:H$482,IF(D201=År2,'Resultater - Vestdanmark'!I$3:I$482,'Resultater - Vestdanmark'!J$3:J$482)),"&gt;0"),SUMIFS(IF(D201=År1,'Resultater - Østdanmark'!H$3:H$482,IF(D201=År2,'Resultater - Østdanmark'!I$3:I$482,'Resultater - Østdanmark'!J$3:J$482)),'Resultater - Østdanmark'!$F$3:$F$482,$A201,IF(D201=År1,'Resultater - Østdanmark'!H$3:H$482,IF(D201=År2,'Resultater - Østdanmark'!I$3:I$482,'Resultater - Østdanmark'!J$3:J$482)),"&gt;0"))</f>
        <v>358055.10959218151</v>
      </c>
      <c r="G201" s="196">
        <f>SUMIFS('Forbrug af biomasse'!$E$2:$E$425,'Forbrug af biomasse'!$C$2:$C$425,'Resultat-Produktion &amp; forbrug'!$A201,'Forbrug af biomasse'!$D$2:$D$425,'Resultat-Produktion &amp; forbrug'!$D201,'Forbrug af biomasse'!$A$2:$A$425,'Resultat-Produktion &amp; forbrug'!G$2,'Forbrug af biomasse'!$B$2:$B$425,$E201)</f>
        <v>0</v>
      </c>
      <c r="H201" s="193">
        <f>IF(E201="Vestdanmark",-IF(A201="Halm",SUMIFS(IF(D201=År1,'Resultater - Vestdanmark'!H$3:H$482,IF(D201=År2,'Resultater - Vestdanmark'!I$3:I$482,'Resultater - Vestdanmark'!J$3:J$482)),'Resultater - Vestdanmark'!$F$3:$F$482,$A201,'Resultater - Vestdanmark'!H$3:H$482,"&lt;0"),0),-IF(A201="Halm",SUMIFS(IF(D201=År1,'Resultater - Østdanmark'!H$3:H$482,IF(D201=År2,'Resultater - Østdanmark'!I$3:I$482,'Resultater - Østdanmark'!J$3:J$482)),'Resultater - Østdanmark'!$F$3:$F$482,$A201,'Resultater - Østdanmark'!H$3:H$482,"&lt;0"),0))</f>
        <v>0</v>
      </c>
      <c r="I201" s="196">
        <f>SUMIFS('Forbrug af biomasse'!$E$2:$E$425,'Forbrug af biomasse'!$C$2:$C$425,'Resultat-Produktion &amp; forbrug'!$A201,'Forbrug af biomasse'!$D$2:$D$425,'Resultat-Produktion &amp; forbrug'!$D201,'Forbrug af biomasse'!$A$2:$A$425,'Resultat-Produktion &amp; forbrug'!I$2,'Forbrug af biomasse'!$B$2:$B$425,$E201)</f>
        <v>0</v>
      </c>
      <c r="J201" s="196">
        <f>SUMIFS('Forbrug af biomasse'!$E$2:$E$425,'Forbrug af biomasse'!$C$2:$C$425,'Resultat-Produktion &amp; forbrug'!$A201,'Forbrug af biomasse'!$D$2:$D$425,'Resultat-Produktion &amp; forbrug'!$D201,'Forbrug af biomasse'!$A$2:$A$425,'Resultat-Produktion &amp; forbrug'!J$2,'Forbrug af biomasse'!$B$2:$B$425,$E201)</f>
        <v>179027.55479609076</v>
      </c>
      <c r="K201" s="196">
        <f>SUMIFS('Forbrug af biomasse'!$E$2:$E$425,'Forbrug af biomasse'!$C$2:$C$425,'Resultat-Produktion &amp; forbrug'!$A201,'Forbrug af biomasse'!$D$2:$D$425,'Resultat-Produktion &amp; forbrug'!$D201,'Forbrug af biomasse'!$A$2:$A$425,'Resultat-Produktion &amp; forbrug'!K$2,'Forbrug af biomasse'!$B$2:$B$425,$E201)</f>
        <v>67774.717172805787</v>
      </c>
      <c r="L201" s="196">
        <f>IF(A201&lt;&gt;"Biogas",SUMIFS('Forbrug af biomasse'!$E$2:$E$425,'Forbrug af biomasse'!$C$2:$C$425,'Resultat-Produktion &amp; forbrug'!$A201,'Forbrug af biomasse'!$D$2:$D$425,'Resultat-Produktion &amp; forbrug'!$D201,'Forbrug af biomasse'!$A$2:$A$425,'Resultat-Produktion &amp; forbrug'!L$2,'Forbrug af biomasse'!$B$2:$B$425,$E201),F201)</f>
        <v>0</v>
      </c>
      <c r="M201" s="158">
        <f>SUMIFS('Forbrug af biomasse'!E:E,'Forbrug af biomasse'!C:C,'Resultat-Produktion &amp; forbrug'!$A201,'Forbrug af biomasse'!D:D,'Resultat-Produktion &amp; forbrug'!$D201,'Forbrug af biomasse'!G:G,1,'Forbrug af biomasse'!B:B,$E201)</f>
        <v>0</v>
      </c>
      <c r="N201" s="205">
        <f t="shared" si="48"/>
        <v>111252.83762328496</v>
      </c>
      <c r="O201" s="196">
        <f t="shared" si="59"/>
        <v>111252.83762328496</v>
      </c>
      <c r="P201" s="206">
        <f t="shared" si="49"/>
        <v>179027.55479609076</v>
      </c>
      <c r="Q201" s="193">
        <f>IFERROR(VLOOKUP(A201,[1]Energiindhold!$A$2:$C$11,3,FALSE),IFERROR(VLOOKUP(A201,[1]Biogasudbytte!$A$2:$B$18,2,FALSE)*[1]Energiindhold!$C$10,0))*O201</f>
        <v>0.2396386122405558</v>
      </c>
      <c r="R201" s="193">
        <f>IF(A201&lt;&gt;"Biogas",IFERROR(VLOOKUP(A201,[1]Biogasudbytte!$A$2:$B$18,2,FALSE)*[1]Energiindhold!$C$10,0)*J201*IFERROR(VLOOKUP(A201,Biogasanlæg!$F$3:$G$8,2,FALSE),1)+IFERROR(VLOOKUP(A201,[1]Energiindhold!$A$2:$C$11,3,FALSE),0)*L201+IF(D201&lt;&gt;År1,Q201,0),0)</f>
        <v>0.62526396527133532</v>
      </c>
      <c r="S201" s="193">
        <f>IFERROR(VLOOKUP(A201,[1]Biogasudbytte!$A$2:$B$18,2,FALSE)*[1]Energiindhold!$C$10,0)*J201*IFERROR(VLOOKUP(A201,Biogasanlæg!$F$3:$G$8,2,FALSE),1)</f>
        <v>0.38562535303077949</v>
      </c>
      <c r="T201" s="194">
        <f t="shared" si="50"/>
        <v>0.23963861224055583</v>
      </c>
      <c r="U201" s="192">
        <f>O201*IFERROR(VLOOKUP(A201,[1]Tørstofindhold!A$2:B$25,2,FALSE),0)</f>
        <v>33375.851286985482</v>
      </c>
      <c r="V201" s="193">
        <f>IF(D201=År1,P201,SUM(O201,P201))*IFERROR(VLOOKUP(A201,[1]Tørstofindhold!A$2:B$25,2,FALSE),0)</f>
        <v>87084.117725812714</v>
      </c>
      <c r="W201" s="193">
        <f>J201*IFERROR(VLOOKUP(A201,[1]Tørstofindhold!A$2:B$25,2,FALSE),0)</f>
        <v>53708.266438827224</v>
      </c>
      <c r="X201" s="194">
        <f t="shared" si="51"/>
        <v>33375.851286985489</v>
      </c>
      <c r="Y201" s="172">
        <f t="shared" si="60"/>
        <v>0</v>
      </c>
      <c r="Z201" s="104">
        <f t="shared" si="61"/>
        <v>1</v>
      </c>
    </row>
    <row r="202" spans="1:26" hidden="1" x14ac:dyDescent="0.55000000000000004">
      <c r="A202" s="195" t="str">
        <f t="shared" si="56"/>
        <v>Fiberfraktion</v>
      </c>
      <c r="B202" s="195" t="str">
        <f t="shared" si="57"/>
        <v/>
      </c>
      <c r="C202" s="195">
        <f>IF(COUNTIFS('Resultater - Danmark'!$D$3:$D$482,'Resultat-Produktion &amp; forbrug'!A202,'Resultater - Danmark'!$A$3:$A$482,"Til energi")+COUNTIFS('Resultater - Danmark'!$D$3:$D$482,'Resultat-Produktion &amp; forbrug'!A202,'Resultater - Danmark'!$A$3:$A$482,"Biogasanlæg")&gt;0,1,0)</f>
        <v>0</v>
      </c>
      <c r="D202" s="195">
        <f t="shared" si="58"/>
        <v>2030</v>
      </c>
      <c r="E202" s="193" t="s">
        <v>24</v>
      </c>
      <c r="F202" s="196">
        <f>IF(E202="Vestdanmark",SUMIFS(IF(D202=År1,'Resultater - Vestdanmark'!H$3:H$482,IF(D202=År2,'Resultater - Vestdanmark'!I$3:I$482,'Resultater - Vestdanmark'!J$3:J$482)),'Resultater - Vestdanmark'!$F$3:$F$482,$A202,IF(D202=År1,'Resultater - Vestdanmark'!H$3:H$482,IF(D202=År2,'Resultater - Vestdanmark'!I$3:I$482,'Resultater - Vestdanmark'!J$3:J$482)),"&gt;0"),SUMIFS(IF(D202=År1,'Resultater - Østdanmark'!H$3:H$482,IF(D202=År2,'Resultater - Østdanmark'!I$3:I$482,'Resultater - Østdanmark'!J$3:J$482)),'Resultater - Østdanmark'!$F$3:$F$482,$A202,IF(D202=År1,'Resultater - Østdanmark'!H$3:H$482,IF(D202=År2,'Resultater - Østdanmark'!I$3:I$482,'Resultater - Østdanmark'!J$3:J$482)),"&gt;0"))</f>
        <v>0</v>
      </c>
      <c r="G202" s="196">
        <f>SUMIFS('Forbrug af biomasse'!$E$2:$E$425,'Forbrug af biomasse'!$C$2:$C$425,'Resultat-Produktion &amp; forbrug'!$A202,'Forbrug af biomasse'!$D$2:$D$425,'Resultat-Produktion &amp; forbrug'!$D202,'Forbrug af biomasse'!$A$2:$A$425,'Resultat-Produktion &amp; forbrug'!G$2,'Forbrug af biomasse'!$B$2:$B$425,$E202)</f>
        <v>0</v>
      </c>
      <c r="H202" s="193">
        <f>IF(E202="Vestdanmark",-IF(A202="Halm",SUMIFS(IF(D202=År1,'Resultater - Vestdanmark'!H$3:H$482,IF(D202=År2,'Resultater - Vestdanmark'!I$3:I$482,'Resultater - Vestdanmark'!J$3:J$482)),'Resultater - Vestdanmark'!$F$3:$F$482,$A202,'Resultater - Vestdanmark'!H$3:H$482,"&lt;0"),0),-IF(A202="Halm",SUMIFS(IF(D202=År1,'Resultater - Østdanmark'!H$3:H$482,IF(D202=År2,'Resultater - Østdanmark'!I$3:I$482,'Resultater - Østdanmark'!J$3:J$482)),'Resultater - Østdanmark'!$F$3:$F$482,$A202,'Resultater - Østdanmark'!H$3:H$482,"&lt;0"),0))</f>
        <v>0</v>
      </c>
      <c r="I202" s="196">
        <f>SUMIFS('Forbrug af biomasse'!$E$2:$E$425,'Forbrug af biomasse'!$C$2:$C$425,'Resultat-Produktion &amp; forbrug'!$A202,'Forbrug af biomasse'!$D$2:$D$425,'Resultat-Produktion &amp; forbrug'!$D202,'Forbrug af biomasse'!$A$2:$A$425,'Resultat-Produktion &amp; forbrug'!I$2,'Forbrug af biomasse'!$B$2:$B$425,$E202)</f>
        <v>0</v>
      </c>
      <c r="J202" s="196">
        <f>SUMIFS('Forbrug af biomasse'!$E$2:$E$425,'Forbrug af biomasse'!$C$2:$C$425,'Resultat-Produktion &amp; forbrug'!$A202,'Forbrug af biomasse'!$D$2:$D$425,'Resultat-Produktion &amp; forbrug'!$D202,'Forbrug af biomasse'!$A$2:$A$425,'Resultat-Produktion &amp; forbrug'!J$2,'Forbrug af biomasse'!$B$2:$B$425,$E202)</f>
        <v>0</v>
      </c>
      <c r="K202" s="196">
        <f>SUMIFS('Forbrug af biomasse'!$E$2:$E$425,'Forbrug af biomasse'!$C$2:$C$425,'Resultat-Produktion &amp; forbrug'!$A202,'Forbrug af biomasse'!$D$2:$D$425,'Resultat-Produktion &amp; forbrug'!$D202,'Forbrug af biomasse'!$A$2:$A$425,'Resultat-Produktion &amp; forbrug'!K$2,'Forbrug af biomasse'!$B$2:$B$425,$E202)</f>
        <v>0</v>
      </c>
      <c r="L202" s="196">
        <f>IF(A202&lt;&gt;"Biogas",SUMIFS('Forbrug af biomasse'!$E$2:$E$425,'Forbrug af biomasse'!$C$2:$C$425,'Resultat-Produktion &amp; forbrug'!$A202,'Forbrug af biomasse'!$D$2:$D$425,'Resultat-Produktion &amp; forbrug'!$D202,'Forbrug af biomasse'!$A$2:$A$425,'Resultat-Produktion &amp; forbrug'!L$2,'Forbrug af biomasse'!$B$2:$B$425,$E202),F202)</f>
        <v>0</v>
      </c>
      <c r="M202" s="158">
        <f>SUMIFS('Forbrug af biomasse'!E:E,'Forbrug af biomasse'!C:C,'Resultat-Produktion &amp; forbrug'!$A202,'Forbrug af biomasse'!D:D,'Resultat-Produktion &amp; forbrug'!$D202,'Forbrug af biomasse'!G:G,1,'Forbrug af biomasse'!B:B,$E202)</f>
        <v>0</v>
      </c>
      <c r="N202" s="205">
        <f t="shared" si="48"/>
        <v>0</v>
      </c>
      <c r="O202" s="196">
        <f t="shared" si="59"/>
        <v>0</v>
      </c>
      <c r="P202" s="206">
        <f t="shared" si="49"/>
        <v>0</v>
      </c>
      <c r="Q202" s="193">
        <f>IFERROR(VLOOKUP(A202,[1]Energiindhold!$A$2:$C$11,3,FALSE),IFERROR(VLOOKUP(A202,[1]Biogasudbytte!$A$2:$B$18,2,FALSE)*[1]Energiindhold!$C$10,0))*O202</f>
        <v>0</v>
      </c>
      <c r="R202" s="193">
        <f>IF(A202&lt;&gt;"Biogas",IFERROR(VLOOKUP(A202,[1]Biogasudbytte!$A$2:$B$18,2,FALSE)*[1]Energiindhold!$C$10,0)*J202*IFERROR(VLOOKUP(A202,Biogasanlæg!$F$3:$G$8,2,FALSE),1)+IFERROR(VLOOKUP(A202,[1]Energiindhold!$A$2:$C$11,3,FALSE),0)*L202+IF(D202&lt;&gt;År1,Q202,0),0)</f>
        <v>0</v>
      </c>
      <c r="S202" s="193">
        <f>IFERROR(VLOOKUP(A202,[1]Biogasudbytte!$A$2:$B$18,2,FALSE)*[1]Energiindhold!$C$10,0)*J202*IFERROR(VLOOKUP(A202,Biogasanlæg!$F$3:$G$8,2,FALSE),1)</f>
        <v>0</v>
      </c>
      <c r="T202" s="194">
        <f t="shared" si="50"/>
        <v>0</v>
      </c>
      <c r="U202" s="192">
        <f>O202*IFERROR(VLOOKUP(A202,[1]Tørstofindhold!A$2:B$25,2,FALSE),0)</f>
        <v>0</v>
      </c>
      <c r="V202" s="193">
        <f>IF(D202=År1,P202,SUM(O202,P202))*IFERROR(VLOOKUP(A202,[1]Tørstofindhold!A$2:B$25,2,FALSE),0)</f>
        <v>0</v>
      </c>
      <c r="W202" s="193">
        <f>J202*IFERROR(VLOOKUP(A202,[1]Tørstofindhold!A$2:B$25,2,FALSE),0)</f>
        <v>0</v>
      </c>
      <c r="X202" s="194">
        <f t="shared" si="51"/>
        <v>0</v>
      </c>
      <c r="Y202" s="172">
        <f t="shared" si="60"/>
        <v>0</v>
      </c>
      <c r="Z202" s="104">
        <f t="shared" si="61"/>
        <v>0</v>
      </c>
    </row>
    <row r="203" spans="1:26" hidden="1" x14ac:dyDescent="0.55000000000000004">
      <c r="A203" s="195" t="str">
        <f t="shared" si="56"/>
        <v>Fjerkrægylle</v>
      </c>
      <c r="B203" s="195" t="str">
        <f t="shared" si="57"/>
        <v>Husdyrgødning</v>
      </c>
      <c r="C203" s="195">
        <f>IF(COUNTIFS('Resultater - Danmark'!$D$3:$D$482,'Resultat-Produktion &amp; forbrug'!A203,'Resultater - Danmark'!$A$3:$A$482,"Til energi")+COUNTIFS('Resultater - Danmark'!$D$3:$D$482,'Resultat-Produktion &amp; forbrug'!A203,'Resultater - Danmark'!$A$3:$A$482,"Biogasanlæg")&gt;0,1,0)</f>
        <v>1</v>
      </c>
      <c r="D203" s="195">
        <f t="shared" si="58"/>
        <v>2030</v>
      </c>
      <c r="E203" s="193" t="s">
        <v>24</v>
      </c>
      <c r="F203" s="196">
        <f>IF(E203="Vestdanmark",SUMIFS(IF(D203=År1,'Resultater - Vestdanmark'!H$3:H$482,IF(D203=År2,'Resultater - Vestdanmark'!I$3:I$482,'Resultater - Vestdanmark'!J$3:J$482)),'Resultater - Vestdanmark'!$F$3:$F$482,$A203,IF(D203=År1,'Resultater - Vestdanmark'!H$3:H$482,IF(D203=År2,'Resultater - Vestdanmark'!I$3:I$482,'Resultater - Vestdanmark'!J$3:J$482)),"&gt;0"),SUMIFS(IF(D203=År1,'Resultater - Østdanmark'!H$3:H$482,IF(D203=År2,'Resultater - Østdanmark'!I$3:I$482,'Resultater - Østdanmark'!J$3:J$482)),'Resultater - Østdanmark'!$F$3:$F$482,$A203,IF(D203=År1,'Resultater - Østdanmark'!H$3:H$482,IF(D203=År2,'Resultater - Østdanmark'!I$3:I$482,'Resultater - Østdanmark'!J$3:J$482)),"&gt;0"))</f>
        <v>700.20192515285464</v>
      </c>
      <c r="G203" s="196">
        <f>SUMIFS('Forbrug af biomasse'!$E$2:$E$425,'Forbrug af biomasse'!$C$2:$C$425,'Resultat-Produktion &amp; forbrug'!$A203,'Forbrug af biomasse'!$D$2:$D$425,'Resultat-Produktion &amp; forbrug'!$D203,'Forbrug af biomasse'!$A$2:$A$425,'Resultat-Produktion &amp; forbrug'!G$2,'Forbrug af biomasse'!$B$2:$B$425,$E203)</f>
        <v>0</v>
      </c>
      <c r="H203" s="193">
        <f>IF(E203="Vestdanmark",-IF(A203="Halm",SUMIFS(IF(D203=År1,'Resultater - Vestdanmark'!H$3:H$482,IF(D203=År2,'Resultater - Vestdanmark'!I$3:I$482,'Resultater - Vestdanmark'!J$3:J$482)),'Resultater - Vestdanmark'!$F$3:$F$482,$A203,'Resultater - Vestdanmark'!H$3:H$482,"&lt;0"),0),-IF(A203="Halm",SUMIFS(IF(D203=År1,'Resultater - Østdanmark'!H$3:H$482,IF(D203=År2,'Resultater - Østdanmark'!I$3:I$482,'Resultater - Østdanmark'!J$3:J$482)),'Resultater - Østdanmark'!$F$3:$F$482,$A203,'Resultater - Østdanmark'!H$3:H$482,"&lt;0"),0))</f>
        <v>0</v>
      </c>
      <c r="I203" s="196">
        <f>SUMIFS('Forbrug af biomasse'!$E$2:$E$425,'Forbrug af biomasse'!$C$2:$C$425,'Resultat-Produktion &amp; forbrug'!$A203,'Forbrug af biomasse'!$D$2:$D$425,'Resultat-Produktion &amp; forbrug'!$D203,'Forbrug af biomasse'!$A$2:$A$425,'Resultat-Produktion &amp; forbrug'!I$2,'Forbrug af biomasse'!$B$2:$B$425,$E203)</f>
        <v>0</v>
      </c>
      <c r="J203" s="196">
        <f>SUMIFS('Forbrug af biomasse'!$E$2:$E$425,'Forbrug af biomasse'!$C$2:$C$425,'Resultat-Produktion &amp; forbrug'!$A203,'Forbrug af biomasse'!$D$2:$D$425,'Resultat-Produktion &amp; forbrug'!$D203,'Forbrug af biomasse'!$A$2:$A$425,'Resultat-Produktion &amp; forbrug'!J$2,'Forbrug af biomasse'!$B$2:$B$425,$E203)</f>
        <v>350.10096257642732</v>
      </c>
      <c r="K203" s="196">
        <f>SUMIFS('Forbrug af biomasse'!$E$2:$E$425,'Forbrug af biomasse'!$C$2:$C$425,'Resultat-Produktion &amp; forbrug'!$A203,'Forbrug af biomasse'!$D$2:$D$425,'Resultat-Produktion &amp; forbrug'!$D203,'Forbrug af biomasse'!$A$2:$A$425,'Resultat-Produktion &amp; forbrug'!K$2,'Forbrug af biomasse'!$B$2:$B$425,$E203)</f>
        <v>265.07644309358068</v>
      </c>
      <c r="L203" s="196">
        <f>IF(A203&lt;&gt;"Biogas",SUMIFS('Forbrug af biomasse'!$E$2:$E$425,'Forbrug af biomasse'!$C$2:$C$425,'Resultat-Produktion &amp; forbrug'!$A203,'Forbrug af biomasse'!$D$2:$D$425,'Resultat-Produktion &amp; forbrug'!$D203,'Forbrug af biomasse'!$A$2:$A$425,'Resultat-Produktion &amp; forbrug'!L$2,'Forbrug af biomasse'!$B$2:$B$425,$E203),F203)</f>
        <v>0</v>
      </c>
      <c r="M203" s="158">
        <f>SUMIFS('Forbrug af biomasse'!E:E,'Forbrug af biomasse'!C:C,'Resultat-Produktion &amp; forbrug'!$A203,'Forbrug af biomasse'!D:D,'Resultat-Produktion &amp; forbrug'!$D203,'Forbrug af biomasse'!G:G,1,'Forbrug af biomasse'!B:B,$E203)</f>
        <v>0</v>
      </c>
      <c r="N203" s="205">
        <f t="shared" si="48"/>
        <v>85.024519482846586</v>
      </c>
      <c r="O203" s="196">
        <f t="shared" si="59"/>
        <v>85.024519482846586</v>
      </c>
      <c r="P203" s="206">
        <f t="shared" si="49"/>
        <v>350.10096257642732</v>
      </c>
      <c r="Q203" s="193">
        <f>IFERROR(VLOOKUP(A203,[1]Energiindhold!$A$2:$C$11,3,FALSE),IFERROR(VLOOKUP(A203,[1]Biogasudbytte!$A$2:$B$18,2,FALSE)*[1]Energiindhold!$C$10,0))*O203</f>
        <v>3.9986181267587921E-5</v>
      </c>
      <c r="R203" s="193">
        <f>IF(A203&lt;&gt;"Biogas",IFERROR(VLOOKUP(A203,[1]Biogasudbytte!$A$2:$B$18,2,FALSE)*[1]Energiindhold!$C$10,0)*J203*IFERROR(VLOOKUP(A203,Biogasanlæg!$F$3:$G$8,2,FALSE),1)+IFERROR(VLOOKUP(A203,[1]Energiindhold!$A$2:$C$11,3,FALSE),0)*L203+IF(D203&lt;&gt;År1,Q203,0),0)</f>
        <v>2.0463516295765594E-4</v>
      </c>
      <c r="S203" s="193">
        <f>IFERROR(VLOOKUP(A203,[1]Biogasudbytte!$A$2:$B$18,2,FALSE)*[1]Energiindhold!$C$10,0)*J203*IFERROR(VLOOKUP(A203,Biogasanlæg!$F$3:$G$8,2,FALSE),1)</f>
        <v>1.6464898169006801E-4</v>
      </c>
      <c r="T203" s="194">
        <f t="shared" si="50"/>
        <v>3.9986181267587928E-5</v>
      </c>
      <c r="U203" s="192">
        <f>O203*IFERROR(VLOOKUP(A203,[1]Tørstofindhold!A$2:B$25,2,FALSE),0)</f>
        <v>5.356544727419335</v>
      </c>
      <c r="V203" s="193">
        <f>IF(D203=År1,P203,SUM(O203,P203))*IFERROR(VLOOKUP(A203,[1]Tørstofindhold!A$2:B$25,2,FALSE),0)</f>
        <v>27.412905369734258</v>
      </c>
      <c r="W203" s="193">
        <f>J203*IFERROR(VLOOKUP(A203,[1]Tørstofindhold!A$2:B$25,2,FALSE),0)</f>
        <v>22.056360642314921</v>
      </c>
      <c r="X203" s="194">
        <f t="shared" si="51"/>
        <v>5.3565447274193367</v>
      </c>
      <c r="Y203" s="172">
        <f t="shared" si="60"/>
        <v>0</v>
      </c>
      <c r="Z203" s="104">
        <f t="shared" si="61"/>
        <v>1</v>
      </c>
    </row>
    <row r="204" spans="1:26" hidden="1" x14ac:dyDescent="0.55000000000000004">
      <c r="A204" s="195" t="str">
        <f t="shared" si="56"/>
        <v>Fjerkrækød</v>
      </c>
      <c r="B204" s="195" t="str">
        <f t="shared" si="57"/>
        <v/>
      </c>
      <c r="C204" s="195">
        <f>IF(COUNTIFS('Resultater - Danmark'!$D$3:$D$482,'Resultat-Produktion &amp; forbrug'!A204,'Resultater - Danmark'!$A$3:$A$482,"Til energi")+COUNTIFS('Resultater - Danmark'!$D$3:$D$482,'Resultat-Produktion &amp; forbrug'!A204,'Resultater - Danmark'!$A$3:$A$482,"Biogasanlæg")&gt;0,1,0)</f>
        <v>0</v>
      </c>
      <c r="D204" s="195">
        <f t="shared" si="58"/>
        <v>2030</v>
      </c>
      <c r="E204" s="193" t="s">
        <v>24</v>
      </c>
      <c r="F204" s="196">
        <f>IF(E204="Vestdanmark",SUMIFS(IF(D204=År1,'Resultater - Vestdanmark'!H$3:H$482,IF(D204=År2,'Resultater - Vestdanmark'!I$3:I$482,'Resultater - Vestdanmark'!J$3:J$482)),'Resultater - Vestdanmark'!$F$3:$F$482,$A204,IF(D204=År1,'Resultater - Vestdanmark'!H$3:H$482,IF(D204=År2,'Resultater - Vestdanmark'!I$3:I$482,'Resultater - Vestdanmark'!J$3:J$482)),"&gt;0"),SUMIFS(IF(D204=År1,'Resultater - Østdanmark'!H$3:H$482,IF(D204=År2,'Resultater - Østdanmark'!I$3:I$482,'Resultater - Østdanmark'!J$3:J$482)),'Resultater - Østdanmark'!$F$3:$F$482,$A204,IF(D204=År1,'Resultater - Østdanmark'!H$3:H$482,IF(D204=År2,'Resultater - Østdanmark'!I$3:I$482,'Resultater - Østdanmark'!J$3:J$482)),"&gt;0"))</f>
        <v>15244.045659594452</v>
      </c>
      <c r="G204" s="196">
        <f>SUMIFS('Forbrug af biomasse'!$E$2:$E$425,'Forbrug af biomasse'!$C$2:$C$425,'Resultat-Produktion &amp; forbrug'!$A204,'Forbrug af biomasse'!$D$2:$D$425,'Resultat-Produktion &amp; forbrug'!$D204,'Forbrug af biomasse'!$A$2:$A$425,'Resultat-Produktion &amp; forbrug'!G$2,'Forbrug af biomasse'!$B$2:$B$425,$E204)</f>
        <v>0</v>
      </c>
      <c r="H204" s="193">
        <f>IF(E204="Vestdanmark",-IF(A204="Halm",SUMIFS(IF(D204=År1,'Resultater - Vestdanmark'!H$3:H$482,IF(D204=År2,'Resultater - Vestdanmark'!I$3:I$482,'Resultater - Vestdanmark'!J$3:J$482)),'Resultater - Vestdanmark'!$F$3:$F$482,$A204,'Resultater - Vestdanmark'!H$3:H$482,"&lt;0"),0),-IF(A204="Halm",SUMIFS(IF(D204=År1,'Resultater - Østdanmark'!H$3:H$482,IF(D204=År2,'Resultater - Østdanmark'!I$3:I$482,'Resultater - Østdanmark'!J$3:J$482)),'Resultater - Østdanmark'!$F$3:$F$482,$A204,'Resultater - Østdanmark'!H$3:H$482,"&lt;0"),0))</f>
        <v>0</v>
      </c>
      <c r="I204" s="196">
        <f>SUMIFS('Forbrug af biomasse'!$E$2:$E$425,'Forbrug af biomasse'!$C$2:$C$425,'Resultat-Produktion &amp; forbrug'!$A204,'Forbrug af biomasse'!$D$2:$D$425,'Resultat-Produktion &amp; forbrug'!$D204,'Forbrug af biomasse'!$A$2:$A$425,'Resultat-Produktion &amp; forbrug'!I$2,'Forbrug af biomasse'!$B$2:$B$425,$E204)</f>
        <v>30560.118468347584</v>
      </c>
      <c r="J204" s="196">
        <f>SUMIFS('Forbrug af biomasse'!$E$2:$E$425,'Forbrug af biomasse'!$C$2:$C$425,'Resultat-Produktion &amp; forbrug'!$A204,'Forbrug af biomasse'!$D$2:$D$425,'Resultat-Produktion &amp; forbrug'!$D204,'Forbrug af biomasse'!$A$2:$A$425,'Resultat-Produktion &amp; forbrug'!J$2,'Forbrug af biomasse'!$B$2:$B$425,$E204)</f>
        <v>0</v>
      </c>
      <c r="K204" s="196">
        <f>SUMIFS('Forbrug af biomasse'!$E$2:$E$425,'Forbrug af biomasse'!$C$2:$C$425,'Resultat-Produktion &amp; forbrug'!$A204,'Forbrug af biomasse'!$D$2:$D$425,'Resultat-Produktion &amp; forbrug'!$D204,'Forbrug af biomasse'!$A$2:$A$425,'Resultat-Produktion &amp; forbrug'!K$2,'Forbrug af biomasse'!$B$2:$B$425,$E204)</f>
        <v>0</v>
      </c>
      <c r="L204" s="196">
        <f>IF(A204&lt;&gt;"Biogas",SUMIFS('Forbrug af biomasse'!$E$2:$E$425,'Forbrug af biomasse'!$C$2:$C$425,'Resultat-Produktion &amp; forbrug'!$A204,'Forbrug af biomasse'!$D$2:$D$425,'Resultat-Produktion &amp; forbrug'!$D204,'Forbrug af biomasse'!$A$2:$A$425,'Resultat-Produktion &amp; forbrug'!L$2,'Forbrug af biomasse'!$B$2:$B$425,$E204),F204)</f>
        <v>0</v>
      </c>
      <c r="M204" s="158">
        <f>SUMIFS('Forbrug af biomasse'!E:E,'Forbrug af biomasse'!C:C,'Resultat-Produktion &amp; forbrug'!$A204,'Forbrug af biomasse'!D:D,'Resultat-Produktion &amp; forbrug'!$D204,'Forbrug af biomasse'!G:G,1,'Forbrug af biomasse'!B:B,$E204)</f>
        <v>0</v>
      </c>
      <c r="N204" s="205">
        <f t="shared" si="48"/>
        <v>-15316.072808753132</v>
      </c>
      <c r="O204" s="196">
        <f t="shared" si="59"/>
        <v>0</v>
      </c>
      <c r="P204" s="206">
        <f t="shared" si="49"/>
        <v>0</v>
      </c>
      <c r="Q204" s="193">
        <f>IFERROR(VLOOKUP(A204,[1]Energiindhold!$A$2:$C$11,3,FALSE),IFERROR(VLOOKUP(A204,[1]Biogasudbytte!$A$2:$B$18,2,FALSE)*[1]Energiindhold!$C$10,0))*O204</f>
        <v>0</v>
      </c>
      <c r="R204" s="193">
        <f>IF(A204&lt;&gt;"Biogas",IFERROR(VLOOKUP(A204,[1]Biogasudbytte!$A$2:$B$18,2,FALSE)*[1]Energiindhold!$C$10,0)*J204*IFERROR(VLOOKUP(A204,Biogasanlæg!$F$3:$G$8,2,FALSE),1)+IFERROR(VLOOKUP(A204,[1]Energiindhold!$A$2:$C$11,3,FALSE),0)*L204+IF(D204&lt;&gt;År1,Q204,0),0)</f>
        <v>0</v>
      </c>
      <c r="S204" s="193">
        <f>IFERROR(VLOOKUP(A204,[1]Biogasudbytte!$A$2:$B$18,2,FALSE)*[1]Energiindhold!$C$10,0)*J204*IFERROR(VLOOKUP(A204,Biogasanlæg!$F$3:$G$8,2,FALSE),1)</f>
        <v>0</v>
      </c>
      <c r="T204" s="194">
        <f t="shared" si="50"/>
        <v>0</v>
      </c>
      <c r="U204" s="192">
        <f>O204*IFERROR(VLOOKUP(A204,[1]Tørstofindhold!A$2:B$25,2,FALSE),0)</f>
        <v>0</v>
      </c>
      <c r="V204" s="193">
        <f>IF(D204=År1,P204,SUM(O204,P204))*IFERROR(VLOOKUP(A204,[1]Tørstofindhold!A$2:B$25,2,FALSE),0)</f>
        <v>0</v>
      </c>
      <c r="W204" s="193">
        <f>J204*IFERROR(VLOOKUP(A204,[1]Tørstofindhold!A$2:B$25,2,FALSE),0)</f>
        <v>0</v>
      </c>
      <c r="X204" s="194">
        <f t="shared" si="51"/>
        <v>0</v>
      </c>
      <c r="Y204" s="172">
        <f t="shared" si="60"/>
        <v>0</v>
      </c>
      <c r="Z204" s="104">
        <f t="shared" si="61"/>
        <v>1</v>
      </c>
    </row>
    <row r="205" spans="1:26" hidden="1" x14ac:dyDescent="0.55000000000000004">
      <c r="A205" s="195" t="str">
        <f t="shared" si="56"/>
        <v>Frø</v>
      </c>
      <c r="B205" s="195" t="str">
        <f t="shared" si="57"/>
        <v/>
      </c>
      <c r="C205" s="195">
        <f>IF(COUNTIFS('Resultater - Danmark'!$D$3:$D$482,'Resultat-Produktion &amp; forbrug'!A205,'Resultater - Danmark'!$A$3:$A$482,"Til energi")+COUNTIFS('Resultater - Danmark'!$D$3:$D$482,'Resultat-Produktion &amp; forbrug'!A205,'Resultater - Danmark'!$A$3:$A$482,"Biogasanlæg")&gt;0,1,0)</f>
        <v>0</v>
      </c>
      <c r="D205" s="195">
        <f t="shared" si="58"/>
        <v>2030</v>
      </c>
      <c r="E205" s="193" t="s">
        <v>24</v>
      </c>
      <c r="F205" s="196">
        <f>IF(E205="Vestdanmark",SUMIFS(IF(D205=År1,'Resultater - Vestdanmark'!H$3:H$482,IF(D205=År2,'Resultater - Vestdanmark'!I$3:I$482,'Resultater - Vestdanmark'!J$3:J$482)),'Resultater - Vestdanmark'!$F$3:$F$482,$A205,IF(D205=År1,'Resultater - Vestdanmark'!H$3:H$482,IF(D205=År2,'Resultater - Vestdanmark'!I$3:I$482,'Resultater - Vestdanmark'!J$3:J$482)),"&gt;0"),SUMIFS(IF(D205=År1,'Resultater - Østdanmark'!H$3:H$482,IF(D205=År2,'Resultater - Østdanmark'!I$3:I$482,'Resultater - Østdanmark'!J$3:J$482)),'Resultater - Østdanmark'!$F$3:$F$482,$A205,IF(D205=År1,'Resultater - Østdanmark'!H$3:H$482,IF(D205=År2,'Resultater - Østdanmark'!I$3:I$482,'Resultater - Østdanmark'!J$3:J$482)),"&gt;0"))</f>
        <v>645001.32802557282</v>
      </c>
      <c r="G205" s="196">
        <f>SUMIFS('Forbrug af biomasse'!$E$2:$E$425,'Forbrug af biomasse'!$C$2:$C$425,'Resultat-Produktion &amp; forbrug'!$A205,'Forbrug af biomasse'!$D$2:$D$425,'Resultat-Produktion &amp; forbrug'!$D205,'Forbrug af biomasse'!$A$2:$A$425,'Resultat-Produktion &amp; forbrug'!G$2,'Forbrug af biomasse'!$B$2:$B$425,$E205)</f>
        <v>0</v>
      </c>
      <c r="H205" s="193">
        <f>IF(E205="Vestdanmark",-IF(A205="Halm",SUMIFS(IF(D205=År1,'Resultater - Vestdanmark'!H$3:H$482,IF(D205=År2,'Resultater - Vestdanmark'!I$3:I$482,'Resultater - Vestdanmark'!J$3:J$482)),'Resultater - Vestdanmark'!$F$3:$F$482,$A205,'Resultater - Vestdanmark'!H$3:H$482,"&lt;0"),0),-IF(A205="Halm",SUMIFS(IF(D205=År1,'Resultater - Østdanmark'!H$3:H$482,IF(D205=År2,'Resultater - Østdanmark'!I$3:I$482,'Resultater - Østdanmark'!J$3:J$482)),'Resultater - Østdanmark'!$F$3:$F$482,$A205,'Resultater - Østdanmark'!H$3:H$482,"&lt;0"),0))</f>
        <v>0</v>
      </c>
      <c r="I205" s="196">
        <f>SUMIFS('Forbrug af biomasse'!$E$2:$E$425,'Forbrug af biomasse'!$C$2:$C$425,'Resultat-Produktion &amp; forbrug'!$A205,'Forbrug af biomasse'!$D$2:$D$425,'Resultat-Produktion &amp; forbrug'!$D205,'Forbrug af biomasse'!$A$2:$A$425,'Resultat-Produktion &amp; forbrug'!I$2,'Forbrug af biomasse'!$B$2:$B$425,$E205)</f>
        <v>0</v>
      </c>
      <c r="J205" s="196">
        <f>SUMIFS('Forbrug af biomasse'!$E$2:$E$425,'Forbrug af biomasse'!$C$2:$C$425,'Resultat-Produktion &amp; forbrug'!$A205,'Forbrug af biomasse'!$D$2:$D$425,'Resultat-Produktion &amp; forbrug'!$D205,'Forbrug af biomasse'!$A$2:$A$425,'Resultat-Produktion &amp; forbrug'!J$2,'Forbrug af biomasse'!$B$2:$B$425,$E205)</f>
        <v>0</v>
      </c>
      <c r="K205" s="196">
        <f>SUMIFS('Forbrug af biomasse'!$E$2:$E$425,'Forbrug af biomasse'!$C$2:$C$425,'Resultat-Produktion &amp; forbrug'!$A205,'Forbrug af biomasse'!$D$2:$D$425,'Resultat-Produktion &amp; forbrug'!$D205,'Forbrug af biomasse'!$A$2:$A$425,'Resultat-Produktion &amp; forbrug'!K$2,'Forbrug af biomasse'!$B$2:$B$425,$E205)</f>
        <v>0</v>
      </c>
      <c r="L205" s="196">
        <f>IF(A205&lt;&gt;"Biogas",SUMIFS('Forbrug af biomasse'!$E$2:$E$425,'Forbrug af biomasse'!$C$2:$C$425,'Resultat-Produktion &amp; forbrug'!$A205,'Forbrug af biomasse'!$D$2:$D$425,'Resultat-Produktion &amp; forbrug'!$D205,'Forbrug af biomasse'!$A$2:$A$425,'Resultat-Produktion &amp; forbrug'!L$2,'Forbrug af biomasse'!$B$2:$B$425,$E205),F205)</f>
        <v>0</v>
      </c>
      <c r="M205" s="158">
        <f>SUMIFS('Forbrug af biomasse'!E:E,'Forbrug af biomasse'!C:C,'Resultat-Produktion &amp; forbrug'!$A205,'Forbrug af biomasse'!D:D,'Resultat-Produktion &amp; forbrug'!$D205,'Forbrug af biomasse'!G:G,1,'Forbrug af biomasse'!B:B,$E205)</f>
        <v>0</v>
      </c>
      <c r="N205" s="205">
        <f t="shared" si="48"/>
        <v>645001.32802557282</v>
      </c>
      <c r="O205" s="196">
        <f t="shared" si="59"/>
        <v>0</v>
      </c>
      <c r="P205" s="206">
        <f t="shared" si="49"/>
        <v>0</v>
      </c>
      <c r="Q205" s="193">
        <f>IFERROR(VLOOKUP(A205,[1]Energiindhold!$A$2:$C$11,3,FALSE),IFERROR(VLOOKUP(A205,[1]Biogasudbytte!$A$2:$B$18,2,FALSE)*[1]Energiindhold!$C$10,0))*O205</f>
        <v>0</v>
      </c>
      <c r="R205" s="193">
        <f>IF(A205&lt;&gt;"Biogas",IFERROR(VLOOKUP(A205,[1]Biogasudbytte!$A$2:$B$18,2,FALSE)*[1]Energiindhold!$C$10,0)*J205*IFERROR(VLOOKUP(A205,Biogasanlæg!$F$3:$G$8,2,FALSE),1)+IFERROR(VLOOKUP(A205,[1]Energiindhold!$A$2:$C$11,3,FALSE),0)*L205+IF(D205&lt;&gt;År1,Q205,0),0)</f>
        <v>0</v>
      </c>
      <c r="S205" s="193">
        <f>IFERROR(VLOOKUP(A205,[1]Biogasudbytte!$A$2:$B$18,2,FALSE)*[1]Energiindhold!$C$10,0)*J205*IFERROR(VLOOKUP(A205,Biogasanlæg!$F$3:$G$8,2,FALSE),1)</f>
        <v>0</v>
      </c>
      <c r="T205" s="194">
        <f t="shared" si="50"/>
        <v>0</v>
      </c>
      <c r="U205" s="192">
        <f>O205*IFERROR(VLOOKUP(A205,[1]Tørstofindhold!A$2:B$25,2,FALSE),0)</f>
        <v>0</v>
      </c>
      <c r="V205" s="193">
        <f>IF(D205=År1,P205,SUM(O205,P205))*IFERROR(VLOOKUP(A205,[1]Tørstofindhold!A$2:B$25,2,FALSE),0)</f>
        <v>0</v>
      </c>
      <c r="W205" s="193">
        <f>J205*IFERROR(VLOOKUP(A205,[1]Tørstofindhold!A$2:B$25,2,FALSE),0)</f>
        <v>0</v>
      </c>
      <c r="X205" s="194">
        <f t="shared" si="51"/>
        <v>0</v>
      </c>
      <c r="Y205" s="172">
        <f t="shared" si="60"/>
        <v>0</v>
      </c>
      <c r="Z205" s="104">
        <f t="shared" si="61"/>
        <v>1</v>
      </c>
    </row>
    <row r="206" spans="1:26" hidden="1" x14ac:dyDescent="0.55000000000000004">
      <c r="A206" s="195" t="str">
        <f t="shared" si="56"/>
        <v>Frugt</v>
      </c>
      <c r="B206" s="195" t="str">
        <f t="shared" si="57"/>
        <v/>
      </c>
      <c r="C206" s="195">
        <f>IF(COUNTIFS('Resultater - Danmark'!$D$3:$D$482,'Resultat-Produktion &amp; forbrug'!A206,'Resultater - Danmark'!$A$3:$A$482,"Til energi")+COUNTIFS('Resultater - Danmark'!$D$3:$D$482,'Resultat-Produktion &amp; forbrug'!A206,'Resultater - Danmark'!$A$3:$A$482,"Biogasanlæg")&gt;0,1,0)</f>
        <v>0</v>
      </c>
      <c r="D206" s="195">
        <f t="shared" si="58"/>
        <v>2030</v>
      </c>
      <c r="E206" s="193" t="s">
        <v>24</v>
      </c>
      <c r="F206" s="196">
        <f>IF(E206="Vestdanmark",SUMIFS(IF(D206=År1,'Resultater - Vestdanmark'!H$3:H$482,IF(D206=År2,'Resultater - Vestdanmark'!I$3:I$482,'Resultater - Vestdanmark'!J$3:J$482)),'Resultater - Vestdanmark'!$F$3:$F$482,$A206,IF(D206=År1,'Resultater - Vestdanmark'!H$3:H$482,IF(D206=År2,'Resultater - Vestdanmark'!I$3:I$482,'Resultater - Vestdanmark'!J$3:J$482)),"&gt;0"),SUMIFS(IF(D206=År1,'Resultater - Østdanmark'!H$3:H$482,IF(D206=År2,'Resultater - Østdanmark'!I$3:I$482,'Resultater - Østdanmark'!J$3:J$482)),'Resultater - Østdanmark'!$F$3:$F$482,$A206,IF(D206=År1,'Resultater - Østdanmark'!H$3:H$482,IF(D206=År2,'Resultater - Østdanmark'!I$3:I$482,'Resultater - Østdanmark'!J$3:J$482)),"&gt;0"))</f>
        <v>16686.121067916127</v>
      </c>
      <c r="G206" s="196">
        <f>SUMIFS('Forbrug af biomasse'!$E$2:$E$425,'Forbrug af biomasse'!$C$2:$C$425,'Resultat-Produktion &amp; forbrug'!$A206,'Forbrug af biomasse'!$D$2:$D$425,'Resultat-Produktion &amp; forbrug'!$D206,'Forbrug af biomasse'!$A$2:$A$425,'Resultat-Produktion &amp; forbrug'!G$2,'Forbrug af biomasse'!$B$2:$B$425,$E206)</f>
        <v>0</v>
      </c>
      <c r="H206" s="193">
        <f>IF(E206="Vestdanmark",-IF(A206="Halm",SUMIFS(IF(D206=År1,'Resultater - Vestdanmark'!H$3:H$482,IF(D206=År2,'Resultater - Vestdanmark'!I$3:I$482,'Resultater - Vestdanmark'!J$3:J$482)),'Resultater - Vestdanmark'!$F$3:$F$482,$A206,'Resultater - Vestdanmark'!H$3:H$482,"&lt;0"),0),-IF(A206="Halm",SUMIFS(IF(D206=År1,'Resultater - Østdanmark'!H$3:H$482,IF(D206=År2,'Resultater - Østdanmark'!I$3:I$482,'Resultater - Østdanmark'!J$3:J$482)),'Resultater - Østdanmark'!$F$3:$F$482,$A206,'Resultater - Østdanmark'!H$3:H$482,"&lt;0"),0))</f>
        <v>0</v>
      </c>
      <c r="I206" s="196">
        <f>SUMIFS('Forbrug af biomasse'!$E$2:$E$425,'Forbrug af biomasse'!$C$2:$C$425,'Resultat-Produktion &amp; forbrug'!$A206,'Forbrug af biomasse'!$D$2:$D$425,'Resultat-Produktion &amp; forbrug'!$D206,'Forbrug af biomasse'!$A$2:$A$425,'Resultat-Produktion &amp; forbrug'!I$2,'Forbrug af biomasse'!$B$2:$B$425,$E206)</f>
        <v>223323.94265330929</v>
      </c>
      <c r="J206" s="196">
        <f>SUMIFS('Forbrug af biomasse'!$E$2:$E$425,'Forbrug af biomasse'!$C$2:$C$425,'Resultat-Produktion &amp; forbrug'!$A206,'Forbrug af biomasse'!$D$2:$D$425,'Resultat-Produktion &amp; forbrug'!$D206,'Forbrug af biomasse'!$A$2:$A$425,'Resultat-Produktion &amp; forbrug'!J$2,'Forbrug af biomasse'!$B$2:$B$425,$E206)</f>
        <v>0</v>
      </c>
      <c r="K206" s="196">
        <f>SUMIFS('Forbrug af biomasse'!$E$2:$E$425,'Forbrug af biomasse'!$C$2:$C$425,'Resultat-Produktion &amp; forbrug'!$A206,'Forbrug af biomasse'!$D$2:$D$425,'Resultat-Produktion &amp; forbrug'!$D206,'Forbrug af biomasse'!$A$2:$A$425,'Resultat-Produktion &amp; forbrug'!K$2,'Forbrug af biomasse'!$B$2:$B$425,$E206)</f>
        <v>0</v>
      </c>
      <c r="L206" s="196">
        <f>IF(A206&lt;&gt;"Biogas",SUMIFS('Forbrug af biomasse'!$E$2:$E$425,'Forbrug af biomasse'!$C$2:$C$425,'Resultat-Produktion &amp; forbrug'!$A206,'Forbrug af biomasse'!$D$2:$D$425,'Resultat-Produktion &amp; forbrug'!$D206,'Forbrug af biomasse'!$A$2:$A$425,'Resultat-Produktion &amp; forbrug'!L$2,'Forbrug af biomasse'!$B$2:$B$425,$E206),F206)</f>
        <v>0</v>
      </c>
      <c r="M206" s="158">
        <f>SUMIFS('Forbrug af biomasse'!E:E,'Forbrug af biomasse'!C:C,'Resultat-Produktion &amp; forbrug'!$A206,'Forbrug af biomasse'!D:D,'Resultat-Produktion &amp; forbrug'!$D206,'Forbrug af biomasse'!G:G,1,'Forbrug af biomasse'!B:B,$E206)</f>
        <v>0</v>
      </c>
      <c r="N206" s="205">
        <f t="shared" si="48"/>
        <v>-206637.82158539316</v>
      </c>
      <c r="O206" s="196">
        <f t="shared" si="59"/>
        <v>0</v>
      </c>
      <c r="P206" s="206">
        <f t="shared" si="49"/>
        <v>0</v>
      </c>
      <c r="Q206" s="193">
        <f>IFERROR(VLOOKUP(A206,[1]Energiindhold!$A$2:$C$11,3,FALSE),IFERROR(VLOOKUP(A206,[1]Biogasudbytte!$A$2:$B$18,2,FALSE)*[1]Energiindhold!$C$10,0))*O206</f>
        <v>0</v>
      </c>
      <c r="R206" s="193">
        <f>IF(A206&lt;&gt;"Biogas",IFERROR(VLOOKUP(A206,[1]Biogasudbytte!$A$2:$B$18,2,FALSE)*[1]Energiindhold!$C$10,0)*J206*IFERROR(VLOOKUP(A206,Biogasanlæg!$F$3:$G$8,2,FALSE),1)+IFERROR(VLOOKUP(A206,[1]Energiindhold!$A$2:$C$11,3,FALSE),0)*L206+IF(D206&lt;&gt;År1,Q206,0),0)</f>
        <v>0</v>
      </c>
      <c r="S206" s="193">
        <f>IFERROR(VLOOKUP(A206,[1]Biogasudbytte!$A$2:$B$18,2,FALSE)*[1]Energiindhold!$C$10,0)*J206*IFERROR(VLOOKUP(A206,Biogasanlæg!$F$3:$G$8,2,FALSE),1)</f>
        <v>0</v>
      </c>
      <c r="T206" s="194">
        <f t="shared" si="50"/>
        <v>0</v>
      </c>
      <c r="U206" s="192">
        <f>O206*IFERROR(VLOOKUP(A206,[1]Tørstofindhold!A$2:B$25,2,FALSE),0)</f>
        <v>0</v>
      </c>
      <c r="V206" s="193">
        <f>IF(D206=År1,P206,SUM(O206,P206))*IFERROR(VLOOKUP(A206,[1]Tørstofindhold!A$2:B$25,2,FALSE),0)</f>
        <v>0</v>
      </c>
      <c r="W206" s="193">
        <f>J206*IFERROR(VLOOKUP(A206,[1]Tørstofindhold!A$2:B$25,2,FALSE),0)</f>
        <v>0</v>
      </c>
      <c r="X206" s="194">
        <f t="shared" si="51"/>
        <v>0</v>
      </c>
      <c r="Y206" s="172">
        <f t="shared" si="60"/>
        <v>1</v>
      </c>
      <c r="Z206" s="104">
        <f t="shared" si="61"/>
        <v>0</v>
      </c>
    </row>
    <row r="207" spans="1:26" hidden="1" x14ac:dyDescent="0.55000000000000004">
      <c r="A207" s="195" t="str">
        <f t="shared" si="56"/>
        <v>Glycerin</v>
      </c>
      <c r="B207" s="195" t="str">
        <f t="shared" si="57"/>
        <v>Glycerin</v>
      </c>
      <c r="C207" s="195">
        <f>IF(COUNTIFS('Resultater - Danmark'!$D$3:$D$482,'Resultat-Produktion &amp; forbrug'!A207,'Resultater - Danmark'!$A$3:$A$482,"Til energi")+COUNTIFS('Resultater - Danmark'!$D$3:$D$482,'Resultat-Produktion &amp; forbrug'!A207,'Resultater - Danmark'!$A$3:$A$482,"Biogasanlæg")&gt;0,1,0)</f>
        <v>1</v>
      </c>
      <c r="D207" s="195">
        <f t="shared" si="58"/>
        <v>2030</v>
      </c>
      <c r="E207" s="193" t="s">
        <v>24</v>
      </c>
      <c r="F207" s="196">
        <f>IF(E207="Vestdanmark",SUMIFS(IF(D207=År1,'Resultater - Vestdanmark'!H$3:H$482,IF(D207=År2,'Resultater - Vestdanmark'!I$3:I$482,'Resultater - Vestdanmark'!J$3:J$482)),'Resultater - Vestdanmark'!$F$3:$F$482,$A207,IF(D207=År1,'Resultater - Vestdanmark'!H$3:H$482,IF(D207=År2,'Resultater - Vestdanmark'!I$3:I$482,'Resultater - Vestdanmark'!J$3:J$482)),"&gt;0"),SUMIFS(IF(D207=År1,'Resultater - Østdanmark'!H$3:H$482,IF(D207=År2,'Resultater - Østdanmark'!I$3:I$482,'Resultater - Østdanmark'!J$3:J$482)),'Resultater - Østdanmark'!$F$3:$F$482,$A207,IF(D207=År1,'Resultater - Østdanmark'!H$3:H$482,IF(D207=År2,'Resultater - Østdanmark'!I$3:I$482,'Resultater - Østdanmark'!J$3:J$482)),"&gt;0"))</f>
        <v>0</v>
      </c>
      <c r="G207" s="196">
        <f>SUMIFS('Forbrug af biomasse'!$E$2:$E$425,'Forbrug af biomasse'!$C$2:$C$425,'Resultat-Produktion &amp; forbrug'!$A207,'Forbrug af biomasse'!$D$2:$D$425,'Resultat-Produktion &amp; forbrug'!$D207,'Forbrug af biomasse'!$A$2:$A$425,'Resultat-Produktion &amp; forbrug'!G$2,'Forbrug af biomasse'!$B$2:$B$425,$E207)</f>
        <v>0</v>
      </c>
      <c r="H207" s="193">
        <f>IF(E207="Vestdanmark",-IF(A207="Halm",SUMIFS(IF(D207=År1,'Resultater - Vestdanmark'!H$3:H$482,IF(D207=År2,'Resultater - Vestdanmark'!I$3:I$482,'Resultater - Vestdanmark'!J$3:J$482)),'Resultater - Vestdanmark'!$F$3:$F$482,$A207,'Resultater - Vestdanmark'!H$3:H$482,"&lt;0"),0),-IF(A207="Halm",SUMIFS(IF(D207=År1,'Resultater - Østdanmark'!H$3:H$482,IF(D207=År2,'Resultater - Østdanmark'!I$3:I$482,'Resultater - Østdanmark'!J$3:J$482)),'Resultater - Østdanmark'!$F$3:$F$482,$A207,'Resultater - Østdanmark'!H$3:H$482,"&lt;0"),0))</f>
        <v>0</v>
      </c>
      <c r="I207" s="196">
        <f>SUMIFS('Forbrug af biomasse'!$E$2:$E$425,'Forbrug af biomasse'!$C$2:$C$425,'Resultat-Produktion &amp; forbrug'!$A207,'Forbrug af biomasse'!$D$2:$D$425,'Resultat-Produktion &amp; forbrug'!$D207,'Forbrug af biomasse'!$A$2:$A$425,'Resultat-Produktion &amp; forbrug'!I$2,'Forbrug af biomasse'!$B$2:$B$425,$E207)</f>
        <v>0</v>
      </c>
      <c r="J207" s="196">
        <f>SUMIFS('Forbrug af biomasse'!$E$2:$E$425,'Forbrug af biomasse'!$C$2:$C$425,'Resultat-Produktion &amp; forbrug'!$A207,'Forbrug af biomasse'!$D$2:$D$425,'Resultat-Produktion &amp; forbrug'!$D207,'Forbrug af biomasse'!$A$2:$A$425,'Resultat-Produktion &amp; forbrug'!J$2,'Forbrug af biomasse'!$B$2:$B$425,$E207)</f>
        <v>28548.400000000001</v>
      </c>
      <c r="K207" s="196">
        <f>SUMIFS('Forbrug af biomasse'!$E$2:$E$425,'Forbrug af biomasse'!$C$2:$C$425,'Resultat-Produktion &amp; forbrug'!$A207,'Forbrug af biomasse'!$D$2:$D$425,'Resultat-Produktion &amp; forbrug'!$D207,'Forbrug af biomasse'!$A$2:$A$425,'Resultat-Produktion &amp; forbrug'!K$2,'Forbrug af biomasse'!$B$2:$B$425,$E207)</f>
        <v>0</v>
      </c>
      <c r="L207" s="196">
        <f>IF(A207&lt;&gt;"Biogas",SUMIFS('Forbrug af biomasse'!$E$2:$E$425,'Forbrug af biomasse'!$C$2:$C$425,'Resultat-Produktion &amp; forbrug'!$A207,'Forbrug af biomasse'!$D$2:$D$425,'Resultat-Produktion &amp; forbrug'!$D207,'Forbrug af biomasse'!$A$2:$A$425,'Resultat-Produktion &amp; forbrug'!L$2,'Forbrug af biomasse'!$B$2:$B$425,$E207),F207)</f>
        <v>0</v>
      </c>
      <c r="M207" s="158">
        <f>SUMIFS('Forbrug af biomasse'!E:E,'Forbrug af biomasse'!C:C,'Resultat-Produktion &amp; forbrug'!$A207,'Forbrug af biomasse'!D:D,'Resultat-Produktion &amp; forbrug'!$D207,'Forbrug af biomasse'!G:G,1,'Forbrug af biomasse'!B:B,$E207)</f>
        <v>0</v>
      </c>
      <c r="N207" s="205">
        <f t="shared" si="48"/>
        <v>-28548.400000000001</v>
      </c>
      <c r="O207" s="196">
        <f t="shared" si="59"/>
        <v>0</v>
      </c>
      <c r="P207" s="206">
        <f t="shared" si="49"/>
        <v>28548.400000000001</v>
      </c>
      <c r="Q207" s="193">
        <f>IFERROR(VLOOKUP(A207,[1]Energiindhold!$A$2:$C$11,3,FALSE),IFERROR(VLOOKUP(A207,[1]Biogasudbytte!$A$2:$B$18,2,FALSE)*[1]Energiindhold!$C$10,0))*O207</f>
        <v>0</v>
      </c>
      <c r="R207" s="193">
        <f>IF(A207&lt;&gt;"Biogas",IFERROR(VLOOKUP(A207,[1]Biogasudbytte!$A$2:$B$18,2,FALSE)*[1]Energiindhold!$C$10,0)*J207*IFERROR(VLOOKUP(A207,Biogasanlæg!$F$3:$G$8,2,FALSE),1)+IFERROR(VLOOKUP(A207,[1]Energiindhold!$A$2:$C$11,3,FALSE),0)*L207+IF(D207&lt;&gt;År1,Q207,0),0)</f>
        <v>0.43389639740160008</v>
      </c>
      <c r="S207" s="193">
        <f>IFERROR(VLOOKUP(A207,[1]Biogasudbytte!$A$2:$B$18,2,FALSE)*[1]Energiindhold!$C$10,0)*J207*IFERROR(VLOOKUP(A207,Biogasanlæg!$F$3:$G$8,2,FALSE),1)</f>
        <v>0.43389639740160008</v>
      </c>
      <c r="T207" s="194">
        <f t="shared" si="50"/>
        <v>0</v>
      </c>
      <c r="U207" s="192">
        <f>O207*IFERROR(VLOOKUP(A207,[1]Tørstofindhold!A$2:B$25,2,FALSE),0)</f>
        <v>0</v>
      </c>
      <c r="V207" s="193">
        <f>IF(D207=År1,P207,SUM(O207,P207))*IFERROR(VLOOKUP(A207,[1]Tørstofindhold!A$2:B$25,2,FALSE),0)</f>
        <v>25693.56</v>
      </c>
      <c r="W207" s="193">
        <f>J207*IFERROR(VLOOKUP(A207,[1]Tørstofindhold!A$2:B$25,2,FALSE),0)</f>
        <v>25693.56</v>
      </c>
      <c r="X207" s="194">
        <f t="shared" si="51"/>
        <v>0</v>
      </c>
      <c r="Y207" s="172">
        <f t="shared" si="60"/>
        <v>1</v>
      </c>
      <c r="Z207" s="104">
        <f t="shared" si="61"/>
        <v>0</v>
      </c>
    </row>
    <row r="208" spans="1:26" hidden="1" x14ac:dyDescent="0.55000000000000004">
      <c r="A208" s="195" t="str">
        <f t="shared" si="56"/>
        <v>Græs</v>
      </c>
      <c r="B208" s="195" t="str">
        <f t="shared" si="57"/>
        <v>Græs og urter</v>
      </c>
      <c r="C208" s="195">
        <f>IF(COUNTIFS('Resultater - Danmark'!$D$3:$D$482,'Resultat-Produktion &amp; forbrug'!A208,'Resultater - Danmark'!$A$3:$A$482,"Til energi")+COUNTIFS('Resultater - Danmark'!$D$3:$D$482,'Resultat-Produktion &amp; forbrug'!A208,'Resultater - Danmark'!$A$3:$A$482,"Biogasanlæg")&gt;0,1,0)</f>
        <v>1</v>
      </c>
      <c r="D208" s="195">
        <f t="shared" si="58"/>
        <v>2030</v>
      </c>
      <c r="E208" s="193" t="s">
        <v>24</v>
      </c>
      <c r="F208" s="196">
        <f>IF(E208="Vestdanmark",SUMIFS(IF(D208=År1,'Resultater - Vestdanmark'!H$3:H$482,IF(D208=År2,'Resultater - Vestdanmark'!I$3:I$482,'Resultater - Vestdanmark'!J$3:J$482)),'Resultater - Vestdanmark'!$F$3:$F$482,$A208,IF(D208=År1,'Resultater - Vestdanmark'!H$3:H$482,IF(D208=År2,'Resultater - Vestdanmark'!I$3:I$482,'Resultater - Vestdanmark'!J$3:J$482)),"&gt;0"),SUMIFS(IF(D208=År1,'Resultater - Østdanmark'!H$3:H$482,IF(D208=År2,'Resultater - Østdanmark'!I$3:I$482,'Resultater - Østdanmark'!J$3:J$482)),'Resultater - Østdanmark'!$F$3:$F$482,$A208,IF(D208=År1,'Resultater - Østdanmark'!H$3:H$482,IF(D208=År2,'Resultater - Østdanmark'!I$3:I$482,'Resultater - Østdanmark'!J$3:J$482)),"&gt;0"))</f>
        <v>2190992.6315255472</v>
      </c>
      <c r="G208" s="196">
        <f>SUMIFS('Forbrug af biomasse'!$E$2:$E$425,'Forbrug af biomasse'!$C$2:$C$425,'Resultat-Produktion &amp; forbrug'!$A208,'Forbrug af biomasse'!$D$2:$D$425,'Resultat-Produktion &amp; forbrug'!$D208,'Forbrug af biomasse'!$A$2:$A$425,'Resultat-Produktion &amp; forbrug'!G$2,'Forbrug af biomasse'!$B$2:$B$425,$E208)</f>
        <v>1502068.0760117145</v>
      </c>
      <c r="H208" s="193">
        <f>IF(E208="Vestdanmark",-IF(A208="Halm",SUMIFS(IF(D208=År1,'Resultater - Vestdanmark'!H$3:H$482,IF(D208=År2,'Resultater - Vestdanmark'!I$3:I$482,'Resultater - Vestdanmark'!J$3:J$482)),'Resultater - Vestdanmark'!$F$3:$F$482,$A208,'Resultater - Vestdanmark'!H$3:H$482,"&lt;0"),0),-IF(A208="Halm",SUMIFS(IF(D208=År1,'Resultater - Østdanmark'!H$3:H$482,IF(D208=År2,'Resultater - Østdanmark'!I$3:I$482,'Resultater - Østdanmark'!J$3:J$482)),'Resultater - Østdanmark'!$F$3:$F$482,$A208,'Resultater - Østdanmark'!H$3:H$482,"&lt;0"),0))</f>
        <v>0</v>
      </c>
      <c r="I208" s="196">
        <f>SUMIFS('Forbrug af biomasse'!$E$2:$E$425,'Forbrug af biomasse'!$C$2:$C$425,'Resultat-Produktion &amp; forbrug'!$A208,'Forbrug af biomasse'!$D$2:$D$425,'Resultat-Produktion &amp; forbrug'!$D208,'Forbrug af biomasse'!$A$2:$A$425,'Resultat-Produktion &amp; forbrug'!I$2,'Forbrug af biomasse'!$B$2:$B$425,$E208)</f>
        <v>0</v>
      </c>
      <c r="J208" s="196">
        <f>SUMIFS('Forbrug af biomasse'!$E$2:$E$425,'Forbrug af biomasse'!$C$2:$C$425,'Resultat-Produktion &amp; forbrug'!$A208,'Forbrug af biomasse'!$D$2:$D$425,'Resultat-Produktion &amp; forbrug'!$D208,'Forbrug af biomasse'!$A$2:$A$425,'Resultat-Produktion &amp; forbrug'!J$2,'Forbrug af biomasse'!$B$2:$B$425,$E208)</f>
        <v>10062.940438050116</v>
      </c>
      <c r="K208" s="196">
        <f>SUMIFS('Forbrug af biomasse'!$E$2:$E$425,'Forbrug af biomasse'!$C$2:$C$425,'Resultat-Produktion &amp; forbrug'!$A208,'Forbrug af biomasse'!$D$2:$D$425,'Resultat-Produktion &amp; forbrug'!$D208,'Forbrug af biomasse'!$A$2:$A$425,'Resultat-Produktion &amp; forbrug'!K$2,'Forbrug af biomasse'!$B$2:$B$425,$E208)</f>
        <v>0</v>
      </c>
      <c r="L208" s="196">
        <f>IF(A208&lt;&gt;"Biogas",SUMIFS('Forbrug af biomasse'!$E$2:$E$425,'Forbrug af biomasse'!$C$2:$C$425,'Resultat-Produktion &amp; forbrug'!$A208,'Forbrug af biomasse'!$D$2:$D$425,'Resultat-Produktion &amp; forbrug'!$D208,'Forbrug af biomasse'!$A$2:$A$425,'Resultat-Produktion &amp; forbrug'!L$2,'Forbrug af biomasse'!$B$2:$B$425,$E208),F208)</f>
        <v>0</v>
      </c>
      <c r="M208" s="158">
        <f>SUMIFS('Forbrug af biomasse'!E:E,'Forbrug af biomasse'!C:C,'Resultat-Produktion &amp; forbrug'!$A208,'Forbrug af biomasse'!D:D,'Resultat-Produktion &amp; forbrug'!$D208,'Forbrug af biomasse'!G:G,1,'Forbrug af biomasse'!B:B,$E208)</f>
        <v>0</v>
      </c>
      <c r="N208" s="205">
        <f t="shared" si="48"/>
        <v>678861.61507578264</v>
      </c>
      <c r="O208" s="196">
        <f t="shared" si="59"/>
        <v>678861.61507578264</v>
      </c>
      <c r="P208" s="206">
        <f t="shared" si="49"/>
        <v>10062.940438050116</v>
      </c>
      <c r="Q208" s="193">
        <f>IFERROR(VLOOKUP(A208,[1]Energiindhold!$A$2:$C$11,3,FALSE),IFERROR(VLOOKUP(A208,[1]Biogasudbytte!$A$2:$B$18,2,FALSE)*[1]Energiindhold!$C$10,0))*O208</f>
        <v>1.2490205140375557</v>
      </c>
      <c r="R208" s="193">
        <f>IF(A208&lt;&gt;"Biogas",IFERROR(VLOOKUP(A208,[1]Biogasudbytte!$A$2:$B$18,2,FALSE)*[1]Energiindhold!$C$10,0)*J208*IFERROR(VLOOKUP(A208,Biogasanlæg!$F$3:$G$8,2,FALSE),1)+IFERROR(VLOOKUP(A208,[1]Energiindhold!$A$2:$C$11,3,FALSE),0)*L208+IF(D208&lt;&gt;År1,Q208,0),0)</f>
        <v>1.267535066576013</v>
      </c>
      <c r="S208" s="193">
        <f>IFERROR(VLOOKUP(A208,[1]Biogasudbytte!$A$2:$B$18,2,FALSE)*[1]Energiindhold!$C$10,0)*J208*IFERROR(VLOOKUP(A208,Biogasanlæg!$F$3:$G$8,2,FALSE),1)</f>
        <v>1.8514552538457459E-2</v>
      </c>
      <c r="T208" s="194">
        <f t="shared" si="50"/>
        <v>1.2490205140375557</v>
      </c>
      <c r="U208" s="192">
        <f>O208*IFERROR(VLOOKUP(A208,[1]Tørstofindhold!A$2:B$25,2,FALSE),0)</f>
        <v>190081.25222121915</v>
      </c>
      <c r="V208" s="193">
        <f>IF(D208=År1,P208,SUM(O208,P208))*IFERROR(VLOOKUP(A208,[1]Tørstofindhold!A$2:B$25,2,FALSE),0)</f>
        <v>192898.87554387318</v>
      </c>
      <c r="W208" s="193">
        <f>J208*IFERROR(VLOOKUP(A208,[1]Tørstofindhold!A$2:B$25,2,FALSE),0)</f>
        <v>2817.623322654033</v>
      </c>
      <c r="X208" s="194">
        <f t="shared" si="51"/>
        <v>190081.25222121915</v>
      </c>
      <c r="Y208" s="172">
        <f t="shared" si="60"/>
        <v>0</v>
      </c>
      <c r="Z208" s="104">
        <f t="shared" si="61"/>
        <v>1</v>
      </c>
    </row>
    <row r="209" spans="1:26" hidden="1" x14ac:dyDescent="0.55000000000000004">
      <c r="A209" s="195" t="str">
        <f t="shared" si="56"/>
        <v>Græsprotein</v>
      </c>
      <c r="B209" s="195" t="str">
        <f t="shared" si="57"/>
        <v/>
      </c>
      <c r="C209" s="195">
        <f>IF(COUNTIFS('Resultater - Danmark'!$D$3:$D$482,'Resultat-Produktion &amp; forbrug'!A209,'Resultater - Danmark'!$A$3:$A$482,"Til energi")+COUNTIFS('Resultater - Danmark'!$D$3:$D$482,'Resultat-Produktion &amp; forbrug'!A209,'Resultater - Danmark'!$A$3:$A$482,"Biogasanlæg")&gt;0,1,0)</f>
        <v>0</v>
      </c>
      <c r="D209" s="195">
        <f t="shared" si="58"/>
        <v>2030</v>
      </c>
      <c r="E209" s="193" t="s">
        <v>24</v>
      </c>
      <c r="F209" s="196">
        <f>IF(E209="Vestdanmark",SUMIFS(IF(D209=År1,'Resultater - Vestdanmark'!H$3:H$482,IF(D209=År2,'Resultater - Vestdanmark'!I$3:I$482,'Resultater - Vestdanmark'!J$3:J$482)),'Resultater - Vestdanmark'!$F$3:$F$482,$A209,IF(D209=År1,'Resultater - Vestdanmark'!H$3:H$482,IF(D209=År2,'Resultater - Vestdanmark'!I$3:I$482,'Resultater - Vestdanmark'!J$3:J$482)),"&gt;0"),SUMIFS(IF(D209=År1,'Resultater - Østdanmark'!H$3:H$482,IF(D209=År2,'Resultater - Østdanmark'!I$3:I$482,'Resultater - Østdanmark'!J$3:J$482)),'Resultater - Østdanmark'!$F$3:$F$482,$A209,IF(D209=År1,'Resultater - Østdanmark'!H$3:H$482,IF(D209=År2,'Resultater - Østdanmark'!I$3:I$482,'Resultater - Østdanmark'!J$3:J$482)),"&gt;0"))</f>
        <v>0</v>
      </c>
      <c r="G209" s="196">
        <f>SUMIFS('Forbrug af biomasse'!$E$2:$E$425,'Forbrug af biomasse'!$C$2:$C$425,'Resultat-Produktion &amp; forbrug'!$A209,'Forbrug af biomasse'!$D$2:$D$425,'Resultat-Produktion &amp; forbrug'!$D209,'Forbrug af biomasse'!$A$2:$A$425,'Resultat-Produktion &amp; forbrug'!G$2,'Forbrug af biomasse'!$B$2:$B$425,$E209)</f>
        <v>0</v>
      </c>
      <c r="H209" s="193">
        <f>IF(E209="Vestdanmark",-IF(A209="Halm",SUMIFS(IF(D209=År1,'Resultater - Vestdanmark'!H$3:H$482,IF(D209=År2,'Resultater - Vestdanmark'!I$3:I$482,'Resultater - Vestdanmark'!J$3:J$482)),'Resultater - Vestdanmark'!$F$3:$F$482,$A209,'Resultater - Vestdanmark'!H$3:H$482,"&lt;0"),0),-IF(A209="Halm",SUMIFS(IF(D209=År1,'Resultater - Østdanmark'!H$3:H$482,IF(D209=År2,'Resultater - Østdanmark'!I$3:I$482,'Resultater - Østdanmark'!J$3:J$482)),'Resultater - Østdanmark'!$F$3:$F$482,$A209,'Resultater - Østdanmark'!H$3:H$482,"&lt;0"),0))</f>
        <v>0</v>
      </c>
      <c r="I209" s="196">
        <f>SUMIFS('Forbrug af biomasse'!$E$2:$E$425,'Forbrug af biomasse'!$C$2:$C$425,'Resultat-Produktion &amp; forbrug'!$A209,'Forbrug af biomasse'!$D$2:$D$425,'Resultat-Produktion &amp; forbrug'!$D209,'Forbrug af biomasse'!$A$2:$A$425,'Resultat-Produktion &amp; forbrug'!I$2,'Forbrug af biomasse'!$B$2:$B$425,$E209)</f>
        <v>0</v>
      </c>
      <c r="J209" s="196">
        <f>SUMIFS('Forbrug af biomasse'!$E$2:$E$425,'Forbrug af biomasse'!$C$2:$C$425,'Resultat-Produktion &amp; forbrug'!$A209,'Forbrug af biomasse'!$D$2:$D$425,'Resultat-Produktion &amp; forbrug'!$D209,'Forbrug af biomasse'!$A$2:$A$425,'Resultat-Produktion &amp; forbrug'!J$2,'Forbrug af biomasse'!$B$2:$B$425,$E209)</f>
        <v>0</v>
      </c>
      <c r="K209" s="196">
        <f>SUMIFS('Forbrug af biomasse'!$E$2:$E$425,'Forbrug af biomasse'!$C$2:$C$425,'Resultat-Produktion &amp; forbrug'!$A209,'Forbrug af biomasse'!$D$2:$D$425,'Resultat-Produktion &amp; forbrug'!$D209,'Forbrug af biomasse'!$A$2:$A$425,'Resultat-Produktion &amp; forbrug'!K$2,'Forbrug af biomasse'!$B$2:$B$425,$E209)</f>
        <v>0</v>
      </c>
      <c r="L209" s="196">
        <f>IF(A209&lt;&gt;"Biogas",SUMIFS('Forbrug af biomasse'!$E$2:$E$425,'Forbrug af biomasse'!$C$2:$C$425,'Resultat-Produktion &amp; forbrug'!$A209,'Forbrug af biomasse'!$D$2:$D$425,'Resultat-Produktion &amp; forbrug'!$D209,'Forbrug af biomasse'!$A$2:$A$425,'Resultat-Produktion &amp; forbrug'!L$2,'Forbrug af biomasse'!$B$2:$B$425,$E209),F209)</f>
        <v>0</v>
      </c>
      <c r="M209" s="158">
        <f>SUMIFS('Forbrug af biomasse'!E:E,'Forbrug af biomasse'!C:C,'Resultat-Produktion &amp; forbrug'!$A209,'Forbrug af biomasse'!D:D,'Resultat-Produktion &amp; forbrug'!$D209,'Forbrug af biomasse'!G:G,1,'Forbrug af biomasse'!B:B,$E209)</f>
        <v>0</v>
      </c>
      <c r="N209" s="205">
        <f t="shared" si="48"/>
        <v>0</v>
      </c>
      <c r="O209" s="196">
        <f t="shared" si="59"/>
        <v>0</v>
      </c>
      <c r="P209" s="206">
        <f t="shared" si="49"/>
        <v>0</v>
      </c>
      <c r="Q209" s="193">
        <f>IFERROR(VLOOKUP(A209,[1]Energiindhold!$A$2:$C$11,3,FALSE),IFERROR(VLOOKUP(A209,[1]Biogasudbytte!$A$2:$B$18,2,FALSE)*[1]Energiindhold!$C$10,0))*O209</f>
        <v>0</v>
      </c>
      <c r="R209" s="193">
        <f>IF(A209&lt;&gt;"Biogas",IFERROR(VLOOKUP(A209,[1]Biogasudbytte!$A$2:$B$18,2,FALSE)*[1]Energiindhold!$C$10,0)*J209*IFERROR(VLOOKUP(A209,Biogasanlæg!$F$3:$G$8,2,FALSE),1)+IFERROR(VLOOKUP(A209,[1]Energiindhold!$A$2:$C$11,3,FALSE),0)*L209+IF(D209&lt;&gt;År1,Q209,0),0)</f>
        <v>0</v>
      </c>
      <c r="S209" s="193">
        <f>IFERROR(VLOOKUP(A209,[1]Biogasudbytte!$A$2:$B$18,2,FALSE)*[1]Energiindhold!$C$10,0)*J209*IFERROR(VLOOKUP(A209,Biogasanlæg!$F$3:$G$8,2,FALSE),1)</f>
        <v>0</v>
      </c>
      <c r="T209" s="194">
        <f t="shared" si="50"/>
        <v>0</v>
      </c>
      <c r="U209" s="192">
        <f>O209*IFERROR(VLOOKUP(A209,[1]Tørstofindhold!A$2:B$25,2,FALSE),0)</f>
        <v>0</v>
      </c>
      <c r="V209" s="193">
        <f>IF(D209=År1,P209,SUM(O209,P209))*IFERROR(VLOOKUP(A209,[1]Tørstofindhold!A$2:B$25,2,FALSE),0)</f>
        <v>0</v>
      </c>
      <c r="W209" s="193">
        <f>J209*IFERROR(VLOOKUP(A209,[1]Tørstofindhold!A$2:B$25,2,FALSE),0)</f>
        <v>0</v>
      </c>
      <c r="X209" s="194">
        <f t="shared" si="51"/>
        <v>0</v>
      </c>
      <c r="Y209" s="172">
        <f t="shared" si="60"/>
        <v>0</v>
      </c>
      <c r="Z209" s="104">
        <f t="shared" si="61"/>
        <v>0</v>
      </c>
    </row>
    <row r="210" spans="1:26" hidden="1" x14ac:dyDescent="0.55000000000000004">
      <c r="A210" s="195" t="str">
        <f t="shared" si="56"/>
        <v>Grøntsager</v>
      </c>
      <c r="B210" s="195" t="str">
        <f t="shared" si="57"/>
        <v/>
      </c>
      <c r="C210" s="195">
        <f>IF(COUNTIFS('Resultater - Danmark'!$D$3:$D$482,'Resultat-Produktion &amp; forbrug'!A210,'Resultater - Danmark'!$A$3:$A$482,"Til energi")+COUNTIFS('Resultater - Danmark'!$D$3:$D$482,'Resultat-Produktion &amp; forbrug'!A210,'Resultater - Danmark'!$A$3:$A$482,"Biogasanlæg")&gt;0,1,0)</f>
        <v>0</v>
      </c>
      <c r="D210" s="195">
        <f t="shared" si="58"/>
        <v>2030</v>
      </c>
      <c r="E210" s="193" t="s">
        <v>24</v>
      </c>
      <c r="F210" s="196">
        <f>IF(E210="Vestdanmark",SUMIFS(IF(D210=År1,'Resultater - Vestdanmark'!H$3:H$482,IF(D210=År2,'Resultater - Vestdanmark'!I$3:I$482,'Resultater - Vestdanmark'!J$3:J$482)),'Resultater - Vestdanmark'!$F$3:$F$482,$A210,IF(D210=År1,'Resultater - Vestdanmark'!H$3:H$482,IF(D210=År2,'Resultater - Vestdanmark'!I$3:I$482,'Resultater - Vestdanmark'!J$3:J$482)),"&gt;0"),SUMIFS(IF(D210=År1,'Resultater - Østdanmark'!H$3:H$482,IF(D210=År2,'Resultater - Østdanmark'!I$3:I$482,'Resultater - Østdanmark'!J$3:J$482)),'Resultater - Østdanmark'!$F$3:$F$482,$A210,IF(D210=År1,'Resultater - Østdanmark'!H$3:H$482,IF(D210=År2,'Resultater - Østdanmark'!I$3:I$482,'Resultater - Østdanmark'!J$3:J$482)),"&gt;0"))</f>
        <v>100834.72491971773</v>
      </c>
      <c r="G210" s="196">
        <f>SUMIFS('Forbrug af biomasse'!$E$2:$E$425,'Forbrug af biomasse'!$C$2:$C$425,'Resultat-Produktion &amp; forbrug'!$A210,'Forbrug af biomasse'!$D$2:$D$425,'Resultat-Produktion &amp; forbrug'!$D210,'Forbrug af biomasse'!$A$2:$A$425,'Resultat-Produktion &amp; forbrug'!G$2,'Forbrug af biomasse'!$B$2:$B$425,$E210)</f>
        <v>0</v>
      </c>
      <c r="H210" s="193">
        <f>IF(E210="Vestdanmark",-IF(A210="Halm",SUMIFS(IF(D210=År1,'Resultater - Vestdanmark'!H$3:H$482,IF(D210=År2,'Resultater - Vestdanmark'!I$3:I$482,'Resultater - Vestdanmark'!J$3:J$482)),'Resultater - Vestdanmark'!$F$3:$F$482,$A210,'Resultater - Vestdanmark'!H$3:H$482,"&lt;0"),0),-IF(A210="Halm",SUMIFS(IF(D210=År1,'Resultater - Østdanmark'!H$3:H$482,IF(D210=År2,'Resultater - Østdanmark'!I$3:I$482,'Resultater - Østdanmark'!J$3:J$482)),'Resultater - Østdanmark'!$F$3:$F$482,$A210,'Resultater - Østdanmark'!H$3:H$482,"&lt;0"),0))</f>
        <v>0</v>
      </c>
      <c r="I210" s="196">
        <f>SUMIFS('Forbrug af biomasse'!$E$2:$E$425,'Forbrug af biomasse'!$C$2:$C$425,'Resultat-Produktion &amp; forbrug'!$A210,'Forbrug af biomasse'!$D$2:$D$425,'Resultat-Produktion &amp; forbrug'!$D210,'Forbrug af biomasse'!$A$2:$A$425,'Resultat-Produktion &amp; forbrug'!I$2,'Forbrug af biomasse'!$B$2:$B$425,$E210)</f>
        <v>233902.44520004498</v>
      </c>
      <c r="J210" s="196">
        <f>SUMIFS('Forbrug af biomasse'!$E$2:$E$425,'Forbrug af biomasse'!$C$2:$C$425,'Resultat-Produktion &amp; forbrug'!$A210,'Forbrug af biomasse'!$D$2:$D$425,'Resultat-Produktion &amp; forbrug'!$D210,'Forbrug af biomasse'!$A$2:$A$425,'Resultat-Produktion &amp; forbrug'!J$2,'Forbrug af biomasse'!$B$2:$B$425,$E210)</f>
        <v>0</v>
      </c>
      <c r="K210" s="196">
        <f>SUMIFS('Forbrug af biomasse'!$E$2:$E$425,'Forbrug af biomasse'!$C$2:$C$425,'Resultat-Produktion &amp; forbrug'!$A210,'Forbrug af biomasse'!$D$2:$D$425,'Resultat-Produktion &amp; forbrug'!$D210,'Forbrug af biomasse'!$A$2:$A$425,'Resultat-Produktion &amp; forbrug'!K$2,'Forbrug af biomasse'!$B$2:$B$425,$E210)</f>
        <v>0</v>
      </c>
      <c r="L210" s="196">
        <f>IF(A210&lt;&gt;"Biogas",SUMIFS('Forbrug af biomasse'!$E$2:$E$425,'Forbrug af biomasse'!$C$2:$C$425,'Resultat-Produktion &amp; forbrug'!$A210,'Forbrug af biomasse'!$D$2:$D$425,'Resultat-Produktion &amp; forbrug'!$D210,'Forbrug af biomasse'!$A$2:$A$425,'Resultat-Produktion &amp; forbrug'!L$2,'Forbrug af biomasse'!$B$2:$B$425,$E210),F210)</f>
        <v>0</v>
      </c>
      <c r="M210" s="158">
        <f>SUMIFS('Forbrug af biomasse'!E:E,'Forbrug af biomasse'!C:C,'Resultat-Produktion &amp; forbrug'!$A210,'Forbrug af biomasse'!D:D,'Resultat-Produktion &amp; forbrug'!$D210,'Forbrug af biomasse'!G:G,1,'Forbrug af biomasse'!B:B,$E210)</f>
        <v>0</v>
      </c>
      <c r="N210" s="205">
        <f t="shared" si="48"/>
        <v>-133067.72028032725</v>
      </c>
      <c r="O210" s="196">
        <f t="shared" si="59"/>
        <v>0</v>
      </c>
      <c r="P210" s="206">
        <f t="shared" si="49"/>
        <v>0</v>
      </c>
      <c r="Q210" s="193">
        <f>IFERROR(VLOOKUP(A210,[1]Energiindhold!$A$2:$C$11,3,FALSE),IFERROR(VLOOKUP(A210,[1]Biogasudbytte!$A$2:$B$18,2,FALSE)*[1]Energiindhold!$C$10,0))*O210</f>
        <v>0</v>
      </c>
      <c r="R210" s="193">
        <f>IF(A210&lt;&gt;"Biogas",IFERROR(VLOOKUP(A210,[1]Biogasudbytte!$A$2:$B$18,2,FALSE)*[1]Energiindhold!$C$10,0)*J210*IFERROR(VLOOKUP(A210,Biogasanlæg!$F$3:$G$8,2,FALSE),1)+IFERROR(VLOOKUP(A210,[1]Energiindhold!$A$2:$C$11,3,FALSE),0)*L210+IF(D210&lt;&gt;År1,Q210,0),0)</f>
        <v>0</v>
      </c>
      <c r="S210" s="193">
        <f>IFERROR(VLOOKUP(A210,[1]Biogasudbytte!$A$2:$B$18,2,FALSE)*[1]Energiindhold!$C$10,0)*J210*IFERROR(VLOOKUP(A210,Biogasanlæg!$F$3:$G$8,2,FALSE),1)</f>
        <v>0</v>
      </c>
      <c r="T210" s="194">
        <f t="shared" si="50"/>
        <v>0</v>
      </c>
      <c r="U210" s="192">
        <f>O210*IFERROR(VLOOKUP(A210,[1]Tørstofindhold!A$2:B$25,2,FALSE),0)</f>
        <v>0</v>
      </c>
      <c r="V210" s="193">
        <f>IF(D210=År1,P210,SUM(O210,P210))*IFERROR(VLOOKUP(A210,[1]Tørstofindhold!A$2:B$25,2,FALSE),0)</f>
        <v>0</v>
      </c>
      <c r="W210" s="193">
        <f>J210*IFERROR(VLOOKUP(A210,[1]Tørstofindhold!A$2:B$25,2,FALSE),0)</f>
        <v>0</v>
      </c>
      <c r="X210" s="194">
        <f t="shared" si="51"/>
        <v>0</v>
      </c>
      <c r="Y210" s="172">
        <f t="shared" si="60"/>
        <v>1</v>
      </c>
      <c r="Z210" s="104">
        <f t="shared" si="61"/>
        <v>0</v>
      </c>
    </row>
    <row r="211" spans="1:26" hidden="1" x14ac:dyDescent="0.55000000000000004">
      <c r="A211" s="195" t="str">
        <f t="shared" si="56"/>
        <v>Halm</v>
      </c>
      <c r="B211" s="195" t="str">
        <f t="shared" si="57"/>
        <v>Halm og strå</v>
      </c>
      <c r="C211" s="195">
        <f>IF(COUNTIFS('Resultater - Danmark'!$D$3:$D$482,'Resultat-Produktion &amp; forbrug'!A211,'Resultater - Danmark'!$A$3:$A$482,"Til energi")+COUNTIFS('Resultater - Danmark'!$D$3:$D$482,'Resultat-Produktion &amp; forbrug'!A211,'Resultater - Danmark'!$A$3:$A$482,"Biogasanlæg")&gt;0,1,0)</f>
        <v>1</v>
      </c>
      <c r="D211" s="195">
        <f t="shared" si="58"/>
        <v>2030</v>
      </c>
      <c r="E211" s="193" t="s">
        <v>24</v>
      </c>
      <c r="F211" s="196">
        <f>IF(E211="Vestdanmark",SUMIFS(IF(D211=År1,'Resultater - Vestdanmark'!H$3:H$482,IF(D211=År2,'Resultater - Vestdanmark'!I$3:I$482,'Resultater - Vestdanmark'!J$3:J$482)),'Resultater - Vestdanmark'!$F$3:$F$482,$A211,IF(D211=År1,'Resultater - Vestdanmark'!H$3:H$482,IF(D211=År2,'Resultater - Vestdanmark'!I$3:I$482,'Resultater - Vestdanmark'!J$3:J$482)),"&gt;0"),SUMIFS(IF(D211=År1,'Resultater - Østdanmark'!H$3:H$482,IF(D211=År2,'Resultater - Østdanmark'!I$3:I$482,'Resultater - Østdanmark'!J$3:J$482)),'Resultater - Østdanmark'!$F$3:$F$482,$A211,IF(D211=År1,'Resultater - Østdanmark'!H$3:H$482,IF(D211=År2,'Resultater - Østdanmark'!I$3:I$482,'Resultater - Østdanmark'!J$3:J$482)),"&gt;0"))</f>
        <v>937754.98883303662</v>
      </c>
      <c r="G211" s="196">
        <f>SUMIFS('Forbrug af biomasse'!$E$2:$E$425,'Forbrug af biomasse'!$C$2:$C$425,'Resultat-Produktion &amp; forbrug'!$A211,'Forbrug af biomasse'!$D$2:$D$425,'Resultat-Produktion &amp; forbrug'!$D211,'Forbrug af biomasse'!$A$2:$A$425,'Resultat-Produktion &amp; forbrug'!G$2,'Forbrug af biomasse'!$B$2:$B$425,$E211)</f>
        <v>94889.448034412562</v>
      </c>
      <c r="H211" s="193">
        <f>IF(E211="Vestdanmark",-IF(A211="Halm",SUMIFS(IF(D211=År1,'Resultater - Vestdanmark'!H$3:H$482,IF(D211=År2,'Resultater - Vestdanmark'!I$3:I$482,'Resultater - Vestdanmark'!J$3:J$482)),'Resultater - Vestdanmark'!$F$3:$F$482,$A211,'Resultater - Vestdanmark'!H$3:H$482,"&lt;0"),0),-IF(A211="Halm",SUMIFS(IF(D211=År1,'Resultater - Østdanmark'!H$3:H$482,IF(D211=År2,'Resultater - Østdanmark'!I$3:I$482,'Resultater - Østdanmark'!J$3:J$482)),'Resultater - Østdanmark'!$F$3:$F$482,$A211,'Resultater - Østdanmark'!H$3:H$482,"&lt;0"),0))</f>
        <v>103520.85960187271</v>
      </c>
      <c r="I211" s="196">
        <f>SUMIFS('Forbrug af biomasse'!$E$2:$E$425,'Forbrug af biomasse'!$C$2:$C$425,'Resultat-Produktion &amp; forbrug'!$A211,'Forbrug af biomasse'!$D$2:$D$425,'Resultat-Produktion &amp; forbrug'!$D211,'Forbrug af biomasse'!$A$2:$A$425,'Resultat-Produktion &amp; forbrug'!I$2,'Forbrug af biomasse'!$B$2:$B$425,$E211)</f>
        <v>0</v>
      </c>
      <c r="J211" s="196">
        <f>SUMIFS('Forbrug af biomasse'!$E$2:$E$425,'Forbrug af biomasse'!$C$2:$C$425,'Resultat-Produktion &amp; forbrug'!$A211,'Forbrug af biomasse'!$D$2:$D$425,'Resultat-Produktion &amp; forbrug'!$D211,'Forbrug af biomasse'!$A$2:$A$425,'Resultat-Produktion &amp; forbrug'!J$2,'Forbrug af biomasse'!$B$2:$B$425,$E211)</f>
        <v>21802.990649872077</v>
      </c>
      <c r="K211" s="196">
        <f>SUMIFS('Forbrug af biomasse'!$E$2:$E$425,'Forbrug af biomasse'!$C$2:$C$425,'Resultat-Produktion &amp; forbrug'!$A211,'Forbrug af biomasse'!$D$2:$D$425,'Resultat-Produktion &amp; forbrug'!$D211,'Forbrug af biomasse'!$A$2:$A$425,'Resultat-Produktion &amp; forbrug'!K$2,'Forbrug af biomasse'!$B$2:$B$425,$E211)</f>
        <v>0</v>
      </c>
      <c r="L211" s="196">
        <f>IF(A211&lt;&gt;"Biogas",SUMIFS('Forbrug af biomasse'!$E$2:$E$425,'Forbrug af biomasse'!$C$2:$C$425,'Resultat-Produktion &amp; forbrug'!$A211,'Forbrug af biomasse'!$D$2:$D$425,'Resultat-Produktion &amp; forbrug'!$D211,'Forbrug af biomasse'!$A$2:$A$425,'Resultat-Produktion &amp; forbrug'!L$2,'Forbrug af biomasse'!$B$2:$B$425,$E211),F211)</f>
        <v>717541.6905468792</v>
      </c>
      <c r="M211" s="158">
        <f>SUMIFS('Forbrug af biomasse'!E:E,'Forbrug af biomasse'!C:C,'Resultat-Produktion &amp; forbrug'!$A211,'Forbrug af biomasse'!D:D,'Resultat-Produktion &amp; forbrug'!$D211,'Forbrug af biomasse'!G:G,1,'Forbrug af biomasse'!B:B,$E211)</f>
        <v>0</v>
      </c>
      <c r="N211" s="205">
        <f t="shared" si="48"/>
        <v>0</v>
      </c>
      <c r="O211" s="196">
        <f t="shared" si="59"/>
        <v>0</v>
      </c>
      <c r="P211" s="206">
        <f t="shared" si="49"/>
        <v>739344.68119675131</v>
      </c>
      <c r="Q211" s="193">
        <f>IFERROR(VLOOKUP(A211,[1]Energiindhold!$A$2:$C$11,3,FALSE),IFERROR(VLOOKUP(A211,[1]Biogasudbytte!$A$2:$B$18,2,FALSE)*[1]Energiindhold!$C$10,0))*O211</f>
        <v>0</v>
      </c>
      <c r="R211" s="193">
        <f>IF(A211&lt;&gt;"Biogas",IFERROR(VLOOKUP(A211,[1]Biogasudbytte!$A$2:$B$18,2,FALSE)*[1]Energiindhold!$C$10,0)*J211*IFERROR(VLOOKUP(A211,Biogasanlæg!$F$3:$G$8,2,FALSE),1)+IFERROR(VLOOKUP(A211,[1]Energiindhold!$A$2:$C$11,3,FALSE),0)*L211+IF(D211&lt;&gt;År1,Q211,0),0)</f>
        <v>7.5420779684590862</v>
      </c>
      <c r="S211" s="193">
        <f>IFERROR(VLOOKUP(A211,[1]Biogasudbytte!$A$2:$B$18,2,FALSE)*[1]Energiindhold!$C$10,0)*J211*IFERROR(VLOOKUP(A211,Biogasanlæg!$F$3:$G$8,2,FALSE),1)</f>
        <v>0.12570601471146348</v>
      </c>
      <c r="T211" s="194">
        <f t="shared" si="50"/>
        <v>7.4163719537476229</v>
      </c>
      <c r="U211" s="192">
        <f>O211*IFERROR(VLOOKUP(A211,[1]Tørstofindhold!A$2:B$25,2,FALSE),0)</f>
        <v>0</v>
      </c>
      <c r="V211" s="193">
        <f>IF(D211=År1,P211,SUM(O211,P211))*IFERROR(VLOOKUP(A211,[1]Tørstofindhold!A$2:B$25,2,FALSE),0)</f>
        <v>628442.9790172386</v>
      </c>
      <c r="W211" s="193">
        <f>J211*IFERROR(VLOOKUP(A211,[1]Tørstofindhold!A$2:B$25,2,FALSE),0)</f>
        <v>18532.542052391265</v>
      </c>
      <c r="X211" s="194">
        <f t="shared" si="51"/>
        <v>609910.43696484738</v>
      </c>
      <c r="Y211" s="172">
        <f t="shared" si="60"/>
        <v>0</v>
      </c>
      <c r="Z211" s="104">
        <f t="shared" si="61"/>
        <v>0</v>
      </c>
    </row>
    <row r="212" spans="1:26" hidden="1" x14ac:dyDescent="0.55000000000000004">
      <c r="A212" s="195" t="str">
        <f t="shared" si="56"/>
        <v>Have/parkaffald</v>
      </c>
      <c r="B212" s="195" t="str">
        <f t="shared" si="57"/>
        <v>Bionedbrydeligt affald</v>
      </c>
      <c r="C212" s="195">
        <f>IF(COUNTIFS('Resultater - Danmark'!$D$3:$D$482,'Resultat-Produktion &amp; forbrug'!A212,'Resultater - Danmark'!$A$3:$A$482,"Til energi")+COUNTIFS('Resultater - Danmark'!$D$3:$D$482,'Resultat-Produktion &amp; forbrug'!A212,'Resultater - Danmark'!$A$3:$A$482,"Biogasanlæg")&gt;0,1,0)</f>
        <v>1</v>
      </c>
      <c r="D212" s="195">
        <f t="shared" si="58"/>
        <v>2030</v>
      </c>
      <c r="E212" s="193" t="s">
        <v>24</v>
      </c>
      <c r="F212" s="196">
        <f>IF(E212="Vestdanmark",SUMIFS(IF(D212=År1,'Resultater - Vestdanmark'!H$3:H$482,IF(D212=År2,'Resultater - Vestdanmark'!I$3:I$482,'Resultater - Vestdanmark'!J$3:J$482)),'Resultater - Vestdanmark'!$F$3:$F$482,$A212,IF(D212=År1,'Resultater - Vestdanmark'!H$3:H$482,IF(D212=År2,'Resultater - Vestdanmark'!I$3:I$482,'Resultater - Vestdanmark'!J$3:J$482)),"&gt;0"),SUMIFS(IF(D212=År1,'Resultater - Østdanmark'!H$3:H$482,IF(D212=År2,'Resultater - Østdanmark'!I$3:I$482,'Resultater - Østdanmark'!J$3:J$482)),'Resultater - Østdanmark'!$F$3:$F$482,$A212,IF(D212=År1,'Resultater - Østdanmark'!H$3:H$482,IF(D212=År2,'Resultater - Østdanmark'!I$3:I$482,'Resultater - Østdanmark'!J$3:J$482)),"&gt;0"))</f>
        <v>456074.89013160887</v>
      </c>
      <c r="G212" s="196">
        <f>SUMIFS('Forbrug af biomasse'!$E$2:$E$425,'Forbrug af biomasse'!$C$2:$C$425,'Resultat-Produktion &amp; forbrug'!$A212,'Forbrug af biomasse'!$D$2:$D$425,'Resultat-Produktion &amp; forbrug'!$D212,'Forbrug af biomasse'!$A$2:$A$425,'Resultat-Produktion &amp; forbrug'!G$2,'Forbrug af biomasse'!$B$2:$B$425,$E212)</f>
        <v>0</v>
      </c>
      <c r="H212" s="193">
        <f>IF(E212="Vestdanmark",-IF(A212="Halm",SUMIFS(IF(D212=År1,'Resultater - Vestdanmark'!H$3:H$482,IF(D212=År2,'Resultater - Vestdanmark'!I$3:I$482,'Resultater - Vestdanmark'!J$3:J$482)),'Resultater - Vestdanmark'!$F$3:$F$482,$A212,'Resultater - Vestdanmark'!H$3:H$482,"&lt;0"),0),-IF(A212="Halm",SUMIFS(IF(D212=År1,'Resultater - Østdanmark'!H$3:H$482,IF(D212=År2,'Resultater - Østdanmark'!I$3:I$482,'Resultater - Østdanmark'!J$3:J$482)),'Resultater - Østdanmark'!$F$3:$F$482,$A212,'Resultater - Østdanmark'!H$3:H$482,"&lt;0"),0))</f>
        <v>0</v>
      </c>
      <c r="I212" s="196">
        <f>SUMIFS('Forbrug af biomasse'!$E$2:$E$425,'Forbrug af biomasse'!$C$2:$C$425,'Resultat-Produktion &amp; forbrug'!$A212,'Forbrug af biomasse'!$D$2:$D$425,'Resultat-Produktion &amp; forbrug'!$D212,'Forbrug af biomasse'!$A$2:$A$425,'Resultat-Produktion &amp; forbrug'!I$2,'Forbrug af biomasse'!$B$2:$B$425,$E212)</f>
        <v>0</v>
      </c>
      <c r="J212" s="196">
        <f>SUMIFS('Forbrug af biomasse'!$E$2:$E$425,'Forbrug af biomasse'!$C$2:$C$425,'Resultat-Produktion &amp; forbrug'!$A212,'Forbrug af biomasse'!$D$2:$D$425,'Resultat-Produktion &amp; forbrug'!$D212,'Forbrug af biomasse'!$A$2:$A$425,'Resultat-Produktion &amp; forbrug'!J$2,'Forbrug af biomasse'!$B$2:$B$425,$E212)</f>
        <v>36.19608838570413</v>
      </c>
      <c r="K212" s="196">
        <f>SUMIFS('Forbrug af biomasse'!$E$2:$E$425,'Forbrug af biomasse'!$C$2:$C$425,'Resultat-Produktion &amp; forbrug'!$A212,'Forbrug af biomasse'!$D$2:$D$425,'Resultat-Produktion &amp; forbrug'!$D212,'Forbrug af biomasse'!$A$2:$A$425,'Resultat-Produktion &amp; forbrug'!K$2,'Forbrug af biomasse'!$B$2:$B$425,$E212)</f>
        <v>0</v>
      </c>
      <c r="L212" s="196">
        <f>IF(A212&lt;&gt;"Biogas",SUMIFS('Forbrug af biomasse'!$E$2:$E$425,'Forbrug af biomasse'!$C$2:$C$425,'Resultat-Produktion &amp; forbrug'!$A212,'Forbrug af biomasse'!$D$2:$D$425,'Resultat-Produktion &amp; forbrug'!$D212,'Forbrug af biomasse'!$A$2:$A$425,'Resultat-Produktion &amp; forbrug'!L$2,'Forbrug af biomasse'!$B$2:$B$425,$E212),F212)</f>
        <v>456038.69404322316</v>
      </c>
      <c r="M212" s="158">
        <f>SUMIFS('Forbrug af biomasse'!E:E,'Forbrug af biomasse'!C:C,'Resultat-Produktion &amp; forbrug'!$A212,'Forbrug af biomasse'!D:D,'Resultat-Produktion &amp; forbrug'!$D212,'Forbrug af biomasse'!G:G,1,'Forbrug af biomasse'!B:B,$E212)</f>
        <v>0</v>
      </c>
      <c r="N212" s="205">
        <f t="shared" si="48"/>
        <v>0</v>
      </c>
      <c r="O212" s="196">
        <f t="shared" si="59"/>
        <v>0</v>
      </c>
      <c r="P212" s="206">
        <f t="shared" si="49"/>
        <v>456074.89013160887</v>
      </c>
      <c r="Q212" s="193">
        <f>IFERROR(VLOOKUP(A212,[1]Energiindhold!$A$2:$C$11,3,FALSE),IFERROR(VLOOKUP(A212,[1]Biogasudbytte!$A$2:$B$18,2,FALSE)*[1]Energiindhold!$C$10,0))*O212</f>
        <v>0</v>
      </c>
      <c r="R212" s="193">
        <f>IF(A212&lt;&gt;"Biogas",IFERROR(VLOOKUP(A212,[1]Biogasudbytte!$A$2:$B$18,2,FALSE)*[1]Energiindhold!$C$10,0)*J212*IFERROR(VLOOKUP(A212,Biogasanlæg!$F$3:$G$8,2,FALSE),1)+IFERROR(VLOOKUP(A212,[1]Energiindhold!$A$2:$C$11,3,FALSE),0)*L212+IF(D212&lt;&gt;År1,Q212,0),0)</f>
        <v>8.1413647955115209</v>
      </c>
      <c r="S212" s="193">
        <f>IFERROR(VLOOKUP(A212,[1]Biogasudbytte!$A$2:$B$18,2,FALSE)*[1]Energiindhold!$C$10,0)*J212*IFERROR(VLOOKUP(A212,Biogasanlæg!$F$3:$G$8,2,FALSE),1)</f>
        <v>6.1463491805112617E-5</v>
      </c>
      <c r="T212" s="194">
        <f t="shared" si="50"/>
        <v>8.1413033320197155</v>
      </c>
      <c r="U212" s="192">
        <f>O212*IFERROR(VLOOKUP(A212,[1]Tørstofindhold!A$2:B$25,2,FALSE),0)</f>
        <v>0</v>
      </c>
      <c r="V212" s="193">
        <f>IF(D212=År1,P212,SUM(O212,P212))*IFERROR(VLOOKUP(A212,[1]Tørstofindhold!A$2:B$25,2,FALSE),0)</f>
        <v>136822.46703948267</v>
      </c>
      <c r="W212" s="193">
        <f>J212*IFERROR(VLOOKUP(A212,[1]Tørstofindhold!A$2:B$25,2,FALSE),0)</f>
        <v>10.858826515711238</v>
      </c>
      <c r="X212" s="194">
        <f t="shared" si="51"/>
        <v>136811.60821296697</v>
      </c>
      <c r="Y212" s="172">
        <f t="shared" si="60"/>
        <v>0</v>
      </c>
      <c r="Z212" s="104">
        <f t="shared" si="61"/>
        <v>0</v>
      </c>
    </row>
    <row r="213" spans="1:26" hidden="1" x14ac:dyDescent="0.55000000000000004">
      <c r="A213" s="195" t="str">
        <f t="shared" si="56"/>
        <v>Import af foder</v>
      </c>
      <c r="B213" s="195" t="str">
        <f t="shared" si="57"/>
        <v/>
      </c>
      <c r="C213" s="195">
        <f>IF(COUNTIFS('Resultater - Danmark'!$D$3:$D$482,'Resultat-Produktion &amp; forbrug'!A213,'Resultater - Danmark'!$A$3:$A$482,"Til energi")+COUNTIFS('Resultater - Danmark'!$D$3:$D$482,'Resultat-Produktion &amp; forbrug'!A213,'Resultater - Danmark'!$A$3:$A$482,"Biogasanlæg")&gt;0,1,0)</f>
        <v>0</v>
      </c>
      <c r="D213" s="195">
        <f t="shared" si="58"/>
        <v>2030</v>
      </c>
      <c r="E213" s="193" t="s">
        <v>24</v>
      </c>
      <c r="F213" s="196">
        <f>IF(E213="Vestdanmark",SUMIFS(IF(D213=År1,'Resultater - Vestdanmark'!H$3:H$482,IF(D213=År2,'Resultater - Vestdanmark'!I$3:I$482,'Resultater - Vestdanmark'!J$3:J$482)),'Resultater - Vestdanmark'!$F$3:$F$482,$A213,IF(D213=År1,'Resultater - Vestdanmark'!H$3:H$482,IF(D213=År2,'Resultater - Vestdanmark'!I$3:I$482,'Resultater - Vestdanmark'!J$3:J$482)),"&gt;0"),SUMIFS(IF(D213=År1,'Resultater - Østdanmark'!H$3:H$482,IF(D213=År2,'Resultater - Østdanmark'!I$3:I$482,'Resultater - Østdanmark'!J$3:J$482)),'Resultater - Østdanmark'!$F$3:$F$482,$A213,IF(D213=År1,'Resultater - Østdanmark'!H$3:H$482,IF(D213=År2,'Resultater - Østdanmark'!I$3:I$482,'Resultater - Østdanmark'!J$3:J$482)),"&gt;0"))</f>
        <v>0</v>
      </c>
      <c r="G213" s="196">
        <f>SUMIFS('Forbrug af biomasse'!$E$2:$E$425,'Forbrug af biomasse'!$C$2:$C$425,'Resultat-Produktion &amp; forbrug'!$A213,'Forbrug af biomasse'!$D$2:$D$425,'Resultat-Produktion &amp; forbrug'!$D213,'Forbrug af biomasse'!$A$2:$A$425,'Resultat-Produktion &amp; forbrug'!G$2,'Forbrug af biomasse'!$B$2:$B$425,$E213)</f>
        <v>592646.72642582119</v>
      </c>
      <c r="H213" s="193">
        <f>IF(E213="Vestdanmark",-IF(A213="Halm",SUMIFS(IF(D213=År1,'Resultater - Vestdanmark'!H$3:H$482,IF(D213=År2,'Resultater - Vestdanmark'!I$3:I$482,'Resultater - Vestdanmark'!J$3:J$482)),'Resultater - Vestdanmark'!$F$3:$F$482,$A213,'Resultater - Vestdanmark'!H$3:H$482,"&lt;0"),0),-IF(A213="Halm",SUMIFS(IF(D213=År1,'Resultater - Østdanmark'!H$3:H$482,IF(D213=År2,'Resultater - Østdanmark'!I$3:I$482,'Resultater - Østdanmark'!J$3:J$482)),'Resultater - Østdanmark'!$F$3:$F$482,$A213,'Resultater - Østdanmark'!H$3:H$482,"&lt;0"),0))</f>
        <v>0</v>
      </c>
      <c r="I213" s="196">
        <f>SUMIFS('Forbrug af biomasse'!$E$2:$E$425,'Forbrug af biomasse'!$C$2:$C$425,'Resultat-Produktion &amp; forbrug'!$A213,'Forbrug af biomasse'!$D$2:$D$425,'Resultat-Produktion &amp; forbrug'!$D213,'Forbrug af biomasse'!$A$2:$A$425,'Resultat-Produktion &amp; forbrug'!I$2,'Forbrug af biomasse'!$B$2:$B$425,$E213)</f>
        <v>0</v>
      </c>
      <c r="J213" s="196">
        <f>SUMIFS('Forbrug af biomasse'!$E$2:$E$425,'Forbrug af biomasse'!$C$2:$C$425,'Resultat-Produktion &amp; forbrug'!$A213,'Forbrug af biomasse'!$D$2:$D$425,'Resultat-Produktion &amp; forbrug'!$D213,'Forbrug af biomasse'!$A$2:$A$425,'Resultat-Produktion &amp; forbrug'!J$2,'Forbrug af biomasse'!$B$2:$B$425,$E213)</f>
        <v>0</v>
      </c>
      <c r="K213" s="196">
        <f>SUMIFS('Forbrug af biomasse'!$E$2:$E$425,'Forbrug af biomasse'!$C$2:$C$425,'Resultat-Produktion &amp; forbrug'!$A213,'Forbrug af biomasse'!$D$2:$D$425,'Resultat-Produktion &amp; forbrug'!$D213,'Forbrug af biomasse'!$A$2:$A$425,'Resultat-Produktion &amp; forbrug'!K$2,'Forbrug af biomasse'!$B$2:$B$425,$E213)</f>
        <v>0</v>
      </c>
      <c r="L213" s="196">
        <f>IF(A213&lt;&gt;"Biogas",SUMIFS('Forbrug af biomasse'!$E$2:$E$425,'Forbrug af biomasse'!$C$2:$C$425,'Resultat-Produktion &amp; forbrug'!$A213,'Forbrug af biomasse'!$D$2:$D$425,'Resultat-Produktion &amp; forbrug'!$D213,'Forbrug af biomasse'!$A$2:$A$425,'Resultat-Produktion &amp; forbrug'!L$2,'Forbrug af biomasse'!$B$2:$B$425,$E213),F213)</f>
        <v>0</v>
      </c>
      <c r="M213" s="158">
        <f>SUMIFS('Forbrug af biomasse'!E:E,'Forbrug af biomasse'!C:C,'Resultat-Produktion &amp; forbrug'!$A213,'Forbrug af biomasse'!D:D,'Resultat-Produktion &amp; forbrug'!$D213,'Forbrug af biomasse'!G:G,1,'Forbrug af biomasse'!B:B,$E213)</f>
        <v>0</v>
      </c>
      <c r="N213" s="205">
        <f t="shared" si="48"/>
        <v>-592646.72642582119</v>
      </c>
      <c r="O213" s="196">
        <f t="shared" si="59"/>
        <v>0</v>
      </c>
      <c r="P213" s="206">
        <f t="shared" si="49"/>
        <v>0</v>
      </c>
      <c r="Q213" s="193">
        <f>IFERROR(VLOOKUP(A213,[1]Energiindhold!$A$2:$C$11,3,FALSE),IFERROR(VLOOKUP(A213,[1]Biogasudbytte!$A$2:$B$18,2,FALSE)*[1]Energiindhold!$C$10,0))*O213</f>
        <v>0</v>
      </c>
      <c r="R213" s="193">
        <f>IF(A213&lt;&gt;"Biogas",IFERROR(VLOOKUP(A213,[1]Biogasudbytte!$A$2:$B$18,2,FALSE)*[1]Energiindhold!$C$10,0)*J213*IFERROR(VLOOKUP(A213,Biogasanlæg!$F$3:$G$8,2,FALSE),1)+IFERROR(VLOOKUP(A213,[1]Energiindhold!$A$2:$C$11,3,FALSE),0)*L213+IF(D213&lt;&gt;År1,Q213,0),0)</f>
        <v>0</v>
      </c>
      <c r="S213" s="193">
        <f>IFERROR(VLOOKUP(A213,[1]Biogasudbytte!$A$2:$B$18,2,FALSE)*[1]Energiindhold!$C$10,0)*J213*IFERROR(VLOOKUP(A213,Biogasanlæg!$F$3:$G$8,2,FALSE),1)</f>
        <v>0</v>
      </c>
      <c r="T213" s="194">
        <f t="shared" si="50"/>
        <v>0</v>
      </c>
      <c r="U213" s="192">
        <f>O213*IFERROR(VLOOKUP(A213,[1]Tørstofindhold!A$2:B$25,2,FALSE),0)</f>
        <v>0</v>
      </c>
      <c r="V213" s="193">
        <f>IF(D213=År1,P213,SUM(O213,P213))*IFERROR(VLOOKUP(A213,[1]Tørstofindhold!A$2:B$25,2,FALSE),0)</f>
        <v>0</v>
      </c>
      <c r="W213" s="193">
        <f>J213*IFERROR(VLOOKUP(A213,[1]Tørstofindhold!A$2:B$25,2,FALSE),0)</f>
        <v>0</v>
      </c>
      <c r="X213" s="194">
        <f t="shared" si="51"/>
        <v>0</v>
      </c>
      <c r="Y213" s="172">
        <f t="shared" si="60"/>
        <v>1</v>
      </c>
      <c r="Z213" s="104">
        <f t="shared" si="61"/>
        <v>0</v>
      </c>
    </row>
    <row r="214" spans="1:26" hidden="1" x14ac:dyDescent="0.55000000000000004">
      <c r="A214" s="195" t="str">
        <f t="shared" si="56"/>
        <v>Industriaffald</v>
      </c>
      <c r="B214" s="195" t="str">
        <f t="shared" si="57"/>
        <v>Bionedbrydeligt affald</v>
      </c>
      <c r="C214" s="195">
        <f>IF(COUNTIFS('Resultater - Danmark'!$D$3:$D$482,'Resultat-Produktion &amp; forbrug'!A214,'Resultater - Danmark'!$A$3:$A$482,"Til energi")+COUNTIFS('Resultater - Danmark'!$D$3:$D$482,'Resultat-Produktion &amp; forbrug'!A214,'Resultater - Danmark'!$A$3:$A$482,"Biogasanlæg")&gt;0,1,0)</f>
        <v>1</v>
      </c>
      <c r="D214" s="195">
        <f t="shared" si="58"/>
        <v>2030</v>
      </c>
      <c r="E214" s="193" t="s">
        <v>24</v>
      </c>
      <c r="F214" s="196">
        <f>IF(E214="Vestdanmark",SUMIFS(IF(D214=År1,'Resultater - Vestdanmark'!H$3:H$482,IF(D214=År2,'Resultater - Vestdanmark'!I$3:I$482,'Resultater - Vestdanmark'!J$3:J$482)),'Resultater - Vestdanmark'!$F$3:$F$482,$A214,IF(D214=År1,'Resultater - Vestdanmark'!H$3:H$482,IF(D214=År2,'Resultater - Vestdanmark'!I$3:I$482,'Resultater - Vestdanmark'!J$3:J$482)),"&gt;0"),SUMIFS(IF(D214=År1,'Resultater - Østdanmark'!H$3:H$482,IF(D214=År2,'Resultater - Østdanmark'!I$3:I$482,'Resultater - Østdanmark'!J$3:J$482)),'Resultater - Østdanmark'!$F$3:$F$482,$A214,IF(D214=År1,'Resultater - Østdanmark'!H$3:H$482,IF(D214=År2,'Resultater - Østdanmark'!I$3:I$482,'Resultater - Østdanmark'!J$3:J$482)),"&gt;0"))</f>
        <v>202910.9816220197</v>
      </c>
      <c r="G214" s="196">
        <f>SUMIFS('Forbrug af biomasse'!$E$2:$E$425,'Forbrug af biomasse'!$C$2:$C$425,'Resultat-Produktion &amp; forbrug'!$A214,'Forbrug af biomasse'!$D$2:$D$425,'Resultat-Produktion &amp; forbrug'!$D214,'Forbrug af biomasse'!$A$2:$A$425,'Resultat-Produktion &amp; forbrug'!G$2,'Forbrug af biomasse'!$B$2:$B$425,$E214)</f>
        <v>0</v>
      </c>
      <c r="H214" s="193">
        <f>IF(E214="Vestdanmark",-IF(A214="Halm",SUMIFS(IF(D214=År1,'Resultater - Vestdanmark'!H$3:H$482,IF(D214=År2,'Resultater - Vestdanmark'!I$3:I$482,'Resultater - Vestdanmark'!J$3:J$482)),'Resultater - Vestdanmark'!$F$3:$F$482,$A214,'Resultater - Vestdanmark'!H$3:H$482,"&lt;0"),0),-IF(A214="Halm",SUMIFS(IF(D214=År1,'Resultater - Østdanmark'!H$3:H$482,IF(D214=År2,'Resultater - Østdanmark'!I$3:I$482,'Resultater - Østdanmark'!J$3:J$482)),'Resultater - Østdanmark'!$F$3:$F$482,$A214,'Resultater - Østdanmark'!H$3:H$482,"&lt;0"),0))</f>
        <v>0</v>
      </c>
      <c r="I214" s="196">
        <f>SUMIFS('Forbrug af biomasse'!$E$2:$E$425,'Forbrug af biomasse'!$C$2:$C$425,'Resultat-Produktion &amp; forbrug'!$A214,'Forbrug af biomasse'!$D$2:$D$425,'Resultat-Produktion &amp; forbrug'!$D214,'Forbrug af biomasse'!$A$2:$A$425,'Resultat-Produktion &amp; forbrug'!I$2,'Forbrug af biomasse'!$B$2:$B$425,$E214)</f>
        <v>0</v>
      </c>
      <c r="J214" s="196">
        <f>SUMIFS('Forbrug af biomasse'!$E$2:$E$425,'Forbrug af biomasse'!$C$2:$C$425,'Resultat-Produktion &amp; forbrug'!$A214,'Forbrug af biomasse'!$D$2:$D$425,'Resultat-Produktion &amp; forbrug'!$D214,'Forbrug af biomasse'!$A$2:$A$425,'Resultat-Produktion &amp; forbrug'!J$2,'Forbrug af biomasse'!$B$2:$B$425,$E214)</f>
        <v>202910.8690139266</v>
      </c>
      <c r="K214" s="196">
        <f>SUMIFS('Forbrug af biomasse'!$E$2:$E$425,'Forbrug af biomasse'!$C$2:$C$425,'Resultat-Produktion &amp; forbrug'!$A214,'Forbrug af biomasse'!$D$2:$D$425,'Resultat-Produktion &amp; forbrug'!$D214,'Forbrug af biomasse'!$A$2:$A$425,'Resultat-Produktion &amp; forbrug'!K$2,'Forbrug af biomasse'!$B$2:$B$425,$E214)</f>
        <v>0</v>
      </c>
      <c r="L214" s="196">
        <f>IF(A214&lt;&gt;"Biogas",SUMIFS('Forbrug af biomasse'!$E$2:$E$425,'Forbrug af biomasse'!$C$2:$C$425,'Resultat-Produktion &amp; forbrug'!$A214,'Forbrug af biomasse'!$D$2:$D$425,'Resultat-Produktion &amp; forbrug'!$D214,'Forbrug af biomasse'!$A$2:$A$425,'Resultat-Produktion &amp; forbrug'!L$2,'Forbrug af biomasse'!$B$2:$B$425,$E214),F214)</f>
        <v>0</v>
      </c>
      <c r="M214" s="158">
        <f>SUMIFS('Forbrug af biomasse'!E:E,'Forbrug af biomasse'!C:C,'Resultat-Produktion &amp; forbrug'!$A214,'Forbrug af biomasse'!D:D,'Resultat-Produktion &amp; forbrug'!$D214,'Forbrug af biomasse'!G:G,1,'Forbrug af biomasse'!B:B,$E214)</f>
        <v>0</v>
      </c>
      <c r="N214" s="205">
        <f t="shared" si="48"/>
        <v>0.11260809309897013</v>
      </c>
      <c r="O214" s="196">
        <f t="shared" si="59"/>
        <v>0.11260809309897013</v>
      </c>
      <c r="P214" s="206">
        <f t="shared" si="49"/>
        <v>202910.8690139266</v>
      </c>
      <c r="Q214" s="193">
        <f>IFERROR(VLOOKUP(A214,[1]Energiindhold!$A$2:$C$11,3,FALSE),IFERROR(VLOOKUP(A214,[1]Biogasudbytte!$A$2:$B$18,2,FALSE)*[1]Energiindhold!$C$10,0))*O214</f>
        <v>4.8794550644994054E-7</v>
      </c>
      <c r="R214" s="193">
        <f>IF(A214&lt;&gt;"Biogas",IFERROR(VLOOKUP(A214,[1]Biogasudbytte!$A$2:$B$18,2,FALSE)*[1]Energiindhold!$C$10,0)*J214*IFERROR(VLOOKUP(A214,Biogasanlæg!$F$3:$G$8,2,FALSE),1)+IFERROR(VLOOKUP(A214,[1]Energiindhold!$A$2:$C$11,3,FALSE),0)*L214+IF(D214&lt;&gt;År1,Q214,0),0)</f>
        <v>0.79131574441079067</v>
      </c>
      <c r="S214" s="193">
        <f>IFERROR(VLOOKUP(A214,[1]Biogasudbytte!$A$2:$B$18,2,FALSE)*[1]Energiindhold!$C$10,0)*J214*IFERROR(VLOOKUP(A214,Biogasanlæg!$F$3:$G$8,2,FALSE),1)</f>
        <v>0.79131525646528422</v>
      </c>
      <c r="T214" s="194">
        <f t="shared" si="50"/>
        <v>4.8794550644437606E-7</v>
      </c>
      <c r="U214" s="192">
        <f>O214*IFERROR(VLOOKUP(A214,[1]Tørstofindhold!A$2:B$25,2,FALSE),0)</f>
        <v>4.7295399101567451E-2</v>
      </c>
      <c r="V214" s="193">
        <f>IF(D214=År1,P214,SUM(O214,P214))*IFERROR(VLOOKUP(A214,[1]Tørstofindhold!A$2:B$25,2,FALSE),0)</f>
        <v>85222.612281248264</v>
      </c>
      <c r="W214" s="193">
        <f>J214*IFERROR(VLOOKUP(A214,[1]Tørstofindhold!A$2:B$25,2,FALSE),0)</f>
        <v>85222.564985849167</v>
      </c>
      <c r="X214" s="194">
        <f t="shared" si="51"/>
        <v>4.7295399097492918E-2</v>
      </c>
      <c r="Y214" s="172">
        <f t="shared" si="60"/>
        <v>0</v>
      </c>
      <c r="Z214" s="104">
        <f t="shared" si="61"/>
        <v>1</v>
      </c>
    </row>
    <row r="215" spans="1:26" hidden="1" x14ac:dyDescent="0.55000000000000004">
      <c r="A215" s="195" t="str">
        <f t="shared" si="56"/>
        <v>Juletræer</v>
      </c>
      <c r="B215" s="195" t="str">
        <f t="shared" si="57"/>
        <v/>
      </c>
      <c r="C215" s="195">
        <f>IF(COUNTIFS('Resultater - Danmark'!$D$3:$D$482,'Resultat-Produktion &amp; forbrug'!A215,'Resultater - Danmark'!$A$3:$A$482,"Til energi")+COUNTIFS('Resultater - Danmark'!$D$3:$D$482,'Resultat-Produktion &amp; forbrug'!A215,'Resultater - Danmark'!$A$3:$A$482,"Biogasanlæg")&gt;0,1,0)</f>
        <v>0</v>
      </c>
      <c r="D215" s="195">
        <f t="shared" si="58"/>
        <v>2030</v>
      </c>
      <c r="E215" s="193" t="s">
        <v>24</v>
      </c>
      <c r="F215" s="196">
        <f>IF(E215="Vestdanmark",SUMIFS(IF(D215=År1,'Resultater - Vestdanmark'!H$3:H$482,IF(D215=År2,'Resultater - Vestdanmark'!I$3:I$482,'Resultater - Vestdanmark'!J$3:J$482)),'Resultater - Vestdanmark'!$F$3:$F$482,$A215,IF(D215=År1,'Resultater - Vestdanmark'!H$3:H$482,IF(D215=År2,'Resultater - Vestdanmark'!I$3:I$482,'Resultater - Vestdanmark'!J$3:J$482)),"&gt;0"),SUMIFS(IF(D215=År1,'Resultater - Østdanmark'!H$3:H$482,IF(D215=År2,'Resultater - Østdanmark'!I$3:I$482,'Resultater - Østdanmark'!J$3:J$482)),'Resultater - Østdanmark'!$F$3:$F$482,$A215,IF(D215=År1,'Resultater - Østdanmark'!H$3:H$482,IF(D215=År2,'Resultater - Østdanmark'!I$3:I$482,'Resultater - Østdanmark'!J$3:J$482)),"&gt;0"))</f>
        <v>153987.37784910508</v>
      </c>
      <c r="G215" s="196">
        <f>SUMIFS('Forbrug af biomasse'!$E$2:$E$425,'Forbrug af biomasse'!$C$2:$C$425,'Resultat-Produktion &amp; forbrug'!$A215,'Forbrug af biomasse'!$D$2:$D$425,'Resultat-Produktion &amp; forbrug'!$D215,'Forbrug af biomasse'!$A$2:$A$425,'Resultat-Produktion &amp; forbrug'!G$2,'Forbrug af biomasse'!$B$2:$B$425,$E215)</f>
        <v>0</v>
      </c>
      <c r="H215" s="193">
        <f>IF(E215="Vestdanmark",-IF(A215="Halm",SUMIFS(IF(D215=År1,'Resultater - Vestdanmark'!H$3:H$482,IF(D215=År2,'Resultater - Vestdanmark'!I$3:I$482,'Resultater - Vestdanmark'!J$3:J$482)),'Resultater - Vestdanmark'!$F$3:$F$482,$A215,'Resultater - Vestdanmark'!H$3:H$482,"&lt;0"),0),-IF(A215="Halm",SUMIFS(IF(D215=År1,'Resultater - Østdanmark'!H$3:H$482,IF(D215=År2,'Resultater - Østdanmark'!I$3:I$482,'Resultater - Østdanmark'!J$3:J$482)),'Resultater - Østdanmark'!$F$3:$F$482,$A215,'Resultater - Østdanmark'!H$3:H$482,"&lt;0"),0))</f>
        <v>0</v>
      </c>
      <c r="I215" s="196">
        <f>SUMIFS('Forbrug af biomasse'!$E$2:$E$425,'Forbrug af biomasse'!$C$2:$C$425,'Resultat-Produktion &amp; forbrug'!$A215,'Forbrug af biomasse'!$D$2:$D$425,'Resultat-Produktion &amp; forbrug'!$D215,'Forbrug af biomasse'!$A$2:$A$425,'Resultat-Produktion &amp; forbrug'!I$2,'Forbrug af biomasse'!$B$2:$B$425,$E215)</f>
        <v>0</v>
      </c>
      <c r="J215" s="196">
        <f>SUMIFS('Forbrug af biomasse'!$E$2:$E$425,'Forbrug af biomasse'!$C$2:$C$425,'Resultat-Produktion &amp; forbrug'!$A215,'Forbrug af biomasse'!$D$2:$D$425,'Resultat-Produktion &amp; forbrug'!$D215,'Forbrug af biomasse'!$A$2:$A$425,'Resultat-Produktion &amp; forbrug'!J$2,'Forbrug af biomasse'!$B$2:$B$425,$E215)</f>
        <v>0</v>
      </c>
      <c r="K215" s="196">
        <f>SUMIFS('Forbrug af biomasse'!$E$2:$E$425,'Forbrug af biomasse'!$C$2:$C$425,'Resultat-Produktion &amp; forbrug'!$A215,'Forbrug af biomasse'!$D$2:$D$425,'Resultat-Produktion &amp; forbrug'!$D215,'Forbrug af biomasse'!$A$2:$A$425,'Resultat-Produktion &amp; forbrug'!K$2,'Forbrug af biomasse'!$B$2:$B$425,$E215)</f>
        <v>0</v>
      </c>
      <c r="L215" s="196">
        <f>IF(A215&lt;&gt;"Biogas",SUMIFS('Forbrug af biomasse'!$E$2:$E$425,'Forbrug af biomasse'!$C$2:$C$425,'Resultat-Produktion &amp; forbrug'!$A215,'Forbrug af biomasse'!$D$2:$D$425,'Resultat-Produktion &amp; forbrug'!$D215,'Forbrug af biomasse'!$A$2:$A$425,'Resultat-Produktion &amp; forbrug'!L$2,'Forbrug af biomasse'!$B$2:$B$425,$E215),F215)</f>
        <v>0</v>
      </c>
      <c r="M215" s="158">
        <f>SUMIFS('Forbrug af biomasse'!E:E,'Forbrug af biomasse'!C:C,'Resultat-Produktion &amp; forbrug'!$A215,'Forbrug af biomasse'!D:D,'Resultat-Produktion &amp; forbrug'!$D215,'Forbrug af biomasse'!G:G,1,'Forbrug af biomasse'!B:B,$E215)</f>
        <v>0</v>
      </c>
      <c r="N215" s="205">
        <f t="shared" si="48"/>
        <v>153987.37784910508</v>
      </c>
      <c r="O215" s="196">
        <f t="shared" si="59"/>
        <v>0</v>
      </c>
      <c r="P215" s="206">
        <f t="shared" si="49"/>
        <v>0</v>
      </c>
      <c r="Q215" s="193">
        <f>IFERROR(VLOOKUP(A215,[1]Energiindhold!$A$2:$C$11,3,FALSE),IFERROR(VLOOKUP(A215,[1]Biogasudbytte!$A$2:$B$18,2,FALSE)*[1]Energiindhold!$C$10,0))*O215</f>
        <v>0</v>
      </c>
      <c r="R215" s="193">
        <f>IF(A215&lt;&gt;"Biogas",IFERROR(VLOOKUP(A215,[1]Biogasudbytte!$A$2:$B$18,2,FALSE)*[1]Energiindhold!$C$10,0)*J215*IFERROR(VLOOKUP(A215,Biogasanlæg!$F$3:$G$8,2,FALSE),1)+IFERROR(VLOOKUP(A215,[1]Energiindhold!$A$2:$C$11,3,FALSE),0)*L215+IF(D215&lt;&gt;År1,Q215,0),0)</f>
        <v>0</v>
      </c>
      <c r="S215" s="193">
        <f>IFERROR(VLOOKUP(A215,[1]Biogasudbytte!$A$2:$B$18,2,FALSE)*[1]Energiindhold!$C$10,0)*J215*IFERROR(VLOOKUP(A215,Biogasanlæg!$F$3:$G$8,2,FALSE),1)</f>
        <v>0</v>
      </c>
      <c r="T215" s="194">
        <f t="shared" si="50"/>
        <v>0</v>
      </c>
      <c r="U215" s="192">
        <f>O215*IFERROR(VLOOKUP(A215,[1]Tørstofindhold!A$2:B$25,2,FALSE),0)</f>
        <v>0</v>
      </c>
      <c r="V215" s="193">
        <f>IF(D215=År1,P215,SUM(O215,P215))*IFERROR(VLOOKUP(A215,[1]Tørstofindhold!A$2:B$25,2,FALSE),0)</f>
        <v>0</v>
      </c>
      <c r="W215" s="193">
        <f>J215*IFERROR(VLOOKUP(A215,[1]Tørstofindhold!A$2:B$25,2,FALSE),0)</f>
        <v>0</v>
      </c>
      <c r="X215" s="194">
        <f t="shared" si="51"/>
        <v>0</v>
      </c>
      <c r="Y215" s="172">
        <f t="shared" si="60"/>
        <v>0</v>
      </c>
      <c r="Z215" s="104">
        <f t="shared" si="61"/>
        <v>1</v>
      </c>
    </row>
    <row r="216" spans="1:26" hidden="1" x14ac:dyDescent="0.55000000000000004">
      <c r="A216" s="195" t="str">
        <f t="shared" si="56"/>
        <v>Kartofler</v>
      </c>
      <c r="B216" s="195" t="str">
        <f t="shared" si="57"/>
        <v/>
      </c>
      <c r="C216" s="195">
        <f>IF(COUNTIFS('Resultater - Danmark'!$D$3:$D$482,'Resultat-Produktion &amp; forbrug'!A216,'Resultater - Danmark'!$A$3:$A$482,"Til energi")+COUNTIFS('Resultater - Danmark'!$D$3:$D$482,'Resultat-Produktion &amp; forbrug'!A216,'Resultater - Danmark'!$A$3:$A$482,"Biogasanlæg")&gt;0,1,0)</f>
        <v>0</v>
      </c>
      <c r="D216" s="195">
        <f t="shared" si="58"/>
        <v>2030</v>
      </c>
      <c r="E216" s="193" t="s">
        <v>24</v>
      </c>
      <c r="F216" s="196">
        <f>IF(E216="Vestdanmark",SUMIFS(IF(D216=År1,'Resultater - Vestdanmark'!H$3:H$482,IF(D216=År2,'Resultater - Vestdanmark'!I$3:I$482,'Resultater - Vestdanmark'!J$3:J$482)),'Resultater - Vestdanmark'!$F$3:$F$482,$A216,IF(D216=År1,'Resultater - Vestdanmark'!H$3:H$482,IF(D216=År2,'Resultater - Vestdanmark'!I$3:I$482,'Resultater - Vestdanmark'!J$3:J$482)),"&gt;0"),SUMIFS(IF(D216=År1,'Resultater - Østdanmark'!H$3:H$482,IF(D216=År2,'Resultater - Østdanmark'!I$3:I$482,'Resultater - Østdanmark'!J$3:J$482)),'Resultater - Østdanmark'!$F$3:$F$482,$A216,IF(D216=År1,'Resultater - Østdanmark'!H$3:H$482,IF(D216=År2,'Resultater - Østdanmark'!I$3:I$482,'Resultater - Østdanmark'!J$3:J$482)),"&gt;0"))</f>
        <v>122853.28204903381</v>
      </c>
      <c r="G216" s="196">
        <f>SUMIFS('Forbrug af biomasse'!$E$2:$E$425,'Forbrug af biomasse'!$C$2:$C$425,'Resultat-Produktion &amp; forbrug'!$A216,'Forbrug af biomasse'!$D$2:$D$425,'Resultat-Produktion &amp; forbrug'!$D216,'Forbrug af biomasse'!$A$2:$A$425,'Resultat-Produktion &amp; forbrug'!G$2,'Forbrug af biomasse'!$B$2:$B$425,$E216)</f>
        <v>0</v>
      </c>
      <c r="H216" s="193">
        <f>IF(E216="Vestdanmark",-IF(A216="Halm",SUMIFS(IF(D216=År1,'Resultater - Vestdanmark'!H$3:H$482,IF(D216=År2,'Resultater - Vestdanmark'!I$3:I$482,'Resultater - Vestdanmark'!J$3:J$482)),'Resultater - Vestdanmark'!$F$3:$F$482,$A216,'Resultater - Vestdanmark'!H$3:H$482,"&lt;0"),0),-IF(A216="Halm",SUMIFS(IF(D216=År1,'Resultater - Østdanmark'!H$3:H$482,IF(D216=År2,'Resultater - Østdanmark'!I$3:I$482,'Resultater - Østdanmark'!J$3:J$482)),'Resultater - Østdanmark'!$F$3:$F$482,$A216,'Resultater - Østdanmark'!H$3:H$482,"&lt;0"),0))</f>
        <v>0</v>
      </c>
      <c r="I216" s="196">
        <f>SUMIFS('Forbrug af biomasse'!$E$2:$E$425,'Forbrug af biomasse'!$C$2:$C$425,'Resultat-Produktion &amp; forbrug'!$A216,'Forbrug af biomasse'!$D$2:$D$425,'Resultat-Produktion &amp; forbrug'!$D216,'Forbrug af biomasse'!$A$2:$A$425,'Resultat-Produktion &amp; forbrug'!I$2,'Forbrug af biomasse'!$B$2:$B$425,$E216)</f>
        <v>106960.41463921656</v>
      </c>
      <c r="J216" s="196">
        <f>SUMIFS('Forbrug af biomasse'!$E$2:$E$425,'Forbrug af biomasse'!$C$2:$C$425,'Resultat-Produktion &amp; forbrug'!$A216,'Forbrug af biomasse'!$D$2:$D$425,'Resultat-Produktion &amp; forbrug'!$D216,'Forbrug af biomasse'!$A$2:$A$425,'Resultat-Produktion &amp; forbrug'!J$2,'Forbrug af biomasse'!$B$2:$B$425,$E216)</f>
        <v>0</v>
      </c>
      <c r="K216" s="196">
        <f>SUMIFS('Forbrug af biomasse'!$E$2:$E$425,'Forbrug af biomasse'!$C$2:$C$425,'Resultat-Produktion &amp; forbrug'!$A216,'Forbrug af biomasse'!$D$2:$D$425,'Resultat-Produktion &amp; forbrug'!$D216,'Forbrug af biomasse'!$A$2:$A$425,'Resultat-Produktion &amp; forbrug'!K$2,'Forbrug af biomasse'!$B$2:$B$425,$E216)</f>
        <v>0</v>
      </c>
      <c r="L216" s="196">
        <f>IF(A216&lt;&gt;"Biogas",SUMIFS('Forbrug af biomasse'!$E$2:$E$425,'Forbrug af biomasse'!$C$2:$C$425,'Resultat-Produktion &amp; forbrug'!$A216,'Forbrug af biomasse'!$D$2:$D$425,'Resultat-Produktion &amp; forbrug'!$D216,'Forbrug af biomasse'!$A$2:$A$425,'Resultat-Produktion &amp; forbrug'!L$2,'Forbrug af biomasse'!$B$2:$B$425,$E216),F216)</f>
        <v>0</v>
      </c>
      <c r="M216" s="158">
        <f>SUMIFS('Forbrug af biomasse'!E:E,'Forbrug af biomasse'!C:C,'Resultat-Produktion &amp; forbrug'!$A216,'Forbrug af biomasse'!D:D,'Resultat-Produktion &amp; forbrug'!$D216,'Forbrug af biomasse'!G:G,1,'Forbrug af biomasse'!B:B,$E216)</f>
        <v>0</v>
      </c>
      <c r="N216" s="205">
        <f t="shared" ref="N216:N281" si="62">F216-SUM(G216:M216)</f>
        <v>15892.867409817249</v>
      </c>
      <c r="O216" s="196">
        <f t="shared" si="59"/>
        <v>0</v>
      </c>
      <c r="P216" s="206">
        <f t="shared" ref="P216:P281" si="63">SUM(J216,L216)</f>
        <v>0</v>
      </c>
      <c r="Q216" s="193">
        <f>IFERROR(VLOOKUP(A216,[1]Energiindhold!$A$2:$C$11,3,FALSE),IFERROR(VLOOKUP(A216,[1]Biogasudbytte!$A$2:$B$18,2,FALSE)*[1]Energiindhold!$C$10,0))*O216</f>
        <v>0</v>
      </c>
      <c r="R216" s="193">
        <f>IF(A216&lt;&gt;"Biogas",IFERROR(VLOOKUP(A216,[1]Biogasudbytte!$A$2:$B$18,2,FALSE)*[1]Energiindhold!$C$10,0)*J216*IFERROR(VLOOKUP(A216,Biogasanlæg!$F$3:$G$8,2,FALSE),1)+IFERROR(VLOOKUP(A216,[1]Energiindhold!$A$2:$C$11,3,FALSE),0)*L216+IF(D216&lt;&gt;År1,Q216,0),0)</f>
        <v>0</v>
      </c>
      <c r="S216" s="193">
        <f>IFERROR(VLOOKUP(A216,[1]Biogasudbytte!$A$2:$B$18,2,FALSE)*[1]Energiindhold!$C$10,0)*J216*IFERROR(VLOOKUP(A216,Biogasanlæg!$F$3:$G$8,2,FALSE),1)</f>
        <v>0</v>
      </c>
      <c r="T216" s="194">
        <f t="shared" ref="T216:T281" si="64">R216-S216</f>
        <v>0</v>
      </c>
      <c r="U216" s="192">
        <f>O216*IFERROR(VLOOKUP(A216,[1]Tørstofindhold!A$2:B$25,2,FALSE),0)</f>
        <v>0</v>
      </c>
      <c r="V216" s="193">
        <f>IF(D216=År1,P216,SUM(O216,P216))*IFERROR(VLOOKUP(A216,[1]Tørstofindhold!A$2:B$25,2,FALSE),0)</f>
        <v>0</v>
      </c>
      <c r="W216" s="193">
        <f>J216*IFERROR(VLOOKUP(A216,[1]Tørstofindhold!A$2:B$25,2,FALSE),0)</f>
        <v>0</v>
      </c>
      <c r="X216" s="194">
        <f t="shared" ref="X216:X281" si="65">V216-W216</f>
        <v>0</v>
      </c>
      <c r="Y216" s="172">
        <f t="shared" si="60"/>
        <v>0</v>
      </c>
      <c r="Z216" s="104">
        <f t="shared" si="61"/>
        <v>1</v>
      </c>
    </row>
    <row r="217" spans="1:26" hidden="1" x14ac:dyDescent="0.55000000000000004">
      <c r="A217" s="195" t="str">
        <f t="shared" si="56"/>
        <v>Korn</v>
      </c>
      <c r="B217" s="195" t="str">
        <f t="shared" si="57"/>
        <v>Halm og strå</v>
      </c>
      <c r="C217" s="195">
        <f>IF(COUNTIFS('Resultater - Danmark'!$D$3:$D$482,'Resultat-Produktion &amp; forbrug'!A217,'Resultater - Danmark'!$A$3:$A$482,"Til energi")+COUNTIFS('Resultater - Danmark'!$D$3:$D$482,'Resultat-Produktion &amp; forbrug'!A217,'Resultater - Danmark'!$A$3:$A$482,"Biogasanlæg")&gt;0,1,0)</f>
        <v>1</v>
      </c>
      <c r="D217" s="195">
        <f t="shared" si="58"/>
        <v>2030</v>
      </c>
      <c r="E217" s="193" t="s">
        <v>24</v>
      </c>
      <c r="F217" s="196">
        <f>IF(E217="Vestdanmark",SUMIFS(IF(D217=År1,'Resultater - Vestdanmark'!H$3:H$482,IF(D217=År2,'Resultater - Vestdanmark'!I$3:I$482,'Resultater - Vestdanmark'!J$3:J$482)),'Resultater - Vestdanmark'!$F$3:$F$482,$A217,IF(D217=År1,'Resultater - Vestdanmark'!H$3:H$482,IF(D217=År2,'Resultater - Vestdanmark'!I$3:I$482,'Resultater - Vestdanmark'!J$3:J$482)),"&gt;0"),SUMIFS(IF(D217=År1,'Resultater - Østdanmark'!H$3:H$482,IF(D217=År2,'Resultater - Østdanmark'!I$3:I$482,'Resultater - Østdanmark'!J$3:J$482)),'Resultater - Østdanmark'!$F$3:$F$482,$A217,IF(D217=År1,'Resultater - Østdanmark'!H$3:H$482,IF(D217=År2,'Resultater - Østdanmark'!I$3:I$482,'Resultater - Østdanmark'!J$3:J$482)),"&gt;0"))</f>
        <v>2409167.1046716827</v>
      </c>
      <c r="G217" s="196">
        <f>SUMIFS('Forbrug af biomasse'!$E$2:$E$425,'Forbrug af biomasse'!$C$2:$C$425,'Resultat-Produktion &amp; forbrug'!$A217,'Forbrug af biomasse'!$D$2:$D$425,'Resultat-Produktion &amp; forbrug'!$D217,'Forbrug af biomasse'!$A$2:$A$425,'Resultat-Produktion &amp; forbrug'!G$2,'Forbrug af biomasse'!$B$2:$B$425,$E217)</f>
        <v>721621.60770550347</v>
      </c>
      <c r="H217" s="193">
        <f>IF(E217="Vestdanmark",-IF(A217="Halm",SUMIFS(IF(D217=År1,'Resultater - Vestdanmark'!H$3:H$482,IF(D217=År2,'Resultater - Vestdanmark'!I$3:I$482,'Resultater - Vestdanmark'!J$3:J$482)),'Resultater - Vestdanmark'!$F$3:$F$482,$A217,'Resultater - Vestdanmark'!H$3:H$482,"&lt;0"),0),-IF(A217="Halm",SUMIFS(IF(D217=År1,'Resultater - Østdanmark'!H$3:H$482,IF(D217=År2,'Resultater - Østdanmark'!I$3:I$482,'Resultater - Østdanmark'!J$3:J$482)),'Resultater - Østdanmark'!$F$3:$F$482,$A217,'Resultater - Østdanmark'!H$3:H$482,"&lt;0"),0))</f>
        <v>0</v>
      </c>
      <c r="I217" s="196">
        <f>SUMIFS('Forbrug af biomasse'!$E$2:$E$425,'Forbrug af biomasse'!$C$2:$C$425,'Resultat-Produktion &amp; forbrug'!$A217,'Forbrug af biomasse'!$D$2:$D$425,'Resultat-Produktion &amp; forbrug'!$D217,'Forbrug af biomasse'!$A$2:$A$425,'Resultat-Produktion &amp; forbrug'!I$2,'Forbrug af biomasse'!$B$2:$B$425,$E217)</f>
        <v>256234.83946537593</v>
      </c>
      <c r="J217" s="196">
        <f>SUMIFS('Forbrug af biomasse'!$E$2:$E$425,'Forbrug af biomasse'!$C$2:$C$425,'Resultat-Produktion &amp; forbrug'!$A217,'Forbrug af biomasse'!$D$2:$D$425,'Resultat-Produktion &amp; forbrug'!$D217,'Forbrug af biomasse'!$A$2:$A$425,'Resultat-Produktion &amp; forbrug'!J$2,'Forbrug af biomasse'!$B$2:$B$425,$E217)</f>
        <v>902.58897857101761</v>
      </c>
      <c r="K217" s="196">
        <f>SUMIFS('Forbrug af biomasse'!$E$2:$E$425,'Forbrug af biomasse'!$C$2:$C$425,'Resultat-Produktion &amp; forbrug'!$A217,'Forbrug af biomasse'!$D$2:$D$425,'Resultat-Produktion &amp; forbrug'!$D217,'Forbrug af biomasse'!$A$2:$A$425,'Resultat-Produktion &amp; forbrug'!K$2,'Forbrug af biomasse'!$B$2:$B$425,$E217)</f>
        <v>0</v>
      </c>
      <c r="L217" s="196">
        <f>IF(A217&lt;&gt;"Biogas",SUMIFS('Forbrug af biomasse'!$E$2:$E$425,'Forbrug af biomasse'!$C$2:$C$425,'Resultat-Produktion &amp; forbrug'!$A217,'Forbrug af biomasse'!$D$2:$D$425,'Resultat-Produktion &amp; forbrug'!$D217,'Forbrug af biomasse'!$A$2:$A$425,'Resultat-Produktion &amp; forbrug'!L$2,'Forbrug af biomasse'!$B$2:$B$425,$E217),F217)</f>
        <v>0</v>
      </c>
      <c r="M217" s="158">
        <f>SUMIFS('Forbrug af biomasse'!E:E,'Forbrug af biomasse'!C:C,'Resultat-Produktion &amp; forbrug'!$A217,'Forbrug af biomasse'!D:D,'Resultat-Produktion &amp; forbrug'!$D217,'Forbrug af biomasse'!G:G,1,'Forbrug af biomasse'!B:B,$E217)</f>
        <v>0</v>
      </c>
      <c r="N217" s="205">
        <f>F217-SUM(G217:M217)</f>
        <v>1430408.0685222321</v>
      </c>
      <c r="O217" s="196">
        <f t="shared" si="59"/>
        <v>1430408.0685222321</v>
      </c>
      <c r="P217" s="206">
        <f t="shared" si="63"/>
        <v>902.58897857101761</v>
      </c>
      <c r="Q217" s="193">
        <f>IFERROR(VLOOKUP(A217,[1]Energiindhold!$A$2:$C$11,3,FALSE),IFERROR(VLOOKUP(A217,[1]Biogasudbytte!$A$2:$B$18,2,FALSE)*[1]Energiindhold!$C$10,0))*O217</f>
        <v>4.8989473775590531</v>
      </c>
      <c r="R217" s="193">
        <f>IF(A217&lt;&gt;"Biogas",IFERROR(VLOOKUP(A217,[1]Biogasudbytte!$A$2:$B$18,2,FALSE)*[1]Energiindhold!$C$10,0)*J217*IFERROR(VLOOKUP(A217,Biogasanlæg!$F$3:$G$8,2,FALSE),1)+IFERROR(VLOOKUP(A217,[1]Energiindhold!$A$2:$C$11,3,FALSE),0)*L217+IF(D217&lt;&gt;År1,Q217,0),0)</f>
        <v>4.9020386184482021</v>
      </c>
      <c r="S217" s="193">
        <f>IFERROR(VLOOKUP(A217,[1]Biogasudbytte!$A$2:$B$18,2,FALSE)*[1]Energiindhold!$C$10,0)*J217*IFERROR(VLOOKUP(A217,Biogasanlæg!$F$3:$G$8,2,FALSE),1)</f>
        <v>3.0912408891487358E-3</v>
      </c>
      <c r="T217" s="194">
        <f t="shared" si="64"/>
        <v>4.8989473775590531</v>
      </c>
      <c r="U217" s="192">
        <f>O217*IFERROR(VLOOKUP(A217,[1]Tørstofindhold!A$2:B$25,2,FALSE),0)</f>
        <v>443426.50124189194</v>
      </c>
      <c r="V217" s="193">
        <f>IF(D217=År1,P217,SUM(O217,P217))*IFERROR(VLOOKUP(A217,[1]Tørstofindhold!A$2:B$25,2,FALSE),0)</f>
        <v>443706.30382524902</v>
      </c>
      <c r="W217" s="193">
        <f>J217*IFERROR(VLOOKUP(A217,[1]Tørstofindhold!A$2:B$25,2,FALSE),0)</f>
        <v>279.80258335701546</v>
      </c>
      <c r="X217" s="194">
        <f t="shared" si="65"/>
        <v>443426.50124189199</v>
      </c>
      <c r="Y217" s="172">
        <f t="shared" si="60"/>
        <v>0</v>
      </c>
      <c r="Z217" s="104">
        <f t="shared" si="61"/>
        <v>1</v>
      </c>
    </row>
    <row r="218" spans="1:26" hidden="1" x14ac:dyDescent="0.55000000000000004">
      <c r="A218" s="195" t="str">
        <f t="shared" si="56"/>
        <v>Kunstgødning</v>
      </c>
      <c r="B218" s="195" t="str">
        <f t="shared" si="57"/>
        <v/>
      </c>
      <c r="C218" s="195">
        <f>IF(COUNTIFS('Resultater - Danmark'!$D$3:$D$482,'Resultat-Produktion &amp; forbrug'!A218,'Resultater - Danmark'!$A$3:$A$482,"Til energi")+COUNTIFS('Resultater - Danmark'!$D$3:$D$482,'Resultat-Produktion &amp; forbrug'!A218,'Resultater - Danmark'!$A$3:$A$482,"Biogasanlæg")&gt;0,1,0)</f>
        <v>0</v>
      </c>
      <c r="D218" s="195">
        <f t="shared" si="58"/>
        <v>2030</v>
      </c>
      <c r="E218" s="193" t="s">
        <v>24</v>
      </c>
      <c r="F218" s="196">
        <f>IF(E218="Vestdanmark",SUMIFS(IF(D218=År1,'Resultater - Vestdanmark'!H$3:H$482,IF(D218=År2,'Resultater - Vestdanmark'!I$3:I$482,'Resultater - Vestdanmark'!J$3:J$482)),'Resultater - Vestdanmark'!$F$3:$F$482,$A218,IF(D218=År1,'Resultater - Vestdanmark'!H$3:H$482,IF(D218=År2,'Resultater - Vestdanmark'!I$3:I$482,'Resultater - Vestdanmark'!J$3:J$482)),"&gt;0"),SUMIFS(IF(D218=År1,'Resultater - Østdanmark'!H$3:H$482,IF(D218=År2,'Resultater - Østdanmark'!I$3:I$482,'Resultater - Østdanmark'!J$3:J$482)),'Resultater - Østdanmark'!$F$3:$F$482,$A218,IF(D218=År1,'Resultater - Østdanmark'!H$3:H$482,IF(D218=År2,'Resultater - Østdanmark'!I$3:I$482,'Resultater - Østdanmark'!J$3:J$482)),"&gt;0"))</f>
        <v>0</v>
      </c>
      <c r="G218" s="196">
        <f>SUMIFS('Forbrug af biomasse'!$E$2:$E$425,'Forbrug af biomasse'!$C$2:$C$425,'Resultat-Produktion &amp; forbrug'!$A218,'Forbrug af biomasse'!$D$2:$D$425,'Resultat-Produktion &amp; forbrug'!$D218,'Forbrug af biomasse'!$A$2:$A$425,'Resultat-Produktion &amp; forbrug'!G$2,'Forbrug af biomasse'!$B$2:$B$425,$E218)</f>
        <v>0</v>
      </c>
      <c r="H218" s="193">
        <f>IF(E218="Vestdanmark",-IF(A218="Halm",SUMIFS(IF(D218=År1,'Resultater - Vestdanmark'!H$3:H$482,IF(D218=År2,'Resultater - Vestdanmark'!I$3:I$482,'Resultater - Vestdanmark'!J$3:J$482)),'Resultater - Vestdanmark'!$F$3:$F$482,$A218,'Resultater - Vestdanmark'!H$3:H$482,"&lt;0"),0),-IF(A218="Halm",SUMIFS(IF(D218=År1,'Resultater - Østdanmark'!H$3:H$482,IF(D218=År2,'Resultater - Østdanmark'!I$3:I$482,'Resultater - Østdanmark'!J$3:J$482)),'Resultater - Østdanmark'!$F$3:$F$482,$A218,'Resultater - Østdanmark'!H$3:H$482,"&lt;0"),0))</f>
        <v>0</v>
      </c>
      <c r="I218" s="196">
        <f>SUMIFS('Forbrug af biomasse'!$E$2:$E$425,'Forbrug af biomasse'!$C$2:$C$425,'Resultat-Produktion &amp; forbrug'!$A218,'Forbrug af biomasse'!$D$2:$D$425,'Resultat-Produktion &amp; forbrug'!$D218,'Forbrug af biomasse'!$A$2:$A$425,'Resultat-Produktion &amp; forbrug'!I$2,'Forbrug af biomasse'!$B$2:$B$425,$E218)</f>
        <v>0</v>
      </c>
      <c r="J218" s="196">
        <f>SUMIFS('Forbrug af biomasse'!$E$2:$E$425,'Forbrug af biomasse'!$C$2:$C$425,'Resultat-Produktion &amp; forbrug'!$A218,'Forbrug af biomasse'!$D$2:$D$425,'Resultat-Produktion &amp; forbrug'!$D218,'Forbrug af biomasse'!$A$2:$A$425,'Resultat-Produktion &amp; forbrug'!J$2,'Forbrug af biomasse'!$B$2:$B$425,$E218)</f>
        <v>0</v>
      </c>
      <c r="K218" s="196">
        <f ca="1">SUMIFS('Forbrug af biomasse'!$E$2:$E$425,'Forbrug af biomasse'!$C$2:$C$425,'Resultat-Produktion &amp; forbrug'!$A218,'Forbrug af biomasse'!$D$2:$D$425,'Resultat-Produktion &amp; forbrug'!$D218,'Forbrug af biomasse'!$A$2:$A$425,'Resultat-Produktion &amp; forbrug'!K$2,'Forbrug af biomasse'!$B$2:$B$425,$E218)</f>
        <v>371935.38983283757</v>
      </c>
      <c r="L218" s="196">
        <f>IF(A218&lt;&gt;"Biogas",SUMIFS('Forbrug af biomasse'!$E$2:$E$425,'Forbrug af biomasse'!$C$2:$C$425,'Resultat-Produktion &amp; forbrug'!$A218,'Forbrug af biomasse'!$D$2:$D$425,'Resultat-Produktion &amp; forbrug'!$D218,'Forbrug af biomasse'!$A$2:$A$425,'Resultat-Produktion &amp; forbrug'!L$2,'Forbrug af biomasse'!$B$2:$B$425,$E218),F218)</f>
        <v>0</v>
      </c>
      <c r="M218" s="158">
        <f>SUMIFS('Forbrug af biomasse'!E:E,'Forbrug af biomasse'!C:C,'Resultat-Produktion &amp; forbrug'!$A218,'Forbrug af biomasse'!D:D,'Resultat-Produktion &amp; forbrug'!$D218,'Forbrug af biomasse'!G:G,1,'Forbrug af biomasse'!B:B,$E218)</f>
        <v>0</v>
      </c>
      <c r="N218" s="205">
        <f t="shared" ca="1" si="62"/>
        <v>-371935.38983283757</v>
      </c>
      <c r="O218" s="196">
        <f t="shared" si="59"/>
        <v>0</v>
      </c>
      <c r="P218" s="206">
        <f t="shared" si="63"/>
        <v>0</v>
      </c>
      <c r="Q218" s="193">
        <f>IFERROR(VLOOKUP(A218,[1]Energiindhold!$A$2:$C$11,3,FALSE),IFERROR(VLOOKUP(A218,[1]Biogasudbytte!$A$2:$B$18,2,FALSE)*[1]Energiindhold!$C$10,0))*O218</f>
        <v>0</v>
      </c>
      <c r="R218" s="193">
        <f>IF(A218&lt;&gt;"Biogas",IFERROR(VLOOKUP(A218,[1]Biogasudbytte!$A$2:$B$18,2,FALSE)*[1]Energiindhold!$C$10,0)*J218*IFERROR(VLOOKUP(A218,Biogasanlæg!$F$3:$G$8,2,FALSE),1)+IFERROR(VLOOKUP(A218,[1]Energiindhold!$A$2:$C$11,3,FALSE),0)*L218+IF(D218&lt;&gt;År1,Q218,0),0)</f>
        <v>0</v>
      </c>
      <c r="S218" s="193">
        <f>IFERROR(VLOOKUP(A218,[1]Biogasudbytte!$A$2:$B$18,2,FALSE)*[1]Energiindhold!$C$10,0)*J218*IFERROR(VLOOKUP(A218,Biogasanlæg!$F$3:$G$8,2,FALSE),1)</f>
        <v>0</v>
      </c>
      <c r="T218" s="194">
        <f t="shared" si="64"/>
        <v>0</v>
      </c>
      <c r="U218" s="192">
        <f>O218*IFERROR(VLOOKUP(A218,[1]Tørstofindhold!A$2:B$25,2,FALSE),0)</f>
        <v>0</v>
      </c>
      <c r="V218" s="193">
        <f>IF(D218=År1,P218,SUM(O218,P218))*IFERROR(VLOOKUP(A218,[1]Tørstofindhold!A$2:B$25,2,FALSE),0)</f>
        <v>0</v>
      </c>
      <c r="W218" s="193">
        <f>J218*IFERROR(VLOOKUP(A218,[1]Tørstofindhold!A$2:B$25,2,FALSE),0)</f>
        <v>0</v>
      </c>
      <c r="X218" s="194">
        <f t="shared" si="65"/>
        <v>0</v>
      </c>
      <c r="Y218" s="172">
        <f t="shared" ca="1" si="60"/>
        <v>1</v>
      </c>
      <c r="Z218" s="104">
        <f t="shared" ca="1" si="61"/>
        <v>0</v>
      </c>
    </row>
    <row r="219" spans="1:26" hidden="1" x14ac:dyDescent="0.55000000000000004">
      <c r="A219" s="195" t="str">
        <f t="shared" si="56"/>
        <v>Kvæggylle</v>
      </c>
      <c r="B219" s="195" t="str">
        <f t="shared" si="57"/>
        <v>Husdyrgødning</v>
      </c>
      <c r="C219" s="195">
        <f>IF(COUNTIFS('Resultater - Danmark'!$D$3:$D$482,'Resultat-Produktion &amp; forbrug'!A219,'Resultater - Danmark'!$A$3:$A$482,"Til energi")+COUNTIFS('Resultater - Danmark'!$D$3:$D$482,'Resultat-Produktion &amp; forbrug'!A219,'Resultater - Danmark'!$A$3:$A$482,"Biogasanlæg")&gt;0,1,0)</f>
        <v>1</v>
      </c>
      <c r="D219" s="195">
        <f t="shared" si="58"/>
        <v>2030</v>
      </c>
      <c r="E219" s="193" t="s">
        <v>24</v>
      </c>
      <c r="F219" s="196">
        <f>IF(E219="Vestdanmark",SUMIFS(IF(D219=År1,'Resultater - Vestdanmark'!H$3:H$482,IF(D219=År2,'Resultater - Vestdanmark'!I$3:I$482,'Resultater - Vestdanmark'!J$3:J$482)),'Resultater - Vestdanmark'!$F$3:$F$482,$A219,IF(D219=År1,'Resultater - Vestdanmark'!H$3:H$482,IF(D219=År2,'Resultater - Vestdanmark'!I$3:I$482,'Resultater - Vestdanmark'!J$3:J$482)),"&gt;0"),SUMIFS(IF(D219=År1,'Resultater - Østdanmark'!H$3:H$482,IF(D219=År2,'Resultater - Østdanmark'!I$3:I$482,'Resultater - Østdanmark'!J$3:J$482)),'Resultater - Østdanmark'!$F$3:$F$482,$A219,IF(D219=År1,'Resultater - Østdanmark'!H$3:H$482,IF(D219=År2,'Resultater - Østdanmark'!I$3:I$482,'Resultater - Østdanmark'!J$3:J$482)),"&gt;0"))</f>
        <v>922789.17266620893</v>
      </c>
      <c r="G219" s="196">
        <f>SUMIFS('Forbrug af biomasse'!$E$2:$E$425,'Forbrug af biomasse'!$C$2:$C$425,'Resultat-Produktion &amp; forbrug'!$A219,'Forbrug af biomasse'!$D$2:$D$425,'Resultat-Produktion &amp; forbrug'!$D219,'Forbrug af biomasse'!$A$2:$A$425,'Resultat-Produktion &amp; forbrug'!G$2,'Forbrug af biomasse'!$B$2:$B$425,$E219)</f>
        <v>0</v>
      </c>
      <c r="H219" s="193">
        <f>IF(E219="Vestdanmark",-IF(A219="Halm",SUMIFS(IF(D219=År1,'Resultater - Vestdanmark'!H$3:H$482,IF(D219=År2,'Resultater - Vestdanmark'!I$3:I$482,'Resultater - Vestdanmark'!J$3:J$482)),'Resultater - Vestdanmark'!$F$3:$F$482,$A219,'Resultater - Vestdanmark'!H$3:H$482,"&lt;0"),0),-IF(A219="Halm",SUMIFS(IF(D219=År1,'Resultater - Østdanmark'!H$3:H$482,IF(D219=År2,'Resultater - Østdanmark'!I$3:I$482,'Resultater - Østdanmark'!J$3:J$482)),'Resultater - Østdanmark'!$F$3:$F$482,$A219,'Resultater - Østdanmark'!H$3:H$482,"&lt;0"),0))</f>
        <v>0</v>
      </c>
      <c r="I219" s="196">
        <f>SUMIFS('Forbrug af biomasse'!$E$2:$E$425,'Forbrug af biomasse'!$C$2:$C$425,'Resultat-Produktion &amp; forbrug'!$A219,'Forbrug af biomasse'!$D$2:$D$425,'Resultat-Produktion &amp; forbrug'!$D219,'Forbrug af biomasse'!$A$2:$A$425,'Resultat-Produktion &amp; forbrug'!I$2,'Forbrug af biomasse'!$B$2:$B$425,$E219)</f>
        <v>0</v>
      </c>
      <c r="J219" s="196">
        <f>SUMIFS('Forbrug af biomasse'!$E$2:$E$425,'Forbrug af biomasse'!$C$2:$C$425,'Resultat-Produktion &amp; forbrug'!$A219,'Forbrug af biomasse'!$D$2:$D$425,'Resultat-Produktion &amp; forbrug'!$D219,'Forbrug af biomasse'!$A$2:$A$425,'Resultat-Produktion &amp; forbrug'!J$2,'Forbrug af biomasse'!$B$2:$B$425,$E219)</f>
        <v>701319.77122631879</v>
      </c>
      <c r="K219" s="196">
        <f>SUMIFS('Forbrug af biomasse'!$E$2:$E$425,'Forbrug af biomasse'!$C$2:$C$425,'Resultat-Produktion &amp; forbrug'!$A219,'Forbrug af biomasse'!$D$2:$D$425,'Resultat-Produktion &amp; forbrug'!$D219,'Forbrug af biomasse'!$A$2:$A$425,'Resultat-Produktion &amp; forbrug'!K$2,'Forbrug af biomasse'!$B$2:$B$425,$E219)</f>
        <v>146723.47845392721</v>
      </c>
      <c r="L219" s="196">
        <f>IF(A219&lt;&gt;"Biogas",SUMIFS('Forbrug af biomasse'!$E$2:$E$425,'Forbrug af biomasse'!$C$2:$C$425,'Resultat-Produktion &amp; forbrug'!$A219,'Forbrug af biomasse'!$D$2:$D$425,'Resultat-Produktion &amp; forbrug'!$D219,'Forbrug af biomasse'!$A$2:$A$425,'Resultat-Produktion &amp; forbrug'!L$2,'Forbrug af biomasse'!$B$2:$B$425,$E219),F219)</f>
        <v>0</v>
      </c>
      <c r="M219" s="158">
        <f>SUMIFS('Forbrug af biomasse'!E:E,'Forbrug af biomasse'!C:C,'Resultat-Produktion &amp; forbrug'!$A219,'Forbrug af biomasse'!D:D,'Resultat-Produktion &amp; forbrug'!$D219,'Forbrug af biomasse'!G:G,1,'Forbrug af biomasse'!B:B,$E219)</f>
        <v>0</v>
      </c>
      <c r="N219" s="205">
        <f t="shared" si="62"/>
        <v>74745.922985962941</v>
      </c>
      <c r="O219" s="196">
        <f t="shared" si="59"/>
        <v>74745.922985962941</v>
      </c>
      <c r="P219" s="206">
        <f t="shared" si="63"/>
        <v>701319.77122631879</v>
      </c>
      <c r="Q219" s="193">
        <f>IFERROR(VLOOKUP(A219,[1]Energiindhold!$A$2:$C$11,3,FALSE),IFERROR(VLOOKUP(A219,[1]Biogasudbytte!$A$2:$B$18,2,FALSE)*[1]Energiindhold!$C$10,0))*O219</f>
        <v>3.7835638756264584E-2</v>
      </c>
      <c r="R219" s="193">
        <f>IF(A219&lt;&gt;"Biogas",IFERROR(VLOOKUP(A219,[1]Biogasudbytte!$A$2:$B$18,2,FALSE)*[1]Energiindhold!$C$10,0)*J219*IFERROR(VLOOKUP(A219,Biogasanlæg!$F$3:$G$8,2,FALSE),1)+IFERROR(VLOOKUP(A219,[1]Energiindhold!$A$2:$C$11,3,FALSE),0)*L219+IF(D219&lt;&gt;År1,Q219,0),0)</f>
        <v>0.39283669375331498</v>
      </c>
      <c r="S219" s="193">
        <f>IFERROR(VLOOKUP(A219,[1]Biogasudbytte!$A$2:$B$18,2,FALSE)*[1]Energiindhold!$C$10,0)*J219*IFERROR(VLOOKUP(A219,Biogasanlæg!$F$3:$G$8,2,FALSE),1)</f>
        <v>0.35500105499705037</v>
      </c>
      <c r="T219" s="194">
        <f t="shared" si="64"/>
        <v>3.7835638756264611E-2</v>
      </c>
      <c r="U219" s="192">
        <f>O219*IFERROR(VLOOKUP(A219,[1]Tørstofindhold!A$2:B$25,2,FALSE),0)</f>
        <v>5680.6901469331833</v>
      </c>
      <c r="V219" s="193">
        <f>IF(D219=År1,P219,SUM(O219,P219))*IFERROR(VLOOKUP(A219,[1]Tørstofindhold!A$2:B$25,2,FALSE),0)</f>
        <v>58980.992760133413</v>
      </c>
      <c r="W219" s="193">
        <f>J219*IFERROR(VLOOKUP(A219,[1]Tørstofindhold!A$2:B$25,2,FALSE),0)</f>
        <v>53300.302613200227</v>
      </c>
      <c r="X219" s="194">
        <f t="shared" si="65"/>
        <v>5680.690146933186</v>
      </c>
      <c r="Y219" s="172">
        <f t="shared" si="60"/>
        <v>0</v>
      </c>
      <c r="Z219" s="104">
        <f t="shared" si="61"/>
        <v>1</v>
      </c>
    </row>
    <row r="220" spans="1:26" hidden="1" x14ac:dyDescent="0.55000000000000004">
      <c r="A220" s="195" t="str">
        <f t="shared" si="56"/>
        <v>Mælk til foder</v>
      </c>
      <c r="B220" s="195" t="str">
        <f t="shared" si="57"/>
        <v/>
      </c>
      <c r="C220" s="195">
        <f>IF(COUNTIFS('Resultater - Danmark'!$D$3:$D$482,'Resultat-Produktion &amp; forbrug'!A220,'Resultater - Danmark'!$A$3:$A$482,"Til energi")+COUNTIFS('Resultater - Danmark'!$D$3:$D$482,'Resultat-Produktion &amp; forbrug'!A220,'Resultater - Danmark'!$A$3:$A$482,"Biogasanlæg")&gt;0,1,0)</f>
        <v>0</v>
      </c>
      <c r="D220" s="195">
        <f t="shared" si="58"/>
        <v>2030</v>
      </c>
      <c r="E220" s="193" t="s">
        <v>24</v>
      </c>
      <c r="F220" s="196">
        <f>IF(E220="Vestdanmark",SUMIFS(IF(D220=År1,'Resultater - Vestdanmark'!H$3:H$482,IF(D220=År2,'Resultater - Vestdanmark'!I$3:I$482,'Resultater - Vestdanmark'!J$3:J$482)),'Resultater - Vestdanmark'!$F$3:$F$482,$A220,IF(D220=År1,'Resultater - Vestdanmark'!H$3:H$482,IF(D220=År2,'Resultater - Vestdanmark'!I$3:I$482,'Resultater - Vestdanmark'!J$3:J$482)),"&gt;0"),SUMIFS(IF(D220=År1,'Resultater - Østdanmark'!H$3:H$482,IF(D220=År2,'Resultater - Østdanmark'!I$3:I$482,'Resultater - Østdanmark'!J$3:J$482)),'Resultater - Østdanmark'!$F$3:$F$482,$A220,IF(D220=År1,'Resultater - Østdanmark'!H$3:H$482,IF(D220=År2,'Resultater - Østdanmark'!I$3:I$482,'Resultater - Østdanmark'!J$3:J$482)),"&gt;0"))</f>
        <v>115210.53389359287</v>
      </c>
      <c r="G220" s="196">
        <f>SUMIFS('Forbrug af biomasse'!$E$2:$E$425,'Forbrug af biomasse'!$C$2:$C$425,'Resultat-Produktion &amp; forbrug'!$A220,'Forbrug af biomasse'!$D$2:$D$425,'Resultat-Produktion &amp; forbrug'!$D220,'Forbrug af biomasse'!$A$2:$A$425,'Resultat-Produktion &amp; forbrug'!G$2,'Forbrug af biomasse'!$B$2:$B$425,$E220)</f>
        <v>186040.49371289229</v>
      </c>
      <c r="H220" s="193">
        <f>IF(E220="Vestdanmark",-IF(A220="Halm",SUMIFS(IF(D220=År1,'Resultater - Vestdanmark'!H$3:H$482,IF(D220=År2,'Resultater - Vestdanmark'!I$3:I$482,'Resultater - Vestdanmark'!J$3:J$482)),'Resultater - Vestdanmark'!$F$3:$F$482,$A220,'Resultater - Vestdanmark'!H$3:H$482,"&lt;0"),0),-IF(A220="Halm",SUMIFS(IF(D220=År1,'Resultater - Østdanmark'!H$3:H$482,IF(D220=År2,'Resultater - Østdanmark'!I$3:I$482,'Resultater - Østdanmark'!J$3:J$482)),'Resultater - Østdanmark'!$F$3:$F$482,$A220,'Resultater - Østdanmark'!H$3:H$482,"&lt;0"),0))</f>
        <v>0</v>
      </c>
      <c r="I220" s="196">
        <f>SUMIFS('Forbrug af biomasse'!$E$2:$E$425,'Forbrug af biomasse'!$C$2:$C$425,'Resultat-Produktion &amp; forbrug'!$A220,'Forbrug af biomasse'!$D$2:$D$425,'Resultat-Produktion &amp; forbrug'!$D220,'Forbrug af biomasse'!$A$2:$A$425,'Resultat-Produktion &amp; forbrug'!I$2,'Forbrug af biomasse'!$B$2:$B$425,$E220)</f>
        <v>0</v>
      </c>
      <c r="J220" s="196">
        <f>SUMIFS('Forbrug af biomasse'!$E$2:$E$425,'Forbrug af biomasse'!$C$2:$C$425,'Resultat-Produktion &amp; forbrug'!$A220,'Forbrug af biomasse'!$D$2:$D$425,'Resultat-Produktion &amp; forbrug'!$D220,'Forbrug af biomasse'!$A$2:$A$425,'Resultat-Produktion &amp; forbrug'!J$2,'Forbrug af biomasse'!$B$2:$B$425,$E220)</f>
        <v>0</v>
      </c>
      <c r="K220" s="196">
        <f>SUMIFS('Forbrug af biomasse'!$E$2:$E$425,'Forbrug af biomasse'!$C$2:$C$425,'Resultat-Produktion &amp; forbrug'!$A220,'Forbrug af biomasse'!$D$2:$D$425,'Resultat-Produktion &amp; forbrug'!$D220,'Forbrug af biomasse'!$A$2:$A$425,'Resultat-Produktion &amp; forbrug'!K$2,'Forbrug af biomasse'!$B$2:$B$425,$E220)</f>
        <v>0</v>
      </c>
      <c r="L220" s="196">
        <f>IF(A220&lt;&gt;"Biogas",SUMIFS('Forbrug af biomasse'!$E$2:$E$425,'Forbrug af biomasse'!$C$2:$C$425,'Resultat-Produktion &amp; forbrug'!$A220,'Forbrug af biomasse'!$D$2:$D$425,'Resultat-Produktion &amp; forbrug'!$D220,'Forbrug af biomasse'!$A$2:$A$425,'Resultat-Produktion &amp; forbrug'!L$2,'Forbrug af biomasse'!$B$2:$B$425,$E220),F220)</f>
        <v>0</v>
      </c>
      <c r="M220" s="158">
        <f>SUMIFS('Forbrug af biomasse'!E:E,'Forbrug af biomasse'!C:C,'Resultat-Produktion &amp; forbrug'!$A220,'Forbrug af biomasse'!D:D,'Resultat-Produktion &amp; forbrug'!$D220,'Forbrug af biomasse'!G:G,1,'Forbrug af biomasse'!B:B,$E220)</f>
        <v>0</v>
      </c>
      <c r="N220" s="205">
        <f t="shared" si="62"/>
        <v>-70829.959819299416</v>
      </c>
      <c r="O220" s="196">
        <f t="shared" si="59"/>
        <v>0</v>
      </c>
      <c r="P220" s="206">
        <f t="shared" si="63"/>
        <v>0</v>
      </c>
      <c r="Q220" s="193">
        <f>IFERROR(VLOOKUP(A220,[1]Energiindhold!$A$2:$C$11,3,FALSE),IFERROR(VLOOKUP(A220,[1]Biogasudbytte!$A$2:$B$18,2,FALSE)*[1]Energiindhold!$C$10,0))*O220</f>
        <v>0</v>
      </c>
      <c r="R220" s="193">
        <f>IF(A220&lt;&gt;"Biogas",IFERROR(VLOOKUP(A220,[1]Biogasudbytte!$A$2:$B$18,2,FALSE)*[1]Energiindhold!$C$10,0)*J220*IFERROR(VLOOKUP(A220,Biogasanlæg!$F$3:$G$8,2,FALSE),1)+IFERROR(VLOOKUP(A220,[1]Energiindhold!$A$2:$C$11,3,FALSE),0)*L220+IF(D220&lt;&gt;År1,Q220,0),0)</f>
        <v>0</v>
      </c>
      <c r="S220" s="193">
        <f>IFERROR(VLOOKUP(A220,[1]Biogasudbytte!$A$2:$B$18,2,FALSE)*[1]Energiindhold!$C$10,0)*J220*IFERROR(VLOOKUP(A220,Biogasanlæg!$F$3:$G$8,2,FALSE),1)</f>
        <v>0</v>
      </c>
      <c r="T220" s="194">
        <f t="shared" si="64"/>
        <v>0</v>
      </c>
      <c r="U220" s="192">
        <f>O220*IFERROR(VLOOKUP(A220,[1]Tørstofindhold!A$2:B$25,2,FALSE),0)</f>
        <v>0</v>
      </c>
      <c r="V220" s="193">
        <f>IF(D220=År1,P220,SUM(O220,P220))*IFERROR(VLOOKUP(A220,[1]Tørstofindhold!A$2:B$25,2,FALSE),0)</f>
        <v>0</v>
      </c>
      <c r="W220" s="193">
        <f>J220*IFERROR(VLOOKUP(A220,[1]Tørstofindhold!A$2:B$25,2,FALSE),0)</f>
        <v>0</v>
      </c>
      <c r="X220" s="194">
        <f t="shared" si="65"/>
        <v>0</v>
      </c>
      <c r="Y220" s="172">
        <f t="shared" si="60"/>
        <v>0</v>
      </c>
      <c r="Z220" s="104">
        <f t="shared" si="61"/>
        <v>1</v>
      </c>
    </row>
    <row r="221" spans="1:26" hidden="1" x14ac:dyDescent="0.55000000000000004">
      <c r="A221" s="195" t="str">
        <f t="shared" si="56"/>
        <v>Majs</v>
      </c>
      <c r="B221" s="195" t="str">
        <f t="shared" si="57"/>
        <v>Græs og urter</v>
      </c>
      <c r="C221" s="195">
        <f>IF(COUNTIFS('Resultater - Danmark'!$D$3:$D$482,'Resultat-Produktion &amp; forbrug'!A221,'Resultater - Danmark'!$A$3:$A$482,"Til energi")+COUNTIFS('Resultater - Danmark'!$D$3:$D$482,'Resultat-Produktion &amp; forbrug'!A221,'Resultater - Danmark'!$A$3:$A$482,"Biogasanlæg")&gt;0,1,0)</f>
        <v>1</v>
      </c>
      <c r="D221" s="195">
        <f t="shared" si="58"/>
        <v>2030</v>
      </c>
      <c r="E221" s="193" t="s">
        <v>24</v>
      </c>
      <c r="F221" s="196">
        <f>IF(E221="Vestdanmark",SUMIFS(IF(D221=År1,'Resultater - Vestdanmark'!H$3:H$482,IF(D221=År2,'Resultater - Vestdanmark'!I$3:I$482,'Resultater - Vestdanmark'!J$3:J$482)),'Resultater - Vestdanmark'!$F$3:$F$482,$A221,IF(D221=År1,'Resultater - Vestdanmark'!H$3:H$482,IF(D221=År2,'Resultater - Vestdanmark'!I$3:I$482,'Resultater - Vestdanmark'!J$3:J$482)),"&gt;0"),SUMIFS(IF(D221=År1,'Resultater - Østdanmark'!H$3:H$482,IF(D221=År2,'Resultater - Østdanmark'!I$3:I$482,'Resultater - Østdanmark'!J$3:J$482)),'Resultater - Østdanmark'!$F$3:$F$482,$A221,IF(D221=År1,'Resultater - Østdanmark'!H$3:H$482,IF(D221=År2,'Resultater - Østdanmark'!I$3:I$482,'Resultater - Østdanmark'!J$3:J$482)),"&gt;0"))</f>
        <v>388994.37014569982</v>
      </c>
      <c r="G221" s="196">
        <f>SUMIFS('Forbrug af biomasse'!$E$2:$E$425,'Forbrug af biomasse'!$C$2:$C$425,'Resultat-Produktion &amp; forbrug'!$A221,'Forbrug af biomasse'!$D$2:$D$425,'Resultat-Produktion &amp; forbrug'!$D221,'Forbrug af biomasse'!$A$2:$A$425,'Resultat-Produktion &amp; forbrug'!G$2,'Forbrug af biomasse'!$B$2:$B$425,$E221)</f>
        <v>694353.26110928762</v>
      </c>
      <c r="H221" s="193">
        <f>IF(E221="Vestdanmark",-IF(A221="Halm",SUMIFS(IF(D221=År1,'Resultater - Vestdanmark'!H$3:H$482,IF(D221=År2,'Resultater - Vestdanmark'!I$3:I$482,'Resultater - Vestdanmark'!J$3:J$482)),'Resultater - Vestdanmark'!$F$3:$F$482,$A221,'Resultater - Vestdanmark'!H$3:H$482,"&lt;0"),0),-IF(A221="Halm",SUMIFS(IF(D221=År1,'Resultater - Østdanmark'!H$3:H$482,IF(D221=År2,'Resultater - Østdanmark'!I$3:I$482,'Resultater - Østdanmark'!J$3:J$482)),'Resultater - Østdanmark'!$F$3:$F$482,$A221,'Resultater - Østdanmark'!H$3:H$482,"&lt;0"),0))</f>
        <v>0</v>
      </c>
      <c r="I221" s="196">
        <f>SUMIFS('Forbrug af biomasse'!$E$2:$E$425,'Forbrug af biomasse'!$C$2:$C$425,'Resultat-Produktion &amp; forbrug'!$A221,'Forbrug af biomasse'!$D$2:$D$425,'Resultat-Produktion &amp; forbrug'!$D221,'Forbrug af biomasse'!$A$2:$A$425,'Resultat-Produktion &amp; forbrug'!I$2,'Forbrug af biomasse'!$B$2:$B$425,$E221)</f>
        <v>0</v>
      </c>
      <c r="J221" s="196">
        <f>SUMIFS('Forbrug af biomasse'!$E$2:$E$425,'Forbrug af biomasse'!$C$2:$C$425,'Resultat-Produktion &amp; forbrug'!$A221,'Forbrug af biomasse'!$D$2:$D$425,'Resultat-Produktion &amp; forbrug'!$D221,'Forbrug af biomasse'!$A$2:$A$425,'Resultat-Produktion &amp; forbrug'!J$2,'Forbrug af biomasse'!$B$2:$B$425,$E221)</f>
        <v>15333.686496408332</v>
      </c>
      <c r="K221" s="196">
        <f>SUMIFS('Forbrug af biomasse'!$E$2:$E$425,'Forbrug af biomasse'!$C$2:$C$425,'Resultat-Produktion &amp; forbrug'!$A221,'Forbrug af biomasse'!$D$2:$D$425,'Resultat-Produktion &amp; forbrug'!$D221,'Forbrug af biomasse'!$A$2:$A$425,'Resultat-Produktion &amp; forbrug'!K$2,'Forbrug af biomasse'!$B$2:$B$425,$E221)</f>
        <v>0</v>
      </c>
      <c r="L221" s="196">
        <f>IF(A221&lt;&gt;"Biogas",SUMIFS('Forbrug af biomasse'!$E$2:$E$425,'Forbrug af biomasse'!$C$2:$C$425,'Resultat-Produktion &amp; forbrug'!$A221,'Forbrug af biomasse'!$D$2:$D$425,'Resultat-Produktion &amp; forbrug'!$D221,'Forbrug af biomasse'!$A$2:$A$425,'Resultat-Produktion &amp; forbrug'!L$2,'Forbrug af biomasse'!$B$2:$B$425,$E221),F221)</f>
        <v>0</v>
      </c>
      <c r="M221" s="158">
        <f>SUMIFS('Forbrug af biomasse'!E:E,'Forbrug af biomasse'!C:C,'Resultat-Produktion &amp; forbrug'!$A221,'Forbrug af biomasse'!D:D,'Resultat-Produktion &amp; forbrug'!$D221,'Forbrug af biomasse'!G:G,1,'Forbrug af biomasse'!B:B,$E221)</f>
        <v>0</v>
      </c>
      <c r="N221" s="205">
        <f t="shared" si="62"/>
        <v>-320692.5774599961</v>
      </c>
      <c r="O221" s="196">
        <f t="shared" si="59"/>
        <v>0</v>
      </c>
      <c r="P221" s="206">
        <f t="shared" si="63"/>
        <v>15333.686496408332</v>
      </c>
      <c r="Q221" s="193">
        <f>IFERROR(VLOOKUP(A221,[1]Energiindhold!$A$2:$C$11,3,FALSE),IFERROR(VLOOKUP(A221,[1]Biogasudbytte!$A$2:$B$18,2,FALSE)*[1]Energiindhold!$C$10,0))*O221</f>
        <v>0</v>
      </c>
      <c r="R221" s="193">
        <f>IF(A221&lt;&gt;"Biogas",IFERROR(VLOOKUP(A221,[1]Biogasudbytte!$A$2:$B$18,2,FALSE)*[1]Energiindhold!$C$10,0)*J221*IFERROR(VLOOKUP(A221,Biogasanlæg!$F$3:$G$8,2,FALSE),1)+IFERROR(VLOOKUP(A221,[1]Energiindhold!$A$2:$C$11,3,FALSE),0)*L221+IF(D221&lt;&gt;År1,Q221,0),0)</f>
        <v>5.5047934522105921E-2</v>
      </c>
      <c r="S221" s="193">
        <f>IFERROR(VLOOKUP(A221,[1]Biogasudbytte!$A$2:$B$18,2,FALSE)*[1]Energiindhold!$C$10,0)*J221*IFERROR(VLOOKUP(A221,Biogasanlæg!$F$3:$G$8,2,FALSE),1)</f>
        <v>5.5047934522105921E-2</v>
      </c>
      <c r="T221" s="194">
        <f t="shared" si="64"/>
        <v>0</v>
      </c>
      <c r="U221" s="192">
        <f>O221*IFERROR(VLOOKUP(A221,[1]Tørstofindhold!A$2:B$25,2,FALSE),0)</f>
        <v>0</v>
      </c>
      <c r="V221" s="193">
        <f>IF(D221=År1,P221,SUM(O221,P221))*IFERROR(VLOOKUP(A221,[1]Tørstofindhold!A$2:B$25,2,FALSE),0)</f>
        <v>4600.1059489224999</v>
      </c>
      <c r="W221" s="193">
        <f>J221*IFERROR(VLOOKUP(A221,[1]Tørstofindhold!A$2:B$25,2,FALSE),0)</f>
        <v>4600.1059489224999</v>
      </c>
      <c r="X221" s="194">
        <f t="shared" si="65"/>
        <v>0</v>
      </c>
      <c r="Y221" s="172">
        <f t="shared" si="60"/>
        <v>0</v>
      </c>
      <c r="Z221" s="104">
        <f t="shared" si="61"/>
        <v>1</v>
      </c>
    </row>
    <row r="222" spans="1:26" hidden="1" x14ac:dyDescent="0.55000000000000004">
      <c r="A222" s="195" t="str">
        <f t="shared" si="56"/>
        <v>Mejeriprodukter</v>
      </c>
      <c r="B222" s="195" t="str">
        <f t="shared" si="57"/>
        <v/>
      </c>
      <c r="C222" s="195">
        <f>IF(COUNTIFS('Resultater - Danmark'!$D$3:$D$482,'Resultat-Produktion &amp; forbrug'!A222,'Resultater - Danmark'!$A$3:$A$482,"Til energi")+COUNTIFS('Resultater - Danmark'!$D$3:$D$482,'Resultat-Produktion &amp; forbrug'!A222,'Resultater - Danmark'!$A$3:$A$482,"Biogasanlæg")&gt;0,1,0)</f>
        <v>0</v>
      </c>
      <c r="D222" s="195">
        <f t="shared" si="58"/>
        <v>2030</v>
      </c>
      <c r="E222" s="193" t="s">
        <v>24</v>
      </c>
      <c r="F222" s="196">
        <f>IF(E222="Vestdanmark",SUMIFS(IF(D222=År1,'Resultater - Vestdanmark'!H$3:H$482,IF(D222=År2,'Resultater - Vestdanmark'!I$3:I$482,'Resultater - Vestdanmark'!J$3:J$482)),'Resultater - Vestdanmark'!$F$3:$F$482,$A222,IF(D222=År1,'Resultater - Vestdanmark'!H$3:H$482,IF(D222=År2,'Resultater - Vestdanmark'!I$3:I$482,'Resultater - Vestdanmark'!J$3:J$482)),"&gt;0"),SUMIFS(IF(D222=År1,'Resultater - Østdanmark'!H$3:H$482,IF(D222=År2,'Resultater - Østdanmark'!I$3:I$482,'Resultater - Østdanmark'!J$3:J$482)),'Resultater - Østdanmark'!$F$3:$F$482,$A222,IF(D222=År1,'Resultater - Østdanmark'!H$3:H$482,IF(D222=År2,'Resultater - Østdanmark'!I$3:I$482,'Resultater - Østdanmark'!J$3:J$482)),"&gt;0"))</f>
        <v>222296.53737538058</v>
      </c>
      <c r="G222" s="196">
        <f>SUMIFS('Forbrug af biomasse'!$E$2:$E$425,'Forbrug af biomasse'!$C$2:$C$425,'Resultat-Produktion &amp; forbrug'!$A222,'Forbrug af biomasse'!$D$2:$D$425,'Resultat-Produktion &amp; forbrug'!$D222,'Forbrug af biomasse'!$A$2:$A$425,'Resultat-Produktion &amp; forbrug'!G$2,'Forbrug af biomasse'!$B$2:$B$425,$E222)</f>
        <v>0</v>
      </c>
      <c r="H222" s="193">
        <f>IF(E222="Vestdanmark",-IF(A222="Halm",SUMIFS(IF(D222=År1,'Resultater - Vestdanmark'!H$3:H$482,IF(D222=År2,'Resultater - Vestdanmark'!I$3:I$482,'Resultater - Vestdanmark'!J$3:J$482)),'Resultater - Vestdanmark'!$F$3:$F$482,$A222,'Resultater - Vestdanmark'!H$3:H$482,"&lt;0"),0),-IF(A222="Halm",SUMIFS(IF(D222=År1,'Resultater - Østdanmark'!H$3:H$482,IF(D222=År2,'Resultater - Østdanmark'!I$3:I$482,'Resultater - Østdanmark'!J$3:J$482)),'Resultater - Østdanmark'!$F$3:$F$482,$A222,'Resultater - Østdanmark'!H$3:H$482,"&lt;0"),0))</f>
        <v>0</v>
      </c>
      <c r="I222" s="196">
        <f>SUMIFS('Forbrug af biomasse'!$E$2:$E$425,'Forbrug af biomasse'!$C$2:$C$425,'Resultat-Produktion &amp; forbrug'!$A222,'Forbrug af biomasse'!$D$2:$D$425,'Resultat-Produktion &amp; forbrug'!$D222,'Forbrug af biomasse'!$A$2:$A$425,'Resultat-Produktion &amp; forbrug'!I$2,'Forbrug af biomasse'!$B$2:$B$425,$E222)</f>
        <v>409035.43180711387</v>
      </c>
      <c r="J222" s="196">
        <f>SUMIFS('Forbrug af biomasse'!$E$2:$E$425,'Forbrug af biomasse'!$C$2:$C$425,'Resultat-Produktion &amp; forbrug'!$A222,'Forbrug af biomasse'!$D$2:$D$425,'Resultat-Produktion &amp; forbrug'!$D222,'Forbrug af biomasse'!$A$2:$A$425,'Resultat-Produktion &amp; forbrug'!J$2,'Forbrug af biomasse'!$B$2:$B$425,$E222)</f>
        <v>0</v>
      </c>
      <c r="K222" s="196">
        <f>SUMIFS('Forbrug af biomasse'!$E$2:$E$425,'Forbrug af biomasse'!$C$2:$C$425,'Resultat-Produktion &amp; forbrug'!$A222,'Forbrug af biomasse'!$D$2:$D$425,'Resultat-Produktion &amp; forbrug'!$D222,'Forbrug af biomasse'!$A$2:$A$425,'Resultat-Produktion &amp; forbrug'!K$2,'Forbrug af biomasse'!$B$2:$B$425,$E222)</f>
        <v>0</v>
      </c>
      <c r="L222" s="196">
        <f>IF(A222&lt;&gt;"Biogas",SUMIFS('Forbrug af biomasse'!$E$2:$E$425,'Forbrug af biomasse'!$C$2:$C$425,'Resultat-Produktion &amp; forbrug'!$A222,'Forbrug af biomasse'!$D$2:$D$425,'Resultat-Produktion &amp; forbrug'!$D222,'Forbrug af biomasse'!$A$2:$A$425,'Resultat-Produktion &amp; forbrug'!L$2,'Forbrug af biomasse'!$B$2:$B$425,$E222),F222)</f>
        <v>0</v>
      </c>
      <c r="M222" s="158">
        <f>SUMIFS('Forbrug af biomasse'!E:E,'Forbrug af biomasse'!C:C,'Resultat-Produktion &amp; forbrug'!$A222,'Forbrug af biomasse'!D:D,'Resultat-Produktion &amp; forbrug'!$D222,'Forbrug af biomasse'!G:G,1,'Forbrug af biomasse'!B:B,$E222)</f>
        <v>0</v>
      </c>
      <c r="N222" s="205">
        <f t="shared" si="62"/>
        <v>-186738.89443173329</v>
      </c>
      <c r="O222" s="196">
        <f t="shared" si="59"/>
        <v>0</v>
      </c>
      <c r="P222" s="206">
        <f t="shared" si="63"/>
        <v>0</v>
      </c>
      <c r="Q222" s="193">
        <f>IFERROR(VLOOKUP(A222,[1]Energiindhold!$A$2:$C$11,3,FALSE),IFERROR(VLOOKUP(A222,[1]Biogasudbytte!$A$2:$B$18,2,FALSE)*[1]Energiindhold!$C$10,0))*O222</f>
        <v>0</v>
      </c>
      <c r="R222" s="193">
        <f>IF(A222&lt;&gt;"Biogas",IFERROR(VLOOKUP(A222,[1]Biogasudbytte!$A$2:$B$18,2,FALSE)*[1]Energiindhold!$C$10,0)*J222*IFERROR(VLOOKUP(A222,Biogasanlæg!$F$3:$G$8,2,FALSE),1)+IFERROR(VLOOKUP(A222,[1]Energiindhold!$A$2:$C$11,3,FALSE),0)*L222+IF(D222&lt;&gt;År1,Q222,0),0)</f>
        <v>0</v>
      </c>
      <c r="S222" s="193">
        <f>IFERROR(VLOOKUP(A222,[1]Biogasudbytte!$A$2:$B$18,2,FALSE)*[1]Energiindhold!$C$10,0)*J222*IFERROR(VLOOKUP(A222,Biogasanlæg!$F$3:$G$8,2,FALSE),1)</f>
        <v>0</v>
      </c>
      <c r="T222" s="194">
        <f t="shared" si="64"/>
        <v>0</v>
      </c>
      <c r="U222" s="192">
        <f>O222*IFERROR(VLOOKUP(A222,[1]Tørstofindhold!A$2:B$25,2,FALSE),0)</f>
        <v>0</v>
      </c>
      <c r="V222" s="193">
        <f>IF(D222=År1,P222,SUM(O222,P222))*IFERROR(VLOOKUP(A222,[1]Tørstofindhold!A$2:B$25,2,FALSE),0)</f>
        <v>0</v>
      </c>
      <c r="W222" s="193">
        <f>J222*IFERROR(VLOOKUP(A222,[1]Tørstofindhold!A$2:B$25,2,FALSE),0)</f>
        <v>0</v>
      </c>
      <c r="X222" s="194">
        <f t="shared" si="65"/>
        <v>0</v>
      </c>
      <c r="Y222" s="172">
        <f t="shared" si="60"/>
        <v>0</v>
      </c>
      <c r="Z222" s="104">
        <f t="shared" si="61"/>
        <v>1</v>
      </c>
    </row>
    <row r="223" spans="1:26" x14ac:dyDescent="0.55000000000000004">
      <c r="A223" s="195" t="str">
        <f t="shared" si="56"/>
        <v>Muslinger</v>
      </c>
      <c r="B223" s="195" t="str">
        <f t="shared" si="57"/>
        <v>Havbiomasse</v>
      </c>
      <c r="C223" s="195">
        <f>IF(COUNTIFS('Resultater - Danmark'!$D$3:$D$482,'Resultat-Produktion &amp; forbrug'!A223,'Resultater - Danmark'!$A$3:$A$482,"Til energi")+COUNTIFS('Resultater - Danmark'!$D$3:$D$482,'Resultat-Produktion &amp; forbrug'!A223,'Resultater - Danmark'!$A$3:$A$482,"Biogasanlæg")&gt;0,1,0)</f>
        <v>1</v>
      </c>
      <c r="D223" s="195">
        <f t="shared" si="58"/>
        <v>2030</v>
      </c>
      <c r="E223" s="193" t="s">
        <v>24</v>
      </c>
      <c r="F223" s="196">
        <f>IF(E223="Vestdanmark",SUMIFS(IF(D223=År1,'Resultater - Vestdanmark'!H$3:H$482,IF(D223=År2,'Resultater - Vestdanmark'!I$3:I$482,'Resultater - Vestdanmark'!J$3:J$482)),'Resultater - Vestdanmark'!$F$3:$F$482,$A223,IF(D223=År1,'Resultater - Vestdanmark'!H$3:H$482,IF(D223=År2,'Resultater - Vestdanmark'!I$3:I$482,'Resultater - Vestdanmark'!J$3:J$482)),"&gt;0"),SUMIFS(IF(D223=År1,'Resultater - Østdanmark'!H$3:H$482,IF(D223=År2,'Resultater - Østdanmark'!I$3:I$482,'Resultater - Østdanmark'!J$3:J$482)),'Resultater - Østdanmark'!$F$3:$F$482,$A223,IF(D223=År1,'Resultater - Østdanmark'!H$3:H$482,IF(D223=År2,'Resultater - Østdanmark'!I$3:I$482,'Resultater - Østdanmark'!J$3:J$482)),"&gt;0"))</f>
        <v>3243.3351780449079</v>
      </c>
      <c r="G223" s="196">
        <f>SUMIFS('Forbrug af biomasse'!$E$2:$E$425,'Forbrug af biomasse'!$C$2:$C$425,'Resultat-Produktion &amp; forbrug'!$A223,'Forbrug af biomasse'!$D$2:$D$425,'Resultat-Produktion &amp; forbrug'!$D223,'Forbrug af biomasse'!$A$2:$A$425,'Resultat-Produktion &amp; forbrug'!G$2,'Forbrug af biomasse'!$B$2:$B$425,$E223)</f>
        <v>0</v>
      </c>
      <c r="H223" s="193">
        <f>IF(E223="Vestdanmark",-IF(A223="Halm",SUMIFS(IF(D223=År1,'Resultater - Vestdanmark'!H$3:H$482,IF(D223=År2,'Resultater - Vestdanmark'!I$3:I$482,'Resultater - Vestdanmark'!J$3:J$482)),'Resultater - Vestdanmark'!$F$3:$F$482,$A223,'Resultater - Vestdanmark'!H$3:H$482,"&lt;0"),0),-IF(A223="Halm",SUMIFS(IF(D223=År1,'Resultater - Østdanmark'!H$3:H$482,IF(D223=År2,'Resultater - Østdanmark'!I$3:I$482,'Resultater - Østdanmark'!J$3:J$482)),'Resultater - Østdanmark'!$F$3:$F$482,$A223,'Resultater - Østdanmark'!H$3:H$482,"&lt;0"),0))</f>
        <v>0</v>
      </c>
      <c r="I223" s="196">
        <f>SUMIFS('Forbrug af biomasse'!$E$2:$E$425,'Forbrug af biomasse'!$C$2:$C$425,'Resultat-Produktion &amp; forbrug'!$A223,'Forbrug af biomasse'!$D$2:$D$425,'Resultat-Produktion &amp; forbrug'!$D223,'Forbrug af biomasse'!$A$2:$A$425,'Resultat-Produktion &amp; forbrug'!I$2,'Forbrug af biomasse'!$B$2:$B$425,$E223)</f>
        <v>0</v>
      </c>
      <c r="J223" s="196">
        <f>SUMIFS('Forbrug af biomasse'!$E$2:$E$425,'Forbrug af biomasse'!$C$2:$C$425,'Resultat-Produktion &amp; forbrug'!$A223,'Forbrug af biomasse'!$D$2:$D$425,'Resultat-Produktion &amp; forbrug'!$D223,'Forbrug af biomasse'!$A$2:$A$425,'Resultat-Produktion &amp; forbrug'!J$2,'Forbrug af biomasse'!$B$2:$B$425,$E223)</f>
        <v>0</v>
      </c>
      <c r="K223" s="196">
        <f>SUMIFS('Forbrug af biomasse'!$E$2:$E$425,'Forbrug af biomasse'!$C$2:$C$425,'Resultat-Produktion &amp; forbrug'!$A223,'Forbrug af biomasse'!$D$2:$D$425,'Resultat-Produktion &amp; forbrug'!$D223,'Forbrug af biomasse'!$A$2:$A$425,'Resultat-Produktion &amp; forbrug'!K$2,'Forbrug af biomasse'!$B$2:$B$425,$E223)</f>
        <v>0</v>
      </c>
      <c r="L223" s="196">
        <f>IF(A223&lt;&gt;"Biogas",SUMIFS('Forbrug af biomasse'!$E$2:$E$425,'Forbrug af biomasse'!$C$2:$C$425,'Resultat-Produktion &amp; forbrug'!$A223,'Forbrug af biomasse'!$D$2:$D$425,'Resultat-Produktion &amp; forbrug'!$D223,'Forbrug af biomasse'!$A$2:$A$425,'Resultat-Produktion &amp; forbrug'!L$2,'Forbrug af biomasse'!$B$2:$B$425,$E223),F223)</f>
        <v>0</v>
      </c>
      <c r="M223" s="158">
        <f>SUMIFS('Forbrug af biomasse'!E:E,'Forbrug af biomasse'!C:C,'Resultat-Produktion &amp; forbrug'!$A223,'Forbrug af biomasse'!D:D,'Resultat-Produktion &amp; forbrug'!$D223,'Forbrug af biomasse'!G:G,1,'Forbrug af biomasse'!B:B,$E223)</f>
        <v>0</v>
      </c>
      <c r="N223" s="205">
        <f t="shared" si="62"/>
        <v>3243.3351780449079</v>
      </c>
      <c r="O223" s="196">
        <f t="shared" si="59"/>
        <v>3243.3351780449079</v>
      </c>
      <c r="P223" s="206">
        <f t="shared" si="63"/>
        <v>0</v>
      </c>
      <c r="Q223" s="193">
        <f>IFERROR(VLOOKUP(A223,[1]Energiindhold!$A$2:$C$11,3,FALSE),IFERROR(VLOOKUP(A223,[1]Biogasudbytte!$A$2:$B$18,2,FALSE)*[1]Energiindhold!$C$10,0))*O223</f>
        <v>2.9108933222953054E-3</v>
      </c>
      <c r="R223" s="193">
        <f>IF(A223&lt;&gt;"Biogas",IFERROR(VLOOKUP(A223,[1]Biogasudbytte!$A$2:$B$18,2,FALSE)*[1]Energiindhold!$C$10,0)*J223*IFERROR(VLOOKUP(A223,Biogasanlæg!$F$3:$G$8,2,FALSE),1)+IFERROR(VLOOKUP(A223,[1]Energiindhold!$A$2:$C$11,3,FALSE),0)*L223+IF(D223&lt;&gt;År1,Q223,0),0)</f>
        <v>2.9108933222953054E-3</v>
      </c>
      <c r="S223" s="193">
        <f>IFERROR(VLOOKUP(A223,[1]Biogasudbytte!$A$2:$B$18,2,FALSE)*[1]Energiindhold!$C$10,0)*J223*IFERROR(VLOOKUP(A223,Biogasanlæg!$F$3:$G$8,2,FALSE),1)</f>
        <v>0</v>
      </c>
      <c r="T223" s="194">
        <f t="shared" si="64"/>
        <v>2.9108933222953054E-3</v>
      </c>
      <c r="U223" s="192">
        <f>O223*IFERROR(VLOOKUP(A223,[1]Tørstofindhold!A$2:B$25,2,FALSE),0)</f>
        <v>486.50027670673614</v>
      </c>
      <c r="V223" s="193">
        <f>IF(D223=År1,P223,SUM(O223,P223))*IFERROR(VLOOKUP(A223,[1]Tørstofindhold!A$2:B$25,2,FALSE),0)</f>
        <v>486.50027670673614</v>
      </c>
      <c r="W223" s="193">
        <f>J223*IFERROR(VLOOKUP(A223,[1]Tørstofindhold!A$2:B$25,2,FALSE),0)</f>
        <v>0</v>
      </c>
      <c r="X223" s="194">
        <f t="shared" si="65"/>
        <v>486.50027670673614</v>
      </c>
      <c r="Y223" s="172">
        <f t="shared" si="60"/>
        <v>0</v>
      </c>
      <c r="Z223" s="104">
        <f t="shared" si="61"/>
        <v>1</v>
      </c>
    </row>
    <row r="224" spans="1:26" hidden="1" x14ac:dyDescent="0.55000000000000004">
      <c r="A224" s="195" t="str">
        <f t="shared" si="56"/>
        <v>Oksekød</v>
      </c>
      <c r="B224" s="195" t="str">
        <f t="shared" si="57"/>
        <v/>
      </c>
      <c r="C224" s="195">
        <f>IF(COUNTIFS('Resultater - Danmark'!$D$3:$D$482,'Resultat-Produktion &amp; forbrug'!A224,'Resultater - Danmark'!$A$3:$A$482,"Til energi")+COUNTIFS('Resultater - Danmark'!$D$3:$D$482,'Resultat-Produktion &amp; forbrug'!A224,'Resultater - Danmark'!$A$3:$A$482,"Biogasanlæg")&gt;0,1,0)</f>
        <v>0</v>
      </c>
      <c r="D224" s="195">
        <f t="shared" si="58"/>
        <v>2030</v>
      </c>
      <c r="E224" s="193" t="s">
        <v>24</v>
      </c>
      <c r="F224" s="196">
        <f>IF(E224="Vestdanmark",SUMIFS(IF(D224=År1,'Resultater - Vestdanmark'!H$3:H$482,IF(D224=År2,'Resultater - Vestdanmark'!I$3:I$482,'Resultater - Vestdanmark'!J$3:J$482)),'Resultater - Vestdanmark'!$F$3:$F$482,$A224,IF(D224=År1,'Resultater - Vestdanmark'!H$3:H$482,IF(D224=År2,'Resultater - Vestdanmark'!I$3:I$482,'Resultater - Vestdanmark'!J$3:J$482)),"&gt;0"),SUMIFS(IF(D224=År1,'Resultater - Østdanmark'!H$3:H$482,IF(D224=År2,'Resultater - Østdanmark'!I$3:I$482,'Resultater - Østdanmark'!J$3:J$482)),'Resultater - Østdanmark'!$F$3:$F$482,$A224,IF(D224=År1,'Resultater - Østdanmark'!H$3:H$482,IF(D224=År2,'Resultater - Østdanmark'!I$3:I$482,'Resultater - Østdanmark'!J$3:J$482)),"&gt;0"))</f>
        <v>7545.7953205064359</v>
      </c>
      <c r="G224" s="196">
        <f>SUMIFS('Forbrug af biomasse'!$E$2:$E$425,'Forbrug af biomasse'!$C$2:$C$425,'Resultat-Produktion &amp; forbrug'!$A224,'Forbrug af biomasse'!$D$2:$D$425,'Resultat-Produktion &amp; forbrug'!$D224,'Forbrug af biomasse'!$A$2:$A$425,'Resultat-Produktion &amp; forbrug'!G$2,'Forbrug af biomasse'!$B$2:$B$425,$E224)</f>
        <v>0</v>
      </c>
      <c r="H224" s="193">
        <f>IF(E224="Vestdanmark",-IF(A224="Halm",SUMIFS(IF(D224=År1,'Resultater - Vestdanmark'!H$3:H$482,IF(D224=År2,'Resultater - Vestdanmark'!I$3:I$482,'Resultater - Vestdanmark'!J$3:J$482)),'Resultater - Vestdanmark'!$F$3:$F$482,$A224,'Resultater - Vestdanmark'!H$3:H$482,"&lt;0"),0),-IF(A224="Halm",SUMIFS(IF(D224=År1,'Resultater - Østdanmark'!H$3:H$482,IF(D224=År2,'Resultater - Østdanmark'!I$3:I$482,'Resultater - Østdanmark'!J$3:J$482)),'Resultater - Østdanmark'!$F$3:$F$482,$A224,'Resultater - Østdanmark'!H$3:H$482,"&lt;0"),0))</f>
        <v>0</v>
      </c>
      <c r="I224" s="196">
        <f>SUMIFS('Forbrug af biomasse'!$E$2:$E$425,'Forbrug af biomasse'!$C$2:$C$425,'Resultat-Produktion &amp; forbrug'!$A224,'Forbrug af biomasse'!$D$2:$D$425,'Resultat-Produktion &amp; forbrug'!$D224,'Forbrug af biomasse'!$A$2:$A$425,'Resultat-Produktion &amp; forbrug'!I$2,'Forbrug af biomasse'!$B$2:$B$425,$E224)</f>
        <v>51975.70917962808</v>
      </c>
      <c r="J224" s="196">
        <f>SUMIFS('Forbrug af biomasse'!$E$2:$E$425,'Forbrug af biomasse'!$C$2:$C$425,'Resultat-Produktion &amp; forbrug'!$A224,'Forbrug af biomasse'!$D$2:$D$425,'Resultat-Produktion &amp; forbrug'!$D224,'Forbrug af biomasse'!$A$2:$A$425,'Resultat-Produktion &amp; forbrug'!J$2,'Forbrug af biomasse'!$B$2:$B$425,$E224)</f>
        <v>0</v>
      </c>
      <c r="K224" s="196">
        <f>SUMIFS('Forbrug af biomasse'!$E$2:$E$425,'Forbrug af biomasse'!$C$2:$C$425,'Resultat-Produktion &amp; forbrug'!$A224,'Forbrug af biomasse'!$D$2:$D$425,'Resultat-Produktion &amp; forbrug'!$D224,'Forbrug af biomasse'!$A$2:$A$425,'Resultat-Produktion &amp; forbrug'!K$2,'Forbrug af biomasse'!$B$2:$B$425,$E224)</f>
        <v>0</v>
      </c>
      <c r="L224" s="196">
        <f>IF(A224&lt;&gt;"Biogas",SUMIFS('Forbrug af biomasse'!$E$2:$E$425,'Forbrug af biomasse'!$C$2:$C$425,'Resultat-Produktion &amp; forbrug'!$A224,'Forbrug af biomasse'!$D$2:$D$425,'Resultat-Produktion &amp; forbrug'!$D224,'Forbrug af biomasse'!$A$2:$A$425,'Resultat-Produktion &amp; forbrug'!L$2,'Forbrug af biomasse'!$B$2:$B$425,$E224),F224)</f>
        <v>0</v>
      </c>
      <c r="M224" s="158">
        <f>SUMIFS('Forbrug af biomasse'!E:E,'Forbrug af biomasse'!C:C,'Resultat-Produktion &amp; forbrug'!$A224,'Forbrug af biomasse'!D:D,'Resultat-Produktion &amp; forbrug'!$D224,'Forbrug af biomasse'!G:G,1,'Forbrug af biomasse'!B:B,$E224)</f>
        <v>0</v>
      </c>
      <c r="N224" s="205">
        <f t="shared" si="62"/>
        <v>-44429.913859121647</v>
      </c>
      <c r="O224" s="196">
        <f t="shared" si="59"/>
        <v>0</v>
      </c>
      <c r="P224" s="206">
        <f t="shared" si="63"/>
        <v>0</v>
      </c>
      <c r="Q224" s="193">
        <f>IFERROR(VLOOKUP(A224,[1]Energiindhold!$A$2:$C$11,3,FALSE),IFERROR(VLOOKUP(A224,[1]Biogasudbytte!$A$2:$B$18,2,FALSE)*[1]Energiindhold!$C$10,0))*O224</f>
        <v>0</v>
      </c>
      <c r="R224" s="193">
        <f>IF(A224&lt;&gt;"Biogas",IFERROR(VLOOKUP(A224,[1]Biogasudbytte!$A$2:$B$18,2,FALSE)*[1]Energiindhold!$C$10,0)*J224*IFERROR(VLOOKUP(A224,Biogasanlæg!$F$3:$G$8,2,FALSE),1)+IFERROR(VLOOKUP(A224,[1]Energiindhold!$A$2:$C$11,3,FALSE),0)*L224+IF(D224&lt;&gt;År1,Q224,0),0)</f>
        <v>0</v>
      </c>
      <c r="S224" s="193">
        <f>IFERROR(VLOOKUP(A224,[1]Biogasudbytte!$A$2:$B$18,2,FALSE)*[1]Energiindhold!$C$10,0)*J224*IFERROR(VLOOKUP(A224,Biogasanlæg!$F$3:$G$8,2,FALSE),1)</f>
        <v>0</v>
      </c>
      <c r="T224" s="194">
        <f t="shared" si="64"/>
        <v>0</v>
      </c>
      <c r="U224" s="192">
        <f>O224*IFERROR(VLOOKUP(A224,[1]Tørstofindhold!A$2:B$25,2,FALSE),0)</f>
        <v>0</v>
      </c>
      <c r="V224" s="193">
        <f>IF(D224=År1,P224,SUM(O224,P224))*IFERROR(VLOOKUP(A224,[1]Tørstofindhold!A$2:B$25,2,FALSE),0)</f>
        <v>0</v>
      </c>
      <c r="W224" s="193">
        <f>J224*IFERROR(VLOOKUP(A224,[1]Tørstofindhold!A$2:B$25,2,FALSE),0)</f>
        <v>0</v>
      </c>
      <c r="X224" s="194">
        <f t="shared" si="65"/>
        <v>0</v>
      </c>
      <c r="Y224" s="172">
        <f t="shared" si="60"/>
        <v>0</v>
      </c>
      <c r="Z224" s="104">
        <f t="shared" si="61"/>
        <v>1</v>
      </c>
    </row>
    <row r="225" spans="1:26" hidden="1" x14ac:dyDescent="0.55000000000000004">
      <c r="A225" s="195" t="str">
        <f t="shared" si="56"/>
        <v>Øvrige</v>
      </c>
      <c r="B225" s="195" t="str">
        <f t="shared" si="57"/>
        <v/>
      </c>
      <c r="C225" s="195">
        <f>IF(COUNTIFS('Resultater - Danmark'!$D$3:$D$482,'Resultat-Produktion &amp; forbrug'!A225,'Resultater - Danmark'!$A$3:$A$482,"Til energi")+COUNTIFS('Resultater - Danmark'!$D$3:$D$482,'Resultat-Produktion &amp; forbrug'!A225,'Resultater - Danmark'!$A$3:$A$482,"Biogasanlæg")&gt;0,1,0)</f>
        <v>0</v>
      </c>
      <c r="D225" s="195">
        <f t="shared" si="58"/>
        <v>2030</v>
      </c>
      <c r="E225" s="193" t="s">
        <v>24</v>
      </c>
      <c r="F225" s="196">
        <f>IF(E225="Vestdanmark",SUMIFS(IF(D225=År1,'Resultater - Vestdanmark'!H$3:H$482,IF(D225=År2,'Resultater - Vestdanmark'!I$3:I$482,'Resultater - Vestdanmark'!J$3:J$482)),'Resultater - Vestdanmark'!$F$3:$F$482,$A225,IF(D225=År1,'Resultater - Vestdanmark'!H$3:H$482,IF(D225=År2,'Resultater - Vestdanmark'!I$3:I$482,'Resultater - Vestdanmark'!J$3:J$482)),"&gt;0"),SUMIFS(IF(D225=År1,'Resultater - Østdanmark'!H$3:H$482,IF(D225=År2,'Resultater - Østdanmark'!I$3:I$482,'Resultater - Østdanmark'!J$3:J$482)),'Resultater - Østdanmark'!$F$3:$F$482,$A225,IF(D225=År1,'Resultater - Østdanmark'!H$3:H$482,IF(D225=År2,'Resultater - Østdanmark'!I$3:I$482,'Resultater - Østdanmark'!J$3:J$482)),"&gt;0"))</f>
        <v>418150.43620360433</v>
      </c>
      <c r="G225" s="196">
        <f>SUMIFS('Forbrug af biomasse'!$E$2:$E$425,'Forbrug af biomasse'!$C$2:$C$425,'Resultat-Produktion &amp; forbrug'!$A225,'Forbrug af biomasse'!$D$2:$D$425,'Resultat-Produktion &amp; forbrug'!$D225,'Forbrug af biomasse'!$A$2:$A$425,'Resultat-Produktion &amp; forbrug'!G$2,'Forbrug af biomasse'!$B$2:$B$425,$E225)</f>
        <v>0</v>
      </c>
      <c r="H225" s="193">
        <f>IF(E225="Vestdanmark",-IF(A225="Halm",SUMIFS(IF(D225=År1,'Resultater - Vestdanmark'!H$3:H$482,IF(D225=År2,'Resultater - Vestdanmark'!I$3:I$482,'Resultater - Vestdanmark'!J$3:J$482)),'Resultater - Vestdanmark'!$F$3:$F$482,$A225,'Resultater - Vestdanmark'!H$3:H$482,"&lt;0"),0),-IF(A225="Halm",SUMIFS(IF(D225=År1,'Resultater - Østdanmark'!H$3:H$482,IF(D225=År2,'Resultater - Østdanmark'!I$3:I$482,'Resultater - Østdanmark'!J$3:J$482)),'Resultater - Østdanmark'!$F$3:$F$482,$A225,'Resultater - Østdanmark'!H$3:H$482,"&lt;0"),0))</f>
        <v>0</v>
      </c>
      <c r="I225" s="196">
        <f>SUMIFS('Forbrug af biomasse'!$E$2:$E$425,'Forbrug af biomasse'!$C$2:$C$425,'Resultat-Produktion &amp; forbrug'!$A225,'Forbrug af biomasse'!$D$2:$D$425,'Resultat-Produktion &amp; forbrug'!$D225,'Forbrug af biomasse'!$A$2:$A$425,'Resultat-Produktion &amp; forbrug'!I$2,'Forbrug af biomasse'!$B$2:$B$425,$E225)</f>
        <v>0</v>
      </c>
      <c r="J225" s="196">
        <f>SUMIFS('Forbrug af biomasse'!$E$2:$E$425,'Forbrug af biomasse'!$C$2:$C$425,'Resultat-Produktion &amp; forbrug'!$A225,'Forbrug af biomasse'!$D$2:$D$425,'Resultat-Produktion &amp; forbrug'!$D225,'Forbrug af biomasse'!$A$2:$A$425,'Resultat-Produktion &amp; forbrug'!J$2,'Forbrug af biomasse'!$B$2:$B$425,$E225)</f>
        <v>0</v>
      </c>
      <c r="K225" s="196">
        <f>SUMIFS('Forbrug af biomasse'!$E$2:$E$425,'Forbrug af biomasse'!$C$2:$C$425,'Resultat-Produktion &amp; forbrug'!$A225,'Forbrug af biomasse'!$D$2:$D$425,'Resultat-Produktion &amp; forbrug'!$D225,'Forbrug af biomasse'!$A$2:$A$425,'Resultat-Produktion &amp; forbrug'!K$2,'Forbrug af biomasse'!$B$2:$B$425,$E225)</f>
        <v>0</v>
      </c>
      <c r="L225" s="196">
        <f>IF(A225&lt;&gt;"Biogas",SUMIFS('Forbrug af biomasse'!$E$2:$E$425,'Forbrug af biomasse'!$C$2:$C$425,'Resultat-Produktion &amp; forbrug'!$A225,'Forbrug af biomasse'!$D$2:$D$425,'Resultat-Produktion &amp; forbrug'!$D225,'Forbrug af biomasse'!$A$2:$A$425,'Resultat-Produktion &amp; forbrug'!L$2,'Forbrug af biomasse'!$B$2:$B$425,$E225),F225)</f>
        <v>0</v>
      </c>
      <c r="M225" s="158">
        <f>SUMIFS('Forbrug af biomasse'!E:E,'Forbrug af biomasse'!C:C,'Resultat-Produktion &amp; forbrug'!$A225,'Forbrug af biomasse'!D:D,'Resultat-Produktion &amp; forbrug'!$D225,'Forbrug af biomasse'!G:G,1,'Forbrug af biomasse'!B:B,$E225)</f>
        <v>0</v>
      </c>
      <c r="N225" s="205">
        <f t="shared" si="62"/>
        <v>418150.43620360433</v>
      </c>
      <c r="O225" s="196">
        <f t="shared" si="59"/>
        <v>0</v>
      </c>
      <c r="P225" s="206">
        <f t="shared" si="63"/>
        <v>0</v>
      </c>
      <c r="Q225" s="193">
        <f>IFERROR(VLOOKUP(A225,[1]Energiindhold!$A$2:$C$11,3,FALSE),IFERROR(VLOOKUP(A225,[1]Biogasudbytte!$A$2:$B$18,2,FALSE)*[1]Energiindhold!$C$10,0))*O225</f>
        <v>0</v>
      </c>
      <c r="R225" s="193">
        <f>IF(A225&lt;&gt;"Biogas",IFERROR(VLOOKUP(A225,[1]Biogasudbytte!$A$2:$B$18,2,FALSE)*[1]Energiindhold!$C$10,0)*J225*IFERROR(VLOOKUP(A225,Biogasanlæg!$F$3:$G$8,2,FALSE),1)+IFERROR(VLOOKUP(A225,[1]Energiindhold!$A$2:$C$11,3,FALSE),0)*L225+IF(D225&lt;&gt;År1,Q225,0),0)</f>
        <v>0</v>
      </c>
      <c r="S225" s="193">
        <f>IFERROR(VLOOKUP(A225,[1]Biogasudbytte!$A$2:$B$18,2,FALSE)*[1]Energiindhold!$C$10,0)*J225*IFERROR(VLOOKUP(A225,Biogasanlæg!$F$3:$G$8,2,FALSE),1)</f>
        <v>0</v>
      </c>
      <c r="T225" s="194">
        <f t="shared" si="64"/>
        <v>0</v>
      </c>
      <c r="U225" s="192">
        <f>O225*IFERROR(VLOOKUP(A225,[1]Tørstofindhold!A$2:B$25,2,FALSE),0)</f>
        <v>0</v>
      </c>
      <c r="V225" s="193">
        <f>IF(D225=År1,P225,SUM(O225,P225))*IFERROR(VLOOKUP(A225,[1]Tørstofindhold!A$2:B$25,2,FALSE),0)</f>
        <v>0</v>
      </c>
      <c r="W225" s="193">
        <f>J225*IFERROR(VLOOKUP(A225,[1]Tørstofindhold!A$2:B$25,2,FALSE),0)</f>
        <v>0</v>
      </c>
      <c r="X225" s="194">
        <f t="shared" si="65"/>
        <v>0</v>
      </c>
      <c r="Y225" s="172">
        <f t="shared" si="60"/>
        <v>0</v>
      </c>
      <c r="Z225" s="104">
        <f t="shared" si="61"/>
        <v>1</v>
      </c>
    </row>
    <row r="226" spans="1:26" hidden="1" x14ac:dyDescent="0.55000000000000004">
      <c r="A226" s="195" t="str">
        <f t="shared" si="56"/>
        <v>Pil &amp; poppel</v>
      </c>
      <c r="B226" s="195" t="str">
        <f t="shared" si="57"/>
        <v>Vedmasse</v>
      </c>
      <c r="C226" s="195">
        <f>IF(COUNTIFS('Resultater - Danmark'!$D$3:$D$482,'Resultat-Produktion &amp; forbrug'!A226,'Resultater - Danmark'!$A$3:$A$482,"Til energi")+COUNTIFS('Resultater - Danmark'!$D$3:$D$482,'Resultat-Produktion &amp; forbrug'!A226,'Resultater - Danmark'!$A$3:$A$482,"Biogasanlæg")&gt;0,1,0)</f>
        <v>1</v>
      </c>
      <c r="D226" s="195">
        <f t="shared" si="58"/>
        <v>2030</v>
      </c>
      <c r="E226" s="193" t="s">
        <v>24</v>
      </c>
      <c r="F226" s="196">
        <f>IF(E226="Vestdanmark",SUMIFS(IF(D226=År1,'Resultater - Vestdanmark'!H$3:H$482,IF(D226=År2,'Resultater - Vestdanmark'!I$3:I$482,'Resultater - Vestdanmark'!J$3:J$482)),'Resultater - Vestdanmark'!$F$3:$F$482,$A226,IF(D226=År1,'Resultater - Vestdanmark'!H$3:H$482,IF(D226=År2,'Resultater - Vestdanmark'!I$3:I$482,'Resultater - Vestdanmark'!J$3:J$482)),"&gt;0"),SUMIFS(IF(D226=År1,'Resultater - Østdanmark'!H$3:H$482,IF(D226=År2,'Resultater - Østdanmark'!I$3:I$482,'Resultater - Østdanmark'!J$3:J$482)),'Resultater - Østdanmark'!$F$3:$F$482,$A226,IF(D226=År1,'Resultater - Østdanmark'!H$3:H$482,IF(D226=År2,'Resultater - Østdanmark'!I$3:I$482,'Resultater - Østdanmark'!J$3:J$482)),"&gt;0"))</f>
        <v>39419.677245239443</v>
      </c>
      <c r="G226" s="196">
        <f>SUMIFS('Forbrug af biomasse'!$E$2:$E$425,'Forbrug af biomasse'!$C$2:$C$425,'Resultat-Produktion &amp; forbrug'!$A226,'Forbrug af biomasse'!$D$2:$D$425,'Resultat-Produktion &amp; forbrug'!$D226,'Forbrug af biomasse'!$A$2:$A$425,'Resultat-Produktion &amp; forbrug'!G$2,'Forbrug af biomasse'!$B$2:$B$425,$E226)</f>
        <v>0</v>
      </c>
      <c r="H226" s="193">
        <f>IF(E226="Vestdanmark",-IF(A226="Halm",SUMIFS(IF(D226=År1,'Resultater - Vestdanmark'!H$3:H$482,IF(D226=År2,'Resultater - Vestdanmark'!I$3:I$482,'Resultater - Vestdanmark'!J$3:J$482)),'Resultater - Vestdanmark'!$F$3:$F$482,$A226,'Resultater - Vestdanmark'!H$3:H$482,"&lt;0"),0),-IF(A226="Halm",SUMIFS(IF(D226=År1,'Resultater - Østdanmark'!H$3:H$482,IF(D226=År2,'Resultater - Østdanmark'!I$3:I$482,'Resultater - Østdanmark'!J$3:J$482)),'Resultater - Østdanmark'!$F$3:$F$482,$A226,'Resultater - Østdanmark'!H$3:H$482,"&lt;0"),0))</f>
        <v>0</v>
      </c>
      <c r="I226" s="196">
        <f>SUMIFS('Forbrug af biomasse'!$E$2:$E$425,'Forbrug af biomasse'!$C$2:$C$425,'Resultat-Produktion &amp; forbrug'!$A226,'Forbrug af biomasse'!$D$2:$D$425,'Resultat-Produktion &amp; forbrug'!$D226,'Forbrug af biomasse'!$A$2:$A$425,'Resultat-Produktion &amp; forbrug'!I$2,'Forbrug af biomasse'!$B$2:$B$425,$E226)</f>
        <v>0</v>
      </c>
      <c r="J226" s="196">
        <f>SUMIFS('Forbrug af biomasse'!$E$2:$E$425,'Forbrug af biomasse'!$C$2:$C$425,'Resultat-Produktion &amp; forbrug'!$A226,'Forbrug af biomasse'!$D$2:$D$425,'Resultat-Produktion &amp; forbrug'!$D226,'Forbrug af biomasse'!$A$2:$A$425,'Resultat-Produktion &amp; forbrug'!J$2,'Forbrug af biomasse'!$B$2:$B$425,$E226)</f>
        <v>0</v>
      </c>
      <c r="K226" s="196">
        <f>SUMIFS('Forbrug af biomasse'!$E$2:$E$425,'Forbrug af biomasse'!$C$2:$C$425,'Resultat-Produktion &amp; forbrug'!$A226,'Forbrug af biomasse'!$D$2:$D$425,'Resultat-Produktion &amp; forbrug'!$D226,'Forbrug af biomasse'!$A$2:$A$425,'Resultat-Produktion &amp; forbrug'!K$2,'Forbrug af biomasse'!$B$2:$B$425,$E226)</f>
        <v>0</v>
      </c>
      <c r="L226" s="196">
        <f>IF(A226&lt;&gt;"Biogas",SUMIFS('Forbrug af biomasse'!$E$2:$E$425,'Forbrug af biomasse'!$C$2:$C$425,'Resultat-Produktion &amp; forbrug'!$A226,'Forbrug af biomasse'!$D$2:$D$425,'Resultat-Produktion &amp; forbrug'!$D226,'Forbrug af biomasse'!$A$2:$A$425,'Resultat-Produktion &amp; forbrug'!L$2,'Forbrug af biomasse'!$B$2:$B$425,$E226),F226)</f>
        <v>39419.677245239443</v>
      </c>
      <c r="M226" s="158">
        <f>SUMIFS('Forbrug af biomasse'!E:E,'Forbrug af biomasse'!C:C,'Resultat-Produktion &amp; forbrug'!$A226,'Forbrug af biomasse'!D:D,'Resultat-Produktion &amp; forbrug'!$D226,'Forbrug af biomasse'!G:G,1,'Forbrug af biomasse'!B:B,$E226)</f>
        <v>0</v>
      </c>
      <c r="N226" s="205">
        <f t="shared" si="62"/>
        <v>0</v>
      </c>
      <c r="O226" s="196">
        <f t="shared" si="59"/>
        <v>0</v>
      </c>
      <c r="P226" s="206">
        <f t="shared" si="63"/>
        <v>39419.677245239443</v>
      </c>
      <c r="Q226" s="193">
        <f>IFERROR(VLOOKUP(A226,[1]Energiindhold!$A$2:$C$11,3,FALSE),IFERROR(VLOOKUP(A226,[1]Biogasudbytte!$A$2:$B$18,2,FALSE)*[1]Energiindhold!$C$10,0))*O226</f>
        <v>0</v>
      </c>
      <c r="R226" s="193">
        <f>IF(A226&lt;&gt;"Biogas",IFERROR(VLOOKUP(A226,[1]Biogasudbytte!$A$2:$B$18,2,FALSE)*[1]Energiindhold!$C$10,0)*J226*IFERROR(VLOOKUP(A226,Biogasanlæg!$F$3:$G$8,2,FALSE),1)+IFERROR(VLOOKUP(A226,[1]Energiindhold!$A$2:$C$11,3,FALSE),0)*L226+IF(D226&lt;&gt;År1,Q226,0),0)</f>
        <v>0.72532206131240562</v>
      </c>
      <c r="S226" s="193">
        <f>IFERROR(VLOOKUP(A226,[1]Biogasudbytte!$A$2:$B$18,2,FALSE)*[1]Energiindhold!$C$10,0)*J226*IFERROR(VLOOKUP(A226,Biogasanlæg!$F$3:$G$8,2,FALSE),1)</f>
        <v>0</v>
      </c>
      <c r="T226" s="194">
        <f t="shared" si="64"/>
        <v>0.72532206131240562</v>
      </c>
      <c r="U226" s="192">
        <f>O226*IFERROR(VLOOKUP(A226,[1]Tørstofindhold!A$2:B$25,2,FALSE),0)</f>
        <v>0</v>
      </c>
      <c r="V226" s="193">
        <f>IF(D226=År1,P226,SUM(O226,P226))*IFERROR(VLOOKUP(A226,[1]Tørstofindhold!A$2:B$25,2,FALSE),0)</f>
        <v>16359.166056774371</v>
      </c>
      <c r="W226" s="193">
        <f>J226*IFERROR(VLOOKUP(A226,[1]Tørstofindhold!A$2:B$25,2,FALSE),0)</f>
        <v>0</v>
      </c>
      <c r="X226" s="194">
        <f t="shared" si="65"/>
        <v>16359.166056774371</v>
      </c>
      <c r="Y226" s="172">
        <f t="shared" si="60"/>
        <v>0</v>
      </c>
      <c r="Z226" s="104">
        <f t="shared" si="61"/>
        <v>0</v>
      </c>
    </row>
    <row r="227" spans="1:26" hidden="1" x14ac:dyDescent="0.55000000000000004">
      <c r="A227" s="195" t="str">
        <f t="shared" ref="A227:A228" si="66">A179</f>
        <v>Pyrolysegas</v>
      </c>
      <c r="B227" s="195" t="str">
        <f t="shared" ref="B227:B228" si="67">IF(B179&lt;&gt;"",B179,"")</f>
        <v>Pyrolyseprodukter</v>
      </c>
      <c r="C227" s="195">
        <f>IF(COUNTIFS('Resultater - Danmark'!$D$3:$D$482,'Resultat-Produktion &amp; forbrug'!A227,'Resultater - Danmark'!$A$3:$A$482,"Til energi")+COUNTIFS('Resultater - Danmark'!$D$3:$D$482,'Resultat-Produktion &amp; forbrug'!A227,'Resultater - Danmark'!$A$3:$A$482,"Biogasanlæg")&gt;0,1,0)</f>
        <v>1</v>
      </c>
      <c r="D227" s="195">
        <f t="shared" si="58"/>
        <v>2030</v>
      </c>
      <c r="E227" s="193" t="s">
        <v>24</v>
      </c>
      <c r="F227" s="196">
        <f>IF(E227="Vestdanmark",SUMIFS(IF(D227=År1,'Resultater - Vestdanmark'!H$3:H$482,IF(D227=År2,'Resultater - Vestdanmark'!I$3:I$482,'Resultater - Vestdanmark'!J$3:J$482)),'Resultater - Vestdanmark'!$F$3:$F$482,$A227,IF(D227=År1,'Resultater - Vestdanmark'!H$3:H$482,IF(D227=År2,'Resultater - Vestdanmark'!I$3:I$482,'Resultater - Vestdanmark'!J$3:J$482)),"&gt;0"),SUMIFS(IF(D227=År1,'Resultater - Østdanmark'!H$3:H$482,IF(D227=År2,'Resultater - Østdanmark'!I$3:I$482,'Resultater - Østdanmark'!J$3:J$482)),'Resultater - Østdanmark'!$F$3:$F$482,$A227,IF(D227=År1,'Resultater - Østdanmark'!H$3:H$482,IF(D227=År2,'Resultater - Østdanmark'!I$3:I$482,'Resultater - Østdanmark'!J$3:J$482)),"&gt;0"))</f>
        <v>0</v>
      </c>
      <c r="G227" s="196">
        <f>SUMIFS('Forbrug af biomasse'!$E$2:$E$425,'Forbrug af biomasse'!$C$2:$C$425,'Resultat-Produktion &amp; forbrug'!$A227,'Forbrug af biomasse'!$D$2:$D$425,'Resultat-Produktion &amp; forbrug'!$D227,'Forbrug af biomasse'!$A$2:$A$425,'Resultat-Produktion &amp; forbrug'!G$2,'Forbrug af biomasse'!$B$2:$B$425,$E227)</f>
        <v>0</v>
      </c>
      <c r="H227" s="193">
        <f>IF(E227="Vestdanmark",-IF(A227="Halm",SUMIFS(IF(D227=År1,'Resultater - Vestdanmark'!H$3:H$482,IF(D227=År2,'Resultater - Vestdanmark'!I$3:I$482,'Resultater - Vestdanmark'!J$3:J$482)),'Resultater - Vestdanmark'!$F$3:$F$482,$A227,'Resultater - Vestdanmark'!H$3:H$482,"&lt;0"),0),-IF(A227="Halm",SUMIFS(IF(D227=År1,'Resultater - Østdanmark'!H$3:H$482,IF(D227=År2,'Resultater - Østdanmark'!I$3:I$482,'Resultater - Østdanmark'!J$3:J$482)),'Resultater - Østdanmark'!$F$3:$F$482,$A227,'Resultater - Østdanmark'!H$3:H$482,"&lt;0"),0))</f>
        <v>0</v>
      </c>
      <c r="I227" s="196">
        <f>SUMIFS('Forbrug af biomasse'!$E$2:$E$425,'Forbrug af biomasse'!$C$2:$C$425,'Resultat-Produktion &amp; forbrug'!$A227,'Forbrug af biomasse'!$D$2:$D$425,'Resultat-Produktion &amp; forbrug'!$D227,'Forbrug af biomasse'!$A$2:$A$425,'Resultat-Produktion &amp; forbrug'!I$2,'Forbrug af biomasse'!$B$2:$B$425,$E227)</f>
        <v>0</v>
      </c>
      <c r="J227" s="196">
        <f>SUMIFS('Forbrug af biomasse'!$E$2:$E$425,'Forbrug af biomasse'!$C$2:$C$425,'Resultat-Produktion &amp; forbrug'!$A227,'Forbrug af biomasse'!$D$2:$D$425,'Resultat-Produktion &amp; forbrug'!$D227,'Forbrug af biomasse'!$A$2:$A$425,'Resultat-Produktion &amp; forbrug'!J$2,'Forbrug af biomasse'!$B$2:$B$425,$E227)</f>
        <v>0</v>
      </c>
      <c r="K227" s="196">
        <f>SUMIFS('Forbrug af biomasse'!$E$2:$E$425,'Forbrug af biomasse'!$C$2:$C$425,'Resultat-Produktion &amp; forbrug'!$A227,'Forbrug af biomasse'!$D$2:$D$425,'Resultat-Produktion &amp; forbrug'!$D227,'Forbrug af biomasse'!$A$2:$A$425,'Resultat-Produktion &amp; forbrug'!K$2,'Forbrug af biomasse'!$B$2:$B$425,$E227)</f>
        <v>0</v>
      </c>
      <c r="L227" s="196">
        <f>IF(A227&lt;&gt;"Biogas",SUMIFS('Forbrug af biomasse'!$E$2:$E$425,'Forbrug af biomasse'!$C$2:$C$425,'Resultat-Produktion &amp; forbrug'!$A227,'Forbrug af biomasse'!$D$2:$D$425,'Resultat-Produktion &amp; forbrug'!$D227,'Forbrug af biomasse'!$A$2:$A$425,'Resultat-Produktion &amp; forbrug'!L$2,'Forbrug af biomasse'!$B$2:$B$425,$E227),F227)</f>
        <v>0</v>
      </c>
      <c r="M227" s="158">
        <f>SUMIFS('Forbrug af biomasse'!E:E,'Forbrug af biomasse'!C:C,'Resultat-Produktion &amp; forbrug'!$A227,'Forbrug af biomasse'!D:D,'Resultat-Produktion &amp; forbrug'!$D227,'Forbrug af biomasse'!G:G,1,'Forbrug af biomasse'!B:B,$E227)</f>
        <v>0</v>
      </c>
      <c r="N227" s="205">
        <f t="shared" ref="N227:N228" si="68">F227-SUM(G227:M227)</f>
        <v>0</v>
      </c>
      <c r="O227" s="196">
        <f t="shared" si="59"/>
        <v>0</v>
      </c>
      <c r="P227" s="206">
        <f t="shared" ref="P227:P228" si="69">SUM(J227,L227)</f>
        <v>0</v>
      </c>
      <c r="Q227" s="193">
        <f>IFERROR(VLOOKUP(A227,[1]Energiindhold!$A$2:$C$11,3,FALSE),IFERROR(VLOOKUP(A227,[1]Biogasudbytte!$A$2:$B$18,2,FALSE)*[1]Energiindhold!$C$10,0))*O227</f>
        <v>0</v>
      </c>
      <c r="R227" s="193">
        <f>IF(A227&lt;&gt;"Biogas",IFERROR(VLOOKUP(A227,[1]Biogasudbytte!$A$2:$B$18,2,FALSE)*[1]Energiindhold!$C$10,0)*J227*IFERROR(VLOOKUP(A227,Biogasanlæg!$F$3:$G$8,2,FALSE),1)+IFERROR(VLOOKUP(A227,[1]Energiindhold!$A$2:$C$11,3,FALSE),0)*L227+IF(D227&lt;&gt;År1,Q227,0),0)</f>
        <v>0</v>
      </c>
      <c r="S227" s="193">
        <f>IFERROR(VLOOKUP(A227,[1]Biogasudbytte!$A$2:$B$18,2,FALSE)*[1]Energiindhold!$C$10,0)*J227*IFERROR(VLOOKUP(A227,Biogasanlæg!$F$3:$G$8,2,FALSE),1)</f>
        <v>0</v>
      </c>
      <c r="T227" s="194">
        <f t="shared" ref="T227:T228" si="70">R227-S227</f>
        <v>0</v>
      </c>
      <c r="U227" s="192">
        <f>O227*IFERROR(VLOOKUP(A227,[1]Tørstofindhold!A$2:B$25,2,FALSE),0)</f>
        <v>0</v>
      </c>
      <c r="V227" s="193">
        <f>IF(D227=År1,P227,SUM(O227,P227))*IFERROR(VLOOKUP(A227,[1]Tørstofindhold!A$2:B$25,2,FALSE),0)</f>
        <v>0</v>
      </c>
      <c r="W227" s="193">
        <f>J227*IFERROR(VLOOKUP(A227,[1]Tørstofindhold!A$2:B$25,2,FALSE),0)</f>
        <v>0</v>
      </c>
      <c r="X227" s="194">
        <f t="shared" ref="X227:X228" si="71">V227-W227</f>
        <v>0</v>
      </c>
      <c r="Y227" s="172">
        <f t="shared" si="60"/>
        <v>0</v>
      </c>
      <c r="Z227" s="104">
        <f t="shared" si="61"/>
        <v>0</v>
      </c>
    </row>
    <row r="228" spans="1:26" hidden="1" x14ac:dyDescent="0.55000000000000004">
      <c r="A228" s="195" t="str">
        <f t="shared" si="66"/>
        <v>Pyrolyseolie</v>
      </c>
      <c r="B228" s="195" t="str">
        <f t="shared" si="67"/>
        <v>Pyrolyseprodukter</v>
      </c>
      <c r="C228" s="195">
        <f>IF(COUNTIFS('Resultater - Danmark'!$D$3:$D$482,'Resultat-Produktion &amp; forbrug'!A228,'Resultater - Danmark'!$A$3:$A$482,"Til energi")+COUNTIFS('Resultater - Danmark'!$D$3:$D$482,'Resultat-Produktion &amp; forbrug'!A228,'Resultater - Danmark'!$A$3:$A$482,"Biogasanlæg")&gt;0,1,0)</f>
        <v>1</v>
      </c>
      <c r="D228" s="195">
        <f t="shared" si="58"/>
        <v>2030</v>
      </c>
      <c r="E228" s="193" t="s">
        <v>24</v>
      </c>
      <c r="F228" s="196">
        <f>IF(E228="Vestdanmark",SUMIFS(IF(D228=År1,'Resultater - Vestdanmark'!H$3:H$482,IF(D228=År2,'Resultater - Vestdanmark'!I$3:I$482,'Resultater - Vestdanmark'!J$3:J$482)),'Resultater - Vestdanmark'!$F$3:$F$482,$A228,IF(D228=År1,'Resultater - Vestdanmark'!H$3:H$482,IF(D228=År2,'Resultater - Vestdanmark'!I$3:I$482,'Resultater - Vestdanmark'!J$3:J$482)),"&gt;0"),SUMIFS(IF(D228=År1,'Resultater - Østdanmark'!H$3:H$482,IF(D228=År2,'Resultater - Østdanmark'!I$3:I$482,'Resultater - Østdanmark'!J$3:J$482)),'Resultater - Østdanmark'!$F$3:$F$482,$A228,IF(D228=År1,'Resultater - Østdanmark'!H$3:H$482,IF(D228=År2,'Resultater - Østdanmark'!I$3:I$482,'Resultater - Østdanmark'!J$3:J$482)),"&gt;0"))</f>
        <v>0</v>
      </c>
      <c r="G228" s="196">
        <f>SUMIFS('Forbrug af biomasse'!$E$2:$E$425,'Forbrug af biomasse'!$C$2:$C$425,'Resultat-Produktion &amp; forbrug'!$A228,'Forbrug af biomasse'!$D$2:$D$425,'Resultat-Produktion &amp; forbrug'!$D228,'Forbrug af biomasse'!$A$2:$A$425,'Resultat-Produktion &amp; forbrug'!G$2,'Forbrug af biomasse'!$B$2:$B$425,$E228)</f>
        <v>0</v>
      </c>
      <c r="H228" s="193">
        <f>IF(E228="Vestdanmark",-IF(A228="Halm",SUMIFS(IF(D228=År1,'Resultater - Vestdanmark'!H$3:H$482,IF(D228=År2,'Resultater - Vestdanmark'!I$3:I$482,'Resultater - Vestdanmark'!J$3:J$482)),'Resultater - Vestdanmark'!$F$3:$F$482,$A228,'Resultater - Vestdanmark'!H$3:H$482,"&lt;0"),0),-IF(A228="Halm",SUMIFS(IF(D228=År1,'Resultater - Østdanmark'!H$3:H$482,IF(D228=År2,'Resultater - Østdanmark'!I$3:I$482,'Resultater - Østdanmark'!J$3:J$482)),'Resultater - Østdanmark'!$F$3:$F$482,$A228,'Resultater - Østdanmark'!H$3:H$482,"&lt;0"),0))</f>
        <v>0</v>
      </c>
      <c r="I228" s="196">
        <f>SUMIFS('Forbrug af biomasse'!$E$2:$E$425,'Forbrug af biomasse'!$C$2:$C$425,'Resultat-Produktion &amp; forbrug'!$A228,'Forbrug af biomasse'!$D$2:$D$425,'Resultat-Produktion &amp; forbrug'!$D228,'Forbrug af biomasse'!$A$2:$A$425,'Resultat-Produktion &amp; forbrug'!I$2,'Forbrug af biomasse'!$B$2:$B$425,$E228)</f>
        <v>0</v>
      </c>
      <c r="J228" s="196">
        <f>SUMIFS('Forbrug af biomasse'!$E$2:$E$425,'Forbrug af biomasse'!$C$2:$C$425,'Resultat-Produktion &amp; forbrug'!$A228,'Forbrug af biomasse'!$D$2:$D$425,'Resultat-Produktion &amp; forbrug'!$D228,'Forbrug af biomasse'!$A$2:$A$425,'Resultat-Produktion &amp; forbrug'!J$2,'Forbrug af biomasse'!$B$2:$B$425,$E228)</f>
        <v>0</v>
      </c>
      <c r="K228" s="196">
        <f>SUMIFS('Forbrug af biomasse'!$E$2:$E$425,'Forbrug af biomasse'!$C$2:$C$425,'Resultat-Produktion &amp; forbrug'!$A228,'Forbrug af biomasse'!$D$2:$D$425,'Resultat-Produktion &amp; forbrug'!$D228,'Forbrug af biomasse'!$A$2:$A$425,'Resultat-Produktion &amp; forbrug'!K$2,'Forbrug af biomasse'!$B$2:$B$425,$E228)</f>
        <v>0</v>
      </c>
      <c r="L228" s="196">
        <f>IF(A228&lt;&gt;"Biogas",SUMIFS('Forbrug af biomasse'!$E$2:$E$425,'Forbrug af biomasse'!$C$2:$C$425,'Resultat-Produktion &amp; forbrug'!$A228,'Forbrug af biomasse'!$D$2:$D$425,'Resultat-Produktion &amp; forbrug'!$D228,'Forbrug af biomasse'!$A$2:$A$425,'Resultat-Produktion &amp; forbrug'!L$2,'Forbrug af biomasse'!$B$2:$B$425,$E228),F228)</f>
        <v>0</v>
      </c>
      <c r="M228" s="158">
        <f>SUMIFS('Forbrug af biomasse'!E:E,'Forbrug af biomasse'!C:C,'Resultat-Produktion &amp; forbrug'!$A228,'Forbrug af biomasse'!D:D,'Resultat-Produktion &amp; forbrug'!$D228,'Forbrug af biomasse'!G:G,1,'Forbrug af biomasse'!B:B,$E228)</f>
        <v>0</v>
      </c>
      <c r="N228" s="205">
        <f t="shared" si="68"/>
        <v>0</v>
      </c>
      <c r="O228" s="196">
        <f t="shared" si="59"/>
        <v>0</v>
      </c>
      <c r="P228" s="206">
        <f t="shared" si="69"/>
        <v>0</v>
      </c>
      <c r="Q228" s="193">
        <f>IFERROR(VLOOKUP(A228,[1]Energiindhold!$A$2:$C$11,3,FALSE),IFERROR(VLOOKUP(A228,[1]Biogasudbytte!$A$2:$B$18,2,FALSE)*[1]Energiindhold!$C$10,0))*O228</f>
        <v>0</v>
      </c>
      <c r="R228" s="193">
        <f>IF(A228&lt;&gt;"Biogas",IFERROR(VLOOKUP(A228,[1]Biogasudbytte!$A$2:$B$18,2,FALSE)*[1]Energiindhold!$C$10,0)*J228*IFERROR(VLOOKUP(A228,Biogasanlæg!$F$3:$G$8,2,FALSE),1)+IFERROR(VLOOKUP(A228,[1]Energiindhold!$A$2:$C$11,3,FALSE),0)*L228+IF(D228&lt;&gt;År1,Q228,0),0)</f>
        <v>0</v>
      </c>
      <c r="S228" s="193">
        <f>IFERROR(VLOOKUP(A228,[1]Biogasudbytte!$A$2:$B$18,2,FALSE)*[1]Energiindhold!$C$10,0)*J228*IFERROR(VLOOKUP(A228,Biogasanlæg!$F$3:$G$8,2,FALSE),1)</f>
        <v>0</v>
      </c>
      <c r="T228" s="194">
        <f t="shared" si="70"/>
        <v>0</v>
      </c>
      <c r="U228" s="192">
        <f>O228*IFERROR(VLOOKUP(A228,[1]Tørstofindhold!A$2:B$25,2,FALSE),0)</f>
        <v>0</v>
      </c>
      <c r="V228" s="193">
        <f>IF(D228=År1,P228,SUM(O228,P228))*IFERROR(VLOOKUP(A228,[1]Tørstofindhold!A$2:B$25,2,FALSE),0)</f>
        <v>0</v>
      </c>
      <c r="W228" s="193">
        <f>J228*IFERROR(VLOOKUP(A228,[1]Tørstofindhold!A$2:B$25,2,FALSE),0)</f>
        <v>0</v>
      </c>
      <c r="X228" s="194">
        <f t="shared" si="71"/>
        <v>0</v>
      </c>
      <c r="Y228" s="172">
        <f t="shared" si="60"/>
        <v>0</v>
      </c>
      <c r="Z228" s="104">
        <f t="shared" si="61"/>
        <v>0</v>
      </c>
    </row>
    <row r="229" spans="1:26" hidden="1" x14ac:dyDescent="0.55000000000000004">
      <c r="A229" s="195" t="str">
        <f t="shared" ref="A229:A274" si="72">A181</f>
        <v>Råmælk</v>
      </c>
      <c r="B229" s="195" t="str">
        <f t="shared" ref="B229:B274" si="73">IF(B181&lt;&gt;"",B181,"")</f>
        <v/>
      </c>
      <c r="C229" s="195">
        <f>IF(COUNTIFS('Resultater - Danmark'!$D$3:$D$482,'Resultat-Produktion &amp; forbrug'!A229,'Resultater - Danmark'!$A$3:$A$482,"Til energi")+COUNTIFS('Resultater - Danmark'!$D$3:$D$482,'Resultat-Produktion &amp; forbrug'!A229,'Resultater - Danmark'!$A$3:$A$482,"Biogasanlæg")&gt;0,1,0)</f>
        <v>0</v>
      </c>
      <c r="D229" s="195">
        <f t="shared" si="58"/>
        <v>2030</v>
      </c>
      <c r="E229" s="193" t="s">
        <v>24</v>
      </c>
      <c r="F229" s="196">
        <f>IF(E229="Vestdanmark",SUMIFS(IF(D229=År1,'Resultater - Vestdanmark'!H$3:H$482,IF(D229=År2,'Resultater - Vestdanmark'!I$3:I$482,'Resultater - Vestdanmark'!J$3:J$482)),'Resultater - Vestdanmark'!$F$3:$F$482,$A229,IF(D229=År1,'Resultater - Vestdanmark'!H$3:H$482,IF(D229=År2,'Resultater - Vestdanmark'!I$3:I$482,'Resultater - Vestdanmark'!J$3:J$482)),"&gt;0"),SUMIFS(IF(D229=År1,'Resultater - Østdanmark'!H$3:H$482,IF(D229=År2,'Resultater - Østdanmark'!I$3:I$482,'Resultater - Østdanmark'!J$3:J$482)),'Resultater - Østdanmark'!$F$3:$F$482,$A229,IF(D229=År1,'Resultater - Østdanmark'!H$3:H$482,IF(D229=År2,'Resultater - Østdanmark'!I$3:I$482,'Resultater - Østdanmark'!J$3:J$482)),"&gt;0"))</f>
        <v>346161.09873740864</v>
      </c>
      <c r="G229" s="196">
        <f>SUMIFS('Forbrug af biomasse'!$E$2:$E$425,'Forbrug af biomasse'!$C$2:$C$425,'Resultat-Produktion &amp; forbrug'!$A229,'Forbrug af biomasse'!$D$2:$D$425,'Resultat-Produktion &amp; forbrug'!$D229,'Forbrug af biomasse'!$A$2:$A$425,'Resultat-Produktion &amp; forbrug'!G$2,'Forbrug af biomasse'!$B$2:$B$425,$E229)</f>
        <v>0</v>
      </c>
      <c r="H229" s="193">
        <f>IF(E229="Vestdanmark",-IF(A229="Halm",SUMIFS(IF(D229=År1,'Resultater - Vestdanmark'!H$3:H$482,IF(D229=År2,'Resultater - Vestdanmark'!I$3:I$482,'Resultater - Vestdanmark'!J$3:J$482)),'Resultater - Vestdanmark'!$F$3:$F$482,$A229,'Resultater - Vestdanmark'!H$3:H$482,"&lt;0"),0),-IF(A229="Halm",SUMIFS(IF(D229=År1,'Resultater - Østdanmark'!H$3:H$482,IF(D229=År2,'Resultater - Østdanmark'!I$3:I$482,'Resultater - Østdanmark'!J$3:J$482)),'Resultater - Østdanmark'!$F$3:$F$482,$A229,'Resultater - Østdanmark'!H$3:H$482,"&lt;0"),0))</f>
        <v>0</v>
      </c>
      <c r="I229" s="196">
        <f>SUMIFS('Forbrug af biomasse'!$E$2:$E$425,'Forbrug af biomasse'!$C$2:$C$425,'Resultat-Produktion &amp; forbrug'!$A229,'Forbrug af biomasse'!$D$2:$D$425,'Resultat-Produktion &amp; forbrug'!$D229,'Forbrug af biomasse'!$A$2:$A$425,'Resultat-Produktion &amp; forbrug'!I$2,'Forbrug af biomasse'!$B$2:$B$425,$E229)</f>
        <v>0</v>
      </c>
      <c r="J229" s="196">
        <f>SUMIFS('Forbrug af biomasse'!$E$2:$E$425,'Forbrug af biomasse'!$C$2:$C$425,'Resultat-Produktion &amp; forbrug'!$A229,'Forbrug af biomasse'!$D$2:$D$425,'Resultat-Produktion &amp; forbrug'!$D229,'Forbrug af biomasse'!$A$2:$A$425,'Resultat-Produktion &amp; forbrug'!J$2,'Forbrug af biomasse'!$B$2:$B$425,$E229)</f>
        <v>0</v>
      </c>
      <c r="K229" s="196">
        <f>SUMIFS('Forbrug af biomasse'!$E$2:$E$425,'Forbrug af biomasse'!$C$2:$C$425,'Resultat-Produktion &amp; forbrug'!$A229,'Forbrug af biomasse'!$D$2:$D$425,'Resultat-Produktion &amp; forbrug'!$D229,'Forbrug af biomasse'!$A$2:$A$425,'Resultat-Produktion &amp; forbrug'!K$2,'Forbrug af biomasse'!$B$2:$B$425,$E229)</f>
        <v>0</v>
      </c>
      <c r="L229" s="196">
        <f>IF(A229&lt;&gt;"Biogas",SUMIFS('Forbrug af biomasse'!$E$2:$E$425,'Forbrug af biomasse'!$C$2:$C$425,'Resultat-Produktion &amp; forbrug'!$A229,'Forbrug af biomasse'!$D$2:$D$425,'Resultat-Produktion &amp; forbrug'!$D229,'Forbrug af biomasse'!$A$2:$A$425,'Resultat-Produktion &amp; forbrug'!L$2,'Forbrug af biomasse'!$B$2:$B$425,$E229),F229)</f>
        <v>0</v>
      </c>
      <c r="M229" s="158">
        <f>SUMIFS('Forbrug af biomasse'!E:E,'Forbrug af biomasse'!C:C,'Resultat-Produktion &amp; forbrug'!$A229,'Forbrug af biomasse'!D:D,'Resultat-Produktion &amp; forbrug'!$D229,'Forbrug af biomasse'!G:G,1,'Forbrug af biomasse'!B:B,$E229)</f>
        <v>0</v>
      </c>
      <c r="N229" s="205">
        <f t="shared" si="62"/>
        <v>346161.09873740864</v>
      </c>
      <c r="O229" s="196">
        <f t="shared" si="59"/>
        <v>0</v>
      </c>
      <c r="P229" s="206">
        <f t="shared" si="63"/>
        <v>0</v>
      </c>
      <c r="Q229" s="193">
        <f>IFERROR(VLOOKUP(A229,[1]Energiindhold!$A$2:$C$11,3,FALSE),IFERROR(VLOOKUP(A229,[1]Biogasudbytte!$A$2:$B$18,2,FALSE)*[1]Energiindhold!$C$10,0))*O229</f>
        <v>0</v>
      </c>
      <c r="R229" s="193">
        <f>IF(A229&lt;&gt;"Biogas",IFERROR(VLOOKUP(A229,[1]Biogasudbytte!$A$2:$B$18,2,FALSE)*[1]Energiindhold!$C$10,0)*J229*IFERROR(VLOOKUP(A229,Biogasanlæg!$F$3:$G$8,2,FALSE),1)+IFERROR(VLOOKUP(A229,[1]Energiindhold!$A$2:$C$11,3,FALSE),0)*L229+IF(D229&lt;&gt;År1,Q229,0),0)</f>
        <v>0</v>
      </c>
      <c r="S229" s="193">
        <f>IFERROR(VLOOKUP(A229,[1]Biogasudbytte!$A$2:$B$18,2,FALSE)*[1]Energiindhold!$C$10,0)*J229*IFERROR(VLOOKUP(A229,Biogasanlæg!$F$3:$G$8,2,FALSE),1)</f>
        <v>0</v>
      </c>
      <c r="T229" s="194">
        <f t="shared" si="64"/>
        <v>0</v>
      </c>
      <c r="U229" s="192">
        <f>O229*IFERROR(VLOOKUP(A229,[1]Tørstofindhold!A$2:B$25,2,FALSE),0)</f>
        <v>0</v>
      </c>
      <c r="V229" s="193">
        <f>IF(D229=År1,P229,SUM(O229,P229))*IFERROR(VLOOKUP(A229,[1]Tørstofindhold!A$2:B$25,2,FALSE),0)</f>
        <v>0</v>
      </c>
      <c r="W229" s="193">
        <f>J229*IFERROR(VLOOKUP(A229,[1]Tørstofindhold!A$2:B$25,2,FALSE),0)</f>
        <v>0</v>
      </c>
      <c r="X229" s="194">
        <f t="shared" si="65"/>
        <v>0</v>
      </c>
      <c r="Y229" s="172">
        <f t="shared" si="60"/>
        <v>0</v>
      </c>
      <c r="Z229" s="104">
        <f t="shared" si="61"/>
        <v>1</v>
      </c>
    </row>
    <row r="230" spans="1:26" hidden="1" x14ac:dyDescent="0.55000000000000004">
      <c r="A230" s="195" t="str">
        <f t="shared" si="72"/>
        <v>Raps</v>
      </c>
      <c r="B230" s="195" t="str">
        <f t="shared" si="73"/>
        <v/>
      </c>
      <c r="C230" s="195">
        <f>IF(COUNTIFS('Resultater - Danmark'!$D$3:$D$482,'Resultat-Produktion &amp; forbrug'!A230,'Resultater - Danmark'!$A$3:$A$482,"Til energi")+COUNTIFS('Resultater - Danmark'!$D$3:$D$482,'Resultat-Produktion &amp; forbrug'!A230,'Resultater - Danmark'!$A$3:$A$482,"Biogasanlæg")&gt;0,1,0)</f>
        <v>0</v>
      </c>
      <c r="D230" s="195">
        <f t="shared" si="58"/>
        <v>2030</v>
      </c>
      <c r="E230" s="193" t="s">
        <v>24</v>
      </c>
      <c r="F230" s="196">
        <f>IF(E230="Vestdanmark",SUMIFS(IF(D230=År1,'Resultater - Vestdanmark'!H$3:H$482,IF(D230=År2,'Resultater - Vestdanmark'!I$3:I$482,'Resultater - Vestdanmark'!J$3:J$482)),'Resultater - Vestdanmark'!$F$3:$F$482,$A230,IF(D230=År1,'Resultater - Vestdanmark'!H$3:H$482,IF(D230=År2,'Resultater - Vestdanmark'!I$3:I$482,'Resultater - Vestdanmark'!J$3:J$482)),"&gt;0"),SUMIFS(IF(D230=År1,'Resultater - Østdanmark'!H$3:H$482,IF(D230=År2,'Resultater - Østdanmark'!I$3:I$482,'Resultater - Østdanmark'!J$3:J$482)),'Resultater - Østdanmark'!$F$3:$F$482,$A230,IF(D230=År1,'Resultater - Østdanmark'!H$3:H$482,IF(D230=År2,'Resultater - Østdanmark'!I$3:I$482,'Resultater - Østdanmark'!J$3:J$482)),"&gt;0"))</f>
        <v>204407.79128636757</v>
      </c>
      <c r="G230" s="196">
        <f>SUMIFS('Forbrug af biomasse'!$E$2:$E$425,'Forbrug af biomasse'!$C$2:$C$425,'Resultat-Produktion &amp; forbrug'!$A230,'Forbrug af biomasse'!$D$2:$D$425,'Resultat-Produktion &amp; forbrug'!$D230,'Forbrug af biomasse'!$A$2:$A$425,'Resultat-Produktion &amp; forbrug'!G$2,'Forbrug af biomasse'!$B$2:$B$425,$E230)</f>
        <v>0</v>
      </c>
      <c r="H230" s="193">
        <f>IF(E230="Vestdanmark",-IF(A230="Halm",SUMIFS(IF(D230=År1,'Resultater - Vestdanmark'!H$3:H$482,IF(D230=År2,'Resultater - Vestdanmark'!I$3:I$482,'Resultater - Vestdanmark'!J$3:J$482)),'Resultater - Vestdanmark'!$F$3:$F$482,$A230,'Resultater - Vestdanmark'!H$3:H$482,"&lt;0"),0),-IF(A230="Halm",SUMIFS(IF(D230=År1,'Resultater - Østdanmark'!H$3:H$482,IF(D230=År2,'Resultater - Østdanmark'!I$3:I$482,'Resultater - Østdanmark'!J$3:J$482)),'Resultater - Østdanmark'!$F$3:$F$482,$A230,'Resultater - Østdanmark'!H$3:H$482,"&lt;0"),0))</f>
        <v>0</v>
      </c>
      <c r="I230" s="196">
        <f>SUMIFS('Forbrug af biomasse'!$E$2:$E$425,'Forbrug af biomasse'!$C$2:$C$425,'Resultat-Produktion &amp; forbrug'!$A230,'Forbrug af biomasse'!$D$2:$D$425,'Resultat-Produktion &amp; forbrug'!$D230,'Forbrug af biomasse'!$A$2:$A$425,'Resultat-Produktion &amp; forbrug'!I$2,'Forbrug af biomasse'!$B$2:$B$425,$E230)</f>
        <v>0</v>
      </c>
      <c r="J230" s="196">
        <f>SUMIFS('Forbrug af biomasse'!$E$2:$E$425,'Forbrug af biomasse'!$C$2:$C$425,'Resultat-Produktion &amp; forbrug'!$A230,'Forbrug af biomasse'!$D$2:$D$425,'Resultat-Produktion &amp; forbrug'!$D230,'Forbrug af biomasse'!$A$2:$A$425,'Resultat-Produktion &amp; forbrug'!J$2,'Forbrug af biomasse'!$B$2:$B$425,$E230)</f>
        <v>0</v>
      </c>
      <c r="K230" s="196">
        <f>SUMIFS('Forbrug af biomasse'!$E$2:$E$425,'Forbrug af biomasse'!$C$2:$C$425,'Resultat-Produktion &amp; forbrug'!$A230,'Forbrug af biomasse'!$D$2:$D$425,'Resultat-Produktion &amp; forbrug'!$D230,'Forbrug af biomasse'!$A$2:$A$425,'Resultat-Produktion &amp; forbrug'!K$2,'Forbrug af biomasse'!$B$2:$B$425,$E230)</f>
        <v>0</v>
      </c>
      <c r="L230" s="196">
        <f>IF(A230&lt;&gt;"Biogas",SUMIFS('Forbrug af biomasse'!$E$2:$E$425,'Forbrug af biomasse'!$C$2:$C$425,'Resultat-Produktion &amp; forbrug'!$A230,'Forbrug af biomasse'!$D$2:$D$425,'Resultat-Produktion &amp; forbrug'!$D230,'Forbrug af biomasse'!$A$2:$A$425,'Resultat-Produktion &amp; forbrug'!L$2,'Forbrug af biomasse'!$B$2:$B$425,$E230),F230)</f>
        <v>0</v>
      </c>
      <c r="M230" s="158">
        <f>SUMIFS('Forbrug af biomasse'!E:E,'Forbrug af biomasse'!C:C,'Resultat-Produktion &amp; forbrug'!$A230,'Forbrug af biomasse'!D:D,'Resultat-Produktion &amp; forbrug'!$D230,'Forbrug af biomasse'!G:G,1,'Forbrug af biomasse'!B:B,$E230)</f>
        <v>204407.79128636757</v>
      </c>
      <c r="N230" s="205">
        <f t="shared" si="62"/>
        <v>0</v>
      </c>
      <c r="O230" s="196">
        <f t="shared" si="59"/>
        <v>0</v>
      </c>
      <c r="P230" s="206">
        <f t="shared" si="63"/>
        <v>0</v>
      </c>
      <c r="Q230" s="193">
        <f>IFERROR(VLOOKUP(A230,[1]Energiindhold!$A$2:$C$11,3,FALSE),IFERROR(VLOOKUP(A230,[1]Biogasudbytte!$A$2:$B$18,2,FALSE)*[1]Energiindhold!$C$10,0))*O230</f>
        <v>0</v>
      </c>
      <c r="R230" s="193">
        <f>IF(A230&lt;&gt;"Biogas",IFERROR(VLOOKUP(A230,[1]Biogasudbytte!$A$2:$B$18,2,FALSE)*[1]Energiindhold!$C$10,0)*J230*IFERROR(VLOOKUP(A230,Biogasanlæg!$F$3:$G$8,2,FALSE),1)+IFERROR(VLOOKUP(A230,[1]Energiindhold!$A$2:$C$11,3,FALSE),0)*L230+IF(D230&lt;&gt;År1,Q230,0),0)</f>
        <v>0</v>
      </c>
      <c r="S230" s="193">
        <f>IFERROR(VLOOKUP(A230,[1]Biogasudbytte!$A$2:$B$18,2,FALSE)*[1]Energiindhold!$C$10,0)*J230*IFERROR(VLOOKUP(A230,Biogasanlæg!$F$3:$G$8,2,FALSE),1)</f>
        <v>0</v>
      </c>
      <c r="T230" s="194">
        <f t="shared" si="64"/>
        <v>0</v>
      </c>
      <c r="U230" s="192">
        <f>O230*IFERROR(VLOOKUP(A230,[1]Tørstofindhold!A$2:B$25,2,FALSE),0)</f>
        <v>0</v>
      </c>
      <c r="V230" s="193">
        <f>IF(D230=År1,P230,SUM(O230,P230))*IFERROR(VLOOKUP(A230,[1]Tørstofindhold!A$2:B$25,2,FALSE),0)</f>
        <v>0</v>
      </c>
      <c r="W230" s="193">
        <f>J230*IFERROR(VLOOKUP(A230,[1]Tørstofindhold!A$2:B$25,2,FALSE),0)</f>
        <v>0</v>
      </c>
      <c r="X230" s="194">
        <f t="shared" si="65"/>
        <v>0</v>
      </c>
      <c r="Y230" s="172">
        <f t="shared" si="60"/>
        <v>0</v>
      </c>
      <c r="Z230" s="104">
        <f t="shared" si="61"/>
        <v>0</v>
      </c>
    </row>
    <row r="231" spans="1:26" hidden="1" x14ac:dyDescent="0.55000000000000004">
      <c r="A231" s="195" t="str">
        <f t="shared" si="72"/>
        <v>Rapskage</v>
      </c>
      <c r="B231" s="195" t="str">
        <f t="shared" si="73"/>
        <v/>
      </c>
      <c r="C231" s="195">
        <f>IF(COUNTIFS('Resultater - Danmark'!$D$3:$D$482,'Resultat-Produktion &amp; forbrug'!A231,'Resultater - Danmark'!$A$3:$A$482,"Til energi")+COUNTIFS('Resultater - Danmark'!$D$3:$D$482,'Resultat-Produktion &amp; forbrug'!A231,'Resultater - Danmark'!$A$3:$A$482,"Biogasanlæg")&gt;0,1,0)</f>
        <v>0</v>
      </c>
      <c r="D231" s="195">
        <f t="shared" si="58"/>
        <v>2030</v>
      </c>
      <c r="E231" s="193" t="s">
        <v>24</v>
      </c>
      <c r="F231" s="196">
        <f>IF(E231="Vestdanmark",SUMIFS(IF(D231=År1,'Resultater - Vestdanmark'!H$3:H$482,IF(D231=År2,'Resultater - Vestdanmark'!I$3:I$482,'Resultater - Vestdanmark'!J$3:J$482)),'Resultater - Vestdanmark'!$F$3:$F$482,$A231,IF(D231=År1,'Resultater - Vestdanmark'!H$3:H$482,IF(D231=År2,'Resultater - Vestdanmark'!I$3:I$482,'Resultater - Vestdanmark'!J$3:J$482)),"&gt;0"),SUMIFS(IF(D231=År1,'Resultater - Østdanmark'!H$3:H$482,IF(D231=År2,'Resultater - Østdanmark'!I$3:I$482,'Resultater - Østdanmark'!J$3:J$482)),'Resultater - Østdanmark'!$F$3:$F$482,$A231,IF(D231=År1,'Resultater - Østdanmark'!H$3:H$482,IF(D231=År2,'Resultater - Østdanmark'!I$3:I$482,'Resultater - Østdanmark'!J$3:J$482)),"&gt;0"))</f>
        <v>102203.89564318379</v>
      </c>
      <c r="G231" s="196">
        <f>SUMIFS('Forbrug af biomasse'!$E$2:$E$425,'Forbrug af biomasse'!$C$2:$C$425,'Resultat-Produktion &amp; forbrug'!$A231,'Forbrug af biomasse'!$D$2:$D$425,'Resultat-Produktion &amp; forbrug'!$D231,'Forbrug af biomasse'!$A$2:$A$425,'Resultat-Produktion &amp; forbrug'!G$2,'Forbrug af biomasse'!$B$2:$B$425,$E231)</f>
        <v>26278.769501998377</v>
      </c>
      <c r="H231" s="193">
        <f>IF(E231="Vestdanmark",-IF(A231="Halm",SUMIFS(IF(D231=År1,'Resultater - Vestdanmark'!H$3:H$482,IF(D231=År2,'Resultater - Vestdanmark'!I$3:I$482,'Resultater - Vestdanmark'!J$3:J$482)),'Resultater - Vestdanmark'!$F$3:$F$482,$A231,'Resultater - Vestdanmark'!H$3:H$482,"&lt;0"),0),-IF(A231="Halm",SUMIFS(IF(D231=År1,'Resultater - Østdanmark'!H$3:H$482,IF(D231=År2,'Resultater - Østdanmark'!I$3:I$482,'Resultater - Østdanmark'!J$3:J$482)),'Resultater - Østdanmark'!$F$3:$F$482,$A231,'Resultater - Østdanmark'!H$3:H$482,"&lt;0"),0))</f>
        <v>0</v>
      </c>
      <c r="I231" s="196">
        <f>SUMIFS('Forbrug af biomasse'!$E$2:$E$425,'Forbrug af biomasse'!$C$2:$C$425,'Resultat-Produktion &amp; forbrug'!$A231,'Forbrug af biomasse'!$D$2:$D$425,'Resultat-Produktion &amp; forbrug'!$D231,'Forbrug af biomasse'!$A$2:$A$425,'Resultat-Produktion &amp; forbrug'!I$2,'Forbrug af biomasse'!$B$2:$B$425,$E231)</f>
        <v>0</v>
      </c>
      <c r="J231" s="196">
        <f>SUMIFS('Forbrug af biomasse'!$E$2:$E$425,'Forbrug af biomasse'!$C$2:$C$425,'Resultat-Produktion &amp; forbrug'!$A231,'Forbrug af biomasse'!$D$2:$D$425,'Resultat-Produktion &amp; forbrug'!$D231,'Forbrug af biomasse'!$A$2:$A$425,'Resultat-Produktion &amp; forbrug'!J$2,'Forbrug af biomasse'!$B$2:$B$425,$E231)</f>
        <v>0</v>
      </c>
      <c r="K231" s="196">
        <f>SUMIFS('Forbrug af biomasse'!$E$2:$E$425,'Forbrug af biomasse'!$C$2:$C$425,'Resultat-Produktion &amp; forbrug'!$A231,'Forbrug af biomasse'!$D$2:$D$425,'Resultat-Produktion &amp; forbrug'!$D231,'Forbrug af biomasse'!$A$2:$A$425,'Resultat-Produktion &amp; forbrug'!K$2,'Forbrug af biomasse'!$B$2:$B$425,$E231)</f>
        <v>0</v>
      </c>
      <c r="L231" s="196">
        <f>IF(A231&lt;&gt;"Biogas",SUMIFS('Forbrug af biomasse'!$E$2:$E$425,'Forbrug af biomasse'!$C$2:$C$425,'Resultat-Produktion &amp; forbrug'!$A231,'Forbrug af biomasse'!$D$2:$D$425,'Resultat-Produktion &amp; forbrug'!$D231,'Forbrug af biomasse'!$A$2:$A$425,'Resultat-Produktion &amp; forbrug'!L$2,'Forbrug af biomasse'!$B$2:$B$425,$E231),F231)</f>
        <v>0</v>
      </c>
      <c r="M231" s="158">
        <f>SUMIFS('Forbrug af biomasse'!E:E,'Forbrug af biomasse'!C:C,'Resultat-Produktion &amp; forbrug'!$A231,'Forbrug af biomasse'!D:D,'Resultat-Produktion &amp; forbrug'!$D231,'Forbrug af biomasse'!G:G,1,'Forbrug af biomasse'!B:B,$E231)</f>
        <v>0</v>
      </c>
      <c r="N231" s="205">
        <f t="shared" si="62"/>
        <v>75925.126141185407</v>
      </c>
      <c r="O231" s="196">
        <f t="shared" si="59"/>
        <v>0</v>
      </c>
      <c r="P231" s="206">
        <f t="shared" si="63"/>
        <v>0</v>
      </c>
      <c r="Q231" s="193">
        <f>IFERROR(VLOOKUP(A231,[1]Energiindhold!$A$2:$C$11,3,FALSE),IFERROR(VLOOKUP(A231,[1]Biogasudbytte!$A$2:$B$18,2,FALSE)*[1]Energiindhold!$C$10,0))*O231</f>
        <v>0</v>
      </c>
      <c r="R231" s="193">
        <f>IF(A231&lt;&gt;"Biogas",IFERROR(VLOOKUP(A231,[1]Biogasudbytte!$A$2:$B$18,2,FALSE)*[1]Energiindhold!$C$10,0)*J231*IFERROR(VLOOKUP(A231,Biogasanlæg!$F$3:$G$8,2,FALSE),1)+IFERROR(VLOOKUP(A231,[1]Energiindhold!$A$2:$C$11,3,FALSE),0)*L231+IF(D231&lt;&gt;År1,Q231,0),0)</f>
        <v>0</v>
      </c>
      <c r="S231" s="193">
        <f>IFERROR(VLOOKUP(A231,[1]Biogasudbytte!$A$2:$B$18,2,FALSE)*[1]Energiindhold!$C$10,0)*J231*IFERROR(VLOOKUP(A231,Biogasanlæg!$F$3:$G$8,2,FALSE),1)</f>
        <v>0</v>
      </c>
      <c r="T231" s="194">
        <f t="shared" si="64"/>
        <v>0</v>
      </c>
      <c r="U231" s="192">
        <f>O231*IFERROR(VLOOKUP(A231,[1]Tørstofindhold!A$2:B$25,2,FALSE),0)</f>
        <v>0</v>
      </c>
      <c r="V231" s="193">
        <f>IF(D231=År1,P231,SUM(O231,P231))*IFERROR(VLOOKUP(A231,[1]Tørstofindhold!A$2:B$25,2,FALSE),0)</f>
        <v>0</v>
      </c>
      <c r="W231" s="193">
        <f>J231*IFERROR(VLOOKUP(A231,[1]Tørstofindhold!A$2:B$25,2,FALSE),0)</f>
        <v>0</v>
      </c>
      <c r="X231" s="194">
        <f t="shared" si="65"/>
        <v>0</v>
      </c>
      <c r="Y231" s="172">
        <f t="shared" si="60"/>
        <v>0</v>
      </c>
      <c r="Z231" s="104">
        <f t="shared" si="61"/>
        <v>1</v>
      </c>
    </row>
    <row r="232" spans="1:26" hidden="1" x14ac:dyDescent="0.55000000000000004">
      <c r="A232" s="195" t="str">
        <f t="shared" si="72"/>
        <v>Rapsolie</v>
      </c>
      <c r="B232" s="195" t="str">
        <f t="shared" si="73"/>
        <v>Rapsolie</v>
      </c>
      <c r="C232" s="195">
        <f>IF(COUNTIFS('Resultater - Danmark'!$D$3:$D$482,'Resultat-Produktion &amp; forbrug'!A232,'Resultater - Danmark'!$A$3:$A$482,"Til energi")+COUNTIFS('Resultater - Danmark'!$D$3:$D$482,'Resultat-Produktion &amp; forbrug'!A232,'Resultater - Danmark'!$A$3:$A$482,"Biogasanlæg")&gt;0,1,0)</f>
        <v>1</v>
      </c>
      <c r="D232" s="195">
        <f t="shared" si="58"/>
        <v>2030</v>
      </c>
      <c r="E232" s="193" t="s">
        <v>24</v>
      </c>
      <c r="F232" s="196">
        <f>IF(E232="Vestdanmark",SUMIFS(IF(D232=År1,'Resultater - Vestdanmark'!H$3:H$482,IF(D232=År2,'Resultater - Vestdanmark'!I$3:I$482,'Resultater - Vestdanmark'!J$3:J$482)),'Resultater - Vestdanmark'!$F$3:$F$482,$A232,IF(D232=År1,'Resultater - Vestdanmark'!H$3:H$482,IF(D232=År2,'Resultater - Vestdanmark'!I$3:I$482,'Resultater - Vestdanmark'!J$3:J$482)),"&gt;0"),SUMIFS(IF(D232=År1,'Resultater - Østdanmark'!H$3:H$482,IF(D232=År2,'Resultater - Østdanmark'!I$3:I$482,'Resultater - Østdanmark'!J$3:J$482)),'Resultater - Østdanmark'!$F$3:$F$482,$A232,IF(D232=År1,'Resultater - Østdanmark'!H$3:H$482,IF(D232=År2,'Resultater - Østdanmark'!I$3:I$482,'Resultater - Østdanmark'!J$3:J$482)),"&gt;0"))</f>
        <v>65410.493211637622</v>
      </c>
      <c r="G232" s="196">
        <f>SUMIFS('Forbrug af biomasse'!$E$2:$E$425,'Forbrug af biomasse'!$C$2:$C$425,'Resultat-Produktion &amp; forbrug'!$A232,'Forbrug af biomasse'!$D$2:$D$425,'Resultat-Produktion &amp; forbrug'!$D232,'Forbrug af biomasse'!$A$2:$A$425,'Resultat-Produktion &amp; forbrug'!G$2,'Forbrug af biomasse'!$B$2:$B$425,$E232)</f>
        <v>0</v>
      </c>
      <c r="H232" s="193">
        <f>IF(E232="Vestdanmark",-IF(A232="Halm",SUMIFS(IF(D232=År1,'Resultater - Vestdanmark'!H$3:H$482,IF(D232=År2,'Resultater - Vestdanmark'!I$3:I$482,'Resultater - Vestdanmark'!J$3:J$482)),'Resultater - Vestdanmark'!$F$3:$F$482,$A232,'Resultater - Vestdanmark'!H$3:H$482,"&lt;0"),0),-IF(A232="Halm",SUMIFS(IF(D232=År1,'Resultater - Østdanmark'!H$3:H$482,IF(D232=År2,'Resultater - Østdanmark'!I$3:I$482,'Resultater - Østdanmark'!J$3:J$482)),'Resultater - Østdanmark'!$F$3:$F$482,$A232,'Resultater - Østdanmark'!H$3:H$482,"&lt;0"),0))</f>
        <v>0</v>
      </c>
      <c r="I232" s="196">
        <f>SUMIFS('Forbrug af biomasse'!$E$2:$E$425,'Forbrug af biomasse'!$C$2:$C$425,'Resultat-Produktion &amp; forbrug'!$A232,'Forbrug af biomasse'!$D$2:$D$425,'Resultat-Produktion &amp; forbrug'!$D232,'Forbrug af biomasse'!$A$2:$A$425,'Resultat-Produktion &amp; forbrug'!I$2,'Forbrug af biomasse'!$B$2:$B$425,$E232)</f>
        <v>0</v>
      </c>
      <c r="J232" s="196">
        <f>SUMIFS('Forbrug af biomasse'!$E$2:$E$425,'Forbrug af biomasse'!$C$2:$C$425,'Resultat-Produktion &amp; forbrug'!$A232,'Forbrug af biomasse'!$D$2:$D$425,'Resultat-Produktion &amp; forbrug'!$D232,'Forbrug af biomasse'!$A$2:$A$425,'Resultat-Produktion &amp; forbrug'!J$2,'Forbrug af biomasse'!$B$2:$B$425,$E232)</f>
        <v>0</v>
      </c>
      <c r="K232" s="196">
        <f>SUMIFS('Forbrug af biomasse'!$E$2:$E$425,'Forbrug af biomasse'!$C$2:$C$425,'Resultat-Produktion &amp; forbrug'!$A232,'Forbrug af biomasse'!$D$2:$D$425,'Resultat-Produktion &amp; forbrug'!$D232,'Forbrug af biomasse'!$A$2:$A$425,'Resultat-Produktion &amp; forbrug'!K$2,'Forbrug af biomasse'!$B$2:$B$425,$E232)</f>
        <v>0</v>
      </c>
      <c r="L232" s="196">
        <f>IF(A232&lt;&gt;"Biogas",SUMIFS('Forbrug af biomasse'!$E$2:$E$425,'Forbrug af biomasse'!$C$2:$C$425,'Resultat-Produktion &amp; forbrug'!$A232,'Forbrug af biomasse'!$D$2:$D$425,'Resultat-Produktion &amp; forbrug'!$D232,'Forbrug af biomasse'!$A$2:$A$425,'Resultat-Produktion &amp; forbrug'!L$2,'Forbrug af biomasse'!$B$2:$B$425,$E232),F232)</f>
        <v>65410.493211637622</v>
      </c>
      <c r="M232" s="158">
        <f>SUMIFS('Forbrug af biomasse'!E:E,'Forbrug af biomasse'!C:C,'Resultat-Produktion &amp; forbrug'!$A232,'Forbrug af biomasse'!D:D,'Resultat-Produktion &amp; forbrug'!$D232,'Forbrug af biomasse'!G:G,1,'Forbrug af biomasse'!B:B,$E232)</f>
        <v>0</v>
      </c>
      <c r="N232" s="205">
        <f t="shared" si="62"/>
        <v>0</v>
      </c>
      <c r="O232" s="196">
        <f t="shared" si="59"/>
        <v>0</v>
      </c>
      <c r="P232" s="206">
        <f t="shared" si="63"/>
        <v>65410.493211637622</v>
      </c>
      <c r="Q232" s="193">
        <f>IFERROR(VLOOKUP(A232,[1]Energiindhold!$A$2:$C$11,3,FALSE),IFERROR(VLOOKUP(A232,[1]Biogasudbytte!$A$2:$B$18,2,FALSE)*[1]Energiindhold!$C$10,0))*O232</f>
        <v>0</v>
      </c>
      <c r="R232" s="193">
        <f>IF(A232&lt;&gt;"Biogas",IFERROR(VLOOKUP(A232,[1]Biogasudbytte!$A$2:$B$18,2,FALSE)*[1]Energiindhold!$C$10,0)*J232*IFERROR(VLOOKUP(A232,Biogasanlæg!$F$3:$G$8,2,FALSE),1)+IFERROR(VLOOKUP(A232,[1]Energiindhold!$A$2:$C$11,3,FALSE),0)*L232+IF(D232&lt;&gt;År1,Q232,0),0)</f>
        <v>2.2893672624073167</v>
      </c>
      <c r="S232" s="193">
        <f>IFERROR(VLOOKUP(A232,[1]Biogasudbytte!$A$2:$B$18,2,FALSE)*[1]Energiindhold!$C$10,0)*J232*IFERROR(VLOOKUP(A232,Biogasanlæg!$F$3:$G$8,2,FALSE),1)</f>
        <v>0</v>
      </c>
      <c r="T232" s="194">
        <f t="shared" si="64"/>
        <v>2.2893672624073167</v>
      </c>
      <c r="U232" s="192">
        <f>O232*IFERROR(VLOOKUP(A232,[1]Tørstofindhold!A$2:B$25,2,FALSE),0)</f>
        <v>0</v>
      </c>
      <c r="V232" s="193">
        <f>IF(D232=År1,P232,SUM(O232,P232))*IFERROR(VLOOKUP(A232,[1]Tørstofindhold!A$2:B$25,2,FALSE),0)</f>
        <v>59523.548822590237</v>
      </c>
      <c r="W232" s="193">
        <f>J232*IFERROR(VLOOKUP(A232,[1]Tørstofindhold!A$2:B$25,2,FALSE),0)</f>
        <v>0</v>
      </c>
      <c r="X232" s="194">
        <f t="shared" si="65"/>
        <v>59523.548822590237</v>
      </c>
      <c r="Y232" s="172">
        <f t="shared" si="60"/>
        <v>0</v>
      </c>
      <c r="Z232" s="104">
        <f t="shared" si="61"/>
        <v>0</v>
      </c>
    </row>
    <row r="233" spans="1:26" hidden="1" x14ac:dyDescent="0.55000000000000004">
      <c r="A233" s="195" t="str">
        <f t="shared" si="72"/>
        <v>Roer</v>
      </c>
      <c r="B233" s="195" t="str">
        <f t="shared" si="73"/>
        <v>Græs og urter</v>
      </c>
      <c r="C233" s="195">
        <f>IF(COUNTIFS('Resultater - Danmark'!$D$3:$D$482,'Resultat-Produktion &amp; forbrug'!A233,'Resultater - Danmark'!$A$3:$A$482,"Til energi")+COUNTIFS('Resultater - Danmark'!$D$3:$D$482,'Resultat-Produktion &amp; forbrug'!A233,'Resultater - Danmark'!$A$3:$A$482,"Biogasanlæg")&gt;0,1,0)</f>
        <v>1</v>
      </c>
      <c r="D233" s="195">
        <f t="shared" si="58"/>
        <v>2030</v>
      </c>
      <c r="E233" s="193" t="s">
        <v>24</v>
      </c>
      <c r="F233" s="196">
        <f>IF(E233="Vestdanmark",SUMIFS(IF(D233=År1,'Resultater - Vestdanmark'!H$3:H$482,IF(D233=År2,'Resultater - Vestdanmark'!I$3:I$482,'Resultater - Vestdanmark'!J$3:J$482)),'Resultater - Vestdanmark'!$F$3:$F$482,$A233,IF(D233=År1,'Resultater - Vestdanmark'!H$3:H$482,IF(D233=År2,'Resultater - Vestdanmark'!I$3:I$482,'Resultater - Vestdanmark'!J$3:J$482)),"&gt;0"),SUMIFS(IF(D233=År1,'Resultater - Østdanmark'!H$3:H$482,IF(D233=År2,'Resultater - Østdanmark'!I$3:I$482,'Resultater - Østdanmark'!J$3:J$482)),'Resultater - Østdanmark'!$F$3:$F$482,$A233,IF(D233=År1,'Resultater - Østdanmark'!H$3:H$482,IF(D233=År2,'Resultater - Østdanmark'!I$3:I$482,'Resultater - Østdanmark'!J$3:J$482)),"&gt;0"))</f>
        <v>2381738.5992335565</v>
      </c>
      <c r="G233" s="196">
        <f>SUMIFS('Forbrug af biomasse'!$E$2:$E$425,'Forbrug af biomasse'!$C$2:$C$425,'Resultat-Produktion &amp; forbrug'!$A233,'Forbrug af biomasse'!$D$2:$D$425,'Resultat-Produktion &amp; forbrug'!$D233,'Forbrug af biomasse'!$A$2:$A$425,'Resultat-Produktion &amp; forbrug'!G$2,'Forbrug af biomasse'!$B$2:$B$425,$E233)</f>
        <v>103245.8768300271</v>
      </c>
      <c r="H233" s="193">
        <f>IF(E233="Vestdanmark",-IF(A233="Halm",SUMIFS(IF(D233=År1,'Resultater - Vestdanmark'!H$3:H$482,IF(D233=År2,'Resultater - Vestdanmark'!I$3:I$482,'Resultater - Vestdanmark'!J$3:J$482)),'Resultater - Vestdanmark'!$F$3:$F$482,$A233,'Resultater - Vestdanmark'!H$3:H$482,"&lt;0"),0),-IF(A233="Halm",SUMIFS(IF(D233=År1,'Resultater - Østdanmark'!H$3:H$482,IF(D233=År2,'Resultater - Østdanmark'!I$3:I$482,'Resultater - Østdanmark'!J$3:J$482)),'Resultater - Østdanmark'!$F$3:$F$482,$A233,'Resultater - Østdanmark'!H$3:H$482,"&lt;0"),0))</f>
        <v>0</v>
      </c>
      <c r="I233" s="196">
        <f>SUMIFS('Forbrug af biomasse'!$E$2:$E$425,'Forbrug af biomasse'!$C$2:$C$425,'Resultat-Produktion &amp; forbrug'!$A233,'Forbrug af biomasse'!$D$2:$D$425,'Resultat-Produktion &amp; forbrug'!$D233,'Forbrug af biomasse'!$A$2:$A$425,'Resultat-Produktion &amp; forbrug'!I$2,'Forbrug af biomasse'!$B$2:$B$425,$E233)</f>
        <v>0</v>
      </c>
      <c r="J233" s="196">
        <f>SUMIFS('Forbrug af biomasse'!$E$2:$E$425,'Forbrug af biomasse'!$C$2:$C$425,'Resultat-Produktion &amp; forbrug'!$A233,'Forbrug af biomasse'!$D$2:$D$425,'Resultat-Produktion &amp; forbrug'!$D233,'Forbrug af biomasse'!$A$2:$A$425,'Resultat-Produktion &amp; forbrug'!J$2,'Forbrug af biomasse'!$B$2:$B$425,$E233)</f>
        <v>24569.279216726416</v>
      </c>
      <c r="K233" s="196">
        <f>SUMIFS('Forbrug af biomasse'!$E$2:$E$425,'Forbrug af biomasse'!$C$2:$C$425,'Resultat-Produktion &amp; forbrug'!$A233,'Forbrug af biomasse'!$D$2:$D$425,'Resultat-Produktion &amp; forbrug'!$D233,'Forbrug af biomasse'!$A$2:$A$425,'Resultat-Produktion &amp; forbrug'!K$2,'Forbrug af biomasse'!$B$2:$B$425,$E233)</f>
        <v>0</v>
      </c>
      <c r="L233" s="196">
        <f>IF(A233&lt;&gt;"Biogas",SUMIFS('Forbrug af biomasse'!$E$2:$E$425,'Forbrug af biomasse'!$C$2:$C$425,'Resultat-Produktion &amp; forbrug'!$A233,'Forbrug af biomasse'!$D$2:$D$425,'Resultat-Produktion &amp; forbrug'!$D233,'Forbrug af biomasse'!$A$2:$A$425,'Resultat-Produktion &amp; forbrug'!L$2,'Forbrug af biomasse'!$B$2:$B$425,$E233),F233)</f>
        <v>0</v>
      </c>
      <c r="M233" s="158">
        <f>SUMIFS('Forbrug af biomasse'!E:E,'Forbrug af biomasse'!C:C,'Resultat-Produktion &amp; forbrug'!$A233,'Forbrug af biomasse'!D:D,'Resultat-Produktion &amp; forbrug'!$D233,'Forbrug af biomasse'!G:G,1,'Forbrug af biomasse'!B:B,$E233)</f>
        <v>0</v>
      </c>
      <c r="N233" s="205">
        <f t="shared" si="62"/>
        <v>2253923.4431868028</v>
      </c>
      <c r="O233" s="196">
        <f t="shared" si="59"/>
        <v>1803779.2618535154</v>
      </c>
      <c r="P233" s="206">
        <f t="shared" si="63"/>
        <v>24569.279216726416</v>
      </c>
      <c r="Q233" s="193">
        <f>IFERROR(VLOOKUP(A233,[1]Energiindhold!$A$2:$C$11,3,FALSE),IFERROR(VLOOKUP(A233,[1]Biogasudbytte!$A$2:$B$18,2,FALSE)*[1]Energiindhold!$C$10,0))*O233</f>
        <v>4.8955290678409149</v>
      </c>
      <c r="R233" s="193">
        <f>IF(A233&lt;&gt;"Biogas",IFERROR(VLOOKUP(A233,[1]Biogasudbytte!$A$2:$B$18,2,FALSE)*[1]Energiindhold!$C$10,0)*J233*IFERROR(VLOOKUP(A233,Biogasanlæg!$F$3:$G$8,2,FALSE),1)+IFERROR(VLOOKUP(A233,[1]Energiindhold!$A$2:$C$11,3,FALSE),0)*L233+IF(D233&lt;&gt;År1,Q233,0),0)</f>
        <v>4.9622110744062793</v>
      </c>
      <c r="S233" s="193">
        <f>IFERROR(VLOOKUP(A233,[1]Biogasudbytte!$A$2:$B$18,2,FALSE)*[1]Energiindhold!$C$10,0)*J233*IFERROR(VLOOKUP(A233,Biogasanlæg!$F$3:$G$8,2,FALSE),1)</f>
        <v>6.668200656536416E-2</v>
      </c>
      <c r="T233" s="194">
        <f t="shared" si="64"/>
        <v>4.8955290678409149</v>
      </c>
      <c r="U233" s="192">
        <f>O233*IFERROR(VLOOKUP(A233,[1]Tørstofindhold!A$2:B$25,2,FALSE),0)</f>
        <v>360755.85237070313</v>
      </c>
      <c r="V233" s="193">
        <f>IF(D233=År1,P233,SUM(O233,P233))*IFERROR(VLOOKUP(A233,[1]Tørstofindhold!A$2:B$25,2,FALSE),0)</f>
        <v>365669.70821404835</v>
      </c>
      <c r="W233" s="193">
        <f>J233*IFERROR(VLOOKUP(A233,[1]Tørstofindhold!A$2:B$25,2,FALSE),0)</f>
        <v>4913.8558433452836</v>
      </c>
      <c r="X233" s="194">
        <f t="shared" si="65"/>
        <v>360755.85237070307</v>
      </c>
      <c r="Y233" s="172">
        <f t="shared" si="60"/>
        <v>0</v>
      </c>
      <c r="Z233" s="104">
        <f t="shared" si="61"/>
        <v>1</v>
      </c>
    </row>
    <row r="234" spans="1:26" hidden="1" x14ac:dyDescent="0.55000000000000004">
      <c r="A234" s="195" t="str">
        <f t="shared" si="72"/>
        <v>Slagteriaffald til andet</v>
      </c>
      <c r="B234" s="195" t="str">
        <f t="shared" si="73"/>
        <v/>
      </c>
      <c r="C234" s="195">
        <f>IF(COUNTIFS('Resultater - Danmark'!$D$3:$D$482,'Resultat-Produktion &amp; forbrug'!A234,'Resultater - Danmark'!$A$3:$A$482,"Til energi")+COUNTIFS('Resultater - Danmark'!$D$3:$D$482,'Resultat-Produktion &amp; forbrug'!A234,'Resultater - Danmark'!$A$3:$A$482,"Biogasanlæg")&gt;0,1,0)</f>
        <v>0</v>
      </c>
      <c r="D234" s="195">
        <f t="shared" si="58"/>
        <v>2030</v>
      </c>
      <c r="E234" s="193" t="s">
        <v>24</v>
      </c>
      <c r="F234" s="196">
        <f>IF(E234="Vestdanmark",SUMIFS(IF(D234=År1,'Resultater - Vestdanmark'!H$3:H$482,IF(D234=År2,'Resultater - Vestdanmark'!I$3:I$482,'Resultater - Vestdanmark'!J$3:J$482)),'Resultater - Vestdanmark'!$F$3:$F$482,$A234,IF(D234=År1,'Resultater - Vestdanmark'!H$3:H$482,IF(D234=År2,'Resultater - Vestdanmark'!I$3:I$482,'Resultater - Vestdanmark'!J$3:J$482)),"&gt;0"),SUMIFS(IF(D234=År1,'Resultater - Østdanmark'!H$3:H$482,IF(D234=År2,'Resultater - Østdanmark'!I$3:I$482,'Resultater - Østdanmark'!J$3:J$482)),'Resultater - Østdanmark'!$F$3:$F$482,$A234,IF(D234=År1,'Resultater - Østdanmark'!H$3:H$482,IF(D234=År2,'Resultater - Østdanmark'!I$3:I$482,'Resultater - Østdanmark'!J$3:J$482)),"&gt;0"))</f>
        <v>22535.823292320583</v>
      </c>
      <c r="G234" s="196">
        <f>SUMIFS('Forbrug af biomasse'!$E$2:$E$425,'Forbrug af biomasse'!$C$2:$C$425,'Resultat-Produktion &amp; forbrug'!$A234,'Forbrug af biomasse'!$D$2:$D$425,'Resultat-Produktion &amp; forbrug'!$D234,'Forbrug af biomasse'!$A$2:$A$425,'Resultat-Produktion &amp; forbrug'!G$2,'Forbrug af biomasse'!$B$2:$B$425,$E234)</f>
        <v>0</v>
      </c>
      <c r="H234" s="193">
        <f>IF(E234="Vestdanmark",-IF(A234="Halm",SUMIFS(IF(D234=År1,'Resultater - Vestdanmark'!H$3:H$482,IF(D234=År2,'Resultater - Vestdanmark'!I$3:I$482,'Resultater - Vestdanmark'!J$3:J$482)),'Resultater - Vestdanmark'!$F$3:$F$482,$A234,'Resultater - Vestdanmark'!H$3:H$482,"&lt;0"),0),-IF(A234="Halm",SUMIFS(IF(D234=År1,'Resultater - Østdanmark'!H$3:H$482,IF(D234=År2,'Resultater - Østdanmark'!I$3:I$482,'Resultater - Østdanmark'!J$3:J$482)),'Resultater - Østdanmark'!$F$3:$F$482,$A234,'Resultater - Østdanmark'!H$3:H$482,"&lt;0"),0))</f>
        <v>0</v>
      </c>
      <c r="I234" s="196">
        <f>SUMIFS('Forbrug af biomasse'!$E$2:$E$425,'Forbrug af biomasse'!$C$2:$C$425,'Resultat-Produktion &amp; forbrug'!$A234,'Forbrug af biomasse'!$D$2:$D$425,'Resultat-Produktion &amp; forbrug'!$D234,'Forbrug af biomasse'!$A$2:$A$425,'Resultat-Produktion &amp; forbrug'!I$2,'Forbrug af biomasse'!$B$2:$B$425,$E234)</f>
        <v>0</v>
      </c>
      <c r="J234" s="196">
        <f>SUMIFS('Forbrug af biomasse'!$E$2:$E$425,'Forbrug af biomasse'!$C$2:$C$425,'Resultat-Produktion &amp; forbrug'!$A234,'Forbrug af biomasse'!$D$2:$D$425,'Resultat-Produktion &amp; forbrug'!$D234,'Forbrug af biomasse'!$A$2:$A$425,'Resultat-Produktion &amp; forbrug'!J$2,'Forbrug af biomasse'!$B$2:$B$425,$E234)</f>
        <v>0</v>
      </c>
      <c r="K234" s="196">
        <f>SUMIFS('Forbrug af biomasse'!$E$2:$E$425,'Forbrug af biomasse'!$C$2:$C$425,'Resultat-Produktion &amp; forbrug'!$A234,'Forbrug af biomasse'!$D$2:$D$425,'Resultat-Produktion &amp; forbrug'!$D234,'Forbrug af biomasse'!$A$2:$A$425,'Resultat-Produktion &amp; forbrug'!K$2,'Forbrug af biomasse'!$B$2:$B$425,$E234)</f>
        <v>0</v>
      </c>
      <c r="L234" s="196">
        <f>IF(A234&lt;&gt;"Biogas",SUMIFS('Forbrug af biomasse'!$E$2:$E$425,'Forbrug af biomasse'!$C$2:$C$425,'Resultat-Produktion &amp; forbrug'!$A234,'Forbrug af biomasse'!$D$2:$D$425,'Resultat-Produktion &amp; forbrug'!$D234,'Forbrug af biomasse'!$A$2:$A$425,'Resultat-Produktion &amp; forbrug'!L$2,'Forbrug af biomasse'!$B$2:$B$425,$E234),F234)</f>
        <v>0</v>
      </c>
      <c r="M234" s="158">
        <f>SUMIFS('Forbrug af biomasse'!E:E,'Forbrug af biomasse'!C:C,'Resultat-Produktion &amp; forbrug'!$A234,'Forbrug af biomasse'!D:D,'Resultat-Produktion &amp; forbrug'!$D234,'Forbrug af biomasse'!G:G,1,'Forbrug af biomasse'!B:B,$E234)</f>
        <v>0</v>
      </c>
      <c r="N234" s="205">
        <f t="shared" si="62"/>
        <v>22535.823292320583</v>
      </c>
      <c r="O234" s="196">
        <f t="shared" si="59"/>
        <v>0</v>
      </c>
      <c r="P234" s="206">
        <f t="shared" si="63"/>
        <v>0</v>
      </c>
      <c r="Q234" s="193">
        <f>IFERROR(VLOOKUP(A234,[1]Energiindhold!$A$2:$C$11,3,FALSE),IFERROR(VLOOKUP(A234,[1]Biogasudbytte!$A$2:$B$18,2,FALSE)*[1]Energiindhold!$C$10,0))*O234</f>
        <v>0</v>
      </c>
      <c r="R234" s="193">
        <f>IF(A234&lt;&gt;"Biogas",IFERROR(VLOOKUP(A234,[1]Biogasudbytte!$A$2:$B$18,2,FALSE)*[1]Energiindhold!$C$10,0)*J234*IFERROR(VLOOKUP(A234,Biogasanlæg!$F$3:$G$8,2,FALSE),1)+IFERROR(VLOOKUP(A234,[1]Energiindhold!$A$2:$C$11,3,FALSE),0)*L234+IF(D234&lt;&gt;År1,Q234,0),0)</f>
        <v>0</v>
      </c>
      <c r="S234" s="193">
        <f>IFERROR(VLOOKUP(A234,[1]Biogasudbytte!$A$2:$B$18,2,FALSE)*[1]Energiindhold!$C$10,0)*J234*IFERROR(VLOOKUP(A234,Biogasanlæg!$F$3:$G$8,2,FALSE),1)</f>
        <v>0</v>
      </c>
      <c r="T234" s="194">
        <f t="shared" si="64"/>
        <v>0</v>
      </c>
      <c r="U234" s="192">
        <f>O234*IFERROR(VLOOKUP(A234,[1]Tørstofindhold!A$2:B$25,2,FALSE),0)</f>
        <v>0</v>
      </c>
      <c r="V234" s="193">
        <f>IF(D234=År1,P234,SUM(O234,P234))*IFERROR(VLOOKUP(A234,[1]Tørstofindhold!A$2:B$25,2,FALSE),0)</f>
        <v>0</v>
      </c>
      <c r="W234" s="193">
        <f>J234*IFERROR(VLOOKUP(A234,[1]Tørstofindhold!A$2:B$25,2,FALSE),0)</f>
        <v>0</v>
      </c>
      <c r="X234" s="194">
        <f t="shared" si="65"/>
        <v>0</v>
      </c>
      <c r="Y234" s="172">
        <f t="shared" si="60"/>
        <v>0</v>
      </c>
      <c r="Z234" s="104">
        <f t="shared" si="61"/>
        <v>1</v>
      </c>
    </row>
    <row r="235" spans="1:26" hidden="1" x14ac:dyDescent="0.55000000000000004">
      <c r="A235" s="195" t="str">
        <f t="shared" si="72"/>
        <v>Slagteriaffald til foder</v>
      </c>
      <c r="B235" s="195" t="str">
        <f t="shared" si="73"/>
        <v/>
      </c>
      <c r="C235" s="195">
        <f>IF(COUNTIFS('Resultater - Danmark'!$D$3:$D$482,'Resultat-Produktion &amp; forbrug'!A235,'Resultater - Danmark'!$A$3:$A$482,"Til energi")+COUNTIFS('Resultater - Danmark'!$D$3:$D$482,'Resultat-Produktion &amp; forbrug'!A235,'Resultater - Danmark'!$A$3:$A$482,"Biogasanlæg")&gt;0,1,0)</f>
        <v>0</v>
      </c>
      <c r="D235" s="195">
        <f t="shared" si="58"/>
        <v>2030</v>
      </c>
      <c r="E235" s="193" t="s">
        <v>24</v>
      </c>
      <c r="F235" s="196">
        <f>IF(E235="Vestdanmark",SUMIFS(IF(D235=År1,'Resultater - Vestdanmark'!H$3:H$482,IF(D235=År2,'Resultater - Vestdanmark'!I$3:I$482,'Resultater - Vestdanmark'!J$3:J$482)),'Resultater - Vestdanmark'!$F$3:$F$482,$A235,IF(D235=År1,'Resultater - Vestdanmark'!H$3:H$482,IF(D235=År2,'Resultater - Vestdanmark'!I$3:I$482,'Resultater - Vestdanmark'!J$3:J$482)),"&gt;0"),SUMIFS(IF(D235=År1,'Resultater - Østdanmark'!H$3:H$482,IF(D235=År2,'Resultater - Østdanmark'!I$3:I$482,'Resultater - Østdanmark'!J$3:J$482)),'Resultater - Østdanmark'!$F$3:$F$482,$A235,IF(D235=År1,'Resultater - Østdanmark'!H$3:H$482,IF(D235=År2,'Resultater - Østdanmark'!I$3:I$482,'Resultater - Østdanmark'!J$3:J$482)),"&gt;0"))</f>
        <v>18290.426254310609</v>
      </c>
      <c r="G235" s="196">
        <f>SUMIFS('Forbrug af biomasse'!$E$2:$E$425,'Forbrug af biomasse'!$C$2:$C$425,'Resultat-Produktion &amp; forbrug'!$A235,'Forbrug af biomasse'!$D$2:$D$425,'Resultat-Produktion &amp; forbrug'!$D235,'Forbrug af biomasse'!$A$2:$A$425,'Resultat-Produktion &amp; forbrug'!G$2,'Forbrug af biomasse'!$B$2:$B$425,$E235)</f>
        <v>4837.9324606189484</v>
      </c>
      <c r="H235" s="193">
        <f>IF(E235="Vestdanmark",-IF(A235="Halm",SUMIFS(IF(D235=År1,'Resultater - Vestdanmark'!H$3:H$482,IF(D235=År2,'Resultater - Vestdanmark'!I$3:I$482,'Resultater - Vestdanmark'!J$3:J$482)),'Resultater - Vestdanmark'!$F$3:$F$482,$A235,'Resultater - Vestdanmark'!H$3:H$482,"&lt;0"),0),-IF(A235="Halm",SUMIFS(IF(D235=År1,'Resultater - Østdanmark'!H$3:H$482,IF(D235=År2,'Resultater - Østdanmark'!I$3:I$482,'Resultater - Østdanmark'!J$3:J$482)),'Resultater - Østdanmark'!$F$3:$F$482,$A235,'Resultater - Østdanmark'!H$3:H$482,"&lt;0"),0))</f>
        <v>0</v>
      </c>
      <c r="I235" s="196">
        <f>SUMIFS('Forbrug af biomasse'!$E$2:$E$425,'Forbrug af biomasse'!$C$2:$C$425,'Resultat-Produktion &amp; forbrug'!$A235,'Forbrug af biomasse'!$D$2:$D$425,'Resultat-Produktion &amp; forbrug'!$D235,'Forbrug af biomasse'!$A$2:$A$425,'Resultat-Produktion &amp; forbrug'!I$2,'Forbrug af biomasse'!$B$2:$B$425,$E235)</f>
        <v>0</v>
      </c>
      <c r="J235" s="196">
        <f>SUMIFS('Forbrug af biomasse'!$E$2:$E$425,'Forbrug af biomasse'!$C$2:$C$425,'Resultat-Produktion &amp; forbrug'!$A235,'Forbrug af biomasse'!$D$2:$D$425,'Resultat-Produktion &amp; forbrug'!$D235,'Forbrug af biomasse'!$A$2:$A$425,'Resultat-Produktion &amp; forbrug'!J$2,'Forbrug af biomasse'!$B$2:$B$425,$E235)</f>
        <v>0</v>
      </c>
      <c r="K235" s="196">
        <f>SUMIFS('Forbrug af biomasse'!$E$2:$E$425,'Forbrug af biomasse'!$C$2:$C$425,'Resultat-Produktion &amp; forbrug'!$A235,'Forbrug af biomasse'!$D$2:$D$425,'Resultat-Produktion &amp; forbrug'!$D235,'Forbrug af biomasse'!$A$2:$A$425,'Resultat-Produktion &amp; forbrug'!K$2,'Forbrug af biomasse'!$B$2:$B$425,$E235)</f>
        <v>0</v>
      </c>
      <c r="L235" s="196">
        <f>IF(A235&lt;&gt;"Biogas",SUMIFS('Forbrug af biomasse'!$E$2:$E$425,'Forbrug af biomasse'!$C$2:$C$425,'Resultat-Produktion &amp; forbrug'!$A235,'Forbrug af biomasse'!$D$2:$D$425,'Resultat-Produktion &amp; forbrug'!$D235,'Forbrug af biomasse'!$A$2:$A$425,'Resultat-Produktion &amp; forbrug'!L$2,'Forbrug af biomasse'!$B$2:$B$425,$E235),F235)</f>
        <v>0</v>
      </c>
      <c r="M235" s="158">
        <f>SUMIFS('Forbrug af biomasse'!E:E,'Forbrug af biomasse'!C:C,'Resultat-Produktion &amp; forbrug'!$A235,'Forbrug af biomasse'!D:D,'Resultat-Produktion &amp; forbrug'!$D235,'Forbrug af biomasse'!G:G,1,'Forbrug af biomasse'!B:B,$E235)</f>
        <v>0</v>
      </c>
      <c r="N235" s="205">
        <f t="shared" si="62"/>
        <v>13452.493793691661</v>
      </c>
      <c r="O235" s="196">
        <f t="shared" si="59"/>
        <v>0</v>
      </c>
      <c r="P235" s="206">
        <f t="shared" si="63"/>
        <v>0</v>
      </c>
      <c r="Q235" s="193">
        <f>IFERROR(VLOOKUP(A235,[1]Energiindhold!$A$2:$C$11,3,FALSE),IFERROR(VLOOKUP(A235,[1]Biogasudbytte!$A$2:$B$18,2,FALSE)*[1]Energiindhold!$C$10,0))*O235</f>
        <v>0</v>
      </c>
      <c r="R235" s="193">
        <f>IF(A235&lt;&gt;"Biogas",IFERROR(VLOOKUP(A235,[1]Biogasudbytte!$A$2:$B$18,2,FALSE)*[1]Energiindhold!$C$10,0)*J235*IFERROR(VLOOKUP(A235,Biogasanlæg!$F$3:$G$8,2,FALSE),1)+IFERROR(VLOOKUP(A235,[1]Energiindhold!$A$2:$C$11,3,FALSE),0)*L235+IF(D235&lt;&gt;År1,Q235,0),0)</f>
        <v>0</v>
      </c>
      <c r="S235" s="193">
        <f>IFERROR(VLOOKUP(A235,[1]Biogasudbytte!$A$2:$B$18,2,FALSE)*[1]Energiindhold!$C$10,0)*J235*IFERROR(VLOOKUP(A235,Biogasanlæg!$F$3:$G$8,2,FALSE),1)</f>
        <v>0</v>
      </c>
      <c r="T235" s="194">
        <f t="shared" si="64"/>
        <v>0</v>
      </c>
      <c r="U235" s="192">
        <f>O235*IFERROR(VLOOKUP(A235,[1]Tørstofindhold!A$2:B$25,2,FALSE),0)</f>
        <v>0</v>
      </c>
      <c r="V235" s="193">
        <f>IF(D235=År1,P235,SUM(O235,P235))*IFERROR(VLOOKUP(A235,[1]Tørstofindhold!A$2:B$25,2,FALSE),0)</f>
        <v>0</v>
      </c>
      <c r="W235" s="193">
        <f>J235*IFERROR(VLOOKUP(A235,[1]Tørstofindhold!A$2:B$25,2,FALSE),0)</f>
        <v>0</v>
      </c>
      <c r="X235" s="194">
        <f t="shared" si="65"/>
        <v>0</v>
      </c>
      <c r="Y235" s="172">
        <f t="shared" si="60"/>
        <v>0</v>
      </c>
      <c r="Z235" s="104">
        <f t="shared" si="61"/>
        <v>1</v>
      </c>
    </row>
    <row r="236" spans="1:26" hidden="1" x14ac:dyDescent="0.55000000000000004">
      <c r="A236" s="195" t="str">
        <f t="shared" si="72"/>
        <v>Spildevandsslam</v>
      </c>
      <c r="B236" s="195" t="str">
        <f t="shared" si="73"/>
        <v>Bionedbrydeligt affald</v>
      </c>
      <c r="C236" s="195">
        <f>IF(COUNTIFS('Resultater - Danmark'!$D$3:$D$482,'Resultat-Produktion &amp; forbrug'!A236,'Resultater - Danmark'!$A$3:$A$482,"Til energi")+COUNTIFS('Resultater - Danmark'!$D$3:$D$482,'Resultat-Produktion &amp; forbrug'!A236,'Resultater - Danmark'!$A$3:$A$482,"Biogasanlæg")&gt;0,1,0)</f>
        <v>1</v>
      </c>
      <c r="D236" s="195">
        <f t="shared" si="58"/>
        <v>2030</v>
      </c>
      <c r="E236" s="193" t="s">
        <v>24</v>
      </c>
      <c r="F236" s="196">
        <f>IF(E236="Vestdanmark",SUMIFS(IF(D236=År1,'Resultater - Vestdanmark'!H$3:H$482,IF(D236=År2,'Resultater - Vestdanmark'!I$3:I$482,'Resultater - Vestdanmark'!J$3:J$482)),'Resultater - Vestdanmark'!$F$3:$F$482,$A236,IF(D236=År1,'Resultater - Vestdanmark'!H$3:H$482,IF(D236=År2,'Resultater - Vestdanmark'!I$3:I$482,'Resultater - Vestdanmark'!J$3:J$482)),"&gt;0"),SUMIFS(IF(D236=År1,'Resultater - Østdanmark'!H$3:H$482,IF(D236=År2,'Resultater - Østdanmark'!I$3:I$482,'Resultater - Østdanmark'!J$3:J$482)),'Resultater - Østdanmark'!$F$3:$F$482,$A236,IF(D236=År1,'Resultater - Østdanmark'!H$3:H$482,IF(D236=År2,'Resultater - Østdanmark'!I$3:I$482,'Resultater - Østdanmark'!J$3:J$482)),"&gt;0"))</f>
        <v>3344054.0907642334</v>
      </c>
      <c r="G236" s="196">
        <f>SUMIFS('Forbrug af biomasse'!$E$2:$E$425,'Forbrug af biomasse'!$C$2:$C$425,'Resultat-Produktion &amp; forbrug'!$A236,'Forbrug af biomasse'!$D$2:$D$425,'Resultat-Produktion &amp; forbrug'!$D236,'Forbrug af biomasse'!$A$2:$A$425,'Resultat-Produktion &amp; forbrug'!G$2,'Forbrug af biomasse'!$B$2:$B$425,$E236)</f>
        <v>0</v>
      </c>
      <c r="H236" s="193">
        <f>IF(E236="Vestdanmark",-IF(A236="Halm",SUMIFS(IF(D236=År1,'Resultater - Vestdanmark'!H$3:H$482,IF(D236=År2,'Resultater - Vestdanmark'!I$3:I$482,'Resultater - Vestdanmark'!J$3:J$482)),'Resultater - Vestdanmark'!$F$3:$F$482,$A236,'Resultater - Vestdanmark'!H$3:H$482,"&lt;0"),0),-IF(A236="Halm",SUMIFS(IF(D236=År1,'Resultater - Østdanmark'!H$3:H$482,IF(D236=År2,'Resultater - Østdanmark'!I$3:I$482,'Resultater - Østdanmark'!J$3:J$482)),'Resultater - Østdanmark'!$F$3:$F$482,$A236,'Resultater - Østdanmark'!H$3:H$482,"&lt;0"),0))</f>
        <v>0</v>
      </c>
      <c r="I236" s="196">
        <f>SUMIFS('Forbrug af biomasse'!$E$2:$E$425,'Forbrug af biomasse'!$C$2:$C$425,'Resultat-Produktion &amp; forbrug'!$A236,'Forbrug af biomasse'!$D$2:$D$425,'Resultat-Produktion &amp; forbrug'!$D236,'Forbrug af biomasse'!$A$2:$A$425,'Resultat-Produktion &amp; forbrug'!I$2,'Forbrug af biomasse'!$B$2:$B$425,$E236)</f>
        <v>0</v>
      </c>
      <c r="J236" s="196">
        <f>SUMIFS('Forbrug af biomasse'!$E$2:$E$425,'Forbrug af biomasse'!$C$2:$C$425,'Resultat-Produktion &amp; forbrug'!$A236,'Forbrug af biomasse'!$D$2:$D$425,'Resultat-Produktion &amp; forbrug'!$D236,'Forbrug af biomasse'!$A$2:$A$425,'Resultat-Produktion &amp; forbrug'!J$2,'Forbrug af biomasse'!$B$2:$B$425,$E236)</f>
        <v>1268228.6485488336</v>
      </c>
      <c r="K236" s="196">
        <f>SUMIFS('Forbrug af biomasse'!$E$2:$E$425,'Forbrug af biomasse'!$C$2:$C$425,'Resultat-Produktion &amp; forbrug'!$A236,'Forbrug af biomasse'!$D$2:$D$425,'Resultat-Produktion &amp; forbrug'!$D236,'Forbrug af biomasse'!$A$2:$A$425,'Resultat-Produktion &amp; forbrug'!K$2,'Forbrug af biomasse'!$B$2:$B$425,$E236)</f>
        <v>0</v>
      </c>
      <c r="L236" s="196">
        <f>IF(A236&lt;&gt;"Biogas",SUMIFS('Forbrug af biomasse'!$E$2:$E$425,'Forbrug af biomasse'!$C$2:$C$425,'Resultat-Produktion &amp; forbrug'!$A236,'Forbrug af biomasse'!$D$2:$D$425,'Resultat-Produktion &amp; forbrug'!$D236,'Forbrug af biomasse'!$A$2:$A$425,'Resultat-Produktion &amp; forbrug'!L$2,'Forbrug af biomasse'!$B$2:$B$425,$E236),F236)</f>
        <v>0</v>
      </c>
      <c r="M236" s="158">
        <f>SUMIFS('Forbrug af biomasse'!E:E,'Forbrug af biomasse'!C:C,'Resultat-Produktion &amp; forbrug'!$A236,'Forbrug af biomasse'!D:D,'Resultat-Produktion &amp; forbrug'!$D236,'Forbrug af biomasse'!G:G,1,'Forbrug af biomasse'!B:B,$E236)</f>
        <v>0</v>
      </c>
      <c r="N236" s="205">
        <f t="shared" si="62"/>
        <v>2075825.4422153998</v>
      </c>
      <c r="O236" s="196">
        <f t="shared" si="59"/>
        <v>2075825.4422153998</v>
      </c>
      <c r="P236" s="206">
        <f t="shared" si="63"/>
        <v>1268228.6485488336</v>
      </c>
      <c r="Q236" s="193">
        <f>IFERROR(VLOOKUP(A236,[1]Energiindhold!$A$2:$C$11,3,FALSE),IFERROR(VLOOKUP(A236,[1]Biogasudbytte!$A$2:$B$18,2,FALSE)*[1]Energiindhold!$C$10,0))*O236</f>
        <v>1.0358576539199069</v>
      </c>
      <c r="R236" s="193">
        <f>IF(A236&lt;&gt;"Biogas",IFERROR(VLOOKUP(A236,[1]Biogasudbytte!$A$2:$B$18,2,FALSE)*[1]Energiindhold!$C$10,0)*J236*IFERROR(VLOOKUP(A236,Biogasanlæg!$F$3:$G$8,2,FALSE),1)+IFERROR(VLOOKUP(A236,[1]Energiindhold!$A$2:$C$11,3,FALSE),0)*L236+IF(D236&lt;&gt;År1,Q236,0),0)</f>
        <v>1.6687164318322605</v>
      </c>
      <c r="S236" s="193">
        <f>IFERROR(VLOOKUP(A236,[1]Biogasudbytte!$A$2:$B$18,2,FALSE)*[1]Energiindhold!$C$10,0)*J236*IFERROR(VLOOKUP(A236,Biogasanlæg!$F$3:$G$8,2,FALSE),1)</f>
        <v>0.63285877791235357</v>
      </c>
      <c r="T236" s="194">
        <f t="shared" si="64"/>
        <v>1.0358576539199069</v>
      </c>
      <c r="U236" s="192">
        <f>O236*IFERROR(VLOOKUP(A236,[1]Tørstofindhold!A$2:B$25,2,FALSE),0)</f>
        <v>124549.52653292398</v>
      </c>
      <c r="V236" s="193">
        <f>IF(D236=År1,P236,SUM(O236,P236))*IFERROR(VLOOKUP(A236,[1]Tørstofindhold!A$2:B$25,2,FALSE),0)</f>
        <v>200643.245445854</v>
      </c>
      <c r="W236" s="193">
        <f>J236*IFERROR(VLOOKUP(A236,[1]Tørstofindhold!A$2:B$25,2,FALSE),0)</f>
        <v>76093.71891293001</v>
      </c>
      <c r="X236" s="194">
        <f t="shared" si="65"/>
        <v>124549.52653292399</v>
      </c>
      <c r="Y236" s="172">
        <f t="shared" si="60"/>
        <v>0</v>
      </c>
      <c r="Z236" s="104">
        <f t="shared" si="61"/>
        <v>1</v>
      </c>
    </row>
    <row r="237" spans="1:26" hidden="1" x14ac:dyDescent="0.55000000000000004">
      <c r="A237" s="195" t="str">
        <f t="shared" si="72"/>
        <v>Svinegylle</v>
      </c>
      <c r="B237" s="195" t="str">
        <f t="shared" si="73"/>
        <v>Husdyrgødning</v>
      </c>
      <c r="C237" s="195">
        <f>IF(COUNTIFS('Resultater - Danmark'!$D$3:$D$482,'Resultat-Produktion &amp; forbrug'!A237,'Resultater - Danmark'!$A$3:$A$482,"Til energi")+COUNTIFS('Resultater - Danmark'!$D$3:$D$482,'Resultat-Produktion &amp; forbrug'!A237,'Resultater - Danmark'!$A$3:$A$482,"Biogasanlæg")&gt;0,1,0)</f>
        <v>1</v>
      </c>
      <c r="D237" s="195">
        <f t="shared" si="58"/>
        <v>2030</v>
      </c>
      <c r="E237" s="193" t="s">
        <v>24</v>
      </c>
      <c r="F237" s="196">
        <f>IF(E237="Vestdanmark",SUMIFS(IF(D237=År1,'Resultater - Vestdanmark'!H$3:H$482,IF(D237=År2,'Resultater - Vestdanmark'!I$3:I$482,'Resultater - Vestdanmark'!J$3:J$482)),'Resultater - Vestdanmark'!$F$3:$F$482,$A237,IF(D237=År1,'Resultater - Vestdanmark'!H$3:H$482,IF(D237=År2,'Resultater - Vestdanmark'!I$3:I$482,'Resultater - Vestdanmark'!J$3:J$482)),"&gt;0"),SUMIFS(IF(D237=År1,'Resultater - Østdanmark'!H$3:H$482,IF(D237=År2,'Resultater - Østdanmark'!I$3:I$482,'Resultater - Østdanmark'!J$3:J$482)),'Resultater - Østdanmark'!$F$3:$F$482,$A237,IF(D237=År1,'Resultater - Østdanmark'!H$3:H$482,IF(D237=År2,'Resultater - Østdanmark'!I$3:I$482,'Resultater - Østdanmark'!J$3:J$482)),"&gt;0"))</f>
        <v>2184299.8380428459</v>
      </c>
      <c r="G237" s="196">
        <f>SUMIFS('Forbrug af biomasse'!$E$2:$E$425,'Forbrug af biomasse'!$C$2:$C$425,'Resultat-Produktion &amp; forbrug'!$A237,'Forbrug af biomasse'!$D$2:$D$425,'Resultat-Produktion &amp; forbrug'!$D237,'Forbrug af biomasse'!$A$2:$A$425,'Resultat-Produktion &amp; forbrug'!G$2,'Forbrug af biomasse'!$B$2:$B$425,$E237)</f>
        <v>0</v>
      </c>
      <c r="H237" s="193">
        <f>IF(E237="Vestdanmark",-IF(A237="Halm",SUMIFS(IF(D237=År1,'Resultater - Vestdanmark'!H$3:H$482,IF(D237=År2,'Resultater - Vestdanmark'!I$3:I$482,'Resultater - Vestdanmark'!J$3:J$482)),'Resultater - Vestdanmark'!$F$3:$F$482,$A237,'Resultater - Vestdanmark'!H$3:H$482,"&lt;0"),0),-IF(A237="Halm",SUMIFS(IF(D237=År1,'Resultater - Østdanmark'!H$3:H$482,IF(D237=År2,'Resultater - Østdanmark'!I$3:I$482,'Resultater - Østdanmark'!J$3:J$482)),'Resultater - Østdanmark'!$F$3:$F$482,$A237,'Resultater - Østdanmark'!H$3:H$482,"&lt;0"),0))</f>
        <v>0</v>
      </c>
      <c r="I237" s="196">
        <f>SUMIFS('Forbrug af biomasse'!$E$2:$E$425,'Forbrug af biomasse'!$C$2:$C$425,'Resultat-Produktion &amp; forbrug'!$A237,'Forbrug af biomasse'!$D$2:$D$425,'Resultat-Produktion &amp; forbrug'!$D237,'Forbrug af biomasse'!$A$2:$A$425,'Resultat-Produktion &amp; forbrug'!I$2,'Forbrug af biomasse'!$B$2:$B$425,$E237)</f>
        <v>0</v>
      </c>
      <c r="J237" s="196">
        <f>SUMIFS('Forbrug af biomasse'!$E$2:$E$425,'Forbrug af biomasse'!$C$2:$C$425,'Resultat-Produktion &amp; forbrug'!$A237,'Forbrug af biomasse'!$D$2:$D$425,'Resultat-Produktion &amp; forbrug'!$D237,'Forbrug af biomasse'!$A$2:$A$425,'Resultat-Produktion &amp; forbrug'!J$2,'Forbrug af biomasse'!$B$2:$B$425,$E237)</f>
        <v>1157678.9141627084</v>
      </c>
      <c r="K237" s="196">
        <f>SUMIFS('Forbrug af biomasse'!$E$2:$E$425,'Forbrug af biomasse'!$C$2:$C$425,'Resultat-Produktion &amp; forbrug'!$A237,'Forbrug af biomasse'!$D$2:$D$425,'Resultat-Produktion &amp; forbrug'!$D237,'Forbrug af biomasse'!$A$2:$A$425,'Resultat-Produktion &amp; forbrug'!K$2,'Forbrug af biomasse'!$B$2:$B$425,$E237)</f>
        <v>1026620.9238801375</v>
      </c>
      <c r="L237" s="196">
        <f>IF(A237&lt;&gt;"Biogas",SUMIFS('Forbrug af biomasse'!$E$2:$E$425,'Forbrug af biomasse'!$C$2:$C$425,'Resultat-Produktion &amp; forbrug'!$A237,'Forbrug af biomasse'!$D$2:$D$425,'Resultat-Produktion &amp; forbrug'!$D237,'Forbrug af biomasse'!$A$2:$A$425,'Resultat-Produktion &amp; forbrug'!L$2,'Forbrug af biomasse'!$B$2:$B$425,$E237),F237)</f>
        <v>0</v>
      </c>
      <c r="M237" s="158">
        <f>SUMIFS('Forbrug af biomasse'!E:E,'Forbrug af biomasse'!C:C,'Resultat-Produktion &amp; forbrug'!$A237,'Forbrug af biomasse'!D:D,'Resultat-Produktion &amp; forbrug'!$D237,'Forbrug af biomasse'!G:G,1,'Forbrug af biomasse'!B:B,$E237)</f>
        <v>0</v>
      </c>
      <c r="N237" s="205">
        <f t="shared" si="62"/>
        <v>0</v>
      </c>
      <c r="O237" s="196">
        <f t="shared" si="59"/>
        <v>0</v>
      </c>
      <c r="P237" s="206">
        <f t="shared" si="63"/>
        <v>1157678.9141627084</v>
      </c>
      <c r="Q237" s="193">
        <f>IFERROR(VLOOKUP(A237,[1]Energiindhold!$A$2:$C$11,3,FALSE),IFERROR(VLOOKUP(A237,[1]Biogasudbytte!$A$2:$B$18,2,FALSE)*[1]Energiindhold!$C$10,0))*O237</f>
        <v>0</v>
      </c>
      <c r="R237" s="193">
        <f>IF(A237&lt;&gt;"Biogas",IFERROR(VLOOKUP(A237,[1]Biogasudbytte!$A$2:$B$18,2,FALSE)*[1]Energiindhold!$C$10,0)*J237*IFERROR(VLOOKUP(A237,Biogasanlæg!$F$3:$G$8,2,FALSE),1)+IFERROR(VLOOKUP(A237,[1]Energiindhold!$A$2:$C$11,3,FALSE),0)*L237+IF(D237&lt;&gt;År1,Q237,0),0)</f>
        <v>0.49872807622129489</v>
      </c>
      <c r="S237" s="193">
        <f>IFERROR(VLOOKUP(A237,[1]Biogasudbytte!$A$2:$B$18,2,FALSE)*[1]Energiindhold!$C$10,0)*J237*IFERROR(VLOOKUP(A237,Biogasanlæg!$F$3:$G$8,2,FALSE),1)</f>
        <v>0.49872807622129489</v>
      </c>
      <c r="T237" s="194">
        <f t="shared" si="64"/>
        <v>0</v>
      </c>
      <c r="U237" s="192">
        <f>O237*IFERROR(VLOOKUP(A237,[1]Tørstofindhold!A$2:B$25,2,FALSE),0)</f>
        <v>0</v>
      </c>
      <c r="V237" s="193">
        <f>IF(D237=År1,P237,SUM(O237,P237))*IFERROR(VLOOKUP(A237,[1]Tørstofindhold!A$2:B$25,2,FALSE),0)</f>
        <v>57883.945708135427</v>
      </c>
      <c r="W237" s="193">
        <f>J237*IFERROR(VLOOKUP(A237,[1]Tørstofindhold!A$2:B$25,2,FALSE),0)</f>
        <v>57883.945708135427</v>
      </c>
      <c r="X237" s="194">
        <f t="shared" si="65"/>
        <v>0</v>
      </c>
      <c r="Y237" s="172">
        <f t="shared" si="60"/>
        <v>0</v>
      </c>
      <c r="Z237" s="104">
        <f t="shared" si="61"/>
        <v>0</v>
      </c>
    </row>
    <row r="238" spans="1:26" hidden="1" x14ac:dyDescent="0.55000000000000004">
      <c r="A238" s="195" t="str">
        <f t="shared" si="72"/>
        <v>Svinekød</v>
      </c>
      <c r="B238" s="195" t="str">
        <f t="shared" si="73"/>
        <v/>
      </c>
      <c r="C238" s="195">
        <f>IF(COUNTIFS('Resultater - Danmark'!$D$3:$D$482,'Resultat-Produktion &amp; forbrug'!A238,'Resultater - Danmark'!$A$3:$A$482,"Til energi")+COUNTIFS('Resultater - Danmark'!$D$3:$D$482,'Resultat-Produktion &amp; forbrug'!A238,'Resultater - Danmark'!$A$3:$A$482,"Biogasanlæg")&gt;0,1,0)</f>
        <v>0</v>
      </c>
      <c r="D238" s="195">
        <f t="shared" si="58"/>
        <v>2030</v>
      </c>
      <c r="E238" s="193" t="s">
        <v>24</v>
      </c>
      <c r="F238" s="196">
        <f>IF(E238="Vestdanmark",SUMIFS(IF(D238=År1,'Resultater - Vestdanmark'!H$3:H$482,IF(D238=År2,'Resultater - Vestdanmark'!I$3:I$482,'Resultater - Vestdanmark'!J$3:J$482)),'Resultater - Vestdanmark'!$F$3:$F$482,$A238,IF(D238=År1,'Resultater - Vestdanmark'!H$3:H$482,IF(D238=År2,'Resultater - Vestdanmark'!I$3:I$482,'Resultater - Vestdanmark'!J$3:J$482)),"&gt;0"),SUMIFS(IF(D238=År1,'Resultater - Østdanmark'!H$3:H$482,IF(D238=År2,'Resultater - Østdanmark'!I$3:I$482,'Resultater - Østdanmark'!J$3:J$482)),'Resultater - Østdanmark'!$F$3:$F$482,$A238,IF(D238=År1,'Resultater - Østdanmark'!H$3:H$482,IF(D238=År2,'Resultater - Østdanmark'!I$3:I$482,'Resultater - Østdanmark'!J$3:J$482)),"&gt;0"))</f>
        <v>199670.11202830033</v>
      </c>
      <c r="G238" s="196">
        <f>SUMIFS('Forbrug af biomasse'!$E$2:$E$425,'Forbrug af biomasse'!$C$2:$C$425,'Resultat-Produktion &amp; forbrug'!$A238,'Forbrug af biomasse'!$D$2:$D$425,'Resultat-Produktion &amp; forbrug'!$D238,'Forbrug af biomasse'!$A$2:$A$425,'Resultat-Produktion &amp; forbrug'!G$2,'Forbrug af biomasse'!$B$2:$B$425,$E238)</f>
        <v>0</v>
      </c>
      <c r="H238" s="193">
        <f>IF(E238="Vestdanmark",-IF(A238="Halm",SUMIFS(IF(D238=År1,'Resultater - Vestdanmark'!H$3:H$482,IF(D238=År2,'Resultater - Vestdanmark'!I$3:I$482,'Resultater - Vestdanmark'!J$3:J$482)),'Resultater - Vestdanmark'!$F$3:$F$482,$A238,'Resultater - Vestdanmark'!H$3:H$482,"&lt;0"),0),-IF(A238="Halm",SUMIFS(IF(D238=År1,'Resultater - Østdanmark'!H$3:H$482,IF(D238=År2,'Resultater - Østdanmark'!I$3:I$482,'Resultater - Østdanmark'!J$3:J$482)),'Resultater - Østdanmark'!$F$3:$F$482,$A238,'Resultater - Østdanmark'!H$3:H$482,"&lt;0"),0))</f>
        <v>0</v>
      </c>
      <c r="I238" s="196">
        <f>SUMIFS('Forbrug af biomasse'!$E$2:$E$425,'Forbrug af biomasse'!$C$2:$C$425,'Resultat-Produktion &amp; forbrug'!$A238,'Forbrug af biomasse'!$D$2:$D$425,'Resultat-Produktion &amp; forbrug'!$D238,'Forbrug af biomasse'!$A$2:$A$425,'Resultat-Produktion &amp; forbrug'!I$2,'Forbrug af biomasse'!$B$2:$B$425,$E238)</f>
        <v>105526.43984954793</v>
      </c>
      <c r="J238" s="196">
        <f>SUMIFS('Forbrug af biomasse'!$E$2:$E$425,'Forbrug af biomasse'!$C$2:$C$425,'Resultat-Produktion &amp; forbrug'!$A238,'Forbrug af biomasse'!$D$2:$D$425,'Resultat-Produktion &amp; forbrug'!$D238,'Forbrug af biomasse'!$A$2:$A$425,'Resultat-Produktion &amp; forbrug'!J$2,'Forbrug af biomasse'!$B$2:$B$425,$E238)</f>
        <v>0</v>
      </c>
      <c r="K238" s="196">
        <f>SUMIFS('Forbrug af biomasse'!$E$2:$E$425,'Forbrug af biomasse'!$C$2:$C$425,'Resultat-Produktion &amp; forbrug'!$A238,'Forbrug af biomasse'!$D$2:$D$425,'Resultat-Produktion &amp; forbrug'!$D238,'Forbrug af biomasse'!$A$2:$A$425,'Resultat-Produktion &amp; forbrug'!K$2,'Forbrug af biomasse'!$B$2:$B$425,$E238)</f>
        <v>0</v>
      </c>
      <c r="L238" s="196">
        <f>IF(A238&lt;&gt;"Biogas",SUMIFS('Forbrug af biomasse'!$E$2:$E$425,'Forbrug af biomasse'!$C$2:$C$425,'Resultat-Produktion &amp; forbrug'!$A238,'Forbrug af biomasse'!$D$2:$D$425,'Resultat-Produktion &amp; forbrug'!$D238,'Forbrug af biomasse'!$A$2:$A$425,'Resultat-Produktion &amp; forbrug'!L$2,'Forbrug af biomasse'!$B$2:$B$425,$E238),F238)</f>
        <v>0</v>
      </c>
      <c r="M238" s="158">
        <f>SUMIFS('Forbrug af biomasse'!E:E,'Forbrug af biomasse'!C:C,'Resultat-Produktion &amp; forbrug'!$A238,'Forbrug af biomasse'!D:D,'Resultat-Produktion &amp; forbrug'!$D238,'Forbrug af biomasse'!G:G,1,'Forbrug af biomasse'!B:B,$E238)</f>
        <v>0</v>
      </c>
      <c r="N238" s="205">
        <f t="shared" si="62"/>
        <v>94143.6721787524</v>
      </c>
      <c r="O238" s="196">
        <f t="shared" si="59"/>
        <v>0</v>
      </c>
      <c r="P238" s="206">
        <f t="shared" si="63"/>
        <v>0</v>
      </c>
      <c r="Q238" s="193">
        <f>IFERROR(VLOOKUP(A238,[1]Energiindhold!$A$2:$C$11,3,FALSE),IFERROR(VLOOKUP(A238,[1]Biogasudbytte!$A$2:$B$18,2,FALSE)*[1]Energiindhold!$C$10,0))*O238</f>
        <v>0</v>
      </c>
      <c r="R238" s="193">
        <f>IF(A238&lt;&gt;"Biogas",IFERROR(VLOOKUP(A238,[1]Biogasudbytte!$A$2:$B$18,2,FALSE)*[1]Energiindhold!$C$10,0)*J238*IFERROR(VLOOKUP(A238,Biogasanlæg!$F$3:$G$8,2,FALSE),1)+IFERROR(VLOOKUP(A238,[1]Energiindhold!$A$2:$C$11,3,FALSE),0)*L238+IF(D238&lt;&gt;År1,Q238,0),0)</f>
        <v>0</v>
      </c>
      <c r="S238" s="193">
        <f>IFERROR(VLOOKUP(A238,[1]Biogasudbytte!$A$2:$B$18,2,FALSE)*[1]Energiindhold!$C$10,0)*J238*IFERROR(VLOOKUP(A238,Biogasanlæg!$F$3:$G$8,2,FALSE),1)</f>
        <v>0</v>
      </c>
      <c r="T238" s="194">
        <f t="shared" si="64"/>
        <v>0</v>
      </c>
      <c r="U238" s="192">
        <f>O238*IFERROR(VLOOKUP(A238,[1]Tørstofindhold!A$2:B$25,2,FALSE),0)</f>
        <v>0</v>
      </c>
      <c r="V238" s="193">
        <f>IF(D238=År1,P238,SUM(O238,P238))*IFERROR(VLOOKUP(A238,[1]Tørstofindhold!A$2:B$25,2,FALSE),0)</f>
        <v>0</v>
      </c>
      <c r="W238" s="193">
        <f>J238*IFERROR(VLOOKUP(A238,[1]Tørstofindhold!A$2:B$25,2,FALSE),0)</f>
        <v>0</v>
      </c>
      <c r="X238" s="194">
        <f t="shared" si="65"/>
        <v>0</v>
      </c>
      <c r="Y238" s="172">
        <f t="shared" si="60"/>
        <v>0</v>
      </c>
      <c r="Z238" s="104">
        <f t="shared" si="61"/>
        <v>1</v>
      </c>
    </row>
    <row r="239" spans="1:26" x14ac:dyDescent="0.55000000000000004">
      <c r="A239" s="195" t="str">
        <f t="shared" si="72"/>
        <v>Tang</v>
      </c>
      <c r="B239" s="195" t="str">
        <f t="shared" si="73"/>
        <v>Havbiomasse</v>
      </c>
      <c r="C239" s="195">
        <f>IF(COUNTIFS('Resultater - Danmark'!$D$3:$D$482,'Resultat-Produktion &amp; forbrug'!A239,'Resultater - Danmark'!$A$3:$A$482,"Til energi")+COUNTIFS('Resultater - Danmark'!$D$3:$D$482,'Resultat-Produktion &amp; forbrug'!A239,'Resultater - Danmark'!$A$3:$A$482,"Biogasanlæg")&gt;0,1,0)</f>
        <v>1</v>
      </c>
      <c r="D239" s="195">
        <f t="shared" si="58"/>
        <v>2030</v>
      </c>
      <c r="E239" s="193" t="s">
        <v>24</v>
      </c>
      <c r="F239" s="196">
        <f>IF(E239="Vestdanmark",SUMIFS(IF(D239=År1,'Resultater - Vestdanmark'!H$3:H$482,IF(D239=År2,'Resultater - Vestdanmark'!I$3:I$482,'Resultater - Vestdanmark'!J$3:J$482)),'Resultater - Vestdanmark'!$F$3:$F$482,$A239,IF(D239=År1,'Resultater - Vestdanmark'!H$3:H$482,IF(D239=År2,'Resultater - Vestdanmark'!I$3:I$482,'Resultater - Vestdanmark'!J$3:J$482)),"&gt;0"),SUMIFS(IF(D239=År1,'Resultater - Østdanmark'!H$3:H$482,IF(D239=År2,'Resultater - Østdanmark'!I$3:I$482,'Resultater - Østdanmark'!J$3:J$482)),'Resultater - Østdanmark'!$F$3:$F$482,$A239,IF(D239=År1,'Resultater - Østdanmark'!H$3:H$482,IF(D239=År2,'Resultater - Østdanmark'!I$3:I$482,'Resultater - Østdanmark'!J$3:J$482)),"&gt;0"))</f>
        <v>3600</v>
      </c>
      <c r="G239" s="196">
        <f>SUMIFS('Forbrug af biomasse'!$E$2:$E$425,'Forbrug af biomasse'!$C$2:$C$425,'Resultat-Produktion &amp; forbrug'!$A239,'Forbrug af biomasse'!$D$2:$D$425,'Resultat-Produktion &amp; forbrug'!$D239,'Forbrug af biomasse'!$A$2:$A$425,'Resultat-Produktion &amp; forbrug'!G$2,'Forbrug af biomasse'!$B$2:$B$425,$E239)</f>
        <v>0</v>
      </c>
      <c r="H239" s="193">
        <f>IF(E239="Vestdanmark",-IF(A239="Halm",SUMIFS(IF(D239=År1,'Resultater - Vestdanmark'!H$3:H$482,IF(D239=År2,'Resultater - Vestdanmark'!I$3:I$482,'Resultater - Vestdanmark'!J$3:J$482)),'Resultater - Vestdanmark'!$F$3:$F$482,$A239,'Resultater - Vestdanmark'!H$3:H$482,"&lt;0"),0),-IF(A239="Halm",SUMIFS(IF(D239=År1,'Resultater - Østdanmark'!H$3:H$482,IF(D239=År2,'Resultater - Østdanmark'!I$3:I$482,'Resultater - Østdanmark'!J$3:J$482)),'Resultater - Østdanmark'!$F$3:$F$482,$A239,'Resultater - Østdanmark'!H$3:H$482,"&lt;0"),0))</f>
        <v>0</v>
      </c>
      <c r="I239" s="196">
        <f>SUMIFS('Forbrug af biomasse'!$E$2:$E$425,'Forbrug af biomasse'!$C$2:$C$425,'Resultat-Produktion &amp; forbrug'!$A239,'Forbrug af biomasse'!$D$2:$D$425,'Resultat-Produktion &amp; forbrug'!$D239,'Forbrug af biomasse'!$A$2:$A$425,'Resultat-Produktion &amp; forbrug'!I$2,'Forbrug af biomasse'!$B$2:$B$425,$E239)</f>
        <v>0</v>
      </c>
      <c r="J239" s="196">
        <f>SUMIFS('Forbrug af biomasse'!$E$2:$E$425,'Forbrug af biomasse'!$C$2:$C$425,'Resultat-Produktion &amp; forbrug'!$A239,'Forbrug af biomasse'!$D$2:$D$425,'Resultat-Produktion &amp; forbrug'!$D239,'Forbrug af biomasse'!$A$2:$A$425,'Resultat-Produktion &amp; forbrug'!J$2,'Forbrug af biomasse'!$B$2:$B$425,$E239)</f>
        <v>0</v>
      </c>
      <c r="K239" s="196">
        <f>SUMIFS('Forbrug af biomasse'!$E$2:$E$425,'Forbrug af biomasse'!$C$2:$C$425,'Resultat-Produktion &amp; forbrug'!$A239,'Forbrug af biomasse'!$D$2:$D$425,'Resultat-Produktion &amp; forbrug'!$D239,'Forbrug af biomasse'!$A$2:$A$425,'Resultat-Produktion &amp; forbrug'!K$2,'Forbrug af biomasse'!$B$2:$B$425,$E239)</f>
        <v>0</v>
      </c>
      <c r="L239" s="196">
        <f>IF(A239&lt;&gt;"Biogas",SUMIFS('Forbrug af biomasse'!$E$2:$E$425,'Forbrug af biomasse'!$C$2:$C$425,'Resultat-Produktion &amp; forbrug'!$A239,'Forbrug af biomasse'!$D$2:$D$425,'Resultat-Produktion &amp; forbrug'!$D239,'Forbrug af biomasse'!$A$2:$A$425,'Resultat-Produktion &amp; forbrug'!L$2,'Forbrug af biomasse'!$B$2:$B$425,$E239),F239)</f>
        <v>0</v>
      </c>
      <c r="M239" s="158">
        <f>SUMIFS('Forbrug af biomasse'!E:E,'Forbrug af biomasse'!C:C,'Resultat-Produktion &amp; forbrug'!$A239,'Forbrug af biomasse'!D:D,'Resultat-Produktion &amp; forbrug'!$D239,'Forbrug af biomasse'!G:G,1,'Forbrug af biomasse'!B:B,$E239)</f>
        <v>0</v>
      </c>
      <c r="N239" s="205">
        <f t="shared" si="62"/>
        <v>3600</v>
      </c>
      <c r="O239" s="196">
        <f t="shared" si="59"/>
        <v>3600</v>
      </c>
      <c r="P239" s="206">
        <f t="shared" si="63"/>
        <v>0</v>
      </c>
      <c r="Q239" s="193">
        <f>IFERROR(VLOOKUP(A239,[1]Energiindhold!$A$2:$C$11,3,FALSE),IFERROR(VLOOKUP(A239,[1]Biogasudbytte!$A$2:$B$18,2,FALSE)*[1]Energiindhold!$C$10,0))*O239</f>
        <v>3.2310000000000004E-3</v>
      </c>
      <c r="R239" s="193">
        <f>IF(A239&lt;&gt;"Biogas",IFERROR(VLOOKUP(A239,[1]Biogasudbytte!$A$2:$B$18,2,FALSE)*[1]Energiindhold!$C$10,0)*J239*IFERROR(VLOOKUP(A239,Biogasanlæg!$F$3:$G$8,2,FALSE),1)+IFERROR(VLOOKUP(A239,[1]Energiindhold!$A$2:$C$11,3,FALSE),0)*L239+IF(D239&lt;&gt;År1,Q239,0),0)</f>
        <v>3.2310000000000004E-3</v>
      </c>
      <c r="S239" s="193">
        <f>IFERROR(VLOOKUP(A239,[1]Biogasudbytte!$A$2:$B$18,2,FALSE)*[1]Energiindhold!$C$10,0)*J239*IFERROR(VLOOKUP(A239,Biogasanlæg!$F$3:$G$8,2,FALSE),1)</f>
        <v>0</v>
      </c>
      <c r="T239" s="194">
        <f t="shared" si="64"/>
        <v>3.2310000000000004E-3</v>
      </c>
      <c r="U239" s="192">
        <f>O239*IFERROR(VLOOKUP(A239,[1]Tørstofindhold!A$2:B$25,2,FALSE),0)</f>
        <v>540</v>
      </c>
      <c r="V239" s="193">
        <f>IF(D239=År1,P239,SUM(O239,P239))*IFERROR(VLOOKUP(A239,[1]Tørstofindhold!A$2:B$25,2,FALSE),0)</f>
        <v>540</v>
      </c>
      <c r="W239" s="193">
        <f>J239*IFERROR(VLOOKUP(A239,[1]Tørstofindhold!A$2:B$25,2,FALSE),0)</f>
        <v>0</v>
      </c>
      <c r="X239" s="194">
        <f t="shared" si="65"/>
        <v>540</v>
      </c>
      <c r="Y239" s="172">
        <f t="shared" si="60"/>
        <v>0</v>
      </c>
      <c r="Z239" s="104">
        <f t="shared" si="61"/>
        <v>1</v>
      </c>
    </row>
    <row r="240" spans="1:26" hidden="1" x14ac:dyDescent="0.55000000000000004">
      <c r="A240" s="195" t="str">
        <f t="shared" si="72"/>
        <v>Total til biogas</v>
      </c>
      <c r="B240" s="195" t="str">
        <f t="shared" si="73"/>
        <v/>
      </c>
      <c r="C240" s="195">
        <f>IF(COUNTIFS('Resultater - Danmark'!$D$3:$D$482,'Resultat-Produktion &amp; forbrug'!A240,'Resultater - Danmark'!$A$3:$A$482,"Til energi")+COUNTIFS('Resultater - Danmark'!$D$3:$D$482,'Resultat-Produktion &amp; forbrug'!A240,'Resultater - Danmark'!$A$3:$A$482,"Biogasanlæg")&gt;0,1,0)</f>
        <v>1</v>
      </c>
      <c r="D240" s="195">
        <f t="shared" si="58"/>
        <v>2030</v>
      </c>
      <c r="E240" s="193" t="s">
        <v>24</v>
      </c>
      <c r="F240" s="196">
        <f>IF(E240="Vestdanmark",SUMIFS(IF(D240=År1,'Resultater - Vestdanmark'!H$3:H$482,IF(D240=År2,'Resultater - Vestdanmark'!I$3:I$482,'Resultater - Vestdanmark'!J$3:J$482)),'Resultater - Vestdanmark'!$F$3:$F$482,$A240,IF(D240=År1,'Resultater - Vestdanmark'!H$3:H$482,IF(D240=År2,'Resultater - Vestdanmark'!I$3:I$482,'Resultater - Vestdanmark'!J$3:J$482)),"&gt;0"),SUMIFS(IF(D240=År1,'Resultater - Østdanmark'!H$3:H$482,IF(D240=År2,'Resultater - Østdanmark'!I$3:I$482,'Resultater - Østdanmark'!J$3:J$482)),'Resultater - Østdanmark'!$F$3:$F$482,$A240,IF(D240=År1,'Resultater - Østdanmark'!H$3:H$482,IF(D240=År2,'Resultater - Østdanmark'!I$3:I$482,'Resultater - Østdanmark'!J$3:J$482)),"&gt;0"))</f>
        <v>0</v>
      </c>
      <c r="G240" s="196">
        <f>SUMIFS('Forbrug af biomasse'!$E$2:$E$425,'Forbrug af biomasse'!$C$2:$C$425,'Resultat-Produktion &amp; forbrug'!$A240,'Forbrug af biomasse'!$D$2:$D$425,'Resultat-Produktion &amp; forbrug'!$D240,'Forbrug af biomasse'!$A$2:$A$425,'Resultat-Produktion &amp; forbrug'!G$2,'Forbrug af biomasse'!$B$2:$B$425,$E240)</f>
        <v>0</v>
      </c>
      <c r="H240" s="193">
        <f>IF(E240="Vestdanmark",-IF(A240="Halm",SUMIFS(IF(D240=År1,'Resultater - Vestdanmark'!H$3:H$482,IF(D240=År2,'Resultater - Vestdanmark'!I$3:I$482,'Resultater - Vestdanmark'!J$3:J$482)),'Resultater - Vestdanmark'!$F$3:$F$482,$A240,'Resultater - Vestdanmark'!H$3:H$482,"&lt;0"),0),-IF(A240="Halm",SUMIFS(IF(D240=År1,'Resultater - Østdanmark'!H$3:H$482,IF(D240=År2,'Resultater - Østdanmark'!I$3:I$482,'Resultater - Østdanmark'!J$3:J$482)),'Resultater - Østdanmark'!$F$3:$F$482,$A240,'Resultater - Østdanmark'!H$3:H$482,"&lt;0"),0))</f>
        <v>0</v>
      </c>
      <c r="I240" s="196">
        <f>SUMIFS('Forbrug af biomasse'!$E$2:$E$425,'Forbrug af biomasse'!$C$2:$C$425,'Resultat-Produktion &amp; forbrug'!$A240,'Forbrug af biomasse'!$D$2:$D$425,'Resultat-Produktion &amp; forbrug'!$D240,'Forbrug af biomasse'!$A$2:$A$425,'Resultat-Produktion &amp; forbrug'!I$2,'Forbrug af biomasse'!$B$2:$B$425,$E240)</f>
        <v>0</v>
      </c>
      <c r="J240" s="196">
        <f>SUMIFS('Forbrug af biomasse'!$E$2:$E$425,'Forbrug af biomasse'!$C$2:$C$425,'Resultat-Produktion &amp; forbrug'!$A240,'Forbrug af biomasse'!$D$2:$D$425,'Resultat-Produktion &amp; forbrug'!$D240,'Forbrug af biomasse'!$A$2:$A$425,'Resultat-Produktion &amp; forbrug'!J$2,'Forbrug af biomasse'!$B$2:$B$425,$E240)</f>
        <v>0</v>
      </c>
      <c r="K240" s="196">
        <f>SUMIFS('Forbrug af biomasse'!$E$2:$E$425,'Forbrug af biomasse'!$C$2:$C$425,'Resultat-Produktion &amp; forbrug'!$A240,'Forbrug af biomasse'!$D$2:$D$425,'Resultat-Produktion &amp; forbrug'!$D240,'Forbrug af biomasse'!$A$2:$A$425,'Resultat-Produktion &amp; forbrug'!K$2,'Forbrug af biomasse'!$B$2:$B$425,$E240)</f>
        <v>0</v>
      </c>
      <c r="L240" s="196">
        <f>IF(A240&lt;&gt;"Biogas",SUMIFS('Forbrug af biomasse'!$E$2:$E$425,'Forbrug af biomasse'!$C$2:$C$425,'Resultat-Produktion &amp; forbrug'!$A240,'Forbrug af biomasse'!$D$2:$D$425,'Resultat-Produktion &amp; forbrug'!$D240,'Forbrug af biomasse'!$A$2:$A$425,'Resultat-Produktion &amp; forbrug'!L$2,'Forbrug af biomasse'!$B$2:$B$425,$E240),F240)</f>
        <v>0</v>
      </c>
      <c r="M240" s="158">
        <f>SUMIFS('Forbrug af biomasse'!E:E,'Forbrug af biomasse'!C:C,'Resultat-Produktion &amp; forbrug'!$A240,'Forbrug af biomasse'!D:D,'Resultat-Produktion &amp; forbrug'!$D240,'Forbrug af biomasse'!G:G,1,'Forbrug af biomasse'!B:B,$E240)</f>
        <v>0</v>
      </c>
      <c r="N240" s="205">
        <f t="shared" si="62"/>
        <v>0</v>
      </c>
      <c r="O240" s="196">
        <f t="shared" si="59"/>
        <v>0</v>
      </c>
      <c r="P240" s="206">
        <f t="shared" si="63"/>
        <v>0</v>
      </c>
      <c r="Q240" s="193">
        <f>IFERROR(VLOOKUP(A240,[1]Energiindhold!$A$2:$C$11,3,FALSE),IFERROR(VLOOKUP(A240,[1]Biogasudbytte!$A$2:$B$18,2,FALSE)*[1]Energiindhold!$C$10,0))*O240</f>
        <v>0</v>
      </c>
      <c r="R240" s="193">
        <f>IF(A240&lt;&gt;"Biogas",IFERROR(VLOOKUP(A240,[1]Biogasudbytte!$A$2:$B$18,2,FALSE)*[1]Energiindhold!$C$10,0)*J240*IFERROR(VLOOKUP(A240,Biogasanlæg!$F$3:$G$8,2,FALSE),1)+IFERROR(VLOOKUP(A240,[1]Energiindhold!$A$2:$C$11,3,FALSE),0)*L240+IF(D240&lt;&gt;År1,Q240,0),0)</f>
        <v>0</v>
      </c>
      <c r="S240" s="193">
        <f>IFERROR(VLOOKUP(A240,[1]Biogasudbytte!$A$2:$B$18,2,FALSE)*[1]Energiindhold!$C$10,0)*J240*IFERROR(VLOOKUP(A240,Biogasanlæg!$F$3:$G$8,2,FALSE),1)</f>
        <v>0</v>
      </c>
      <c r="T240" s="194">
        <f t="shared" si="64"/>
        <v>0</v>
      </c>
      <c r="U240" s="192">
        <f>O240*IFERROR(VLOOKUP(A240,[1]Tørstofindhold!A$2:B$25,2,FALSE),0)</f>
        <v>0</v>
      </c>
      <c r="V240" s="193">
        <f>IF(D240=År1,P240,SUM(O240,P240))*IFERROR(VLOOKUP(A240,[1]Tørstofindhold!A$2:B$25,2,FALSE),0)</f>
        <v>0</v>
      </c>
      <c r="W240" s="193">
        <f>J240*IFERROR(VLOOKUP(A240,[1]Tørstofindhold!A$2:B$25,2,FALSE),0)</f>
        <v>0</v>
      </c>
      <c r="X240" s="194">
        <f t="shared" si="65"/>
        <v>0</v>
      </c>
      <c r="Y240" s="172">
        <f t="shared" si="60"/>
        <v>0</v>
      </c>
      <c r="Z240" s="104">
        <f t="shared" si="61"/>
        <v>0</v>
      </c>
    </row>
    <row r="241" spans="1:26" hidden="1" x14ac:dyDescent="0.55000000000000004">
      <c r="A241" s="195" t="str">
        <f t="shared" si="72"/>
        <v>Træ til energi</v>
      </c>
      <c r="B241" s="195" t="str">
        <f t="shared" si="73"/>
        <v>Vedmasse</v>
      </c>
      <c r="C241" s="195">
        <f>IF(COUNTIFS('Resultater - Danmark'!$D$3:$D$482,'Resultat-Produktion &amp; forbrug'!A241,'Resultater - Danmark'!$A$3:$A$482,"Til energi")+COUNTIFS('Resultater - Danmark'!$D$3:$D$482,'Resultat-Produktion &amp; forbrug'!A241,'Resultater - Danmark'!$A$3:$A$482,"Biogasanlæg")&gt;0,1,0)</f>
        <v>1</v>
      </c>
      <c r="D241" s="195">
        <f t="shared" si="58"/>
        <v>2030</v>
      </c>
      <c r="E241" s="193" t="s">
        <v>24</v>
      </c>
      <c r="F241" s="196">
        <f>IF(E241="Vestdanmark",SUMIFS(IF(D241=År1,'Resultater - Vestdanmark'!H$3:H$482,IF(D241=År2,'Resultater - Vestdanmark'!I$3:I$482,'Resultater - Vestdanmark'!J$3:J$482)),'Resultater - Vestdanmark'!$F$3:$F$482,$A241,IF(D241=År1,'Resultater - Vestdanmark'!H$3:H$482,IF(D241=År2,'Resultater - Vestdanmark'!I$3:I$482,'Resultater - Vestdanmark'!J$3:J$482)),"&gt;0"),SUMIFS(IF(D241=År1,'Resultater - Østdanmark'!H$3:H$482,IF(D241=År2,'Resultater - Østdanmark'!I$3:I$482,'Resultater - Østdanmark'!J$3:J$482)),'Resultater - Østdanmark'!$F$3:$F$482,$A241,IF(D241=År1,'Resultater - Østdanmark'!H$3:H$482,IF(D241=År2,'Resultater - Østdanmark'!I$3:I$482,'Resultater - Østdanmark'!J$3:J$482)),"&gt;0"))</f>
        <v>645037.98201828008</v>
      </c>
      <c r="G241" s="196">
        <f>SUMIFS('Forbrug af biomasse'!$E$2:$E$425,'Forbrug af biomasse'!$C$2:$C$425,'Resultat-Produktion &amp; forbrug'!$A241,'Forbrug af biomasse'!$D$2:$D$425,'Resultat-Produktion &amp; forbrug'!$D241,'Forbrug af biomasse'!$A$2:$A$425,'Resultat-Produktion &amp; forbrug'!G$2,'Forbrug af biomasse'!$B$2:$B$425,$E241)</f>
        <v>0</v>
      </c>
      <c r="H241" s="193">
        <f>IF(E241="Vestdanmark",-IF(A241="Halm",SUMIFS(IF(D241=År1,'Resultater - Vestdanmark'!H$3:H$482,IF(D241=År2,'Resultater - Vestdanmark'!I$3:I$482,'Resultater - Vestdanmark'!J$3:J$482)),'Resultater - Vestdanmark'!$F$3:$F$482,$A241,'Resultater - Vestdanmark'!H$3:H$482,"&lt;0"),0),-IF(A241="Halm",SUMIFS(IF(D241=År1,'Resultater - Østdanmark'!H$3:H$482,IF(D241=År2,'Resultater - Østdanmark'!I$3:I$482,'Resultater - Østdanmark'!J$3:J$482)),'Resultater - Østdanmark'!$F$3:$F$482,$A241,'Resultater - Østdanmark'!H$3:H$482,"&lt;0"),0))</f>
        <v>0</v>
      </c>
      <c r="I241" s="196">
        <f>SUMIFS('Forbrug af biomasse'!$E$2:$E$425,'Forbrug af biomasse'!$C$2:$C$425,'Resultat-Produktion &amp; forbrug'!$A241,'Forbrug af biomasse'!$D$2:$D$425,'Resultat-Produktion &amp; forbrug'!$D241,'Forbrug af biomasse'!$A$2:$A$425,'Resultat-Produktion &amp; forbrug'!I$2,'Forbrug af biomasse'!$B$2:$B$425,$E241)</f>
        <v>0</v>
      </c>
      <c r="J241" s="196">
        <f>SUMIFS('Forbrug af biomasse'!$E$2:$E$425,'Forbrug af biomasse'!$C$2:$C$425,'Resultat-Produktion &amp; forbrug'!$A241,'Forbrug af biomasse'!$D$2:$D$425,'Resultat-Produktion &amp; forbrug'!$D241,'Forbrug af biomasse'!$A$2:$A$425,'Resultat-Produktion &amp; forbrug'!J$2,'Forbrug af biomasse'!$B$2:$B$425,$E241)</f>
        <v>0</v>
      </c>
      <c r="K241" s="196">
        <f>SUMIFS('Forbrug af biomasse'!$E$2:$E$425,'Forbrug af biomasse'!$C$2:$C$425,'Resultat-Produktion &amp; forbrug'!$A241,'Forbrug af biomasse'!$D$2:$D$425,'Resultat-Produktion &amp; forbrug'!$D241,'Forbrug af biomasse'!$A$2:$A$425,'Resultat-Produktion &amp; forbrug'!K$2,'Forbrug af biomasse'!$B$2:$B$425,$E241)</f>
        <v>0</v>
      </c>
      <c r="L241" s="196">
        <f>IF(A241&lt;&gt;"Biogas",SUMIFS('Forbrug af biomasse'!$E$2:$E$425,'Forbrug af biomasse'!$C$2:$C$425,'Resultat-Produktion &amp; forbrug'!$A241,'Forbrug af biomasse'!$D$2:$D$425,'Resultat-Produktion &amp; forbrug'!$D241,'Forbrug af biomasse'!$A$2:$A$425,'Resultat-Produktion &amp; forbrug'!L$2,'Forbrug af biomasse'!$B$2:$B$425,$E241),F241)</f>
        <v>645037.98201828008</v>
      </c>
      <c r="M241" s="158">
        <f>SUMIFS('Forbrug af biomasse'!E:E,'Forbrug af biomasse'!C:C,'Resultat-Produktion &amp; forbrug'!$A241,'Forbrug af biomasse'!D:D,'Resultat-Produktion &amp; forbrug'!$D241,'Forbrug af biomasse'!G:G,1,'Forbrug af biomasse'!B:B,$E241)</f>
        <v>0</v>
      </c>
      <c r="N241" s="205">
        <f t="shared" si="62"/>
        <v>0</v>
      </c>
      <c r="O241" s="196">
        <f t="shared" si="59"/>
        <v>0</v>
      </c>
      <c r="P241" s="206">
        <f t="shared" si="63"/>
        <v>645037.98201828008</v>
      </c>
      <c r="Q241" s="193">
        <f>IFERROR(VLOOKUP(A241,[1]Energiindhold!$A$2:$C$11,3,FALSE),IFERROR(VLOOKUP(A241,[1]Biogasudbytte!$A$2:$B$18,2,FALSE)*[1]Energiindhold!$C$10,0))*O241</f>
        <v>0</v>
      </c>
      <c r="R241" s="193">
        <f>IF(A241&lt;&gt;"Biogas",IFERROR(VLOOKUP(A241,[1]Biogasudbytte!$A$2:$B$18,2,FALSE)*[1]Energiindhold!$C$10,0)*J241*IFERROR(VLOOKUP(A241,Biogasanlæg!$F$3:$G$8,2,FALSE),1)+IFERROR(VLOOKUP(A241,[1]Energiindhold!$A$2:$C$11,3,FALSE),0)*L241+IF(D241&lt;&gt;År1,Q241,0),0)</f>
        <v>9.3489024359990136</v>
      </c>
      <c r="S241" s="193">
        <f>IFERROR(VLOOKUP(A241,[1]Biogasudbytte!$A$2:$B$18,2,FALSE)*[1]Energiindhold!$C$10,0)*J241*IFERROR(VLOOKUP(A241,Biogasanlæg!$F$3:$G$8,2,FALSE),1)</f>
        <v>0</v>
      </c>
      <c r="T241" s="194">
        <f t="shared" si="64"/>
        <v>9.3489024359990136</v>
      </c>
      <c r="U241" s="192">
        <f>O241*IFERROR(VLOOKUP(A241,[1]Tørstofindhold!A$2:B$25,2,FALSE),0)</f>
        <v>0</v>
      </c>
      <c r="V241" s="193">
        <f>IF(D241=År1,P241,SUM(O241,P241))*IFERROR(VLOOKUP(A241,[1]Tørstofindhold!A$2:B$25,2,FALSE),0)</f>
        <v>319025.0352732077</v>
      </c>
      <c r="W241" s="193">
        <f>J241*IFERROR(VLOOKUP(A241,[1]Tørstofindhold!A$2:B$25,2,FALSE),0)</f>
        <v>0</v>
      </c>
      <c r="X241" s="194">
        <f t="shared" si="65"/>
        <v>319025.0352732077</v>
      </c>
      <c r="Y241" s="172">
        <f t="shared" si="60"/>
        <v>0</v>
      </c>
      <c r="Z241" s="104">
        <f t="shared" si="61"/>
        <v>0</v>
      </c>
    </row>
    <row r="242" spans="1:26" hidden="1" x14ac:dyDescent="0.55000000000000004">
      <c r="A242" s="195" t="str">
        <f t="shared" si="72"/>
        <v>Træmaterialer</v>
      </c>
      <c r="B242" s="195" t="str">
        <f t="shared" si="73"/>
        <v/>
      </c>
      <c r="C242" s="195">
        <f>IF(COUNTIFS('Resultater - Danmark'!$D$3:$D$482,'Resultat-Produktion &amp; forbrug'!A242,'Resultater - Danmark'!$A$3:$A$482,"Til energi")+COUNTIFS('Resultater - Danmark'!$D$3:$D$482,'Resultat-Produktion &amp; forbrug'!A242,'Resultater - Danmark'!$A$3:$A$482,"Biogasanlæg")&gt;0,1,0)</f>
        <v>0</v>
      </c>
      <c r="D242" s="195">
        <f t="shared" si="58"/>
        <v>2030</v>
      </c>
      <c r="E242" s="193" t="s">
        <v>24</v>
      </c>
      <c r="F242" s="196">
        <f>IF(E242="Vestdanmark",SUMIFS(IF(D242=År1,'Resultater - Vestdanmark'!H$3:H$482,IF(D242=År2,'Resultater - Vestdanmark'!I$3:I$482,'Resultater - Vestdanmark'!J$3:J$482)),'Resultater - Vestdanmark'!$F$3:$F$482,$A242,IF(D242=År1,'Resultater - Vestdanmark'!H$3:H$482,IF(D242=År2,'Resultater - Vestdanmark'!I$3:I$482,'Resultater - Vestdanmark'!J$3:J$482)),"&gt;0"),SUMIFS(IF(D242=År1,'Resultater - Østdanmark'!H$3:H$482,IF(D242=År2,'Resultater - Østdanmark'!I$3:I$482,'Resultater - Østdanmark'!J$3:J$482)),'Resultater - Østdanmark'!$F$3:$F$482,$A242,IF(D242=År1,'Resultater - Østdanmark'!H$3:H$482,IF(D242=År2,'Resultater - Østdanmark'!I$3:I$482,'Resultater - Østdanmark'!J$3:J$482)),"&gt;0"))</f>
        <v>177359.22120275494</v>
      </c>
      <c r="G242" s="196">
        <f>SUMIFS('Forbrug af biomasse'!$E$2:$E$425,'Forbrug af biomasse'!$C$2:$C$425,'Resultat-Produktion &amp; forbrug'!$A242,'Forbrug af biomasse'!$D$2:$D$425,'Resultat-Produktion &amp; forbrug'!$D242,'Forbrug af biomasse'!$A$2:$A$425,'Resultat-Produktion &amp; forbrug'!G$2,'Forbrug af biomasse'!$B$2:$B$425,$E242)</f>
        <v>0</v>
      </c>
      <c r="H242" s="193">
        <f>IF(E242="Vestdanmark",-IF(A242="Halm",SUMIFS(IF(D242=År1,'Resultater - Vestdanmark'!H$3:H$482,IF(D242=År2,'Resultater - Vestdanmark'!I$3:I$482,'Resultater - Vestdanmark'!J$3:J$482)),'Resultater - Vestdanmark'!$F$3:$F$482,$A242,'Resultater - Vestdanmark'!H$3:H$482,"&lt;0"),0),-IF(A242="Halm",SUMIFS(IF(D242=År1,'Resultater - Østdanmark'!H$3:H$482,IF(D242=År2,'Resultater - Østdanmark'!I$3:I$482,'Resultater - Østdanmark'!J$3:J$482)),'Resultater - Østdanmark'!$F$3:$F$482,$A242,'Resultater - Østdanmark'!H$3:H$482,"&lt;0"),0))</f>
        <v>0</v>
      </c>
      <c r="I242" s="196">
        <f>SUMIFS('Forbrug af biomasse'!$E$2:$E$425,'Forbrug af biomasse'!$C$2:$C$425,'Resultat-Produktion &amp; forbrug'!$A242,'Forbrug af biomasse'!$D$2:$D$425,'Resultat-Produktion &amp; forbrug'!$D242,'Forbrug af biomasse'!$A$2:$A$425,'Resultat-Produktion &amp; forbrug'!I$2,'Forbrug af biomasse'!$B$2:$B$425,$E242)</f>
        <v>0</v>
      </c>
      <c r="J242" s="196">
        <f>SUMIFS('Forbrug af biomasse'!$E$2:$E$425,'Forbrug af biomasse'!$C$2:$C$425,'Resultat-Produktion &amp; forbrug'!$A242,'Forbrug af biomasse'!$D$2:$D$425,'Resultat-Produktion &amp; forbrug'!$D242,'Forbrug af biomasse'!$A$2:$A$425,'Resultat-Produktion &amp; forbrug'!J$2,'Forbrug af biomasse'!$B$2:$B$425,$E242)</f>
        <v>0</v>
      </c>
      <c r="K242" s="196">
        <f>SUMIFS('Forbrug af biomasse'!$E$2:$E$425,'Forbrug af biomasse'!$C$2:$C$425,'Resultat-Produktion &amp; forbrug'!$A242,'Forbrug af biomasse'!$D$2:$D$425,'Resultat-Produktion &amp; forbrug'!$D242,'Forbrug af biomasse'!$A$2:$A$425,'Resultat-Produktion &amp; forbrug'!K$2,'Forbrug af biomasse'!$B$2:$B$425,$E242)</f>
        <v>0</v>
      </c>
      <c r="L242" s="196">
        <f>IF(A242&lt;&gt;"Biogas",SUMIFS('Forbrug af biomasse'!$E$2:$E$425,'Forbrug af biomasse'!$C$2:$C$425,'Resultat-Produktion &amp; forbrug'!$A242,'Forbrug af biomasse'!$D$2:$D$425,'Resultat-Produktion &amp; forbrug'!$D242,'Forbrug af biomasse'!$A$2:$A$425,'Resultat-Produktion &amp; forbrug'!L$2,'Forbrug af biomasse'!$B$2:$B$425,$E242),F242)</f>
        <v>0</v>
      </c>
      <c r="M242" s="158">
        <f>SUMIFS('Forbrug af biomasse'!E:E,'Forbrug af biomasse'!C:C,'Resultat-Produktion &amp; forbrug'!$A242,'Forbrug af biomasse'!D:D,'Resultat-Produktion &amp; forbrug'!$D242,'Forbrug af biomasse'!G:G,1,'Forbrug af biomasse'!B:B,$E242)</f>
        <v>0</v>
      </c>
      <c r="N242" s="205">
        <f t="shared" si="62"/>
        <v>177359.22120275494</v>
      </c>
      <c r="O242" s="196">
        <f t="shared" si="59"/>
        <v>0</v>
      </c>
      <c r="P242" s="206">
        <f t="shared" si="63"/>
        <v>0</v>
      </c>
      <c r="Q242" s="193">
        <f>IFERROR(VLOOKUP(A242,[1]Energiindhold!$A$2:$C$11,3,FALSE),IFERROR(VLOOKUP(A242,[1]Biogasudbytte!$A$2:$B$18,2,FALSE)*[1]Energiindhold!$C$10,0))*O242</f>
        <v>0</v>
      </c>
      <c r="R242" s="193">
        <f>IF(A242&lt;&gt;"Biogas",IFERROR(VLOOKUP(A242,[1]Biogasudbytte!$A$2:$B$18,2,FALSE)*[1]Energiindhold!$C$10,0)*J242*IFERROR(VLOOKUP(A242,Biogasanlæg!$F$3:$G$8,2,FALSE),1)+IFERROR(VLOOKUP(A242,[1]Energiindhold!$A$2:$C$11,3,FALSE),0)*L242+IF(D242&lt;&gt;År1,Q242,0),0)</f>
        <v>0</v>
      </c>
      <c r="S242" s="193">
        <f>IFERROR(VLOOKUP(A242,[1]Biogasudbytte!$A$2:$B$18,2,FALSE)*[1]Energiindhold!$C$10,0)*J242*IFERROR(VLOOKUP(A242,Biogasanlæg!$F$3:$G$8,2,FALSE),1)</f>
        <v>0</v>
      </c>
      <c r="T242" s="194">
        <f t="shared" si="64"/>
        <v>0</v>
      </c>
      <c r="U242" s="192">
        <f>O242*IFERROR(VLOOKUP(A242,[1]Tørstofindhold!A$2:B$25,2,FALSE),0)</f>
        <v>0</v>
      </c>
      <c r="V242" s="193">
        <f>IF(D242=År1,P242,SUM(O242,P242))*IFERROR(VLOOKUP(A242,[1]Tørstofindhold!A$2:B$25,2,FALSE),0)</f>
        <v>0</v>
      </c>
      <c r="W242" s="193">
        <f>J242*IFERROR(VLOOKUP(A242,[1]Tørstofindhold!A$2:B$25,2,FALSE),0)</f>
        <v>0</v>
      </c>
      <c r="X242" s="194">
        <f t="shared" si="65"/>
        <v>0</v>
      </c>
      <c r="Y242" s="172">
        <f t="shared" si="60"/>
        <v>0</v>
      </c>
      <c r="Z242" s="104">
        <f t="shared" si="61"/>
        <v>1</v>
      </c>
    </row>
    <row r="243" spans="1:26" hidden="1" x14ac:dyDescent="0.55000000000000004">
      <c r="A243" s="195" t="str">
        <f t="shared" si="72"/>
        <v>Æg</v>
      </c>
      <c r="B243" s="195" t="str">
        <f t="shared" si="73"/>
        <v/>
      </c>
      <c r="C243" s="195">
        <f>IF(COUNTIFS('Resultater - Danmark'!$D$3:$D$482,'Resultat-Produktion &amp; forbrug'!A243,'Resultater - Danmark'!$A$3:$A$482,"Til energi")+COUNTIFS('Resultater - Danmark'!$D$3:$D$482,'Resultat-Produktion &amp; forbrug'!A243,'Resultater - Danmark'!$A$3:$A$482,"Biogasanlæg")&gt;0,1,0)</f>
        <v>0</v>
      </c>
      <c r="D243" s="195">
        <f t="shared" ref="D243:D281" si="74">År3</f>
        <v>2050</v>
      </c>
      <c r="E243" s="193" t="s">
        <v>24</v>
      </c>
      <c r="F243" s="196">
        <f>IF(E243="Vestdanmark",SUMIFS(IF(D243=År1,'Resultater - Vestdanmark'!H$3:H$482,IF(D243=År2,'Resultater - Vestdanmark'!I$3:I$482,'Resultater - Vestdanmark'!J$3:J$482)),'Resultater - Vestdanmark'!$F$3:$F$482,$A243,IF(D243=År1,'Resultater - Vestdanmark'!H$3:H$482,IF(D243=År2,'Resultater - Vestdanmark'!I$3:I$482,'Resultater - Vestdanmark'!J$3:J$482)),"&gt;0"),SUMIFS(IF(D243=År1,'Resultater - Østdanmark'!H$3:H$482,IF(D243=År2,'Resultater - Østdanmark'!I$3:I$482,'Resultater - Østdanmark'!J$3:J$482)),'Resultater - Østdanmark'!$F$3:$F$482,$A243,IF(D243=År1,'Resultater - Østdanmark'!H$3:H$482,IF(D243=År2,'Resultater - Østdanmark'!I$3:I$482,'Resultater - Østdanmark'!J$3:J$482)),"&gt;0"))</f>
        <v>17476.099590900943</v>
      </c>
      <c r="G243" s="196">
        <f>SUMIFS('Forbrug af biomasse'!$E$2:$E$425,'Forbrug af biomasse'!$C$2:$C$425,'Resultat-Produktion &amp; forbrug'!$A243,'Forbrug af biomasse'!$D$2:$D$425,'Resultat-Produktion &amp; forbrug'!$D243,'Forbrug af biomasse'!$A$2:$A$425,'Resultat-Produktion &amp; forbrug'!G$2,'Forbrug af biomasse'!$B$2:$B$425,$E243)</f>
        <v>0</v>
      </c>
      <c r="H243" s="193">
        <f>IF(E243="Vestdanmark",-IF(A243="Halm",SUMIFS(IF(D243=År1,'Resultater - Vestdanmark'!H$3:H$482,IF(D243=År2,'Resultater - Vestdanmark'!I$3:I$482,'Resultater - Vestdanmark'!J$3:J$482)),'Resultater - Vestdanmark'!$F$3:$F$482,$A243,'Resultater - Vestdanmark'!H$3:H$482,"&lt;0"),0),-IF(A243="Halm",SUMIFS(IF(D243=År1,'Resultater - Østdanmark'!H$3:H$482,IF(D243=År2,'Resultater - Østdanmark'!I$3:I$482,'Resultater - Østdanmark'!J$3:J$482)),'Resultater - Østdanmark'!$F$3:$F$482,$A243,'Resultater - Østdanmark'!H$3:H$482,"&lt;0"),0))</f>
        <v>0</v>
      </c>
      <c r="I243" s="196">
        <f>SUMIFS('Forbrug af biomasse'!$E$2:$E$425,'Forbrug af biomasse'!$C$2:$C$425,'Resultat-Produktion &amp; forbrug'!$A243,'Forbrug af biomasse'!$D$2:$D$425,'Resultat-Produktion &amp; forbrug'!$D243,'Forbrug af biomasse'!$A$2:$A$425,'Resultat-Produktion &amp; forbrug'!I$2,'Forbrug af biomasse'!$B$2:$B$425,$E243)</f>
        <v>29532.002020101954</v>
      </c>
      <c r="J243" s="196">
        <f>SUMIFS('Forbrug af biomasse'!$E$2:$E$425,'Forbrug af biomasse'!$C$2:$C$425,'Resultat-Produktion &amp; forbrug'!$A243,'Forbrug af biomasse'!$D$2:$D$425,'Resultat-Produktion &amp; forbrug'!$D243,'Forbrug af biomasse'!$A$2:$A$425,'Resultat-Produktion &amp; forbrug'!J$2,'Forbrug af biomasse'!$B$2:$B$425,$E243)</f>
        <v>0</v>
      </c>
      <c r="K243" s="196">
        <f>SUMIFS('Forbrug af biomasse'!$E$2:$E$425,'Forbrug af biomasse'!$C$2:$C$425,'Resultat-Produktion &amp; forbrug'!$A243,'Forbrug af biomasse'!$D$2:$D$425,'Resultat-Produktion &amp; forbrug'!$D243,'Forbrug af biomasse'!$A$2:$A$425,'Resultat-Produktion &amp; forbrug'!K$2,'Forbrug af biomasse'!$B$2:$B$425,$E243)</f>
        <v>0</v>
      </c>
      <c r="L243" s="196">
        <f>IF(A243&lt;&gt;"Biogas",SUMIFS('Forbrug af biomasse'!$E$2:$E$425,'Forbrug af biomasse'!$C$2:$C$425,'Resultat-Produktion &amp; forbrug'!$A243,'Forbrug af biomasse'!$D$2:$D$425,'Resultat-Produktion &amp; forbrug'!$D243,'Forbrug af biomasse'!$A$2:$A$425,'Resultat-Produktion &amp; forbrug'!L$2,'Forbrug af biomasse'!$B$2:$B$425,$E243),F243)</f>
        <v>0</v>
      </c>
      <c r="M243" s="158">
        <f>SUMIFS('Forbrug af biomasse'!E:E,'Forbrug af biomasse'!C:C,'Resultat-Produktion &amp; forbrug'!$A243,'Forbrug af biomasse'!D:D,'Resultat-Produktion &amp; forbrug'!$D243,'Forbrug af biomasse'!G:G,1,'Forbrug af biomasse'!B:B,$E243)</f>
        <v>0</v>
      </c>
      <c r="N243" s="205">
        <f t="shared" si="62"/>
        <v>-12055.902429201011</v>
      </c>
      <c r="O243" s="196">
        <f t="shared" si="59"/>
        <v>0</v>
      </c>
      <c r="P243" s="206">
        <f t="shared" si="63"/>
        <v>0</v>
      </c>
      <c r="Q243" s="193">
        <f>IFERROR(VLOOKUP(A243,[1]Energiindhold!$A$2:$C$11,3,FALSE),IFERROR(VLOOKUP(A243,[1]Biogasudbytte!$A$2:$B$18,2,FALSE)*[1]Energiindhold!$C$10,0))*O243</f>
        <v>0</v>
      </c>
      <c r="R243" s="193">
        <f>IF(A243&lt;&gt;"Biogas",IFERROR(VLOOKUP(A243,[1]Biogasudbytte!$A$2:$B$18,2,FALSE)*[1]Energiindhold!$C$10,0)*J243*IFERROR(VLOOKUP(A243,Biogasanlæg!$F$3:$G$8,2,FALSE),1)+IFERROR(VLOOKUP(A243,[1]Energiindhold!$A$2:$C$11,3,FALSE),0)*L243+IF(D243&lt;&gt;År1,Q243,0),0)</f>
        <v>0</v>
      </c>
      <c r="S243" s="193">
        <f>IFERROR(VLOOKUP(A243,[1]Biogasudbytte!$A$2:$B$18,2,FALSE)*[1]Energiindhold!$C$10,0)*J243*IFERROR(VLOOKUP(A243,Biogasanlæg!$F$3:$G$8,2,FALSE),1)</f>
        <v>0</v>
      </c>
      <c r="T243" s="194">
        <f t="shared" si="64"/>
        <v>0</v>
      </c>
      <c r="U243" s="192">
        <f>O243*IFERROR(VLOOKUP(A243,[1]Tørstofindhold!A$2:B$25,2,FALSE),0)</f>
        <v>0</v>
      </c>
      <c r="V243" s="193">
        <f>IF(D243=År1,P243,SUM(O243,P243))*IFERROR(VLOOKUP(A243,[1]Tørstofindhold!A$2:B$25,2,FALSE),0)</f>
        <v>0</v>
      </c>
      <c r="W243" s="193">
        <f>J243*IFERROR(VLOOKUP(A243,[1]Tørstofindhold!A$2:B$25,2,FALSE),0)</f>
        <v>0</v>
      </c>
      <c r="X243" s="194">
        <f t="shared" si="65"/>
        <v>0</v>
      </c>
      <c r="Y243" s="172">
        <f t="shared" si="60"/>
        <v>0</v>
      </c>
      <c r="Z243" s="104">
        <f t="shared" si="61"/>
        <v>1</v>
      </c>
    </row>
    <row r="244" spans="1:26" x14ac:dyDescent="0.55000000000000004">
      <c r="A244" s="195" t="str">
        <f t="shared" si="72"/>
        <v>Bælgsæd</v>
      </c>
      <c r="B244" s="195" t="str">
        <f t="shared" si="73"/>
        <v/>
      </c>
      <c r="C244" s="195">
        <f>IF(COUNTIFS('Resultater - Danmark'!$D$3:$D$482,'Resultat-Produktion &amp; forbrug'!A244,'Resultater - Danmark'!$A$3:$A$482,"Til energi")+COUNTIFS('Resultater - Danmark'!$D$3:$D$482,'Resultat-Produktion &amp; forbrug'!A244,'Resultater - Danmark'!$A$3:$A$482,"Biogasanlæg")&gt;0,1,0)</f>
        <v>0</v>
      </c>
      <c r="D244" s="195">
        <f t="shared" si="74"/>
        <v>2050</v>
      </c>
      <c r="E244" s="193" t="s">
        <v>24</v>
      </c>
      <c r="F244" s="196">
        <f>IF(E244="Vestdanmark",SUMIFS(IF(D244=År1,'Resultater - Vestdanmark'!H$3:H$482,IF(D244=År2,'Resultater - Vestdanmark'!I$3:I$482,'Resultater - Vestdanmark'!J$3:J$482)),'Resultater - Vestdanmark'!$F$3:$F$482,$A244,IF(D244=År1,'Resultater - Vestdanmark'!H$3:H$482,IF(D244=År2,'Resultater - Vestdanmark'!I$3:I$482,'Resultater - Vestdanmark'!J$3:J$482)),"&gt;0"),SUMIFS(IF(D244=År1,'Resultater - Østdanmark'!H$3:H$482,IF(D244=År2,'Resultater - Østdanmark'!I$3:I$482,'Resultater - Østdanmark'!J$3:J$482)),'Resultater - Østdanmark'!$F$3:$F$482,$A244,IF(D244=År1,'Resultater - Østdanmark'!H$3:H$482,IF(D244=År2,'Resultater - Østdanmark'!I$3:I$482,'Resultater - Østdanmark'!J$3:J$482)),"&gt;0"))</f>
        <v>27846.800257878294</v>
      </c>
      <c r="G244" s="196">
        <f>SUMIFS('Forbrug af biomasse'!$E$2:$E$425,'Forbrug af biomasse'!$C$2:$C$425,'Resultat-Produktion &amp; forbrug'!$A244,'Forbrug af biomasse'!$D$2:$D$425,'Resultat-Produktion &amp; forbrug'!$D244,'Forbrug af biomasse'!$A$2:$A$425,'Resultat-Produktion &amp; forbrug'!G$2,'Forbrug af biomasse'!$B$2:$B$425,$E244)</f>
        <v>7916.616753740097</v>
      </c>
      <c r="H244" s="193">
        <f>IF(E244="Vestdanmark",-IF(A244="Halm",SUMIFS(IF(D244=År1,'Resultater - Vestdanmark'!H$3:H$482,IF(D244=År2,'Resultater - Vestdanmark'!I$3:I$482,'Resultater - Vestdanmark'!J$3:J$482)),'Resultater - Vestdanmark'!$F$3:$F$482,$A244,'Resultater - Vestdanmark'!H$3:H$482,"&lt;0"),0),-IF(A244="Halm",SUMIFS(IF(D244=År1,'Resultater - Østdanmark'!H$3:H$482,IF(D244=År2,'Resultater - Østdanmark'!I$3:I$482,'Resultater - Østdanmark'!J$3:J$482)),'Resultater - Østdanmark'!$F$3:$F$482,$A244,'Resultater - Østdanmark'!H$3:H$482,"&lt;0"),0))</f>
        <v>0</v>
      </c>
      <c r="I244" s="196">
        <f>SUMIFS('Forbrug af biomasse'!$E$2:$E$425,'Forbrug af biomasse'!$C$2:$C$425,'Resultat-Produktion &amp; forbrug'!$A244,'Forbrug af biomasse'!$D$2:$D$425,'Resultat-Produktion &amp; forbrug'!$D244,'Forbrug af biomasse'!$A$2:$A$425,'Resultat-Produktion &amp; forbrug'!I$2,'Forbrug af biomasse'!$B$2:$B$425,$E244)</f>
        <v>0</v>
      </c>
      <c r="J244" s="196">
        <f>SUMIFS('Forbrug af biomasse'!$E$2:$E$425,'Forbrug af biomasse'!$C$2:$C$425,'Resultat-Produktion &amp; forbrug'!$A244,'Forbrug af biomasse'!$D$2:$D$425,'Resultat-Produktion &amp; forbrug'!$D244,'Forbrug af biomasse'!$A$2:$A$425,'Resultat-Produktion &amp; forbrug'!J$2,'Forbrug af biomasse'!$B$2:$B$425,$E244)</f>
        <v>0</v>
      </c>
      <c r="K244" s="196">
        <f>SUMIFS('Forbrug af biomasse'!$E$2:$E$425,'Forbrug af biomasse'!$C$2:$C$425,'Resultat-Produktion &amp; forbrug'!$A244,'Forbrug af biomasse'!$D$2:$D$425,'Resultat-Produktion &amp; forbrug'!$D244,'Forbrug af biomasse'!$A$2:$A$425,'Resultat-Produktion &amp; forbrug'!K$2,'Forbrug af biomasse'!$B$2:$B$425,$E244)</f>
        <v>0</v>
      </c>
      <c r="L244" s="196">
        <f>IF(A244&lt;&gt;"Biogas",SUMIFS('Forbrug af biomasse'!$E$2:$E$425,'Forbrug af biomasse'!$C$2:$C$425,'Resultat-Produktion &amp; forbrug'!$A244,'Forbrug af biomasse'!$D$2:$D$425,'Resultat-Produktion &amp; forbrug'!$D244,'Forbrug af biomasse'!$A$2:$A$425,'Resultat-Produktion &amp; forbrug'!L$2,'Forbrug af biomasse'!$B$2:$B$425,$E244),F244)</f>
        <v>0</v>
      </c>
      <c r="M244" s="158">
        <f>SUMIFS('Forbrug af biomasse'!E:E,'Forbrug af biomasse'!C:C,'Resultat-Produktion &amp; forbrug'!$A244,'Forbrug af biomasse'!D:D,'Resultat-Produktion &amp; forbrug'!$D244,'Forbrug af biomasse'!G:G,1,'Forbrug af biomasse'!B:B,$E244)</f>
        <v>0</v>
      </c>
      <c r="N244" s="205">
        <f t="shared" si="62"/>
        <v>19930.183504138196</v>
      </c>
      <c r="O244" s="196">
        <f t="shared" si="59"/>
        <v>0</v>
      </c>
      <c r="P244" s="206">
        <f t="shared" si="63"/>
        <v>0</v>
      </c>
      <c r="Q244" s="193">
        <f>IFERROR(VLOOKUP(A244,[1]Energiindhold!$A$2:$C$11,3,FALSE),IFERROR(VLOOKUP(A244,[1]Biogasudbytte!$A$2:$B$18,2,FALSE)*[1]Energiindhold!$C$10,0))*O244</f>
        <v>0</v>
      </c>
      <c r="R244" s="193">
        <f>IF(A244&lt;&gt;"Biogas",IFERROR(VLOOKUP(A244,[1]Biogasudbytte!$A$2:$B$18,2,FALSE)*[1]Energiindhold!$C$10,0)*J244*IFERROR(VLOOKUP(A244,Biogasanlæg!$F$3:$G$8,2,FALSE),1)+IFERROR(VLOOKUP(A244,[1]Energiindhold!$A$2:$C$11,3,FALSE),0)*L244+IF(D244&lt;&gt;År1,Q244,0),0)</f>
        <v>0</v>
      </c>
      <c r="S244" s="193">
        <f>IFERROR(VLOOKUP(A244,[1]Biogasudbytte!$A$2:$B$18,2,FALSE)*[1]Energiindhold!$C$10,0)*J244*IFERROR(VLOOKUP(A244,Biogasanlæg!$F$3:$G$8,2,FALSE),1)</f>
        <v>0</v>
      </c>
      <c r="T244" s="194">
        <f t="shared" si="64"/>
        <v>0</v>
      </c>
      <c r="U244" s="192">
        <f>O244*IFERROR(VLOOKUP(A244,[1]Tørstofindhold!A$2:B$25,2,FALSE),0)</f>
        <v>0</v>
      </c>
      <c r="V244" s="193">
        <f>IF(D244=År1,P244,SUM(O244,P244))*IFERROR(VLOOKUP(A244,[1]Tørstofindhold!A$2:B$25,2,FALSE),0)</f>
        <v>0</v>
      </c>
      <c r="W244" s="193">
        <f>J244*IFERROR(VLOOKUP(A244,[1]Tørstofindhold!A$2:B$25,2,FALSE),0)</f>
        <v>0</v>
      </c>
      <c r="X244" s="194">
        <f t="shared" si="65"/>
        <v>0</v>
      </c>
      <c r="Y244" s="172">
        <f t="shared" si="60"/>
        <v>0</v>
      </c>
      <c r="Z244" s="104">
        <f t="shared" si="61"/>
        <v>1</v>
      </c>
    </row>
    <row r="245" spans="1:26" hidden="1" x14ac:dyDescent="0.55000000000000004">
      <c r="A245" s="195" t="str">
        <f t="shared" si="72"/>
        <v>Bioaffald</v>
      </c>
      <c r="B245" s="195" t="str">
        <f t="shared" si="73"/>
        <v>Bionedbrydeligt affald</v>
      </c>
      <c r="C245" s="195">
        <f>IF(COUNTIFS('Resultater - Danmark'!$D$3:$D$482,'Resultat-Produktion &amp; forbrug'!A245,'Resultater - Danmark'!$A$3:$A$482,"Til energi")+COUNTIFS('Resultater - Danmark'!$D$3:$D$482,'Resultat-Produktion &amp; forbrug'!A245,'Resultater - Danmark'!$A$3:$A$482,"Biogasanlæg")&gt;0,1,0)</f>
        <v>1</v>
      </c>
      <c r="D245" s="195">
        <f t="shared" si="74"/>
        <v>2050</v>
      </c>
      <c r="E245" s="193" t="s">
        <v>24</v>
      </c>
      <c r="F245" s="196">
        <f ca="1">IF(E245="Vestdanmark",SUMIFS(IF(D245=År1,'Resultater - Vestdanmark'!H$3:H$482,IF(D245=År2,'Resultater - Vestdanmark'!I$3:I$482,'Resultater - Vestdanmark'!J$3:J$482)),'Resultater - Vestdanmark'!$F$3:$F$482,$A245,IF(D245=År1,'Resultater - Vestdanmark'!H$3:H$482,IF(D245=År2,'Resultater - Vestdanmark'!I$3:I$482,'Resultater - Vestdanmark'!J$3:J$482)),"&gt;0"),SUMIFS(IF(D245=År1,'Resultater - Østdanmark'!H$3:H$482,IF(D245=År2,'Resultater - Østdanmark'!I$3:I$482,'Resultater - Østdanmark'!J$3:J$482)),'Resultater - Østdanmark'!$F$3:$F$482,$A245,IF(D245=År1,'Resultater - Østdanmark'!H$3:H$482,IF(D245=År2,'Resultater - Østdanmark'!I$3:I$482,'Resultater - Østdanmark'!J$3:J$482)),"&gt;0"))</f>
        <v>172292.68030975034</v>
      </c>
      <c r="G245" s="196">
        <f>SUMIFS('Forbrug af biomasse'!$E$2:$E$425,'Forbrug af biomasse'!$C$2:$C$425,'Resultat-Produktion &amp; forbrug'!$A245,'Forbrug af biomasse'!$D$2:$D$425,'Resultat-Produktion &amp; forbrug'!$D245,'Forbrug af biomasse'!$A$2:$A$425,'Resultat-Produktion &amp; forbrug'!G$2,'Forbrug af biomasse'!$B$2:$B$425,$E245)</f>
        <v>0</v>
      </c>
      <c r="H245" s="193">
        <f>IF(E245="Vestdanmark",-IF(A245="Halm",SUMIFS(IF(D245=År1,'Resultater - Vestdanmark'!H$3:H$482,IF(D245=År2,'Resultater - Vestdanmark'!I$3:I$482,'Resultater - Vestdanmark'!J$3:J$482)),'Resultater - Vestdanmark'!$F$3:$F$482,$A245,'Resultater - Vestdanmark'!H$3:H$482,"&lt;0"),0),-IF(A245="Halm",SUMIFS(IF(D245=År1,'Resultater - Østdanmark'!H$3:H$482,IF(D245=År2,'Resultater - Østdanmark'!I$3:I$482,'Resultater - Østdanmark'!J$3:J$482)),'Resultater - Østdanmark'!$F$3:$F$482,$A245,'Resultater - Østdanmark'!H$3:H$482,"&lt;0"),0))</f>
        <v>0</v>
      </c>
      <c r="I245" s="196">
        <f>SUMIFS('Forbrug af biomasse'!$E$2:$E$425,'Forbrug af biomasse'!$C$2:$C$425,'Resultat-Produktion &amp; forbrug'!$A245,'Forbrug af biomasse'!$D$2:$D$425,'Resultat-Produktion &amp; forbrug'!$D245,'Forbrug af biomasse'!$A$2:$A$425,'Resultat-Produktion &amp; forbrug'!I$2,'Forbrug af biomasse'!$B$2:$B$425,$E245)</f>
        <v>0</v>
      </c>
      <c r="J245" s="196">
        <f ca="1">SUMIFS('Forbrug af biomasse'!$E$2:$E$425,'Forbrug af biomasse'!$C$2:$C$425,'Resultat-Produktion &amp; forbrug'!$A245,'Forbrug af biomasse'!$D$2:$D$425,'Resultat-Produktion &amp; forbrug'!$D245,'Forbrug af biomasse'!$A$2:$A$425,'Resultat-Produktion &amp; forbrug'!J$2,'Forbrug af biomasse'!$B$2:$B$425,$E245)</f>
        <v>172292.76645701908</v>
      </c>
      <c r="K245" s="196">
        <f>SUMIFS('Forbrug af biomasse'!$E$2:$E$425,'Forbrug af biomasse'!$C$2:$C$425,'Resultat-Produktion &amp; forbrug'!$A245,'Forbrug af biomasse'!$D$2:$D$425,'Resultat-Produktion &amp; forbrug'!$D245,'Forbrug af biomasse'!$A$2:$A$425,'Resultat-Produktion &amp; forbrug'!K$2,'Forbrug af biomasse'!$B$2:$B$425,$E245)</f>
        <v>0</v>
      </c>
      <c r="L245" s="196">
        <f ca="1">IF(A245&lt;&gt;"Biogas",SUMIFS('Forbrug af biomasse'!$E$2:$E$425,'Forbrug af biomasse'!$C$2:$C$425,'Resultat-Produktion &amp; forbrug'!$A245,'Forbrug af biomasse'!$D$2:$D$425,'Resultat-Produktion &amp; forbrug'!$D245,'Forbrug af biomasse'!$A$2:$A$425,'Resultat-Produktion &amp; forbrug'!L$2,'Forbrug af biomasse'!$B$2:$B$425,$E245),F245)</f>
        <v>0</v>
      </c>
      <c r="M245" s="158">
        <f ca="1">SUMIFS('Forbrug af biomasse'!E:E,'Forbrug af biomasse'!C:C,'Resultat-Produktion &amp; forbrug'!$A245,'Forbrug af biomasse'!D:D,'Resultat-Produktion &amp; forbrug'!$D245,'Forbrug af biomasse'!G:G,1,'Forbrug af biomasse'!B:B,$E245)</f>
        <v>0</v>
      </c>
      <c r="N245" s="205">
        <f t="shared" ca="1" si="62"/>
        <v>-8.6147268739296123E-2</v>
      </c>
      <c r="O245" s="196">
        <f t="shared" ca="1" si="59"/>
        <v>0</v>
      </c>
      <c r="P245" s="206">
        <f t="shared" ca="1" si="63"/>
        <v>172292.76645701908</v>
      </c>
      <c r="Q245" s="193">
        <f ca="1">IFERROR(VLOOKUP(A245,[1]Energiindhold!$A$2:$C$11,3,FALSE),IFERROR(VLOOKUP(A245,[1]Biogasudbytte!$A$2:$B$18,2,FALSE)*[1]Energiindhold!$C$10,0))*O245</f>
        <v>0</v>
      </c>
      <c r="R245" s="193">
        <f ca="1">IF(A245&lt;&gt;"Biogas",IFERROR(VLOOKUP(A245,[1]Biogasudbytte!$A$2:$B$18,2,FALSE)*[1]Energiindhold!$C$10,0)*J245*IFERROR(VLOOKUP(A245,Biogasanlæg!$F$3:$G$8,2,FALSE),1)+IFERROR(VLOOKUP(A245,[1]Energiindhold!$A$2:$C$11,3,FALSE),0)*L245+IF(D245&lt;&gt;År1,Q245,0),0)</f>
        <v>0.52828735407307481</v>
      </c>
      <c r="S245" s="193">
        <f ca="1">IFERROR(VLOOKUP(A245,[1]Biogasudbytte!$A$2:$B$18,2,FALSE)*[1]Energiindhold!$C$10,0)*J245*IFERROR(VLOOKUP(A245,Biogasanlæg!$F$3:$G$8,2,FALSE),1)</f>
        <v>0.52828735407307481</v>
      </c>
      <c r="T245" s="194">
        <f t="shared" ca="1" si="64"/>
        <v>0</v>
      </c>
      <c r="U245" s="192">
        <f ca="1">O245*IFERROR(VLOOKUP(A245,[1]Tørstofindhold!A$2:B$25,2,FALSE),0)</f>
        <v>0</v>
      </c>
      <c r="V245" s="193">
        <f ca="1">IF(D245=År1,P245,SUM(O245,P245))*IFERROR(VLOOKUP(A245,[1]Tørstofindhold!A$2:B$25,2,FALSE),0)</f>
        <v>48241.974607965349</v>
      </c>
      <c r="W245" s="193">
        <f ca="1">J245*IFERROR(VLOOKUP(A245,[1]Tørstofindhold!A$2:B$25,2,FALSE),0)</f>
        <v>48241.974607965349</v>
      </c>
      <c r="X245" s="194">
        <f t="shared" ca="1" si="65"/>
        <v>0</v>
      </c>
      <c r="Y245" s="172">
        <f t="shared" ca="1" si="60"/>
        <v>1</v>
      </c>
      <c r="Z245" s="104">
        <f t="shared" ca="1" si="61"/>
        <v>0</v>
      </c>
    </row>
    <row r="246" spans="1:26" hidden="1" x14ac:dyDescent="0.55000000000000004">
      <c r="A246" s="195" t="str">
        <f t="shared" si="72"/>
        <v>Biogas</v>
      </c>
      <c r="B246" s="195" t="str">
        <f t="shared" si="73"/>
        <v/>
      </c>
      <c r="C246" s="195">
        <f>IF(COUNTIFS('Resultater - Danmark'!$D$3:$D$482,'Resultat-Produktion &amp; forbrug'!A246,'Resultater - Danmark'!$A$3:$A$482,"Til energi")+COUNTIFS('Resultater - Danmark'!$D$3:$D$482,'Resultat-Produktion &amp; forbrug'!A246,'Resultater - Danmark'!$A$3:$A$482,"Biogasanlæg")&gt;0,1,0)</f>
        <v>1</v>
      </c>
      <c r="D246" s="195">
        <f t="shared" si="74"/>
        <v>2050</v>
      </c>
      <c r="E246" s="193" t="s">
        <v>24</v>
      </c>
      <c r="F246" s="196">
        <f ca="1">IF(E246="Vestdanmark",SUMIFS(IF(D246=År1,'Resultater - Vestdanmark'!H$3:H$482,IF(D246=År2,'Resultater - Vestdanmark'!I$3:I$482,'Resultater - Vestdanmark'!J$3:J$482)),'Resultater - Vestdanmark'!$F$3:$F$482,$A246,IF(D246=År1,'Resultater - Vestdanmark'!H$3:H$482,IF(D246=År2,'Resultater - Vestdanmark'!I$3:I$482,'Resultater - Vestdanmark'!J$3:J$482)),"&gt;0"),SUMIFS(IF(D246=År1,'Resultater - Østdanmark'!H$3:H$482,IF(D246=År2,'Resultater - Østdanmark'!I$3:I$482,'Resultater - Østdanmark'!J$3:J$482)),'Resultater - Østdanmark'!$F$3:$F$482,$A246,IF(D246=År1,'Resultater - Østdanmark'!H$3:H$482,IF(D246=År2,'Resultater - Østdanmark'!I$3:I$482,'Resultater - Østdanmark'!J$3:J$482)),"&gt;0"))</f>
        <v>109438765.39231445</v>
      </c>
      <c r="G246" s="196">
        <f>SUMIFS('Forbrug af biomasse'!$E$2:$E$425,'Forbrug af biomasse'!$C$2:$C$425,'Resultat-Produktion &amp; forbrug'!$A246,'Forbrug af biomasse'!$D$2:$D$425,'Resultat-Produktion &amp; forbrug'!$D246,'Forbrug af biomasse'!$A$2:$A$425,'Resultat-Produktion &amp; forbrug'!G$2,'Forbrug af biomasse'!$B$2:$B$425,$E246)</f>
        <v>0</v>
      </c>
      <c r="H246" s="193">
        <f>IF(E246="Vestdanmark",-IF(A246="Halm",SUMIFS(IF(D246=År1,'Resultater - Vestdanmark'!H$3:H$482,IF(D246=År2,'Resultater - Vestdanmark'!I$3:I$482,'Resultater - Vestdanmark'!J$3:J$482)),'Resultater - Vestdanmark'!$F$3:$F$482,$A246,'Resultater - Vestdanmark'!H$3:H$482,"&lt;0"),0),-IF(A246="Halm",SUMIFS(IF(D246=År1,'Resultater - Østdanmark'!H$3:H$482,IF(D246=År2,'Resultater - Østdanmark'!I$3:I$482,'Resultater - Østdanmark'!J$3:J$482)),'Resultater - Østdanmark'!$F$3:$F$482,$A246,'Resultater - Østdanmark'!H$3:H$482,"&lt;0"),0))</f>
        <v>0</v>
      </c>
      <c r="I246" s="196">
        <f>SUMIFS('Forbrug af biomasse'!$E$2:$E$425,'Forbrug af biomasse'!$C$2:$C$425,'Resultat-Produktion &amp; forbrug'!$A246,'Forbrug af biomasse'!$D$2:$D$425,'Resultat-Produktion &amp; forbrug'!$D246,'Forbrug af biomasse'!$A$2:$A$425,'Resultat-Produktion &amp; forbrug'!I$2,'Forbrug af biomasse'!$B$2:$B$425,$E246)</f>
        <v>0</v>
      </c>
      <c r="J246" s="196">
        <f>SUMIFS('Forbrug af biomasse'!$E$2:$E$425,'Forbrug af biomasse'!$C$2:$C$425,'Resultat-Produktion &amp; forbrug'!$A246,'Forbrug af biomasse'!$D$2:$D$425,'Resultat-Produktion &amp; forbrug'!$D246,'Forbrug af biomasse'!$A$2:$A$425,'Resultat-Produktion &amp; forbrug'!J$2,'Forbrug af biomasse'!$B$2:$B$425,$E246)</f>
        <v>0</v>
      </c>
      <c r="K246" s="196">
        <f>SUMIFS('Forbrug af biomasse'!$E$2:$E$425,'Forbrug af biomasse'!$C$2:$C$425,'Resultat-Produktion &amp; forbrug'!$A246,'Forbrug af biomasse'!$D$2:$D$425,'Resultat-Produktion &amp; forbrug'!$D246,'Forbrug af biomasse'!$A$2:$A$425,'Resultat-Produktion &amp; forbrug'!K$2,'Forbrug af biomasse'!$B$2:$B$425,$E246)</f>
        <v>0</v>
      </c>
      <c r="L246" s="196">
        <f ca="1">IF(A246&lt;&gt;"Biogas",SUMIFS('Forbrug af biomasse'!$E$2:$E$425,'Forbrug af biomasse'!$C$2:$C$425,'Resultat-Produktion &amp; forbrug'!$A246,'Forbrug af biomasse'!$D$2:$D$425,'Resultat-Produktion &amp; forbrug'!$D246,'Forbrug af biomasse'!$A$2:$A$425,'Resultat-Produktion &amp; forbrug'!L$2,'Forbrug af biomasse'!$B$2:$B$425,$E246),F246)</f>
        <v>109438765.39231445</v>
      </c>
      <c r="M246" s="158">
        <f>SUMIFS('Forbrug af biomasse'!E:E,'Forbrug af biomasse'!C:C,'Resultat-Produktion &amp; forbrug'!$A246,'Forbrug af biomasse'!D:D,'Resultat-Produktion &amp; forbrug'!$D246,'Forbrug af biomasse'!G:G,1,'Forbrug af biomasse'!B:B,$E246)</f>
        <v>0</v>
      </c>
      <c r="N246" s="205">
        <f t="shared" ca="1" si="62"/>
        <v>0</v>
      </c>
      <c r="O246" s="196">
        <f t="shared" ca="1" si="59"/>
        <v>0</v>
      </c>
      <c r="P246" s="206">
        <f t="shared" ca="1" si="63"/>
        <v>109438765.39231445</v>
      </c>
      <c r="Q246" s="193">
        <f ca="1">IFERROR(VLOOKUP(A246,[1]Energiindhold!$A$2:$C$11,3,FALSE),IFERROR(VLOOKUP(A246,[1]Biogasudbytte!$A$2:$B$18,2,FALSE)*[1]Energiindhold!$C$10,0))*O246</f>
        <v>0</v>
      </c>
      <c r="R246" s="193">
        <f>IF(A246&lt;&gt;"Biogas",IFERROR(VLOOKUP(A246,[1]Biogasudbytte!$A$2:$B$18,2,FALSE)*[1]Energiindhold!$C$10,0)*J246*IFERROR(VLOOKUP(A246,Biogasanlæg!$F$3:$G$8,2,FALSE),1)+IFERROR(VLOOKUP(A246,[1]Energiindhold!$A$2:$C$11,3,FALSE),0)*L246+IF(D246&lt;&gt;År1,Q246,0),0)</f>
        <v>0</v>
      </c>
      <c r="S246" s="193">
        <f>IFERROR(VLOOKUP(A246,[1]Biogasudbytte!$A$2:$B$18,2,FALSE)*[1]Energiindhold!$C$10,0)*J246*IFERROR(VLOOKUP(A246,Biogasanlæg!$F$3:$G$8,2,FALSE),1)</f>
        <v>0</v>
      </c>
      <c r="T246" s="194">
        <f t="shared" si="64"/>
        <v>0</v>
      </c>
      <c r="U246" s="192">
        <f ca="1">O246*IFERROR(VLOOKUP(A246,[1]Tørstofindhold!A$2:B$25,2,FALSE),0)</f>
        <v>0</v>
      </c>
      <c r="V246" s="193">
        <f ca="1">IF(D246=År1,P246,SUM(O246,P246))*IFERROR(VLOOKUP(A246,[1]Tørstofindhold!A$2:B$25,2,FALSE),0)</f>
        <v>0</v>
      </c>
      <c r="W246" s="193">
        <f>J246*IFERROR(VLOOKUP(A246,[1]Tørstofindhold!A$2:B$25,2,FALSE),0)</f>
        <v>0</v>
      </c>
      <c r="X246" s="194">
        <f t="shared" ca="1" si="65"/>
        <v>0</v>
      </c>
      <c r="Y246" s="172">
        <f t="shared" ca="1" si="60"/>
        <v>0</v>
      </c>
      <c r="Z246" s="104">
        <f t="shared" ca="1" si="61"/>
        <v>0</v>
      </c>
    </row>
    <row r="247" spans="1:26" hidden="1" x14ac:dyDescent="0.55000000000000004">
      <c r="A247" s="195" t="str">
        <f t="shared" si="72"/>
        <v>Biogasgylle</v>
      </c>
      <c r="B247" s="195" t="str">
        <f t="shared" si="73"/>
        <v/>
      </c>
      <c r="C247" s="195">
        <f>IF(COUNTIFS('Resultater - Danmark'!$D$3:$D$482,'Resultat-Produktion &amp; forbrug'!A247,'Resultater - Danmark'!$A$3:$A$482,"Til energi")+COUNTIFS('Resultater - Danmark'!$D$3:$D$482,'Resultat-Produktion &amp; forbrug'!A247,'Resultater - Danmark'!$A$3:$A$482,"Biogasanlæg")&gt;0,1,0)</f>
        <v>0</v>
      </c>
      <c r="D247" s="195">
        <f t="shared" si="74"/>
        <v>2050</v>
      </c>
      <c r="E247" s="193" t="s">
        <v>24</v>
      </c>
      <c r="F247" s="196">
        <f ca="1">IF(E247="Vestdanmark",SUMIFS(IF(D247=År1,'Resultater - Vestdanmark'!H$3:H$482,IF(D247=År2,'Resultater - Vestdanmark'!I$3:I$482,'Resultater - Vestdanmark'!J$3:J$482)),'Resultater - Vestdanmark'!$F$3:$F$482,$A247,IF(D247=År1,'Resultater - Vestdanmark'!H$3:H$482,IF(D247=År2,'Resultater - Vestdanmark'!I$3:I$482,'Resultater - Vestdanmark'!J$3:J$482)),"&gt;0"),SUMIFS(IF(D247=År1,'Resultater - Østdanmark'!H$3:H$482,IF(D247=År2,'Resultater - Østdanmark'!I$3:I$482,'Resultater - Østdanmark'!J$3:J$482)),'Resultater - Østdanmark'!$F$3:$F$482,$A247,IF(D247=År1,'Resultater - Østdanmark'!H$3:H$482,IF(D247=År2,'Resultater - Østdanmark'!I$3:I$482,'Resultater - Østdanmark'!J$3:J$482)),"&gt;0"))</f>
        <v>3485476.5557184103</v>
      </c>
      <c r="G247" s="196">
        <f>SUMIFS('Forbrug af biomasse'!$E$2:$E$425,'Forbrug af biomasse'!$C$2:$C$425,'Resultat-Produktion &amp; forbrug'!$A247,'Forbrug af biomasse'!$D$2:$D$425,'Resultat-Produktion &amp; forbrug'!$D247,'Forbrug af biomasse'!$A$2:$A$425,'Resultat-Produktion &amp; forbrug'!G$2,'Forbrug af biomasse'!$B$2:$B$425,$E247)</f>
        <v>0</v>
      </c>
      <c r="H247" s="193">
        <f>IF(E247="Vestdanmark",-IF(A247="Halm",SUMIFS(IF(D247=År1,'Resultater - Vestdanmark'!H$3:H$482,IF(D247=År2,'Resultater - Vestdanmark'!I$3:I$482,'Resultater - Vestdanmark'!J$3:J$482)),'Resultater - Vestdanmark'!$F$3:$F$482,$A247,'Resultater - Vestdanmark'!H$3:H$482,"&lt;0"),0),-IF(A247="Halm",SUMIFS(IF(D247=År1,'Resultater - Østdanmark'!H$3:H$482,IF(D247=År2,'Resultater - Østdanmark'!I$3:I$482,'Resultater - Østdanmark'!J$3:J$482)),'Resultater - Østdanmark'!$F$3:$F$482,$A247,'Resultater - Østdanmark'!H$3:H$482,"&lt;0"),0))</f>
        <v>0</v>
      </c>
      <c r="I247" s="196">
        <f>SUMIFS('Forbrug af biomasse'!$E$2:$E$425,'Forbrug af biomasse'!$C$2:$C$425,'Resultat-Produktion &amp; forbrug'!$A247,'Forbrug af biomasse'!$D$2:$D$425,'Resultat-Produktion &amp; forbrug'!$D247,'Forbrug af biomasse'!$A$2:$A$425,'Resultat-Produktion &amp; forbrug'!I$2,'Forbrug af biomasse'!$B$2:$B$425,$E247)</f>
        <v>0</v>
      </c>
      <c r="J247" s="196">
        <f>SUMIFS('Forbrug af biomasse'!$E$2:$E$425,'Forbrug af biomasse'!$C$2:$C$425,'Resultat-Produktion &amp; forbrug'!$A247,'Forbrug af biomasse'!$D$2:$D$425,'Resultat-Produktion &amp; forbrug'!$D247,'Forbrug af biomasse'!$A$2:$A$425,'Resultat-Produktion &amp; forbrug'!J$2,'Forbrug af biomasse'!$B$2:$B$425,$E247)</f>
        <v>0</v>
      </c>
      <c r="K247" s="196">
        <f ca="1">SUMIFS('Forbrug af biomasse'!$E$2:$E$425,'Forbrug af biomasse'!$C$2:$C$425,'Resultat-Produktion &amp; forbrug'!$A247,'Forbrug af biomasse'!$D$2:$D$425,'Resultat-Produktion &amp; forbrug'!$D247,'Forbrug af biomasse'!$A$2:$A$425,'Resultat-Produktion &amp; forbrug'!K$2,'Forbrug af biomasse'!$B$2:$B$425,$E247)</f>
        <v>3027912.4262798992</v>
      </c>
      <c r="L247" s="196">
        <f>IF(A247&lt;&gt;"Biogas",SUMIFS('Forbrug af biomasse'!$E$2:$E$425,'Forbrug af biomasse'!$C$2:$C$425,'Resultat-Produktion &amp; forbrug'!$A247,'Forbrug af biomasse'!$D$2:$D$425,'Resultat-Produktion &amp; forbrug'!$D247,'Forbrug af biomasse'!$A$2:$A$425,'Resultat-Produktion &amp; forbrug'!L$2,'Forbrug af biomasse'!$B$2:$B$425,$E247),F247)</f>
        <v>0</v>
      </c>
      <c r="M247" s="158">
        <f>SUMIFS('Forbrug af biomasse'!E:E,'Forbrug af biomasse'!C:C,'Resultat-Produktion &amp; forbrug'!$A247,'Forbrug af biomasse'!D:D,'Resultat-Produktion &amp; forbrug'!$D247,'Forbrug af biomasse'!G:G,1,'Forbrug af biomasse'!B:B,$E247)</f>
        <v>0</v>
      </c>
      <c r="N247" s="205">
        <f t="shared" ca="1" si="62"/>
        <v>457564.1294385111</v>
      </c>
      <c r="O247" s="196">
        <f t="shared" si="59"/>
        <v>0</v>
      </c>
      <c r="P247" s="206">
        <f t="shared" si="63"/>
        <v>0</v>
      </c>
      <c r="Q247" s="193">
        <f>IFERROR(VLOOKUP(A247,[1]Energiindhold!$A$2:$C$11,3,FALSE),IFERROR(VLOOKUP(A247,[1]Biogasudbytte!$A$2:$B$18,2,FALSE)*[1]Energiindhold!$C$10,0))*O247</f>
        <v>0</v>
      </c>
      <c r="R247" s="193">
        <f>IF(A247&lt;&gt;"Biogas",IFERROR(VLOOKUP(A247,[1]Biogasudbytte!$A$2:$B$18,2,FALSE)*[1]Energiindhold!$C$10,0)*J247*IFERROR(VLOOKUP(A247,Biogasanlæg!$F$3:$G$8,2,FALSE),1)+IFERROR(VLOOKUP(A247,[1]Energiindhold!$A$2:$C$11,3,FALSE),0)*L247+IF(D247&lt;&gt;År1,Q247,0),0)</f>
        <v>0</v>
      </c>
      <c r="S247" s="193">
        <f>IFERROR(VLOOKUP(A247,[1]Biogasudbytte!$A$2:$B$18,2,FALSE)*[1]Energiindhold!$C$10,0)*J247*IFERROR(VLOOKUP(A247,Biogasanlæg!$F$3:$G$8,2,FALSE),1)</f>
        <v>0</v>
      </c>
      <c r="T247" s="194">
        <f t="shared" si="64"/>
        <v>0</v>
      </c>
      <c r="U247" s="192">
        <f>O247*IFERROR(VLOOKUP(A247,[1]Tørstofindhold!A$2:B$25,2,FALSE),0)</f>
        <v>0</v>
      </c>
      <c r="V247" s="193">
        <f>IF(D247=År1,P247,SUM(O247,P247))*IFERROR(VLOOKUP(A247,[1]Tørstofindhold!A$2:B$25,2,FALSE),0)</f>
        <v>0</v>
      </c>
      <c r="W247" s="193">
        <f>J247*IFERROR(VLOOKUP(A247,[1]Tørstofindhold!A$2:B$25,2,FALSE),0)</f>
        <v>0</v>
      </c>
      <c r="X247" s="194">
        <f t="shared" si="65"/>
        <v>0</v>
      </c>
      <c r="Y247" s="172">
        <f t="shared" ca="1" si="60"/>
        <v>0</v>
      </c>
      <c r="Z247" s="104">
        <f t="shared" ca="1" si="61"/>
        <v>1</v>
      </c>
    </row>
    <row r="248" spans="1:26" hidden="1" x14ac:dyDescent="0.55000000000000004">
      <c r="A248" s="195" t="str">
        <f t="shared" si="72"/>
        <v>Brun saft</v>
      </c>
      <c r="B248" s="195" t="str">
        <f t="shared" si="73"/>
        <v>Bionedbrydeligt affald</v>
      </c>
      <c r="C248" s="195">
        <f>IF(COUNTIFS('Resultater - Danmark'!$D$3:$D$482,'Resultat-Produktion &amp; forbrug'!A248,'Resultater - Danmark'!$A$3:$A$482,"Til energi")+COUNTIFS('Resultater - Danmark'!$D$3:$D$482,'Resultat-Produktion &amp; forbrug'!A248,'Resultater - Danmark'!$A$3:$A$482,"Biogasanlæg")&gt;0,1,0)</f>
        <v>1</v>
      </c>
      <c r="D248" s="195">
        <f t="shared" si="74"/>
        <v>2050</v>
      </c>
      <c r="E248" s="193" t="s">
        <v>24</v>
      </c>
      <c r="F248" s="196">
        <f>IF(E248="Vestdanmark",SUMIFS(IF(D248=År1,'Resultater - Vestdanmark'!H$3:H$482,IF(D248=År2,'Resultater - Vestdanmark'!I$3:I$482,'Resultater - Vestdanmark'!J$3:J$482)),'Resultater - Vestdanmark'!$F$3:$F$482,$A248,IF(D248=År1,'Resultater - Vestdanmark'!H$3:H$482,IF(D248=År2,'Resultater - Vestdanmark'!I$3:I$482,'Resultater - Vestdanmark'!J$3:J$482)),"&gt;0"),SUMIFS(IF(D248=År1,'Resultater - Østdanmark'!H$3:H$482,IF(D248=År2,'Resultater - Østdanmark'!I$3:I$482,'Resultater - Østdanmark'!J$3:J$482)),'Resultater - Østdanmark'!$F$3:$F$482,$A248,IF(D248=År1,'Resultater - Østdanmark'!H$3:H$482,IF(D248=År2,'Resultater - Østdanmark'!I$3:I$482,'Resultater - Østdanmark'!J$3:J$482)),"&gt;0"))</f>
        <v>0</v>
      </c>
      <c r="G248" s="196">
        <f>SUMIFS('Forbrug af biomasse'!$E$2:$E$425,'Forbrug af biomasse'!$C$2:$C$425,'Resultat-Produktion &amp; forbrug'!$A248,'Forbrug af biomasse'!$D$2:$D$425,'Resultat-Produktion &amp; forbrug'!$D248,'Forbrug af biomasse'!$A$2:$A$425,'Resultat-Produktion &amp; forbrug'!G$2,'Forbrug af biomasse'!$B$2:$B$425,$E248)</f>
        <v>0</v>
      </c>
      <c r="H248" s="193">
        <f>IF(E248="Vestdanmark",-IF(A248="Halm",SUMIFS(IF(D248=År1,'Resultater - Vestdanmark'!H$3:H$482,IF(D248=År2,'Resultater - Vestdanmark'!I$3:I$482,'Resultater - Vestdanmark'!J$3:J$482)),'Resultater - Vestdanmark'!$F$3:$F$482,$A248,'Resultater - Vestdanmark'!H$3:H$482,"&lt;0"),0),-IF(A248="Halm",SUMIFS(IF(D248=År1,'Resultater - Østdanmark'!H$3:H$482,IF(D248=År2,'Resultater - Østdanmark'!I$3:I$482,'Resultater - Østdanmark'!J$3:J$482)),'Resultater - Østdanmark'!$F$3:$F$482,$A248,'Resultater - Østdanmark'!H$3:H$482,"&lt;0"),0))</f>
        <v>0</v>
      </c>
      <c r="I248" s="196">
        <f>SUMIFS('Forbrug af biomasse'!$E$2:$E$425,'Forbrug af biomasse'!$C$2:$C$425,'Resultat-Produktion &amp; forbrug'!$A248,'Forbrug af biomasse'!$D$2:$D$425,'Resultat-Produktion &amp; forbrug'!$D248,'Forbrug af biomasse'!$A$2:$A$425,'Resultat-Produktion &amp; forbrug'!I$2,'Forbrug af biomasse'!$B$2:$B$425,$E248)</f>
        <v>0</v>
      </c>
      <c r="J248" s="196">
        <f>SUMIFS('Forbrug af biomasse'!$E$2:$E$425,'Forbrug af biomasse'!$C$2:$C$425,'Resultat-Produktion &amp; forbrug'!$A248,'Forbrug af biomasse'!$D$2:$D$425,'Resultat-Produktion &amp; forbrug'!$D248,'Forbrug af biomasse'!$A$2:$A$425,'Resultat-Produktion &amp; forbrug'!J$2,'Forbrug af biomasse'!$B$2:$B$425,$E248)</f>
        <v>0</v>
      </c>
      <c r="K248" s="196">
        <f>SUMIFS('Forbrug af biomasse'!$E$2:$E$425,'Forbrug af biomasse'!$C$2:$C$425,'Resultat-Produktion &amp; forbrug'!$A248,'Forbrug af biomasse'!$D$2:$D$425,'Resultat-Produktion &amp; forbrug'!$D248,'Forbrug af biomasse'!$A$2:$A$425,'Resultat-Produktion &amp; forbrug'!K$2,'Forbrug af biomasse'!$B$2:$B$425,$E248)</f>
        <v>0</v>
      </c>
      <c r="L248" s="196">
        <f>IF(A248&lt;&gt;"Biogas",SUMIFS('Forbrug af biomasse'!$E$2:$E$425,'Forbrug af biomasse'!$C$2:$C$425,'Resultat-Produktion &amp; forbrug'!$A248,'Forbrug af biomasse'!$D$2:$D$425,'Resultat-Produktion &amp; forbrug'!$D248,'Forbrug af biomasse'!$A$2:$A$425,'Resultat-Produktion &amp; forbrug'!L$2,'Forbrug af biomasse'!$B$2:$B$425,$E248),F248)</f>
        <v>0</v>
      </c>
      <c r="M248" s="158">
        <f>SUMIFS('Forbrug af biomasse'!E:E,'Forbrug af biomasse'!C:C,'Resultat-Produktion &amp; forbrug'!$A248,'Forbrug af biomasse'!D:D,'Resultat-Produktion &amp; forbrug'!$D248,'Forbrug af biomasse'!G:G,1,'Forbrug af biomasse'!B:B,$E248)</f>
        <v>0</v>
      </c>
      <c r="N248" s="205">
        <f t="shared" si="62"/>
        <v>0</v>
      </c>
      <c r="O248" s="196">
        <f t="shared" si="59"/>
        <v>0</v>
      </c>
      <c r="P248" s="206">
        <f t="shared" si="63"/>
        <v>0</v>
      </c>
      <c r="Q248" s="193">
        <f>IFERROR(VLOOKUP(A248,[1]Energiindhold!$A$2:$C$11,3,FALSE),IFERROR(VLOOKUP(A248,[1]Biogasudbytte!$A$2:$B$18,2,FALSE)*[1]Energiindhold!$C$10,0))*O248</f>
        <v>0</v>
      </c>
      <c r="R248" s="193">
        <f>IF(A248&lt;&gt;"Biogas",IFERROR(VLOOKUP(A248,[1]Biogasudbytte!$A$2:$B$18,2,FALSE)*[1]Energiindhold!$C$10,0)*J248*IFERROR(VLOOKUP(A248,Biogasanlæg!$F$3:$G$8,2,FALSE),1)+IFERROR(VLOOKUP(A248,[1]Energiindhold!$A$2:$C$11,3,FALSE),0)*L248+IF(D248&lt;&gt;År1,Q248,0),0)</f>
        <v>0</v>
      </c>
      <c r="S248" s="193">
        <f>IFERROR(VLOOKUP(A248,[1]Biogasudbytte!$A$2:$B$18,2,FALSE)*[1]Energiindhold!$C$10,0)*J248*IFERROR(VLOOKUP(A248,Biogasanlæg!$F$3:$G$8,2,FALSE),1)</f>
        <v>0</v>
      </c>
      <c r="T248" s="194">
        <f t="shared" si="64"/>
        <v>0</v>
      </c>
      <c r="U248" s="192">
        <f>O248*IFERROR(VLOOKUP(A248,[1]Tørstofindhold!A$2:B$25,2,FALSE),0)</f>
        <v>0</v>
      </c>
      <c r="V248" s="193">
        <f>IF(D248=År1,P248,SUM(O248,P248))*IFERROR(VLOOKUP(A248,[1]Tørstofindhold!A$2:B$25,2,FALSE),0)</f>
        <v>0</v>
      </c>
      <c r="W248" s="193">
        <f>J248*IFERROR(VLOOKUP(A248,[1]Tørstofindhold!A$2:B$25,2,FALSE),0)</f>
        <v>0</v>
      </c>
      <c r="X248" s="194">
        <f t="shared" si="65"/>
        <v>0</v>
      </c>
      <c r="Y248" s="172">
        <f t="shared" si="60"/>
        <v>0</v>
      </c>
      <c r="Z248" s="104">
        <f t="shared" si="61"/>
        <v>0</v>
      </c>
    </row>
    <row r="249" spans="1:26" hidden="1" x14ac:dyDescent="0.55000000000000004">
      <c r="A249" s="195" t="str">
        <f t="shared" si="72"/>
        <v>Dybstrøelse</v>
      </c>
      <c r="B249" s="195" t="str">
        <f t="shared" si="73"/>
        <v>Husdyrgødning</v>
      </c>
      <c r="C249" s="195">
        <f>IF(COUNTIFS('Resultater - Danmark'!$D$3:$D$482,'Resultat-Produktion &amp; forbrug'!A249,'Resultater - Danmark'!$A$3:$A$482,"Til energi")+COUNTIFS('Resultater - Danmark'!$D$3:$D$482,'Resultat-Produktion &amp; forbrug'!A249,'Resultater - Danmark'!$A$3:$A$482,"Biogasanlæg")&gt;0,1,0)</f>
        <v>1</v>
      </c>
      <c r="D249" s="195">
        <f t="shared" si="74"/>
        <v>2050</v>
      </c>
      <c r="E249" s="193" t="s">
        <v>24</v>
      </c>
      <c r="F249" s="196">
        <f>IF(E249="Vestdanmark",SUMIFS(IF(D249=År1,'Resultater - Vestdanmark'!H$3:H$482,IF(D249=År2,'Resultater - Vestdanmark'!I$3:I$482,'Resultater - Vestdanmark'!J$3:J$482)),'Resultater - Vestdanmark'!$F$3:$F$482,$A249,IF(D249=År1,'Resultater - Vestdanmark'!H$3:H$482,IF(D249=År2,'Resultater - Vestdanmark'!I$3:I$482,'Resultater - Vestdanmark'!J$3:J$482)),"&gt;0"),SUMIFS(IF(D249=År1,'Resultater - Østdanmark'!H$3:H$482,IF(D249=År2,'Resultater - Østdanmark'!I$3:I$482,'Resultater - Østdanmark'!J$3:J$482)),'Resultater - Østdanmark'!$F$3:$F$482,$A249,IF(D249=År1,'Resultater - Østdanmark'!H$3:H$482,IF(D249=År2,'Resultater - Østdanmark'!I$3:I$482,'Resultater - Østdanmark'!J$3:J$482)),"&gt;0"))</f>
        <v>377058.10701599991</v>
      </c>
      <c r="G249" s="196">
        <f>SUMIFS('Forbrug af biomasse'!$E$2:$E$425,'Forbrug af biomasse'!$C$2:$C$425,'Resultat-Produktion &amp; forbrug'!$A249,'Forbrug af biomasse'!$D$2:$D$425,'Resultat-Produktion &amp; forbrug'!$D249,'Forbrug af biomasse'!$A$2:$A$425,'Resultat-Produktion &amp; forbrug'!G$2,'Forbrug af biomasse'!$B$2:$B$425,$E249)</f>
        <v>0</v>
      </c>
      <c r="H249" s="193">
        <f>IF(E249="Vestdanmark",-IF(A249="Halm",SUMIFS(IF(D249=År1,'Resultater - Vestdanmark'!H$3:H$482,IF(D249=År2,'Resultater - Vestdanmark'!I$3:I$482,'Resultater - Vestdanmark'!J$3:J$482)),'Resultater - Vestdanmark'!$F$3:$F$482,$A249,'Resultater - Vestdanmark'!H$3:H$482,"&lt;0"),0),-IF(A249="Halm",SUMIFS(IF(D249=År1,'Resultater - Østdanmark'!H$3:H$482,IF(D249=År2,'Resultater - Østdanmark'!I$3:I$482,'Resultater - Østdanmark'!J$3:J$482)),'Resultater - Østdanmark'!$F$3:$F$482,$A249,'Resultater - Østdanmark'!H$3:H$482,"&lt;0"),0))</f>
        <v>0</v>
      </c>
      <c r="I249" s="196">
        <f>SUMIFS('Forbrug af biomasse'!$E$2:$E$425,'Forbrug af biomasse'!$C$2:$C$425,'Resultat-Produktion &amp; forbrug'!$A249,'Forbrug af biomasse'!$D$2:$D$425,'Resultat-Produktion &amp; forbrug'!$D249,'Forbrug af biomasse'!$A$2:$A$425,'Resultat-Produktion &amp; forbrug'!I$2,'Forbrug af biomasse'!$B$2:$B$425,$E249)</f>
        <v>0</v>
      </c>
      <c r="J249" s="196">
        <f>SUMIFS('Forbrug af biomasse'!$E$2:$E$425,'Forbrug af biomasse'!$C$2:$C$425,'Resultat-Produktion &amp; forbrug'!$A249,'Forbrug af biomasse'!$D$2:$D$425,'Resultat-Produktion &amp; forbrug'!$D249,'Forbrug af biomasse'!$A$2:$A$425,'Resultat-Produktion &amp; forbrug'!J$2,'Forbrug af biomasse'!$B$2:$B$425,$E249)</f>
        <v>188529.05350799995</v>
      </c>
      <c r="K249" s="196">
        <f>SUMIFS('Forbrug af biomasse'!$E$2:$E$425,'Forbrug af biomasse'!$C$2:$C$425,'Resultat-Produktion &amp; forbrug'!$A249,'Forbrug af biomasse'!$D$2:$D$425,'Resultat-Produktion &amp; forbrug'!$D249,'Forbrug af biomasse'!$A$2:$A$425,'Resultat-Produktion &amp; forbrug'!K$2,'Forbrug af biomasse'!$B$2:$B$425,$E249)</f>
        <v>71371.713113742837</v>
      </c>
      <c r="L249" s="196">
        <f>IF(A249&lt;&gt;"Biogas",SUMIFS('Forbrug af biomasse'!$E$2:$E$425,'Forbrug af biomasse'!$C$2:$C$425,'Resultat-Produktion &amp; forbrug'!$A249,'Forbrug af biomasse'!$D$2:$D$425,'Resultat-Produktion &amp; forbrug'!$D249,'Forbrug af biomasse'!$A$2:$A$425,'Resultat-Produktion &amp; forbrug'!L$2,'Forbrug af biomasse'!$B$2:$B$425,$E249),F249)</f>
        <v>0</v>
      </c>
      <c r="M249" s="158">
        <f>SUMIFS('Forbrug af biomasse'!E:E,'Forbrug af biomasse'!C:C,'Resultat-Produktion &amp; forbrug'!$A249,'Forbrug af biomasse'!D:D,'Resultat-Produktion &amp; forbrug'!$D249,'Forbrug af biomasse'!G:G,1,'Forbrug af biomasse'!B:B,$E249)</f>
        <v>0</v>
      </c>
      <c r="N249" s="205">
        <f t="shared" si="62"/>
        <v>117157.3403942571</v>
      </c>
      <c r="O249" s="196">
        <f t="shared" si="59"/>
        <v>117157.3403942571</v>
      </c>
      <c r="P249" s="206">
        <f t="shared" si="63"/>
        <v>188529.05350799995</v>
      </c>
      <c r="Q249" s="193">
        <f>IFERROR(VLOOKUP(A249,[1]Energiindhold!$A$2:$C$11,3,FALSE),IFERROR(VLOOKUP(A249,[1]Biogasudbytte!$A$2:$B$18,2,FALSE)*[1]Energiindhold!$C$10,0))*O249</f>
        <v>0.25235691120922982</v>
      </c>
      <c r="R249" s="193">
        <f>IF(A249&lt;&gt;"Biogas",IFERROR(VLOOKUP(A249,[1]Biogasudbytte!$A$2:$B$18,2,FALSE)*[1]Energiindhold!$C$10,0)*J249*IFERROR(VLOOKUP(A249,Biogasanlæg!$F$3:$G$8,2,FALSE),1)+IFERROR(VLOOKUP(A249,[1]Energiindhold!$A$2:$C$11,3,FALSE),0)*L249+IF(D249&lt;&gt;År1,Q249,0),0)</f>
        <v>0.65844849246546167</v>
      </c>
      <c r="S249" s="193">
        <f>IFERROR(VLOOKUP(A249,[1]Biogasudbytte!$A$2:$B$18,2,FALSE)*[1]Energiindhold!$C$10,0)*J249*IFERROR(VLOOKUP(A249,Biogasanlæg!$F$3:$G$8,2,FALSE),1)</f>
        <v>0.4060915812562319</v>
      </c>
      <c r="T249" s="194">
        <f t="shared" si="64"/>
        <v>0.25235691120922976</v>
      </c>
      <c r="U249" s="192">
        <f>O249*IFERROR(VLOOKUP(A249,[1]Tørstofindhold!A$2:B$25,2,FALSE),0)</f>
        <v>35147.202118277128</v>
      </c>
      <c r="V249" s="193">
        <f>IF(D249=År1,P249,SUM(O249,P249))*IFERROR(VLOOKUP(A249,[1]Tørstofindhold!A$2:B$25,2,FALSE),0)</f>
        <v>91705.91817067712</v>
      </c>
      <c r="W249" s="193">
        <f>J249*IFERROR(VLOOKUP(A249,[1]Tørstofindhold!A$2:B$25,2,FALSE),0)</f>
        <v>56558.716052399985</v>
      </c>
      <c r="X249" s="194">
        <f t="shared" si="65"/>
        <v>35147.202118277135</v>
      </c>
      <c r="Y249" s="172">
        <f t="shared" si="60"/>
        <v>0</v>
      </c>
      <c r="Z249" s="104">
        <f t="shared" si="61"/>
        <v>1</v>
      </c>
    </row>
    <row r="250" spans="1:26" hidden="1" x14ac:dyDescent="0.55000000000000004">
      <c r="A250" s="195" t="str">
        <f t="shared" si="72"/>
        <v>Fiberfraktion</v>
      </c>
      <c r="B250" s="195" t="str">
        <f t="shared" si="73"/>
        <v/>
      </c>
      <c r="C250" s="195">
        <f>IF(COUNTIFS('Resultater - Danmark'!$D$3:$D$482,'Resultat-Produktion &amp; forbrug'!A250,'Resultater - Danmark'!$A$3:$A$482,"Til energi")+COUNTIFS('Resultater - Danmark'!$D$3:$D$482,'Resultat-Produktion &amp; forbrug'!A250,'Resultater - Danmark'!$A$3:$A$482,"Biogasanlæg")&gt;0,1,0)</f>
        <v>0</v>
      </c>
      <c r="D250" s="195">
        <f t="shared" si="74"/>
        <v>2050</v>
      </c>
      <c r="E250" s="193" t="s">
        <v>24</v>
      </c>
      <c r="F250" s="196">
        <f>IF(E250="Vestdanmark",SUMIFS(IF(D250=År1,'Resultater - Vestdanmark'!H$3:H$482,IF(D250=År2,'Resultater - Vestdanmark'!I$3:I$482,'Resultater - Vestdanmark'!J$3:J$482)),'Resultater - Vestdanmark'!$F$3:$F$482,$A250,IF(D250=År1,'Resultater - Vestdanmark'!H$3:H$482,IF(D250=År2,'Resultater - Vestdanmark'!I$3:I$482,'Resultater - Vestdanmark'!J$3:J$482)),"&gt;0"),SUMIFS(IF(D250=År1,'Resultater - Østdanmark'!H$3:H$482,IF(D250=År2,'Resultater - Østdanmark'!I$3:I$482,'Resultater - Østdanmark'!J$3:J$482)),'Resultater - Østdanmark'!$F$3:$F$482,$A250,IF(D250=År1,'Resultater - Østdanmark'!H$3:H$482,IF(D250=År2,'Resultater - Østdanmark'!I$3:I$482,'Resultater - Østdanmark'!J$3:J$482)),"&gt;0"))</f>
        <v>0</v>
      </c>
      <c r="G250" s="196">
        <f>SUMIFS('Forbrug af biomasse'!$E$2:$E$425,'Forbrug af biomasse'!$C$2:$C$425,'Resultat-Produktion &amp; forbrug'!$A250,'Forbrug af biomasse'!$D$2:$D$425,'Resultat-Produktion &amp; forbrug'!$D250,'Forbrug af biomasse'!$A$2:$A$425,'Resultat-Produktion &amp; forbrug'!G$2,'Forbrug af biomasse'!$B$2:$B$425,$E250)</f>
        <v>0</v>
      </c>
      <c r="H250" s="193">
        <f>IF(E250="Vestdanmark",-IF(A250="Halm",SUMIFS(IF(D250=År1,'Resultater - Vestdanmark'!H$3:H$482,IF(D250=År2,'Resultater - Vestdanmark'!I$3:I$482,'Resultater - Vestdanmark'!J$3:J$482)),'Resultater - Vestdanmark'!$F$3:$F$482,$A250,'Resultater - Vestdanmark'!H$3:H$482,"&lt;0"),0),-IF(A250="Halm",SUMIFS(IF(D250=År1,'Resultater - Østdanmark'!H$3:H$482,IF(D250=År2,'Resultater - Østdanmark'!I$3:I$482,'Resultater - Østdanmark'!J$3:J$482)),'Resultater - Østdanmark'!$F$3:$F$482,$A250,'Resultater - Østdanmark'!H$3:H$482,"&lt;0"),0))</f>
        <v>0</v>
      </c>
      <c r="I250" s="196">
        <f>SUMIFS('Forbrug af biomasse'!$E$2:$E$425,'Forbrug af biomasse'!$C$2:$C$425,'Resultat-Produktion &amp; forbrug'!$A250,'Forbrug af biomasse'!$D$2:$D$425,'Resultat-Produktion &amp; forbrug'!$D250,'Forbrug af biomasse'!$A$2:$A$425,'Resultat-Produktion &amp; forbrug'!I$2,'Forbrug af biomasse'!$B$2:$B$425,$E250)</f>
        <v>0</v>
      </c>
      <c r="J250" s="196">
        <f>SUMIFS('Forbrug af biomasse'!$E$2:$E$425,'Forbrug af biomasse'!$C$2:$C$425,'Resultat-Produktion &amp; forbrug'!$A250,'Forbrug af biomasse'!$D$2:$D$425,'Resultat-Produktion &amp; forbrug'!$D250,'Forbrug af biomasse'!$A$2:$A$425,'Resultat-Produktion &amp; forbrug'!J$2,'Forbrug af biomasse'!$B$2:$B$425,$E250)</f>
        <v>0</v>
      </c>
      <c r="K250" s="196">
        <f>SUMIFS('Forbrug af biomasse'!$E$2:$E$425,'Forbrug af biomasse'!$C$2:$C$425,'Resultat-Produktion &amp; forbrug'!$A250,'Forbrug af biomasse'!$D$2:$D$425,'Resultat-Produktion &amp; forbrug'!$D250,'Forbrug af biomasse'!$A$2:$A$425,'Resultat-Produktion &amp; forbrug'!K$2,'Forbrug af biomasse'!$B$2:$B$425,$E250)</f>
        <v>0</v>
      </c>
      <c r="L250" s="196">
        <f>IF(A250&lt;&gt;"Biogas",SUMIFS('Forbrug af biomasse'!$E$2:$E$425,'Forbrug af biomasse'!$C$2:$C$425,'Resultat-Produktion &amp; forbrug'!$A250,'Forbrug af biomasse'!$D$2:$D$425,'Resultat-Produktion &amp; forbrug'!$D250,'Forbrug af biomasse'!$A$2:$A$425,'Resultat-Produktion &amp; forbrug'!L$2,'Forbrug af biomasse'!$B$2:$B$425,$E250),F250)</f>
        <v>0</v>
      </c>
      <c r="M250" s="158">
        <f>SUMIFS('Forbrug af biomasse'!E:E,'Forbrug af biomasse'!C:C,'Resultat-Produktion &amp; forbrug'!$A250,'Forbrug af biomasse'!D:D,'Resultat-Produktion &amp; forbrug'!$D250,'Forbrug af biomasse'!G:G,1,'Forbrug af biomasse'!B:B,$E250)</f>
        <v>0</v>
      </c>
      <c r="N250" s="205">
        <f t="shared" si="62"/>
        <v>0</v>
      </c>
      <c r="O250" s="196">
        <f t="shared" si="59"/>
        <v>0</v>
      </c>
      <c r="P250" s="206">
        <f t="shared" si="63"/>
        <v>0</v>
      </c>
      <c r="Q250" s="193">
        <f>IFERROR(VLOOKUP(A250,[1]Energiindhold!$A$2:$C$11,3,FALSE),IFERROR(VLOOKUP(A250,[1]Biogasudbytte!$A$2:$B$18,2,FALSE)*[1]Energiindhold!$C$10,0))*O250</f>
        <v>0</v>
      </c>
      <c r="R250" s="193">
        <f>IF(A250&lt;&gt;"Biogas",IFERROR(VLOOKUP(A250,[1]Biogasudbytte!$A$2:$B$18,2,FALSE)*[1]Energiindhold!$C$10,0)*J250*IFERROR(VLOOKUP(A250,Biogasanlæg!$F$3:$G$8,2,FALSE),1)+IFERROR(VLOOKUP(A250,[1]Energiindhold!$A$2:$C$11,3,FALSE),0)*L250+IF(D250&lt;&gt;År1,Q250,0),0)</f>
        <v>0</v>
      </c>
      <c r="S250" s="193">
        <f>IFERROR(VLOOKUP(A250,[1]Biogasudbytte!$A$2:$B$18,2,FALSE)*[1]Energiindhold!$C$10,0)*J250*IFERROR(VLOOKUP(A250,Biogasanlæg!$F$3:$G$8,2,FALSE),1)</f>
        <v>0</v>
      </c>
      <c r="T250" s="194">
        <f t="shared" si="64"/>
        <v>0</v>
      </c>
      <c r="U250" s="192">
        <f>O250*IFERROR(VLOOKUP(A250,[1]Tørstofindhold!A$2:B$25,2,FALSE),0)</f>
        <v>0</v>
      </c>
      <c r="V250" s="193">
        <f>IF(D250=År1,P250,SUM(O250,P250))*IFERROR(VLOOKUP(A250,[1]Tørstofindhold!A$2:B$25,2,FALSE),0)</f>
        <v>0</v>
      </c>
      <c r="W250" s="193">
        <f>J250*IFERROR(VLOOKUP(A250,[1]Tørstofindhold!A$2:B$25,2,FALSE),0)</f>
        <v>0</v>
      </c>
      <c r="X250" s="194">
        <f t="shared" si="65"/>
        <v>0</v>
      </c>
      <c r="Y250" s="172">
        <f t="shared" si="60"/>
        <v>0</v>
      </c>
      <c r="Z250" s="104">
        <f t="shared" si="61"/>
        <v>0</v>
      </c>
    </row>
    <row r="251" spans="1:26" hidden="1" x14ac:dyDescent="0.55000000000000004">
      <c r="A251" s="195" t="str">
        <f t="shared" si="72"/>
        <v>Fjerkrægylle</v>
      </c>
      <c r="B251" s="195" t="str">
        <f t="shared" si="73"/>
        <v>Husdyrgødning</v>
      </c>
      <c r="C251" s="195">
        <f>IF(COUNTIFS('Resultater - Danmark'!$D$3:$D$482,'Resultat-Produktion &amp; forbrug'!A251,'Resultater - Danmark'!$A$3:$A$482,"Til energi")+COUNTIFS('Resultater - Danmark'!$D$3:$D$482,'Resultat-Produktion &amp; forbrug'!A251,'Resultater - Danmark'!$A$3:$A$482,"Biogasanlæg")&gt;0,1,0)</f>
        <v>1</v>
      </c>
      <c r="D251" s="195">
        <f t="shared" si="74"/>
        <v>2050</v>
      </c>
      <c r="E251" s="193" t="s">
        <v>24</v>
      </c>
      <c r="F251" s="196">
        <f>IF(E251="Vestdanmark",SUMIFS(IF(D251=År1,'Resultater - Vestdanmark'!H$3:H$482,IF(D251=År2,'Resultater - Vestdanmark'!I$3:I$482,'Resultater - Vestdanmark'!J$3:J$482)),'Resultater - Vestdanmark'!$F$3:$F$482,$A251,IF(D251=År1,'Resultater - Vestdanmark'!H$3:H$482,IF(D251=År2,'Resultater - Vestdanmark'!I$3:I$482,'Resultater - Vestdanmark'!J$3:J$482)),"&gt;0"),SUMIFS(IF(D251=År1,'Resultater - Østdanmark'!H$3:H$482,IF(D251=År2,'Resultater - Østdanmark'!I$3:I$482,'Resultater - Østdanmark'!J$3:J$482)),'Resultater - Østdanmark'!$F$3:$F$482,$A251,IF(D251=År1,'Resultater - Østdanmark'!H$3:H$482,IF(D251=År2,'Resultater - Østdanmark'!I$3:I$482,'Resultater - Østdanmark'!J$3:J$482)),"&gt;0"))</f>
        <v>723.09839736855315</v>
      </c>
      <c r="G251" s="196">
        <f>SUMIFS('Forbrug af biomasse'!$E$2:$E$425,'Forbrug af biomasse'!$C$2:$C$425,'Resultat-Produktion &amp; forbrug'!$A251,'Forbrug af biomasse'!$D$2:$D$425,'Resultat-Produktion &amp; forbrug'!$D251,'Forbrug af biomasse'!$A$2:$A$425,'Resultat-Produktion &amp; forbrug'!G$2,'Forbrug af biomasse'!$B$2:$B$425,$E251)</f>
        <v>0</v>
      </c>
      <c r="H251" s="193">
        <f>IF(E251="Vestdanmark",-IF(A251="Halm",SUMIFS(IF(D251=År1,'Resultater - Vestdanmark'!H$3:H$482,IF(D251=År2,'Resultater - Vestdanmark'!I$3:I$482,'Resultater - Vestdanmark'!J$3:J$482)),'Resultater - Vestdanmark'!$F$3:$F$482,$A251,'Resultater - Vestdanmark'!H$3:H$482,"&lt;0"),0),-IF(A251="Halm",SUMIFS(IF(D251=År1,'Resultater - Østdanmark'!H$3:H$482,IF(D251=År2,'Resultater - Østdanmark'!I$3:I$482,'Resultater - Østdanmark'!J$3:J$482)),'Resultater - Østdanmark'!$F$3:$F$482,$A251,'Resultater - Østdanmark'!H$3:H$482,"&lt;0"),0))</f>
        <v>0</v>
      </c>
      <c r="I251" s="196">
        <f>SUMIFS('Forbrug af biomasse'!$E$2:$E$425,'Forbrug af biomasse'!$C$2:$C$425,'Resultat-Produktion &amp; forbrug'!$A251,'Forbrug af biomasse'!$D$2:$D$425,'Resultat-Produktion &amp; forbrug'!$D251,'Forbrug af biomasse'!$A$2:$A$425,'Resultat-Produktion &amp; forbrug'!I$2,'Forbrug af biomasse'!$B$2:$B$425,$E251)</f>
        <v>0</v>
      </c>
      <c r="J251" s="196">
        <f>SUMIFS('Forbrug af biomasse'!$E$2:$E$425,'Forbrug af biomasse'!$C$2:$C$425,'Resultat-Produktion &amp; forbrug'!$A251,'Forbrug af biomasse'!$D$2:$D$425,'Resultat-Produktion &amp; forbrug'!$D251,'Forbrug af biomasse'!$A$2:$A$425,'Resultat-Produktion &amp; forbrug'!J$2,'Forbrug af biomasse'!$B$2:$B$425,$E251)</f>
        <v>361.54919868427658</v>
      </c>
      <c r="K251" s="196">
        <f>SUMIFS('Forbrug af biomasse'!$E$2:$E$425,'Forbrug af biomasse'!$C$2:$C$425,'Resultat-Produktion &amp; forbrug'!$A251,'Forbrug af biomasse'!$D$2:$D$425,'Resultat-Produktion &amp; forbrug'!$D251,'Forbrug af biomasse'!$A$2:$A$425,'Resultat-Produktion &amp; forbrug'!K$2,'Forbrug af biomasse'!$B$2:$B$425,$E251)</f>
        <v>273.74439328952366</v>
      </c>
      <c r="L251" s="196">
        <f>IF(A251&lt;&gt;"Biogas",SUMIFS('Forbrug af biomasse'!$E$2:$E$425,'Forbrug af biomasse'!$C$2:$C$425,'Resultat-Produktion &amp; forbrug'!$A251,'Forbrug af biomasse'!$D$2:$D$425,'Resultat-Produktion &amp; forbrug'!$D251,'Forbrug af biomasse'!$A$2:$A$425,'Resultat-Produktion &amp; forbrug'!L$2,'Forbrug af biomasse'!$B$2:$B$425,$E251),F251)</f>
        <v>0</v>
      </c>
      <c r="M251" s="158">
        <f>SUMIFS('Forbrug af biomasse'!E:E,'Forbrug af biomasse'!C:C,'Resultat-Produktion &amp; forbrug'!$A251,'Forbrug af biomasse'!D:D,'Resultat-Produktion &amp; forbrug'!$D251,'Forbrug af biomasse'!G:G,1,'Forbrug af biomasse'!B:B,$E251)</f>
        <v>0</v>
      </c>
      <c r="N251" s="205">
        <f t="shared" si="62"/>
        <v>87.804805394752975</v>
      </c>
      <c r="O251" s="196">
        <f t="shared" si="59"/>
        <v>87.804805394752975</v>
      </c>
      <c r="P251" s="206">
        <f t="shared" si="63"/>
        <v>361.54919868427658</v>
      </c>
      <c r="Q251" s="193">
        <f>IFERROR(VLOOKUP(A251,[1]Energiindhold!$A$2:$C$11,3,FALSE),IFERROR(VLOOKUP(A251,[1]Biogasudbytte!$A$2:$B$18,2,FALSE)*[1]Energiindhold!$C$10,0))*O251</f>
        <v>4.1293721929098376E-5</v>
      </c>
      <c r="R251" s="193">
        <f>IF(A251&lt;&gt;"Biogas",IFERROR(VLOOKUP(A251,[1]Biogasudbytte!$A$2:$B$18,2,FALSE)*[1]Energiindhold!$C$10,0)*J251*IFERROR(VLOOKUP(A251,Biogasanlæg!$F$3:$G$8,2,FALSE),1)+IFERROR(VLOOKUP(A251,[1]Energiindhold!$A$2:$C$11,3,FALSE),0)*L251+IF(D251&lt;&gt;År1,Q251,0),0)</f>
        <v>2.1132669457832681E-4</v>
      </c>
      <c r="S251" s="193">
        <f>IFERROR(VLOOKUP(A251,[1]Biogasudbytte!$A$2:$B$18,2,FALSE)*[1]Energiindhold!$C$10,0)*J251*IFERROR(VLOOKUP(A251,Biogasanlæg!$F$3:$G$8,2,FALSE),1)</f>
        <v>1.7003297264922844E-4</v>
      </c>
      <c r="T251" s="194">
        <f t="shared" si="64"/>
        <v>4.1293721929098369E-5</v>
      </c>
      <c r="U251" s="192">
        <f>O251*IFERROR(VLOOKUP(A251,[1]Tørstofindhold!A$2:B$25,2,FALSE),0)</f>
        <v>5.5317027398694378</v>
      </c>
      <c r="V251" s="193">
        <f>IF(D251=År1,P251,SUM(O251,P251))*IFERROR(VLOOKUP(A251,[1]Tørstofindhold!A$2:B$25,2,FALSE),0)</f>
        <v>28.30930225697886</v>
      </c>
      <c r="W251" s="193">
        <f>J251*IFERROR(VLOOKUP(A251,[1]Tørstofindhold!A$2:B$25,2,FALSE),0)</f>
        <v>22.777599517109426</v>
      </c>
      <c r="X251" s="194">
        <f t="shared" si="65"/>
        <v>5.5317027398694343</v>
      </c>
      <c r="Y251" s="172">
        <f t="shared" si="60"/>
        <v>0</v>
      </c>
      <c r="Z251" s="104">
        <f t="shared" si="61"/>
        <v>1</v>
      </c>
    </row>
    <row r="252" spans="1:26" hidden="1" x14ac:dyDescent="0.55000000000000004">
      <c r="A252" s="195" t="str">
        <f t="shared" si="72"/>
        <v>Fjerkrækød</v>
      </c>
      <c r="B252" s="195" t="str">
        <f t="shared" si="73"/>
        <v/>
      </c>
      <c r="C252" s="195">
        <f>IF(COUNTIFS('Resultater - Danmark'!$D$3:$D$482,'Resultat-Produktion &amp; forbrug'!A252,'Resultater - Danmark'!$A$3:$A$482,"Til energi")+COUNTIFS('Resultater - Danmark'!$D$3:$D$482,'Resultat-Produktion &amp; forbrug'!A252,'Resultater - Danmark'!$A$3:$A$482,"Biogasanlæg")&gt;0,1,0)</f>
        <v>0</v>
      </c>
      <c r="D252" s="195">
        <f t="shared" si="74"/>
        <v>2050</v>
      </c>
      <c r="E252" s="193" t="s">
        <v>24</v>
      </c>
      <c r="F252" s="196">
        <f>IF(E252="Vestdanmark",SUMIFS(IF(D252=År1,'Resultater - Vestdanmark'!H$3:H$482,IF(D252=År2,'Resultater - Vestdanmark'!I$3:I$482,'Resultater - Vestdanmark'!J$3:J$482)),'Resultater - Vestdanmark'!$F$3:$F$482,$A252,IF(D252=År1,'Resultater - Vestdanmark'!H$3:H$482,IF(D252=År2,'Resultater - Vestdanmark'!I$3:I$482,'Resultater - Vestdanmark'!J$3:J$482)),"&gt;0"),SUMIFS(IF(D252=År1,'Resultater - Østdanmark'!H$3:H$482,IF(D252=År2,'Resultater - Østdanmark'!I$3:I$482,'Resultater - Østdanmark'!J$3:J$482)),'Resultater - Østdanmark'!$F$3:$F$482,$A252,IF(D252=År1,'Resultater - Østdanmark'!H$3:H$482,IF(D252=År2,'Resultater - Østdanmark'!I$3:I$482,'Resultater - Østdanmark'!J$3:J$482)),"&gt;0"))</f>
        <v>14575.114892812006</v>
      </c>
      <c r="G252" s="196">
        <f>SUMIFS('Forbrug af biomasse'!$E$2:$E$425,'Forbrug af biomasse'!$C$2:$C$425,'Resultat-Produktion &amp; forbrug'!$A252,'Forbrug af biomasse'!$D$2:$D$425,'Resultat-Produktion &amp; forbrug'!$D252,'Forbrug af biomasse'!$A$2:$A$425,'Resultat-Produktion &amp; forbrug'!G$2,'Forbrug af biomasse'!$B$2:$B$425,$E252)</f>
        <v>0</v>
      </c>
      <c r="H252" s="193">
        <f>IF(E252="Vestdanmark",-IF(A252="Halm",SUMIFS(IF(D252=År1,'Resultater - Vestdanmark'!H$3:H$482,IF(D252=År2,'Resultater - Vestdanmark'!I$3:I$482,'Resultater - Vestdanmark'!J$3:J$482)),'Resultater - Vestdanmark'!$F$3:$F$482,$A252,'Resultater - Vestdanmark'!H$3:H$482,"&lt;0"),0),-IF(A252="Halm",SUMIFS(IF(D252=År1,'Resultater - Østdanmark'!H$3:H$482,IF(D252=År2,'Resultater - Østdanmark'!I$3:I$482,'Resultater - Østdanmark'!J$3:J$482)),'Resultater - Østdanmark'!$F$3:$F$482,$A252,'Resultater - Østdanmark'!H$3:H$482,"&lt;0"),0))</f>
        <v>0</v>
      </c>
      <c r="I252" s="196">
        <f>SUMIFS('Forbrug af biomasse'!$E$2:$E$425,'Forbrug af biomasse'!$C$2:$C$425,'Resultat-Produktion &amp; forbrug'!$A252,'Forbrug af biomasse'!$D$2:$D$425,'Resultat-Produktion &amp; forbrug'!$D252,'Forbrug af biomasse'!$A$2:$A$425,'Resultat-Produktion &amp; forbrug'!I$2,'Forbrug af biomasse'!$B$2:$B$425,$E252)</f>
        <v>31993.002188443785</v>
      </c>
      <c r="J252" s="196">
        <f>SUMIFS('Forbrug af biomasse'!$E$2:$E$425,'Forbrug af biomasse'!$C$2:$C$425,'Resultat-Produktion &amp; forbrug'!$A252,'Forbrug af biomasse'!$D$2:$D$425,'Resultat-Produktion &amp; forbrug'!$D252,'Forbrug af biomasse'!$A$2:$A$425,'Resultat-Produktion &amp; forbrug'!J$2,'Forbrug af biomasse'!$B$2:$B$425,$E252)</f>
        <v>0</v>
      </c>
      <c r="K252" s="196">
        <f>SUMIFS('Forbrug af biomasse'!$E$2:$E$425,'Forbrug af biomasse'!$C$2:$C$425,'Resultat-Produktion &amp; forbrug'!$A252,'Forbrug af biomasse'!$D$2:$D$425,'Resultat-Produktion &amp; forbrug'!$D252,'Forbrug af biomasse'!$A$2:$A$425,'Resultat-Produktion &amp; forbrug'!K$2,'Forbrug af biomasse'!$B$2:$B$425,$E252)</f>
        <v>0</v>
      </c>
      <c r="L252" s="196">
        <f>IF(A252&lt;&gt;"Biogas",SUMIFS('Forbrug af biomasse'!$E$2:$E$425,'Forbrug af biomasse'!$C$2:$C$425,'Resultat-Produktion &amp; forbrug'!$A252,'Forbrug af biomasse'!$D$2:$D$425,'Resultat-Produktion &amp; forbrug'!$D252,'Forbrug af biomasse'!$A$2:$A$425,'Resultat-Produktion &amp; forbrug'!L$2,'Forbrug af biomasse'!$B$2:$B$425,$E252),F252)</f>
        <v>0</v>
      </c>
      <c r="M252" s="158">
        <f>SUMIFS('Forbrug af biomasse'!E:E,'Forbrug af biomasse'!C:C,'Resultat-Produktion &amp; forbrug'!$A252,'Forbrug af biomasse'!D:D,'Resultat-Produktion &amp; forbrug'!$D252,'Forbrug af biomasse'!G:G,1,'Forbrug af biomasse'!B:B,$E252)</f>
        <v>0</v>
      </c>
      <c r="N252" s="205">
        <f t="shared" si="62"/>
        <v>-17417.887295631779</v>
      </c>
      <c r="O252" s="196">
        <f t="shared" si="59"/>
        <v>0</v>
      </c>
      <c r="P252" s="206">
        <f t="shared" si="63"/>
        <v>0</v>
      </c>
      <c r="Q252" s="193">
        <f>IFERROR(VLOOKUP(A252,[1]Energiindhold!$A$2:$C$11,3,FALSE),IFERROR(VLOOKUP(A252,[1]Biogasudbytte!$A$2:$B$18,2,FALSE)*[1]Energiindhold!$C$10,0))*O252</f>
        <v>0</v>
      </c>
      <c r="R252" s="193">
        <f>IF(A252&lt;&gt;"Biogas",IFERROR(VLOOKUP(A252,[1]Biogasudbytte!$A$2:$B$18,2,FALSE)*[1]Energiindhold!$C$10,0)*J252*IFERROR(VLOOKUP(A252,Biogasanlæg!$F$3:$G$8,2,FALSE),1)+IFERROR(VLOOKUP(A252,[1]Energiindhold!$A$2:$C$11,3,FALSE),0)*L252+IF(D252&lt;&gt;År1,Q252,0),0)</f>
        <v>0</v>
      </c>
      <c r="S252" s="193">
        <f>IFERROR(VLOOKUP(A252,[1]Biogasudbytte!$A$2:$B$18,2,FALSE)*[1]Energiindhold!$C$10,0)*J252*IFERROR(VLOOKUP(A252,Biogasanlæg!$F$3:$G$8,2,FALSE),1)</f>
        <v>0</v>
      </c>
      <c r="T252" s="194">
        <f t="shared" si="64"/>
        <v>0</v>
      </c>
      <c r="U252" s="192">
        <f>O252*IFERROR(VLOOKUP(A252,[1]Tørstofindhold!A$2:B$25,2,FALSE),0)</f>
        <v>0</v>
      </c>
      <c r="V252" s="193">
        <f>IF(D252=År1,P252,SUM(O252,P252))*IFERROR(VLOOKUP(A252,[1]Tørstofindhold!A$2:B$25,2,FALSE),0)</f>
        <v>0</v>
      </c>
      <c r="W252" s="193">
        <f>J252*IFERROR(VLOOKUP(A252,[1]Tørstofindhold!A$2:B$25,2,FALSE),0)</f>
        <v>0</v>
      </c>
      <c r="X252" s="194">
        <f t="shared" si="65"/>
        <v>0</v>
      </c>
      <c r="Y252" s="172">
        <f t="shared" si="60"/>
        <v>0</v>
      </c>
      <c r="Z252" s="104">
        <f t="shared" si="61"/>
        <v>1</v>
      </c>
    </row>
    <row r="253" spans="1:26" hidden="1" x14ac:dyDescent="0.55000000000000004">
      <c r="A253" s="195" t="str">
        <f t="shared" si="72"/>
        <v>Frø</v>
      </c>
      <c r="B253" s="195" t="str">
        <f t="shared" si="73"/>
        <v/>
      </c>
      <c r="C253" s="195">
        <f>IF(COUNTIFS('Resultater - Danmark'!$D$3:$D$482,'Resultat-Produktion &amp; forbrug'!A253,'Resultater - Danmark'!$A$3:$A$482,"Til energi")+COUNTIFS('Resultater - Danmark'!$D$3:$D$482,'Resultat-Produktion &amp; forbrug'!A253,'Resultater - Danmark'!$A$3:$A$482,"Biogasanlæg")&gt;0,1,0)</f>
        <v>0</v>
      </c>
      <c r="D253" s="195">
        <f t="shared" si="74"/>
        <v>2050</v>
      </c>
      <c r="E253" s="193" t="s">
        <v>24</v>
      </c>
      <c r="F253" s="196">
        <f>IF(E253="Vestdanmark",SUMIFS(IF(D253=År1,'Resultater - Vestdanmark'!H$3:H$482,IF(D253=År2,'Resultater - Vestdanmark'!I$3:I$482,'Resultater - Vestdanmark'!J$3:J$482)),'Resultater - Vestdanmark'!$F$3:$F$482,$A253,IF(D253=År1,'Resultater - Vestdanmark'!H$3:H$482,IF(D253=År2,'Resultater - Vestdanmark'!I$3:I$482,'Resultater - Vestdanmark'!J$3:J$482)),"&gt;0"),SUMIFS(IF(D253=År1,'Resultater - Østdanmark'!H$3:H$482,IF(D253=År2,'Resultater - Østdanmark'!I$3:I$482,'Resultater - Østdanmark'!J$3:J$482)),'Resultater - Østdanmark'!$F$3:$F$482,$A253,IF(D253=År1,'Resultater - Østdanmark'!H$3:H$482,IF(D253=År2,'Resultater - Østdanmark'!I$3:I$482,'Resultater - Østdanmark'!J$3:J$482)),"&gt;0"))</f>
        <v>629229.83697533351</v>
      </c>
      <c r="G253" s="196">
        <f>SUMIFS('Forbrug af biomasse'!$E$2:$E$425,'Forbrug af biomasse'!$C$2:$C$425,'Resultat-Produktion &amp; forbrug'!$A253,'Forbrug af biomasse'!$D$2:$D$425,'Resultat-Produktion &amp; forbrug'!$D253,'Forbrug af biomasse'!$A$2:$A$425,'Resultat-Produktion &amp; forbrug'!G$2,'Forbrug af biomasse'!$B$2:$B$425,$E253)</f>
        <v>0</v>
      </c>
      <c r="H253" s="193">
        <f>IF(E253="Vestdanmark",-IF(A253="Halm",SUMIFS(IF(D253=År1,'Resultater - Vestdanmark'!H$3:H$482,IF(D253=År2,'Resultater - Vestdanmark'!I$3:I$482,'Resultater - Vestdanmark'!J$3:J$482)),'Resultater - Vestdanmark'!$F$3:$F$482,$A253,'Resultater - Vestdanmark'!H$3:H$482,"&lt;0"),0),-IF(A253="Halm",SUMIFS(IF(D253=År1,'Resultater - Østdanmark'!H$3:H$482,IF(D253=År2,'Resultater - Østdanmark'!I$3:I$482,'Resultater - Østdanmark'!J$3:J$482)),'Resultater - Østdanmark'!$F$3:$F$482,$A253,'Resultater - Østdanmark'!H$3:H$482,"&lt;0"),0))</f>
        <v>0</v>
      </c>
      <c r="I253" s="196">
        <f>SUMIFS('Forbrug af biomasse'!$E$2:$E$425,'Forbrug af biomasse'!$C$2:$C$425,'Resultat-Produktion &amp; forbrug'!$A253,'Forbrug af biomasse'!$D$2:$D$425,'Resultat-Produktion &amp; forbrug'!$D253,'Forbrug af biomasse'!$A$2:$A$425,'Resultat-Produktion &amp; forbrug'!I$2,'Forbrug af biomasse'!$B$2:$B$425,$E253)</f>
        <v>0</v>
      </c>
      <c r="J253" s="196">
        <f>SUMIFS('Forbrug af biomasse'!$E$2:$E$425,'Forbrug af biomasse'!$C$2:$C$425,'Resultat-Produktion &amp; forbrug'!$A253,'Forbrug af biomasse'!$D$2:$D$425,'Resultat-Produktion &amp; forbrug'!$D253,'Forbrug af biomasse'!$A$2:$A$425,'Resultat-Produktion &amp; forbrug'!J$2,'Forbrug af biomasse'!$B$2:$B$425,$E253)</f>
        <v>0</v>
      </c>
      <c r="K253" s="196">
        <f>SUMIFS('Forbrug af biomasse'!$E$2:$E$425,'Forbrug af biomasse'!$C$2:$C$425,'Resultat-Produktion &amp; forbrug'!$A253,'Forbrug af biomasse'!$D$2:$D$425,'Resultat-Produktion &amp; forbrug'!$D253,'Forbrug af biomasse'!$A$2:$A$425,'Resultat-Produktion &amp; forbrug'!K$2,'Forbrug af biomasse'!$B$2:$B$425,$E253)</f>
        <v>0</v>
      </c>
      <c r="L253" s="196">
        <f>IF(A253&lt;&gt;"Biogas",SUMIFS('Forbrug af biomasse'!$E$2:$E$425,'Forbrug af biomasse'!$C$2:$C$425,'Resultat-Produktion &amp; forbrug'!$A253,'Forbrug af biomasse'!$D$2:$D$425,'Resultat-Produktion &amp; forbrug'!$D253,'Forbrug af biomasse'!$A$2:$A$425,'Resultat-Produktion &amp; forbrug'!L$2,'Forbrug af biomasse'!$B$2:$B$425,$E253),F253)</f>
        <v>0</v>
      </c>
      <c r="M253" s="158">
        <f>SUMIFS('Forbrug af biomasse'!E:E,'Forbrug af biomasse'!C:C,'Resultat-Produktion &amp; forbrug'!$A253,'Forbrug af biomasse'!D:D,'Resultat-Produktion &amp; forbrug'!$D253,'Forbrug af biomasse'!G:G,1,'Forbrug af biomasse'!B:B,$E253)</f>
        <v>0</v>
      </c>
      <c r="N253" s="205">
        <f t="shared" si="62"/>
        <v>629229.83697533351</v>
      </c>
      <c r="O253" s="196">
        <f t="shared" si="59"/>
        <v>0</v>
      </c>
      <c r="P253" s="206">
        <f t="shared" si="63"/>
        <v>0</v>
      </c>
      <c r="Q253" s="193">
        <f>IFERROR(VLOOKUP(A253,[1]Energiindhold!$A$2:$C$11,3,FALSE),IFERROR(VLOOKUP(A253,[1]Biogasudbytte!$A$2:$B$18,2,FALSE)*[1]Energiindhold!$C$10,0))*O253</f>
        <v>0</v>
      </c>
      <c r="R253" s="193">
        <f>IF(A253&lt;&gt;"Biogas",IFERROR(VLOOKUP(A253,[1]Biogasudbytte!$A$2:$B$18,2,FALSE)*[1]Energiindhold!$C$10,0)*J253*IFERROR(VLOOKUP(A253,Biogasanlæg!$F$3:$G$8,2,FALSE),1)+IFERROR(VLOOKUP(A253,[1]Energiindhold!$A$2:$C$11,3,FALSE),0)*L253+IF(D253&lt;&gt;År1,Q253,0),0)</f>
        <v>0</v>
      </c>
      <c r="S253" s="193">
        <f>IFERROR(VLOOKUP(A253,[1]Biogasudbytte!$A$2:$B$18,2,FALSE)*[1]Energiindhold!$C$10,0)*J253*IFERROR(VLOOKUP(A253,Biogasanlæg!$F$3:$G$8,2,FALSE),1)</f>
        <v>0</v>
      </c>
      <c r="T253" s="194">
        <f t="shared" si="64"/>
        <v>0</v>
      </c>
      <c r="U253" s="192">
        <f>O253*IFERROR(VLOOKUP(A253,[1]Tørstofindhold!A$2:B$25,2,FALSE),0)</f>
        <v>0</v>
      </c>
      <c r="V253" s="193">
        <f>IF(D253=År1,P253,SUM(O253,P253))*IFERROR(VLOOKUP(A253,[1]Tørstofindhold!A$2:B$25,2,FALSE),0)</f>
        <v>0</v>
      </c>
      <c r="W253" s="193">
        <f>J253*IFERROR(VLOOKUP(A253,[1]Tørstofindhold!A$2:B$25,2,FALSE),0)</f>
        <v>0</v>
      </c>
      <c r="X253" s="194">
        <f t="shared" si="65"/>
        <v>0</v>
      </c>
      <c r="Y253" s="172">
        <f t="shared" si="60"/>
        <v>0</v>
      </c>
      <c r="Z253" s="104">
        <f t="shared" si="61"/>
        <v>1</v>
      </c>
    </row>
    <row r="254" spans="1:26" hidden="1" x14ac:dyDescent="0.55000000000000004">
      <c r="A254" s="195" t="str">
        <f t="shared" si="72"/>
        <v>Frugt</v>
      </c>
      <c r="B254" s="195" t="str">
        <f t="shared" si="73"/>
        <v/>
      </c>
      <c r="C254" s="195">
        <f>IF(COUNTIFS('Resultater - Danmark'!$D$3:$D$482,'Resultat-Produktion &amp; forbrug'!A254,'Resultater - Danmark'!$A$3:$A$482,"Til energi")+COUNTIFS('Resultater - Danmark'!$D$3:$D$482,'Resultat-Produktion &amp; forbrug'!A254,'Resultater - Danmark'!$A$3:$A$482,"Biogasanlæg")&gt;0,1,0)</f>
        <v>0</v>
      </c>
      <c r="D254" s="195">
        <f t="shared" si="74"/>
        <v>2050</v>
      </c>
      <c r="E254" s="193" t="s">
        <v>24</v>
      </c>
      <c r="F254" s="196">
        <f>IF(E254="Vestdanmark",SUMIFS(IF(D254=År1,'Resultater - Vestdanmark'!H$3:H$482,IF(D254=År2,'Resultater - Vestdanmark'!I$3:I$482,'Resultater - Vestdanmark'!J$3:J$482)),'Resultater - Vestdanmark'!$F$3:$F$482,$A254,IF(D254=År1,'Resultater - Vestdanmark'!H$3:H$482,IF(D254=År2,'Resultater - Vestdanmark'!I$3:I$482,'Resultater - Vestdanmark'!J$3:J$482)),"&gt;0"),SUMIFS(IF(D254=År1,'Resultater - Østdanmark'!H$3:H$482,IF(D254=År2,'Resultater - Østdanmark'!I$3:I$482,'Resultater - Østdanmark'!J$3:J$482)),'Resultater - Østdanmark'!$F$3:$F$482,$A254,IF(D254=År1,'Resultater - Østdanmark'!H$3:H$482,IF(D254=År2,'Resultater - Østdanmark'!I$3:I$482,'Resultater - Østdanmark'!J$3:J$482)),"&gt;0"))</f>
        <v>16274.021455837808</v>
      </c>
      <c r="G254" s="196">
        <f>SUMIFS('Forbrug af biomasse'!$E$2:$E$425,'Forbrug af biomasse'!$C$2:$C$425,'Resultat-Produktion &amp; forbrug'!$A254,'Forbrug af biomasse'!$D$2:$D$425,'Resultat-Produktion &amp; forbrug'!$D254,'Forbrug af biomasse'!$A$2:$A$425,'Resultat-Produktion &amp; forbrug'!G$2,'Forbrug af biomasse'!$B$2:$B$425,$E254)</f>
        <v>0</v>
      </c>
      <c r="H254" s="193">
        <f>IF(E254="Vestdanmark",-IF(A254="Halm",SUMIFS(IF(D254=År1,'Resultater - Vestdanmark'!H$3:H$482,IF(D254=År2,'Resultater - Vestdanmark'!I$3:I$482,'Resultater - Vestdanmark'!J$3:J$482)),'Resultater - Vestdanmark'!$F$3:$F$482,$A254,'Resultater - Vestdanmark'!H$3:H$482,"&lt;0"),0),-IF(A254="Halm",SUMIFS(IF(D254=År1,'Resultater - Østdanmark'!H$3:H$482,IF(D254=År2,'Resultater - Østdanmark'!I$3:I$482,'Resultater - Østdanmark'!J$3:J$482)),'Resultater - Østdanmark'!$F$3:$F$482,$A254,'Resultater - Østdanmark'!H$3:H$482,"&lt;0"),0))</f>
        <v>0</v>
      </c>
      <c r="I254" s="196">
        <f>SUMIFS('Forbrug af biomasse'!$E$2:$E$425,'Forbrug af biomasse'!$C$2:$C$425,'Resultat-Produktion &amp; forbrug'!$A254,'Forbrug af biomasse'!$D$2:$D$425,'Resultat-Produktion &amp; forbrug'!$D254,'Forbrug af biomasse'!$A$2:$A$425,'Resultat-Produktion &amp; forbrug'!I$2,'Forbrug af biomasse'!$B$2:$B$425,$E254)</f>
        <v>233795.01599247381</v>
      </c>
      <c r="J254" s="196">
        <f>SUMIFS('Forbrug af biomasse'!$E$2:$E$425,'Forbrug af biomasse'!$C$2:$C$425,'Resultat-Produktion &amp; forbrug'!$A254,'Forbrug af biomasse'!$D$2:$D$425,'Resultat-Produktion &amp; forbrug'!$D254,'Forbrug af biomasse'!$A$2:$A$425,'Resultat-Produktion &amp; forbrug'!J$2,'Forbrug af biomasse'!$B$2:$B$425,$E254)</f>
        <v>0</v>
      </c>
      <c r="K254" s="196">
        <f>SUMIFS('Forbrug af biomasse'!$E$2:$E$425,'Forbrug af biomasse'!$C$2:$C$425,'Resultat-Produktion &amp; forbrug'!$A254,'Forbrug af biomasse'!$D$2:$D$425,'Resultat-Produktion &amp; forbrug'!$D254,'Forbrug af biomasse'!$A$2:$A$425,'Resultat-Produktion &amp; forbrug'!K$2,'Forbrug af biomasse'!$B$2:$B$425,$E254)</f>
        <v>0</v>
      </c>
      <c r="L254" s="196">
        <f>IF(A254&lt;&gt;"Biogas",SUMIFS('Forbrug af biomasse'!$E$2:$E$425,'Forbrug af biomasse'!$C$2:$C$425,'Resultat-Produktion &amp; forbrug'!$A254,'Forbrug af biomasse'!$D$2:$D$425,'Resultat-Produktion &amp; forbrug'!$D254,'Forbrug af biomasse'!$A$2:$A$425,'Resultat-Produktion &amp; forbrug'!L$2,'Forbrug af biomasse'!$B$2:$B$425,$E254),F254)</f>
        <v>0</v>
      </c>
      <c r="M254" s="158">
        <f>SUMIFS('Forbrug af biomasse'!E:E,'Forbrug af biomasse'!C:C,'Resultat-Produktion &amp; forbrug'!$A254,'Forbrug af biomasse'!D:D,'Resultat-Produktion &amp; forbrug'!$D254,'Forbrug af biomasse'!G:G,1,'Forbrug af biomasse'!B:B,$E254)</f>
        <v>0</v>
      </c>
      <c r="N254" s="205">
        <f t="shared" si="62"/>
        <v>-217520.99453663599</v>
      </c>
      <c r="O254" s="196">
        <f t="shared" si="59"/>
        <v>0</v>
      </c>
      <c r="P254" s="206">
        <f t="shared" si="63"/>
        <v>0</v>
      </c>
      <c r="Q254" s="193">
        <f>IFERROR(VLOOKUP(A254,[1]Energiindhold!$A$2:$C$11,3,FALSE),IFERROR(VLOOKUP(A254,[1]Biogasudbytte!$A$2:$B$18,2,FALSE)*[1]Energiindhold!$C$10,0))*O254</f>
        <v>0</v>
      </c>
      <c r="R254" s="193">
        <f>IF(A254&lt;&gt;"Biogas",IFERROR(VLOOKUP(A254,[1]Biogasudbytte!$A$2:$B$18,2,FALSE)*[1]Energiindhold!$C$10,0)*J254*IFERROR(VLOOKUP(A254,Biogasanlæg!$F$3:$G$8,2,FALSE),1)+IFERROR(VLOOKUP(A254,[1]Energiindhold!$A$2:$C$11,3,FALSE),0)*L254+IF(D254&lt;&gt;År1,Q254,0),0)</f>
        <v>0</v>
      </c>
      <c r="S254" s="193">
        <f>IFERROR(VLOOKUP(A254,[1]Biogasudbytte!$A$2:$B$18,2,FALSE)*[1]Energiindhold!$C$10,0)*J254*IFERROR(VLOOKUP(A254,Biogasanlæg!$F$3:$G$8,2,FALSE),1)</f>
        <v>0</v>
      </c>
      <c r="T254" s="194">
        <f t="shared" si="64"/>
        <v>0</v>
      </c>
      <c r="U254" s="192">
        <f>O254*IFERROR(VLOOKUP(A254,[1]Tørstofindhold!A$2:B$25,2,FALSE),0)</f>
        <v>0</v>
      </c>
      <c r="V254" s="193">
        <f>IF(D254=År1,P254,SUM(O254,P254))*IFERROR(VLOOKUP(A254,[1]Tørstofindhold!A$2:B$25,2,FALSE),0)</f>
        <v>0</v>
      </c>
      <c r="W254" s="193">
        <f>J254*IFERROR(VLOOKUP(A254,[1]Tørstofindhold!A$2:B$25,2,FALSE),0)</f>
        <v>0</v>
      </c>
      <c r="X254" s="194">
        <f t="shared" si="65"/>
        <v>0</v>
      </c>
      <c r="Y254" s="172">
        <f t="shared" si="60"/>
        <v>1</v>
      </c>
      <c r="Z254" s="104">
        <f t="shared" si="61"/>
        <v>0</v>
      </c>
    </row>
    <row r="255" spans="1:26" hidden="1" x14ac:dyDescent="0.55000000000000004">
      <c r="A255" s="195" t="str">
        <f t="shared" si="72"/>
        <v>Glycerin</v>
      </c>
      <c r="B255" s="195" t="str">
        <f t="shared" si="73"/>
        <v>Glycerin</v>
      </c>
      <c r="C255" s="195">
        <f>IF(COUNTIFS('Resultater - Danmark'!$D$3:$D$482,'Resultat-Produktion &amp; forbrug'!A255,'Resultater - Danmark'!$A$3:$A$482,"Til energi")+COUNTIFS('Resultater - Danmark'!$D$3:$D$482,'Resultat-Produktion &amp; forbrug'!A255,'Resultater - Danmark'!$A$3:$A$482,"Biogasanlæg")&gt;0,1,0)</f>
        <v>1</v>
      </c>
      <c r="D255" s="195">
        <f t="shared" si="74"/>
        <v>2050</v>
      </c>
      <c r="E255" s="193" t="s">
        <v>24</v>
      </c>
      <c r="F255" s="196">
        <f>IF(E255="Vestdanmark",SUMIFS(IF(D255=År1,'Resultater - Vestdanmark'!H$3:H$482,IF(D255=År2,'Resultater - Vestdanmark'!I$3:I$482,'Resultater - Vestdanmark'!J$3:J$482)),'Resultater - Vestdanmark'!$F$3:$F$482,$A255,IF(D255=År1,'Resultater - Vestdanmark'!H$3:H$482,IF(D255=År2,'Resultater - Vestdanmark'!I$3:I$482,'Resultater - Vestdanmark'!J$3:J$482)),"&gt;0"),SUMIFS(IF(D255=År1,'Resultater - Østdanmark'!H$3:H$482,IF(D255=År2,'Resultater - Østdanmark'!I$3:I$482,'Resultater - Østdanmark'!J$3:J$482)),'Resultater - Østdanmark'!$F$3:$F$482,$A255,IF(D255=År1,'Resultater - Østdanmark'!H$3:H$482,IF(D255=År2,'Resultater - Østdanmark'!I$3:I$482,'Resultater - Østdanmark'!J$3:J$482)),"&gt;0"))</f>
        <v>0</v>
      </c>
      <c r="G255" s="196">
        <f>SUMIFS('Forbrug af biomasse'!$E$2:$E$425,'Forbrug af biomasse'!$C$2:$C$425,'Resultat-Produktion &amp; forbrug'!$A255,'Forbrug af biomasse'!$D$2:$D$425,'Resultat-Produktion &amp; forbrug'!$D255,'Forbrug af biomasse'!$A$2:$A$425,'Resultat-Produktion &amp; forbrug'!G$2,'Forbrug af biomasse'!$B$2:$B$425,$E255)</f>
        <v>0</v>
      </c>
      <c r="H255" s="193">
        <f>IF(E255="Vestdanmark",-IF(A255="Halm",SUMIFS(IF(D255=År1,'Resultater - Vestdanmark'!H$3:H$482,IF(D255=År2,'Resultater - Vestdanmark'!I$3:I$482,'Resultater - Vestdanmark'!J$3:J$482)),'Resultater - Vestdanmark'!$F$3:$F$482,$A255,'Resultater - Vestdanmark'!H$3:H$482,"&lt;0"),0),-IF(A255="Halm",SUMIFS(IF(D255=År1,'Resultater - Østdanmark'!H$3:H$482,IF(D255=År2,'Resultater - Østdanmark'!I$3:I$482,'Resultater - Østdanmark'!J$3:J$482)),'Resultater - Østdanmark'!$F$3:$F$482,$A255,'Resultater - Østdanmark'!H$3:H$482,"&lt;0"),0))</f>
        <v>0</v>
      </c>
      <c r="I255" s="196">
        <f>SUMIFS('Forbrug af biomasse'!$E$2:$E$425,'Forbrug af biomasse'!$C$2:$C$425,'Resultat-Produktion &amp; forbrug'!$A255,'Forbrug af biomasse'!$D$2:$D$425,'Resultat-Produktion &amp; forbrug'!$D255,'Forbrug af biomasse'!$A$2:$A$425,'Resultat-Produktion &amp; forbrug'!I$2,'Forbrug af biomasse'!$B$2:$B$425,$E255)</f>
        <v>0</v>
      </c>
      <c r="J255" s="196">
        <f>SUMIFS('Forbrug af biomasse'!$E$2:$E$425,'Forbrug af biomasse'!$C$2:$C$425,'Resultat-Produktion &amp; forbrug'!$A255,'Forbrug af biomasse'!$D$2:$D$425,'Resultat-Produktion &amp; forbrug'!$D255,'Forbrug af biomasse'!$A$2:$A$425,'Resultat-Produktion &amp; forbrug'!J$2,'Forbrug af biomasse'!$B$2:$B$425,$E255)</f>
        <v>28548.400000000001</v>
      </c>
      <c r="K255" s="196">
        <f>SUMIFS('Forbrug af biomasse'!$E$2:$E$425,'Forbrug af biomasse'!$C$2:$C$425,'Resultat-Produktion &amp; forbrug'!$A255,'Forbrug af biomasse'!$D$2:$D$425,'Resultat-Produktion &amp; forbrug'!$D255,'Forbrug af biomasse'!$A$2:$A$425,'Resultat-Produktion &amp; forbrug'!K$2,'Forbrug af biomasse'!$B$2:$B$425,$E255)</f>
        <v>0</v>
      </c>
      <c r="L255" s="196">
        <f>IF(A255&lt;&gt;"Biogas",SUMIFS('Forbrug af biomasse'!$E$2:$E$425,'Forbrug af biomasse'!$C$2:$C$425,'Resultat-Produktion &amp; forbrug'!$A255,'Forbrug af biomasse'!$D$2:$D$425,'Resultat-Produktion &amp; forbrug'!$D255,'Forbrug af biomasse'!$A$2:$A$425,'Resultat-Produktion &amp; forbrug'!L$2,'Forbrug af biomasse'!$B$2:$B$425,$E255),F255)</f>
        <v>0</v>
      </c>
      <c r="M255" s="158">
        <f>SUMIFS('Forbrug af biomasse'!E:E,'Forbrug af biomasse'!C:C,'Resultat-Produktion &amp; forbrug'!$A255,'Forbrug af biomasse'!D:D,'Resultat-Produktion &amp; forbrug'!$D255,'Forbrug af biomasse'!G:G,1,'Forbrug af biomasse'!B:B,$E255)</f>
        <v>0</v>
      </c>
      <c r="N255" s="205">
        <f t="shared" si="62"/>
        <v>-28548.400000000001</v>
      </c>
      <c r="O255" s="196">
        <f t="shared" si="59"/>
        <v>0</v>
      </c>
      <c r="P255" s="206">
        <f t="shared" si="63"/>
        <v>28548.400000000001</v>
      </c>
      <c r="Q255" s="193">
        <f>IFERROR(VLOOKUP(A255,[1]Energiindhold!$A$2:$C$11,3,FALSE),IFERROR(VLOOKUP(A255,[1]Biogasudbytte!$A$2:$B$18,2,FALSE)*[1]Energiindhold!$C$10,0))*O255</f>
        <v>0</v>
      </c>
      <c r="R255" s="193">
        <f>IF(A255&lt;&gt;"Biogas",IFERROR(VLOOKUP(A255,[1]Biogasudbytte!$A$2:$B$18,2,FALSE)*[1]Energiindhold!$C$10,0)*J255*IFERROR(VLOOKUP(A255,Biogasanlæg!$F$3:$G$8,2,FALSE),1)+IFERROR(VLOOKUP(A255,[1]Energiindhold!$A$2:$C$11,3,FALSE),0)*L255+IF(D255&lt;&gt;År1,Q255,0),0)</f>
        <v>0.43389639740160008</v>
      </c>
      <c r="S255" s="193">
        <f>IFERROR(VLOOKUP(A255,[1]Biogasudbytte!$A$2:$B$18,2,FALSE)*[1]Energiindhold!$C$10,0)*J255*IFERROR(VLOOKUP(A255,Biogasanlæg!$F$3:$G$8,2,FALSE),1)</f>
        <v>0.43389639740160008</v>
      </c>
      <c r="T255" s="194">
        <f t="shared" si="64"/>
        <v>0</v>
      </c>
      <c r="U255" s="192">
        <f>O255*IFERROR(VLOOKUP(A255,[1]Tørstofindhold!A$2:B$25,2,FALSE),0)</f>
        <v>0</v>
      </c>
      <c r="V255" s="193">
        <f>IF(D255=År1,P255,SUM(O255,P255))*IFERROR(VLOOKUP(A255,[1]Tørstofindhold!A$2:B$25,2,FALSE),0)</f>
        <v>25693.56</v>
      </c>
      <c r="W255" s="193">
        <f>J255*IFERROR(VLOOKUP(A255,[1]Tørstofindhold!A$2:B$25,2,FALSE),0)</f>
        <v>25693.56</v>
      </c>
      <c r="X255" s="194">
        <f t="shared" si="65"/>
        <v>0</v>
      </c>
      <c r="Y255" s="172">
        <f t="shared" si="60"/>
        <v>1</v>
      </c>
      <c r="Z255" s="104">
        <f t="shared" si="61"/>
        <v>0</v>
      </c>
    </row>
    <row r="256" spans="1:26" hidden="1" x14ac:dyDescent="0.55000000000000004">
      <c r="A256" s="195" t="str">
        <f t="shared" si="72"/>
        <v>Græs</v>
      </c>
      <c r="B256" s="195" t="str">
        <f t="shared" si="73"/>
        <v>Græs og urter</v>
      </c>
      <c r="C256" s="195">
        <f>IF(COUNTIFS('Resultater - Danmark'!$D$3:$D$482,'Resultat-Produktion &amp; forbrug'!A256,'Resultater - Danmark'!$A$3:$A$482,"Til energi")+COUNTIFS('Resultater - Danmark'!$D$3:$D$482,'Resultat-Produktion &amp; forbrug'!A256,'Resultater - Danmark'!$A$3:$A$482,"Biogasanlæg")&gt;0,1,0)</f>
        <v>1</v>
      </c>
      <c r="D256" s="195">
        <f t="shared" si="74"/>
        <v>2050</v>
      </c>
      <c r="E256" s="193" t="s">
        <v>24</v>
      </c>
      <c r="F256" s="196">
        <f>IF(E256="Vestdanmark",SUMIFS(IF(D256=År1,'Resultater - Vestdanmark'!H$3:H$482,IF(D256=År2,'Resultater - Vestdanmark'!I$3:I$482,'Resultater - Vestdanmark'!J$3:J$482)),'Resultater - Vestdanmark'!$F$3:$F$482,$A256,IF(D256=År1,'Resultater - Vestdanmark'!H$3:H$482,IF(D256=År2,'Resultater - Vestdanmark'!I$3:I$482,'Resultater - Vestdanmark'!J$3:J$482)),"&gt;0"),SUMIFS(IF(D256=År1,'Resultater - Østdanmark'!H$3:H$482,IF(D256=År2,'Resultater - Østdanmark'!I$3:I$482,'Resultater - Østdanmark'!J$3:J$482)),'Resultater - Østdanmark'!$F$3:$F$482,$A256,IF(D256=År1,'Resultater - Østdanmark'!H$3:H$482,IF(D256=År2,'Resultater - Østdanmark'!I$3:I$482,'Resultater - Østdanmark'!J$3:J$482)),"&gt;0"))</f>
        <v>2163650.2851152783</v>
      </c>
      <c r="G256" s="196">
        <f>SUMIFS('Forbrug af biomasse'!$E$2:$E$425,'Forbrug af biomasse'!$C$2:$C$425,'Resultat-Produktion &amp; forbrug'!$A256,'Forbrug af biomasse'!$D$2:$D$425,'Resultat-Produktion &amp; forbrug'!$D256,'Forbrug af biomasse'!$A$2:$A$425,'Resultat-Produktion &amp; forbrug'!G$2,'Forbrug af biomasse'!$B$2:$B$425,$E256)</f>
        <v>1502068.0760117143</v>
      </c>
      <c r="H256" s="193">
        <f>IF(E256="Vestdanmark",-IF(A256="Halm",SUMIFS(IF(D256=År1,'Resultater - Vestdanmark'!H$3:H$482,IF(D256=År2,'Resultater - Vestdanmark'!I$3:I$482,'Resultater - Vestdanmark'!J$3:J$482)),'Resultater - Vestdanmark'!$F$3:$F$482,$A256,'Resultater - Vestdanmark'!H$3:H$482,"&lt;0"),0),-IF(A256="Halm",SUMIFS(IF(D256=År1,'Resultater - Østdanmark'!H$3:H$482,IF(D256=År2,'Resultater - Østdanmark'!I$3:I$482,'Resultater - Østdanmark'!J$3:J$482)),'Resultater - Østdanmark'!$F$3:$F$482,$A256,'Resultater - Østdanmark'!H$3:H$482,"&lt;0"),0))</f>
        <v>0</v>
      </c>
      <c r="I256" s="196">
        <f>SUMIFS('Forbrug af biomasse'!$E$2:$E$425,'Forbrug af biomasse'!$C$2:$C$425,'Resultat-Produktion &amp; forbrug'!$A256,'Forbrug af biomasse'!$D$2:$D$425,'Resultat-Produktion &amp; forbrug'!$D256,'Forbrug af biomasse'!$A$2:$A$425,'Resultat-Produktion &amp; forbrug'!I$2,'Forbrug af biomasse'!$B$2:$B$425,$E256)</f>
        <v>0</v>
      </c>
      <c r="J256" s="196">
        <f>SUMIFS('Forbrug af biomasse'!$E$2:$E$425,'Forbrug af biomasse'!$C$2:$C$425,'Resultat-Produktion &amp; forbrug'!$A256,'Forbrug af biomasse'!$D$2:$D$425,'Resultat-Produktion &amp; forbrug'!$D256,'Forbrug af biomasse'!$A$2:$A$425,'Resultat-Produktion &amp; forbrug'!J$2,'Forbrug af biomasse'!$B$2:$B$425,$E256)</f>
        <v>10149.946321457959</v>
      </c>
      <c r="K256" s="196">
        <f>SUMIFS('Forbrug af biomasse'!$E$2:$E$425,'Forbrug af biomasse'!$C$2:$C$425,'Resultat-Produktion &amp; forbrug'!$A256,'Forbrug af biomasse'!$D$2:$D$425,'Resultat-Produktion &amp; forbrug'!$D256,'Forbrug af biomasse'!$A$2:$A$425,'Resultat-Produktion &amp; forbrug'!K$2,'Forbrug af biomasse'!$B$2:$B$425,$E256)</f>
        <v>0</v>
      </c>
      <c r="L256" s="196">
        <f>IF(A256&lt;&gt;"Biogas",SUMIFS('Forbrug af biomasse'!$E$2:$E$425,'Forbrug af biomasse'!$C$2:$C$425,'Resultat-Produktion &amp; forbrug'!$A256,'Forbrug af biomasse'!$D$2:$D$425,'Resultat-Produktion &amp; forbrug'!$D256,'Forbrug af biomasse'!$A$2:$A$425,'Resultat-Produktion &amp; forbrug'!L$2,'Forbrug af biomasse'!$B$2:$B$425,$E256),F256)</f>
        <v>0</v>
      </c>
      <c r="M256" s="158">
        <f>SUMIFS('Forbrug af biomasse'!E:E,'Forbrug af biomasse'!C:C,'Resultat-Produktion &amp; forbrug'!$A256,'Forbrug af biomasse'!D:D,'Resultat-Produktion &amp; forbrug'!$D256,'Forbrug af biomasse'!G:G,1,'Forbrug af biomasse'!B:B,$E256)</f>
        <v>0</v>
      </c>
      <c r="N256" s="205">
        <f t="shared" si="62"/>
        <v>651432.26278210618</v>
      </c>
      <c r="O256" s="196">
        <f t="shared" si="59"/>
        <v>651432.26278210618</v>
      </c>
      <c r="P256" s="206">
        <f t="shared" si="63"/>
        <v>10149.946321457959</v>
      </c>
      <c r="Q256" s="193">
        <f>IFERROR(VLOOKUP(A256,[1]Energiindhold!$A$2:$C$11,3,FALSE),IFERROR(VLOOKUP(A256,[1]Biogasudbytte!$A$2:$B$18,2,FALSE)*[1]Energiindhold!$C$10,0))*O256</f>
        <v>1.1985539344862277</v>
      </c>
      <c r="R256" s="193">
        <f>IF(A256&lt;&gt;"Biogas",IFERROR(VLOOKUP(A256,[1]Biogasudbytte!$A$2:$B$18,2,FALSE)*[1]Energiindhold!$C$10,0)*J256*IFERROR(VLOOKUP(A256,Biogasanlæg!$F$3:$G$8,2,FALSE),1)+IFERROR(VLOOKUP(A256,[1]Energiindhold!$A$2:$C$11,3,FALSE),0)*L256+IF(D256&lt;&gt;År1,Q256,0),0)</f>
        <v>1.2172285669744203</v>
      </c>
      <c r="S256" s="193">
        <f>IFERROR(VLOOKUP(A256,[1]Biogasudbytte!$A$2:$B$18,2,FALSE)*[1]Energiindhold!$C$10,0)*J256*IFERROR(VLOOKUP(A256,Biogasanlæg!$F$3:$G$8,2,FALSE),1)</f>
        <v>1.8674632488192462E-2</v>
      </c>
      <c r="T256" s="194">
        <f t="shared" si="64"/>
        <v>1.1985539344862277</v>
      </c>
      <c r="U256" s="192">
        <f>O256*IFERROR(VLOOKUP(A256,[1]Tørstofindhold!A$2:B$25,2,FALSE),0)</f>
        <v>182401.03357898974</v>
      </c>
      <c r="V256" s="193">
        <f>IF(D256=År1,P256,SUM(O256,P256))*IFERROR(VLOOKUP(A256,[1]Tørstofindhold!A$2:B$25,2,FALSE),0)</f>
        <v>185243.01854899799</v>
      </c>
      <c r="W256" s="193">
        <f>J256*IFERROR(VLOOKUP(A256,[1]Tørstofindhold!A$2:B$25,2,FALSE),0)</f>
        <v>2841.9849700082286</v>
      </c>
      <c r="X256" s="194">
        <f t="shared" si="65"/>
        <v>182401.03357898977</v>
      </c>
      <c r="Y256" s="172">
        <f t="shared" si="60"/>
        <v>0</v>
      </c>
      <c r="Z256" s="104">
        <f t="shared" si="61"/>
        <v>1</v>
      </c>
    </row>
    <row r="257" spans="1:26" hidden="1" x14ac:dyDescent="0.55000000000000004">
      <c r="A257" s="195" t="str">
        <f t="shared" si="72"/>
        <v>Græsprotein</v>
      </c>
      <c r="B257" s="195" t="str">
        <f t="shared" si="73"/>
        <v/>
      </c>
      <c r="C257" s="195">
        <f>IF(COUNTIFS('Resultater - Danmark'!$D$3:$D$482,'Resultat-Produktion &amp; forbrug'!A257,'Resultater - Danmark'!$A$3:$A$482,"Til energi")+COUNTIFS('Resultater - Danmark'!$D$3:$D$482,'Resultat-Produktion &amp; forbrug'!A257,'Resultater - Danmark'!$A$3:$A$482,"Biogasanlæg")&gt;0,1,0)</f>
        <v>0</v>
      </c>
      <c r="D257" s="195">
        <f t="shared" si="74"/>
        <v>2050</v>
      </c>
      <c r="E257" s="193" t="s">
        <v>24</v>
      </c>
      <c r="F257" s="196">
        <f>IF(E257="Vestdanmark",SUMIFS(IF(D257=År1,'Resultater - Vestdanmark'!H$3:H$482,IF(D257=År2,'Resultater - Vestdanmark'!I$3:I$482,'Resultater - Vestdanmark'!J$3:J$482)),'Resultater - Vestdanmark'!$F$3:$F$482,$A257,IF(D257=År1,'Resultater - Vestdanmark'!H$3:H$482,IF(D257=År2,'Resultater - Vestdanmark'!I$3:I$482,'Resultater - Vestdanmark'!J$3:J$482)),"&gt;0"),SUMIFS(IF(D257=År1,'Resultater - Østdanmark'!H$3:H$482,IF(D257=År2,'Resultater - Østdanmark'!I$3:I$482,'Resultater - Østdanmark'!J$3:J$482)),'Resultater - Østdanmark'!$F$3:$F$482,$A257,IF(D257=År1,'Resultater - Østdanmark'!H$3:H$482,IF(D257=År2,'Resultater - Østdanmark'!I$3:I$482,'Resultater - Østdanmark'!J$3:J$482)),"&gt;0"))</f>
        <v>0</v>
      </c>
      <c r="G257" s="196">
        <f>SUMIFS('Forbrug af biomasse'!$E$2:$E$425,'Forbrug af biomasse'!$C$2:$C$425,'Resultat-Produktion &amp; forbrug'!$A257,'Forbrug af biomasse'!$D$2:$D$425,'Resultat-Produktion &amp; forbrug'!$D257,'Forbrug af biomasse'!$A$2:$A$425,'Resultat-Produktion &amp; forbrug'!G$2,'Forbrug af biomasse'!$B$2:$B$425,$E257)</f>
        <v>0</v>
      </c>
      <c r="H257" s="193">
        <f>IF(E257="Vestdanmark",-IF(A257="Halm",SUMIFS(IF(D257=År1,'Resultater - Vestdanmark'!H$3:H$482,IF(D257=År2,'Resultater - Vestdanmark'!I$3:I$482,'Resultater - Vestdanmark'!J$3:J$482)),'Resultater - Vestdanmark'!$F$3:$F$482,$A257,'Resultater - Vestdanmark'!H$3:H$482,"&lt;0"),0),-IF(A257="Halm",SUMIFS(IF(D257=År1,'Resultater - Østdanmark'!H$3:H$482,IF(D257=År2,'Resultater - Østdanmark'!I$3:I$482,'Resultater - Østdanmark'!J$3:J$482)),'Resultater - Østdanmark'!$F$3:$F$482,$A257,'Resultater - Østdanmark'!H$3:H$482,"&lt;0"),0))</f>
        <v>0</v>
      </c>
      <c r="I257" s="196">
        <f>SUMIFS('Forbrug af biomasse'!$E$2:$E$425,'Forbrug af biomasse'!$C$2:$C$425,'Resultat-Produktion &amp; forbrug'!$A257,'Forbrug af biomasse'!$D$2:$D$425,'Resultat-Produktion &amp; forbrug'!$D257,'Forbrug af biomasse'!$A$2:$A$425,'Resultat-Produktion &amp; forbrug'!I$2,'Forbrug af biomasse'!$B$2:$B$425,$E257)</f>
        <v>0</v>
      </c>
      <c r="J257" s="196">
        <f>SUMIFS('Forbrug af biomasse'!$E$2:$E$425,'Forbrug af biomasse'!$C$2:$C$425,'Resultat-Produktion &amp; forbrug'!$A257,'Forbrug af biomasse'!$D$2:$D$425,'Resultat-Produktion &amp; forbrug'!$D257,'Forbrug af biomasse'!$A$2:$A$425,'Resultat-Produktion &amp; forbrug'!J$2,'Forbrug af biomasse'!$B$2:$B$425,$E257)</f>
        <v>0</v>
      </c>
      <c r="K257" s="196">
        <f>SUMIFS('Forbrug af biomasse'!$E$2:$E$425,'Forbrug af biomasse'!$C$2:$C$425,'Resultat-Produktion &amp; forbrug'!$A257,'Forbrug af biomasse'!$D$2:$D$425,'Resultat-Produktion &amp; forbrug'!$D257,'Forbrug af biomasse'!$A$2:$A$425,'Resultat-Produktion &amp; forbrug'!K$2,'Forbrug af biomasse'!$B$2:$B$425,$E257)</f>
        <v>0</v>
      </c>
      <c r="L257" s="196">
        <f>IF(A257&lt;&gt;"Biogas",SUMIFS('Forbrug af biomasse'!$E$2:$E$425,'Forbrug af biomasse'!$C$2:$C$425,'Resultat-Produktion &amp; forbrug'!$A257,'Forbrug af biomasse'!$D$2:$D$425,'Resultat-Produktion &amp; forbrug'!$D257,'Forbrug af biomasse'!$A$2:$A$425,'Resultat-Produktion &amp; forbrug'!L$2,'Forbrug af biomasse'!$B$2:$B$425,$E257),F257)</f>
        <v>0</v>
      </c>
      <c r="M257" s="158">
        <f>SUMIFS('Forbrug af biomasse'!E:E,'Forbrug af biomasse'!C:C,'Resultat-Produktion &amp; forbrug'!$A257,'Forbrug af biomasse'!D:D,'Resultat-Produktion &amp; forbrug'!$D257,'Forbrug af biomasse'!G:G,1,'Forbrug af biomasse'!B:B,$E257)</f>
        <v>0</v>
      </c>
      <c r="N257" s="205">
        <f t="shared" si="62"/>
        <v>0</v>
      </c>
      <c r="O257" s="196">
        <f t="shared" si="59"/>
        <v>0</v>
      </c>
      <c r="P257" s="206">
        <f t="shared" si="63"/>
        <v>0</v>
      </c>
      <c r="Q257" s="193">
        <f>IFERROR(VLOOKUP(A257,[1]Energiindhold!$A$2:$C$11,3,FALSE),IFERROR(VLOOKUP(A257,[1]Biogasudbytte!$A$2:$B$18,2,FALSE)*[1]Energiindhold!$C$10,0))*O257</f>
        <v>0</v>
      </c>
      <c r="R257" s="193">
        <f>IF(A257&lt;&gt;"Biogas",IFERROR(VLOOKUP(A257,[1]Biogasudbytte!$A$2:$B$18,2,FALSE)*[1]Energiindhold!$C$10,0)*J257*IFERROR(VLOOKUP(A257,Biogasanlæg!$F$3:$G$8,2,FALSE),1)+IFERROR(VLOOKUP(A257,[1]Energiindhold!$A$2:$C$11,3,FALSE),0)*L257+IF(D257&lt;&gt;År1,Q257,0),0)</f>
        <v>0</v>
      </c>
      <c r="S257" s="193">
        <f>IFERROR(VLOOKUP(A257,[1]Biogasudbytte!$A$2:$B$18,2,FALSE)*[1]Energiindhold!$C$10,0)*J257*IFERROR(VLOOKUP(A257,Biogasanlæg!$F$3:$G$8,2,FALSE),1)</f>
        <v>0</v>
      </c>
      <c r="T257" s="194">
        <f t="shared" si="64"/>
        <v>0</v>
      </c>
      <c r="U257" s="192">
        <f>O257*IFERROR(VLOOKUP(A257,[1]Tørstofindhold!A$2:B$25,2,FALSE),0)</f>
        <v>0</v>
      </c>
      <c r="V257" s="193">
        <f>IF(D257=År1,P257,SUM(O257,P257))*IFERROR(VLOOKUP(A257,[1]Tørstofindhold!A$2:B$25,2,FALSE),0)</f>
        <v>0</v>
      </c>
      <c r="W257" s="193">
        <f>J257*IFERROR(VLOOKUP(A257,[1]Tørstofindhold!A$2:B$25,2,FALSE),0)</f>
        <v>0</v>
      </c>
      <c r="X257" s="194">
        <f t="shared" si="65"/>
        <v>0</v>
      </c>
      <c r="Y257" s="172">
        <f t="shared" si="60"/>
        <v>0</v>
      </c>
      <c r="Z257" s="104">
        <f t="shared" si="61"/>
        <v>0</v>
      </c>
    </row>
    <row r="258" spans="1:26" hidden="1" x14ac:dyDescent="0.55000000000000004">
      <c r="A258" s="195" t="str">
        <f t="shared" si="72"/>
        <v>Grøntsager</v>
      </c>
      <c r="B258" s="195" t="str">
        <f t="shared" si="73"/>
        <v/>
      </c>
      <c r="C258" s="195">
        <f>IF(COUNTIFS('Resultater - Danmark'!$D$3:$D$482,'Resultat-Produktion &amp; forbrug'!A258,'Resultater - Danmark'!$A$3:$A$482,"Til energi")+COUNTIFS('Resultater - Danmark'!$D$3:$D$482,'Resultat-Produktion &amp; forbrug'!A258,'Resultater - Danmark'!$A$3:$A$482,"Biogasanlæg")&gt;0,1,0)</f>
        <v>0</v>
      </c>
      <c r="D258" s="195">
        <f t="shared" si="74"/>
        <v>2050</v>
      </c>
      <c r="E258" s="193" t="s">
        <v>24</v>
      </c>
      <c r="F258" s="196">
        <f>IF(E258="Vestdanmark",SUMIFS(IF(D258=År1,'Resultater - Vestdanmark'!H$3:H$482,IF(D258=År2,'Resultater - Vestdanmark'!I$3:I$482,'Resultater - Vestdanmark'!J$3:J$482)),'Resultater - Vestdanmark'!$F$3:$F$482,$A258,IF(D258=År1,'Resultater - Vestdanmark'!H$3:H$482,IF(D258=År2,'Resultater - Vestdanmark'!I$3:I$482,'Resultater - Vestdanmark'!J$3:J$482)),"&gt;0"),SUMIFS(IF(D258=År1,'Resultater - Østdanmark'!H$3:H$482,IF(D258=År2,'Resultater - Østdanmark'!I$3:I$482,'Resultater - Østdanmark'!J$3:J$482)),'Resultater - Østdanmark'!$F$3:$F$482,$A258,IF(D258=År1,'Resultater - Østdanmark'!H$3:H$482,IF(D258=År2,'Resultater - Østdanmark'!I$3:I$482,'Resultater - Østdanmark'!J$3:J$482)),"&gt;0"))</f>
        <v>98333.203509519633</v>
      </c>
      <c r="G258" s="196">
        <f>SUMIFS('Forbrug af biomasse'!$E$2:$E$425,'Forbrug af biomasse'!$C$2:$C$425,'Resultat-Produktion &amp; forbrug'!$A258,'Forbrug af biomasse'!$D$2:$D$425,'Resultat-Produktion &amp; forbrug'!$D258,'Forbrug af biomasse'!$A$2:$A$425,'Resultat-Produktion &amp; forbrug'!G$2,'Forbrug af biomasse'!$B$2:$B$425,$E258)</f>
        <v>0</v>
      </c>
      <c r="H258" s="193">
        <f>IF(E258="Vestdanmark",-IF(A258="Halm",SUMIFS(IF(D258=År1,'Resultater - Vestdanmark'!H$3:H$482,IF(D258=År2,'Resultater - Vestdanmark'!I$3:I$482,'Resultater - Vestdanmark'!J$3:J$482)),'Resultater - Vestdanmark'!$F$3:$F$482,$A258,'Resultater - Vestdanmark'!H$3:H$482,"&lt;0"),0),-IF(A258="Halm",SUMIFS(IF(D258=År1,'Resultater - Østdanmark'!H$3:H$482,IF(D258=År2,'Resultater - Østdanmark'!I$3:I$482,'Resultater - Østdanmark'!J$3:J$482)),'Resultater - Østdanmark'!$F$3:$F$482,$A258,'Resultater - Østdanmark'!H$3:H$482,"&lt;0"),0))</f>
        <v>0</v>
      </c>
      <c r="I258" s="196">
        <f>SUMIFS('Forbrug af biomasse'!$E$2:$E$425,'Forbrug af biomasse'!$C$2:$C$425,'Resultat-Produktion &amp; forbrug'!$A258,'Forbrug af biomasse'!$D$2:$D$425,'Resultat-Produktion &amp; forbrug'!$D258,'Forbrug af biomasse'!$A$2:$A$425,'Resultat-Produktion &amp; forbrug'!I$2,'Forbrug af biomasse'!$B$2:$B$425,$E258)</f>
        <v>244869.51675001203</v>
      </c>
      <c r="J258" s="196">
        <f>SUMIFS('Forbrug af biomasse'!$E$2:$E$425,'Forbrug af biomasse'!$C$2:$C$425,'Resultat-Produktion &amp; forbrug'!$A258,'Forbrug af biomasse'!$D$2:$D$425,'Resultat-Produktion &amp; forbrug'!$D258,'Forbrug af biomasse'!$A$2:$A$425,'Resultat-Produktion &amp; forbrug'!J$2,'Forbrug af biomasse'!$B$2:$B$425,$E258)</f>
        <v>0</v>
      </c>
      <c r="K258" s="196">
        <f>SUMIFS('Forbrug af biomasse'!$E$2:$E$425,'Forbrug af biomasse'!$C$2:$C$425,'Resultat-Produktion &amp; forbrug'!$A258,'Forbrug af biomasse'!$D$2:$D$425,'Resultat-Produktion &amp; forbrug'!$D258,'Forbrug af biomasse'!$A$2:$A$425,'Resultat-Produktion &amp; forbrug'!K$2,'Forbrug af biomasse'!$B$2:$B$425,$E258)</f>
        <v>0</v>
      </c>
      <c r="L258" s="196">
        <f>IF(A258&lt;&gt;"Biogas",SUMIFS('Forbrug af biomasse'!$E$2:$E$425,'Forbrug af biomasse'!$C$2:$C$425,'Resultat-Produktion &amp; forbrug'!$A258,'Forbrug af biomasse'!$D$2:$D$425,'Resultat-Produktion &amp; forbrug'!$D258,'Forbrug af biomasse'!$A$2:$A$425,'Resultat-Produktion &amp; forbrug'!L$2,'Forbrug af biomasse'!$B$2:$B$425,$E258),F258)</f>
        <v>0</v>
      </c>
      <c r="M258" s="158">
        <f>SUMIFS('Forbrug af biomasse'!E:E,'Forbrug af biomasse'!C:C,'Resultat-Produktion &amp; forbrug'!$A258,'Forbrug af biomasse'!D:D,'Resultat-Produktion &amp; forbrug'!$D258,'Forbrug af biomasse'!G:G,1,'Forbrug af biomasse'!B:B,$E258)</f>
        <v>0</v>
      </c>
      <c r="N258" s="205">
        <f t="shared" si="62"/>
        <v>-146536.3132404924</v>
      </c>
      <c r="O258" s="196">
        <f t="shared" si="59"/>
        <v>0</v>
      </c>
      <c r="P258" s="206">
        <f t="shared" si="63"/>
        <v>0</v>
      </c>
      <c r="Q258" s="193">
        <f>IFERROR(VLOOKUP(A258,[1]Energiindhold!$A$2:$C$11,3,FALSE),IFERROR(VLOOKUP(A258,[1]Biogasudbytte!$A$2:$B$18,2,FALSE)*[1]Energiindhold!$C$10,0))*O258</f>
        <v>0</v>
      </c>
      <c r="R258" s="193">
        <f>IF(A258&lt;&gt;"Biogas",IFERROR(VLOOKUP(A258,[1]Biogasudbytte!$A$2:$B$18,2,FALSE)*[1]Energiindhold!$C$10,0)*J258*IFERROR(VLOOKUP(A258,Biogasanlæg!$F$3:$G$8,2,FALSE),1)+IFERROR(VLOOKUP(A258,[1]Energiindhold!$A$2:$C$11,3,FALSE),0)*L258+IF(D258&lt;&gt;År1,Q258,0),0)</f>
        <v>0</v>
      </c>
      <c r="S258" s="193">
        <f>IFERROR(VLOOKUP(A258,[1]Biogasudbytte!$A$2:$B$18,2,FALSE)*[1]Energiindhold!$C$10,0)*J258*IFERROR(VLOOKUP(A258,Biogasanlæg!$F$3:$G$8,2,FALSE),1)</f>
        <v>0</v>
      </c>
      <c r="T258" s="194">
        <f t="shared" si="64"/>
        <v>0</v>
      </c>
      <c r="U258" s="192">
        <f>O258*IFERROR(VLOOKUP(A258,[1]Tørstofindhold!A$2:B$25,2,FALSE),0)</f>
        <v>0</v>
      </c>
      <c r="V258" s="193">
        <f>IF(D258=År1,P258,SUM(O258,P258))*IFERROR(VLOOKUP(A258,[1]Tørstofindhold!A$2:B$25,2,FALSE),0)</f>
        <v>0</v>
      </c>
      <c r="W258" s="193">
        <f>J258*IFERROR(VLOOKUP(A258,[1]Tørstofindhold!A$2:B$25,2,FALSE),0)</f>
        <v>0</v>
      </c>
      <c r="X258" s="194">
        <f t="shared" si="65"/>
        <v>0</v>
      </c>
      <c r="Y258" s="172">
        <f t="shared" si="60"/>
        <v>1</v>
      </c>
      <c r="Z258" s="104">
        <f t="shared" si="61"/>
        <v>0</v>
      </c>
    </row>
    <row r="259" spans="1:26" hidden="1" x14ac:dyDescent="0.55000000000000004">
      <c r="A259" s="195" t="str">
        <f t="shared" si="72"/>
        <v>Halm</v>
      </c>
      <c r="B259" s="195" t="str">
        <f t="shared" si="73"/>
        <v>Halm og strå</v>
      </c>
      <c r="C259" s="195">
        <f>IF(COUNTIFS('Resultater - Danmark'!$D$3:$D$482,'Resultat-Produktion &amp; forbrug'!A259,'Resultater - Danmark'!$A$3:$A$482,"Til energi")+COUNTIFS('Resultater - Danmark'!$D$3:$D$482,'Resultat-Produktion &amp; forbrug'!A259,'Resultater - Danmark'!$A$3:$A$482,"Biogasanlæg")&gt;0,1,0)</f>
        <v>1</v>
      </c>
      <c r="D259" s="195">
        <f t="shared" si="74"/>
        <v>2050</v>
      </c>
      <c r="E259" s="193" t="s">
        <v>24</v>
      </c>
      <c r="F259" s="196">
        <f>IF(E259="Vestdanmark",SUMIFS(IF(D259=År1,'Resultater - Vestdanmark'!H$3:H$482,IF(D259=År2,'Resultater - Vestdanmark'!I$3:I$482,'Resultater - Vestdanmark'!J$3:J$482)),'Resultater - Vestdanmark'!$F$3:$F$482,$A259,IF(D259=År1,'Resultater - Vestdanmark'!H$3:H$482,IF(D259=År2,'Resultater - Vestdanmark'!I$3:I$482,'Resultater - Vestdanmark'!J$3:J$482)),"&gt;0"),SUMIFS(IF(D259=År1,'Resultater - Østdanmark'!H$3:H$482,IF(D259=År2,'Resultater - Østdanmark'!I$3:I$482,'Resultater - Østdanmark'!J$3:J$482)),'Resultater - Østdanmark'!$F$3:$F$482,$A259,IF(D259=År1,'Resultater - Østdanmark'!H$3:H$482,IF(D259=År2,'Resultater - Østdanmark'!I$3:I$482,'Resultater - Østdanmark'!J$3:J$482)),"&gt;0"))</f>
        <v>917722.26759868616</v>
      </c>
      <c r="G259" s="196">
        <f>SUMIFS('Forbrug af biomasse'!$E$2:$E$425,'Forbrug af biomasse'!$C$2:$C$425,'Resultat-Produktion &amp; forbrug'!$A259,'Forbrug af biomasse'!$D$2:$D$425,'Resultat-Produktion &amp; forbrug'!$D259,'Forbrug af biomasse'!$A$2:$A$425,'Resultat-Produktion &amp; forbrug'!G$2,'Forbrug af biomasse'!$B$2:$B$425,$E259)</f>
        <v>94889.448034412548</v>
      </c>
      <c r="H259" s="193">
        <f>IF(E259="Vestdanmark",-IF(A259="Halm",SUMIFS(IF(D259=År1,'Resultater - Vestdanmark'!H$3:H$482,IF(D259=År2,'Resultater - Vestdanmark'!I$3:I$482,'Resultater - Vestdanmark'!J$3:J$482)),'Resultater - Vestdanmark'!$F$3:$F$482,$A259,'Resultater - Vestdanmark'!H$3:H$482,"&lt;0"),0),-IF(A259="Halm",SUMIFS(IF(D259=År1,'Resultater - Østdanmark'!H$3:H$482,IF(D259=År2,'Resultater - Østdanmark'!I$3:I$482,'Resultater - Østdanmark'!J$3:J$482)),'Resultater - Østdanmark'!$F$3:$F$482,$A259,'Resultater - Østdanmark'!H$3:H$482,"&lt;0"),0))</f>
        <v>103062.42440743271</v>
      </c>
      <c r="I259" s="196">
        <f>SUMIFS('Forbrug af biomasse'!$E$2:$E$425,'Forbrug af biomasse'!$C$2:$C$425,'Resultat-Produktion &amp; forbrug'!$A259,'Forbrug af biomasse'!$D$2:$D$425,'Resultat-Produktion &amp; forbrug'!$D259,'Forbrug af biomasse'!$A$2:$A$425,'Resultat-Produktion &amp; forbrug'!I$2,'Forbrug af biomasse'!$B$2:$B$425,$E259)</f>
        <v>0</v>
      </c>
      <c r="J259" s="196">
        <f>SUMIFS('Forbrug af biomasse'!$E$2:$E$425,'Forbrug af biomasse'!$C$2:$C$425,'Resultat-Produktion &amp; forbrug'!$A259,'Forbrug af biomasse'!$D$2:$D$425,'Resultat-Produktion &amp; forbrug'!$D259,'Forbrug af biomasse'!$A$2:$A$425,'Resultat-Produktion &amp; forbrug'!J$2,'Forbrug af biomasse'!$B$2:$B$425,$E259)</f>
        <v>23390.092564080911</v>
      </c>
      <c r="K259" s="196">
        <f>SUMIFS('Forbrug af biomasse'!$E$2:$E$425,'Forbrug af biomasse'!$C$2:$C$425,'Resultat-Produktion &amp; forbrug'!$A259,'Forbrug af biomasse'!$D$2:$D$425,'Resultat-Produktion &amp; forbrug'!$D259,'Forbrug af biomasse'!$A$2:$A$425,'Resultat-Produktion &amp; forbrug'!K$2,'Forbrug af biomasse'!$B$2:$B$425,$E259)</f>
        <v>0</v>
      </c>
      <c r="L259" s="196">
        <f>IF(A259&lt;&gt;"Biogas",SUMIFS('Forbrug af biomasse'!$E$2:$E$425,'Forbrug af biomasse'!$C$2:$C$425,'Resultat-Produktion &amp; forbrug'!$A259,'Forbrug af biomasse'!$D$2:$D$425,'Resultat-Produktion &amp; forbrug'!$D259,'Forbrug af biomasse'!$A$2:$A$425,'Resultat-Produktion &amp; forbrug'!L$2,'Forbrug af biomasse'!$B$2:$B$425,$E259),F259)</f>
        <v>696380.30259275995</v>
      </c>
      <c r="M259" s="158">
        <f>SUMIFS('Forbrug af biomasse'!E:E,'Forbrug af biomasse'!C:C,'Resultat-Produktion &amp; forbrug'!$A259,'Forbrug af biomasse'!D:D,'Resultat-Produktion &amp; forbrug'!$D259,'Forbrug af biomasse'!G:G,1,'Forbrug af biomasse'!B:B,$E259)</f>
        <v>0</v>
      </c>
      <c r="N259" s="205">
        <f t="shared" si="62"/>
        <v>0</v>
      </c>
      <c r="O259" s="196">
        <f t="shared" ref="O259:O274" si="75">IF(C259=1,IF(N259+IF(SUMIFS($N$3:$N$290,$A$3:$A$290,A259,$D$3:$D$290,D259,$E$3:$E$290,"&lt;&gt;"&amp;E259)&lt;0,SUMIFS($N$3:$N$290,$A$3:$A$290,A259,$D$3:$D$290,D259,$E$3:$E$290,"&lt;&gt;"&amp;E259),0)&gt;0,N259+IF(SUMIFS($N$3:$N$290,$A$3:$A$290,A259,$D$3:$D$290,D259,$E$3:$E$290,"&lt;&gt;"&amp;E259)&lt;0,SUMIFS($N$3:$N$290,$A$3:$A$290,A259,$D$3:$D$290,D259,$E$3:$E$290,"&lt;&gt;"&amp;E259),0),0),0)</f>
        <v>0</v>
      </c>
      <c r="P259" s="206">
        <f t="shared" si="63"/>
        <v>719770.39515684091</v>
      </c>
      <c r="Q259" s="193">
        <f>IFERROR(VLOOKUP(A259,[1]Energiindhold!$A$2:$C$11,3,FALSE),IFERROR(VLOOKUP(A259,[1]Biogasudbytte!$A$2:$B$18,2,FALSE)*[1]Energiindhold!$C$10,0))*O259</f>
        <v>0</v>
      </c>
      <c r="R259" s="193">
        <f>IF(A259&lt;&gt;"Biogas",IFERROR(VLOOKUP(A259,[1]Biogasudbytte!$A$2:$B$18,2,FALSE)*[1]Energiindhold!$C$10,0)*J259*IFERROR(VLOOKUP(A259,Biogasanlæg!$F$3:$G$8,2,FALSE),1)+IFERROR(VLOOKUP(A259,[1]Energiindhold!$A$2:$C$11,3,FALSE),0)*L259+IF(D259&lt;&gt;År1,Q259,0),0)</f>
        <v>7.3325084602684676</v>
      </c>
      <c r="S259" s="193">
        <f>IFERROR(VLOOKUP(A259,[1]Biogasudbytte!$A$2:$B$18,2,FALSE)*[1]Energiindhold!$C$10,0)*J259*IFERROR(VLOOKUP(A259,Biogasanlæg!$F$3:$G$8,2,FALSE),1)</f>
        <v>0.13485651428191106</v>
      </c>
      <c r="T259" s="194">
        <f t="shared" si="64"/>
        <v>7.1976519459865562</v>
      </c>
      <c r="U259" s="192">
        <f>O259*IFERROR(VLOOKUP(A259,[1]Tørstofindhold!A$2:B$25,2,FALSE),0)</f>
        <v>0</v>
      </c>
      <c r="V259" s="193">
        <f>IF(D259=År1,P259,SUM(O259,P259))*IFERROR(VLOOKUP(A259,[1]Tørstofindhold!A$2:B$25,2,FALSE),0)</f>
        <v>611804.83588331472</v>
      </c>
      <c r="W259" s="193">
        <f>J259*IFERROR(VLOOKUP(A259,[1]Tørstofindhold!A$2:B$25,2,FALSE),0)</f>
        <v>19881.578679468774</v>
      </c>
      <c r="X259" s="194">
        <f t="shared" si="65"/>
        <v>591923.25720384601</v>
      </c>
      <c r="Y259" s="172">
        <f t="shared" ref="Y259:Y274" si="76">IF(SUMIFS($N$3:$N$290,$A$3:$A$290,A259,$D$3:$D$290,D259)&lt;0,1,0)</f>
        <v>0</v>
      </c>
      <c r="Z259" s="104">
        <f t="shared" ref="Z259:Z274" si="77">IF(SUMIFS($N$3:$N$290,$A$3:$A$290,A259,$D$3:$D$290,D259)&gt;0,1,0)</f>
        <v>0</v>
      </c>
    </row>
    <row r="260" spans="1:26" hidden="1" x14ac:dyDescent="0.55000000000000004">
      <c r="A260" s="195" t="str">
        <f t="shared" si="72"/>
        <v>Have/parkaffald</v>
      </c>
      <c r="B260" s="195" t="str">
        <f t="shared" si="73"/>
        <v>Bionedbrydeligt affald</v>
      </c>
      <c r="C260" s="195">
        <f>IF(COUNTIFS('Resultater - Danmark'!$D$3:$D$482,'Resultat-Produktion &amp; forbrug'!A260,'Resultater - Danmark'!$A$3:$A$482,"Til energi")+COUNTIFS('Resultater - Danmark'!$D$3:$D$482,'Resultat-Produktion &amp; forbrug'!A260,'Resultater - Danmark'!$A$3:$A$482,"Biogasanlæg")&gt;0,1,0)</f>
        <v>1</v>
      </c>
      <c r="D260" s="195">
        <f t="shared" si="74"/>
        <v>2050</v>
      </c>
      <c r="E260" s="193" t="s">
        <v>24</v>
      </c>
      <c r="F260" s="196">
        <f>IF(E260="Vestdanmark",SUMIFS(IF(D260=År1,'Resultater - Vestdanmark'!H$3:H$482,IF(D260=År2,'Resultater - Vestdanmark'!I$3:I$482,'Resultater - Vestdanmark'!J$3:J$482)),'Resultater - Vestdanmark'!$F$3:$F$482,$A260,IF(D260=År1,'Resultater - Vestdanmark'!H$3:H$482,IF(D260=År2,'Resultater - Vestdanmark'!I$3:I$482,'Resultater - Vestdanmark'!J$3:J$482)),"&gt;0"),SUMIFS(IF(D260=År1,'Resultater - Østdanmark'!H$3:H$482,IF(D260=År2,'Resultater - Østdanmark'!I$3:I$482,'Resultater - Østdanmark'!J$3:J$482)),'Resultater - Østdanmark'!$F$3:$F$482,$A260,IF(D260=År1,'Resultater - Østdanmark'!H$3:H$482,IF(D260=År2,'Resultater - Østdanmark'!I$3:I$482,'Resultater - Østdanmark'!J$3:J$482)),"&gt;0"))</f>
        <v>457927.02496060182</v>
      </c>
      <c r="G260" s="196">
        <f>SUMIFS('Forbrug af biomasse'!$E$2:$E$425,'Forbrug af biomasse'!$C$2:$C$425,'Resultat-Produktion &amp; forbrug'!$A260,'Forbrug af biomasse'!$D$2:$D$425,'Resultat-Produktion &amp; forbrug'!$D260,'Forbrug af biomasse'!$A$2:$A$425,'Resultat-Produktion &amp; forbrug'!G$2,'Forbrug af biomasse'!$B$2:$B$425,$E260)</f>
        <v>0</v>
      </c>
      <c r="H260" s="193">
        <f>IF(E260="Vestdanmark",-IF(A260="Halm",SUMIFS(IF(D260=År1,'Resultater - Vestdanmark'!H$3:H$482,IF(D260=År2,'Resultater - Vestdanmark'!I$3:I$482,'Resultater - Vestdanmark'!J$3:J$482)),'Resultater - Vestdanmark'!$F$3:$F$482,$A260,'Resultater - Vestdanmark'!H$3:H$482,"&lt;0"),0),-IF(A260="Halm",SUMIFS(IF(D260=År1,'Resultater - Østdanmark'!H$3:H$482,IF(D260=År2,'Resultater - Østdanmark'!I$3:I$482,'Resultater - Østdanmark'!J$3:J$482)),'Resultater - Østdanmark'!$F$3:$F$482,$A260,'Resultater - Østdanmark'!H$3:H$482,"&lt;0"),0))</f>
        <v>0</v>
      </c>
      <c r="I260" s="196">
        <f>SUMIFS('Forbrug af biomasse'!$E$2:$E$425,'Forbrug af biomasse'!$C$2:$C$425,'Resultat-Produktion &amp; forbrug'!$A260,'Forbrug af biomasse'!$D$2:$D$425,'Resultat-Produktion &amp; forbrug'!$D260,'Forbrug af biomasse'!$A$2:$A$425,'Resultat-Produktion &amp; forbrug'!I$2,'Forbrug af biomasse'!$B$2:$B$425,$E260)</f>
        <v>0</v>
      </c>
      <c r="J260" s="196">
        <f>SUMIFS('Forbrug af biomasse'!$E$2:$E$425,'Forbrug af biomasse'!$C$2:$C$425,'Resultat-Produktion &amp; forbrug'!$A260,'Forbrug af biomasse'!$D$2:$D$425,'Resultat-Produktion &amp; forbrug'!$D260,'Forbrug af biomasse'!$A$2:$A$425,'Resultat-Produktion &amp; forbrug'!J$2,'Forbrug af biomasse'!$B$2:$B$425,$E260)</f>
        <v>36.343081867307831</v>
      </c>
      <c r="K260" s="196">
        <f>SUMIFS('Forbrug af biomasse'!$E$2:$E$425,'Forbrug af biomasse'!$C$2:$C$425,'Resultat-Produktion &amp; forbrug'!$A260,'Forbrug af biomasse'!$D$2:$D$425,'Resultat-Produktion &amp; forbrug'!$D260,'Forbrug af biomasse'!$A$2:$A$425,'Resultat-Produktion &amp; forbrug'!K$2,'Forbrug af biomasse'!$B$2:$B$425,$E260)</f>
        <v>0</v>
      </c>
      <c r="L260" s="196">
        <f>IF(A260&lt;&gt;"Biogas",SUMIFS('Forbrug af biomasse'!$E$2:$E$425,'Forbrug af biomasse'!$C$2:$C$425,'Resultat-Produktion &amp; forbrug'!$A260,'Forbrug af biomasse'!$D$2:$D$425,'Resultat-Produktion &amp; forbrug'!$D260,'Forbrug af biomasse'!$A$2:$A$425,'Resultat-Produktion &amp; forbrug'!L$2,'Forbrug af biomasse'!$B$2:$B$425,$E260),F260)</f>
        <v>457890.6818787345</v>
      </c>
      <c r="M260" s="158">
        <f>SUMIFS('Forbrug af biomasse'!E:E,'Forbrug af biomasse'!C:C,'Resultat-Produktion &amp; forbrug'!$A260,'Forbrug af biomasse'!D:D,'Resultat-Produktion &amp; forbrug'!$D260,'Forbrug af biomasse'!G:G,1,'Forbrug af biomasse'!B:B,$E260)</f>
        <v>0</v>
      </c>
      <c r="N260" s="205">
        <f t="shared" si="62"/>
        <v>0</v>
      </c>
      <c r="O260" s="196">
        <f t="shared" si="75"/>
        <v>0</v>
      </c>
      <c r="P260" s="206">
        <f t="shared" si="63"/>
        <v>457927.02496060182</v>
      </c>
      <c r="Q260" s="193">
        <f>IFERROR(VLOOKUP(A260,[1]Energiindhold!$A$2:$C$11,3,FALSE),IFERROR(VLOOKUP(A260,[1]Biogasudbytte!$A$2:$B$18,2,FALSE)*[1]Energiindhold!$C$10,0))*O260</f>
        <v>0</v>
      </c>
      <c r="R260" s="193">
        <f>IF(A260&lt;&gt;"Biogas",IFERROR(VLOOKUP(A260,[1]Biogasudbytte!$A$2:$B$18,2,FALSE)*[1]Energiindhold!$C$10,0)*J260*IFERROR(VLOOKUP(A260,Biogasanlæg!$F$3:$G$8,2,FALSE),1)+IFERROR(VLOOKUP(A260,[1]Energiindhold!$A$2:$C$11,3,FALSE),0)*L260+IF(D260&lt;&gt;År1,Q260,0),0)</f>
        <v>8.1744271403578974</v>
      </c>
      <c r="S260" s="193">
        <f>IFERROR(VLOOKUP(A260,[1]Biogasudbytte!$A$2:$B$18,2,FALSE)*[1]Energiindhold!$C$10,0)*J260*IFERROR(VLOOKUP(A260,Biogasanlæg!$F$3:$G$8,2,FALSE),1)</f>
        <v>6.1713097026419407E-5</v>
      </c>
      <c r="T260" s="194">
        <f t="shared" si="64"/>
        <v>8.1743654272608701</v>
      </c>
      <c r="U260" s="192">
        <f>O260*IFERROR(VLOOKUP(A260,[1]Tørstofindhold!A$2:B$25,2,FALSE),0)</f>
        <v>0</v>
      </c>
      <c r="V260" s="193">
        <f>IF(D260=År1,P260,SUM(O260,P260))*IFERROR(VLOOKUP(A260,[1]Tørstofindhold!A$2:B$25,2,FALSE),0)</f>
        <v>137378.10748818054</v>
      </c>
      <c r="W260" s="193">
        <f>J260*IFERROR(VLOOKUP(A260,[1]Tørstofindhold!A$2:B$25,2,FALSE),0)</f>
        <v>10.902924560192348</v>
      </c>
      <c r="X260" s="194">
        <f t="shared" si="65"/>
        <v>137367.20456362035</v>
      </c>
      <c r="Y260" s="172">
        <f t="shared" si="76"/>
        <v>0</v>
      </c>
      <c r="Z260" s="104">
        <f t="shared" si="77"/>
        <v>0</v>
      </c>
    </row>
    <row r="261" spans="1:26" hidden="1" x14ac:dyDescent="0.55000000000000004">
      <c r="A261" s="195" t="str">
        <f t="shared" si="72"/>
        <v>Import af foder</v>
      </c>
      <c r="B261" s="195" t="str">
        <f t="shared" si="73"/>
        <v/>
      </c>
      <c r="C261" s="195">
        <f>IF(COUNTIFS('Resultater - Danmark'!$D$3:$D$482,'Resultat-Produktion &amp; forbrug'!A261,'Resultater - Danmark'!$A$3:$A$482,"Til energi")+COUNTIFS('Resultater - Danmark'!$D$3:$D$482,'Resultat-Produktion &amp; forbrug'!A261,'Resultater - Danmark'!$A$3:$A$482,"Biogasanlæg")&gt;0,1,0)</f>
        <v>0</v>
      </c>
      <c r="D261" s="195">
        <f t="shared" si="74"/>
        <v>2050</v>
      </c>
      <c r="E261" s="193" t="s">
        <v>24</v>
      </c>
      <c r="F261" s="196">
        <f>IF(E261="Vestdanmark",SUMIFS(IF(D261=År1,'Resultater - Vestdanmark'!H$3:H$482,IF(D261=År2,'Resultater - Vestdanmark'!I$3:I$482,'Resultater - Vestdanmark'!J$3:J$482)),'Resultater - Vestdanmark'!$F$3:$F$482,$A261,IF(D261=År1,'Resultater - Vestdanmark'!H$3:H$482,IF(D261=År2,'Resultater - Vestdanmark'!I$3:I$482,'Resultater - Vestdanmark'!J$3:J$482)),"&gt;0"),SUMIFS(IF(D261=År1,'Resultater - Østdanmark'!H$3:H$482,IF(D261=År2,'Resultater - Østdanmark'!I$3:I$482,'Resultater - Østdanmark'!J$3:J$482)),'Resultater - Østdanmark'!$F$3:$F$482,$A261,IF(D261=År1,'Resultater - Østdanmark'!H$3:H$482,IF(D261=År2,'Resultater - Østdanmark'!I$3:I$482,'Resultater - Østdanmark'!J$3:J$482)),"&gt;0"))</f>
        <v>0</v>
      </c>
      <c r="G261" s="196">
        <f>SUMIFS('Forbrug af biomasse'!$E$2:$E$425,'Forbrug af biomasse'!$C$2:$C$425,'Resultat-Produktion &amp; forbrug'!$A261,'Forbrug af biomasse'!$D$2:$D$425,'Resultat-Produktion &amp; forbrug'!$D261,'Forbrug af biomasse'!$A$2:$A$425,'Resultat-Produktion &amp; forbrug'!G$2,'Forbrug af biomasse'!$B$2:$B$425,$E261)</f>
        <v>592646.72642582108</v>
      </c>
      <c r="H261" s="193">
        <f>IF(E261="Vestdanmark",-IF(A261="Halm",SUMIFS(IF(D261=År1,'Resultater - Vestdanmark'!H$3:H$482,IF(D261=År2,'Resultater - Vestdanmark'!I$3:I$482,'Resultater - Vestdanmark'!J$3:J$482)),'Resultater - Vestdanmark'!$F$3:$F$482,$A261,'Resultater - Vestdanmark'!H$3:H$482,"&lt;0"),0),-IF(A261="Halm",SUMIFS(IF(D261=År1,'Resultater - Østdanmark'!H$3:H$482,IF(D261=År2,'Resultater - Østdanmark'!I$3:I$482,'Resultater - Østdanmark'!J$3:J$482)),'Resultater - Østdanmark'!$F$3:$F$482,$A261,'Resultater - Østdanmark'!H$3:H$482,"&lt;0"),0))</f>
        <v>0</v>
      </c>
      <c r="I261" s="196">
        <f>SUMIFS('Forbrug af biomasse'!$E$2:$E$425,'Forbrug af biomasse'!$C$2:$C$425,'Resultat-Produktion &amp; forbrug'!$A261,'Forbrug af biomasse'!$D$2:$D$425,'Resultat-Produktion &amp; forbrug'!$D261,'Forbrug af biomasse'!$A$2:$A$425,'Resultat-Produktion &amp; forbrug'!I$2,'Forbrug af biomasse'!$B$2:$B$425,$E261)</f>
        <v>0</v>
      </c>
      <c r="J261" s="196">
        <f>SUMIFS('Forbrug af biomasse'!$E$2:$E$425,'Forbrug af biomasse'!$C$2:$C$425,'Resultat-Produktion &amp; forbrug'!$A261,'Forbrug af biomasse'!$D$2:$D$425,'Resultat-Produktion &amp; forbrug'!$D261,'Forbrug af biomasse'!$A$2:$A$425,'Resultat-Produktion &amp; forbrug'!J$2,'Forbrug af biomasse'!$B$2:$B$425,$E261)</f>
        <v>0</v>
      </c>
      <c r="K261" s="196">
        <f>SUMIFS('Forbrug af biomasse'!$E$2:$E$425,'Forbrug af biomasse'!$C$2:$C$425,'Resultat-Produktion &amp; forbrug'!$A261,'Forbrug af biomasse'!$D$2:$D$425,'Resultat-Produktion &amp; forbrug'!$D261,'Forbrug af biomasse'!$A$2:$A$425,'Resultat-Produktion &amp; forbrug'!K$2,'Forbrug af biomasse'!$B$2:$B$425,$E261)</f>
        <v>0</v>
      </c>
      <c r="L261" s="196">
        <f>IF(A261&lt;&gt;"Biogas",SUMIFS('Forbrug af biomasse'!$E$2:$E$425,'Forbrug af biomasse'!$C$2:$C$425,'Resultat-Produktion &amp; forbrug'!$A261,'Forbrug af biomasse'!$D$2:$D$425,'Resultat-Produktion &amp; forbrug'!$D261,'Forbrug af biomasse'!$A$2:$A$425,'Resultat-Produktion &amp; forbrug'!L$2,'Forbrug af biomasse'!$B$2:$B$425,$E261),F261)</f>
        <v>0</v>
      </c>
      <c r="M261" s="158">
        <f>SUMIFS('Forbrug af biomasse'!E:E,'Forbrug af biomasse'!C:C,'Resultat-Produktion &amp; forbrug'!$A261,'Forbrug af biomasse'!D:D,'Resultat-Produktion &amp; forbrug'!$D261,'Forbrug af biomasse'!G:G,1,'Forbrug af biomasse'!B:B,$E261)</f>
        <v>0</v>
      </c>
      <c r="N261" s="205">
        <f t="shared" si="62"/>
        <v>-592646.72642582108</v>
      </c>
      <c r="O261" s="196">
        <f t="shared" si="75"/>
        <v>0</v>
      </c>
      <c r="P261" s="206">
        <f t="shared" si="63"/>
        <v>0</v>
      </c>
      <c r="Q261" s="193">
        <f>IFERROR(VLOOKUP(A261,[1]Energiindhold!$A$2:$C$11,3,FALSE),IFERROR(VLOOKUP(A261,[1]Biogasudbytte!$A$2:$B$18,2,FALSE)*[1]Energiindhold!$C$10,0))*O261</f>
        <v>0</v>
      </c>
      <c r="R261" s="193">
        <f>IF(A261&lt;&gt;"Biogas",IFERROR(VLOOKUP(A261,[1]Biogasudbytte!$A$2:$B$18,2,FALSE)*[1]Energiindhold!$C$10,0)*J261*IFERROR(VLOOKUP(A261,Biogasanlæg!$F$3:$G$8,2,FALSE),1)+IFERROR(VLOOKUP(A261,[1]Energiindhold!$A$2:$C$11,3,FALSE),0)*L261+IF(D261&lt;&gt;År1,Q261,0),0)</f>
        <v>0</v>
      </c>
      <c r="S261" s="193">
        <f>IFERROR(VLOOKUP(A261,[1]Biogasudbytte!$A$2:$B$18,2,FALSE)*[1]Energiindhold!$C$10,0)*J261*IFERROR(VLOOKUP(A261,Biogasanlæg!$F$3:$G$8,2,FALSE),1)</f>
        <v>0</v>
      </c>
      <c r="T261" s="194">
        <f t="shared" si="64"/>
        <v>0</v>
      </c>
      <c r="U261" s="192">
        <f>O261*IFERROR(VLOOKUP(A261,[1]Tørstofindhold!A$2:B$25,2,FALSE),0)</f>
        <v>0</v>
      </c>
      <c r="V261" s="193">
        <f>IF(D261=År1,P261,SUM(O261,P261))*IFERROR(VLOOKUP(A261,[1]Tørstofindhold!A$2:B$25,2,FALSE),0)</f>
        <v>0</v>
      </c>
      <c r="W261" s="193">
        <f>J261*IFERROR(VLOOKUP(A261,[1]Tørstofindhold!A$2:B$25,2,FALSE),0)</f>
        <v>0</v>
      </c>
      <c r="X261" s="194">
        <f t="shared" si="65"/>
        <v>0</v>
      </c>
      <c r="Y261" s="172">
        <f t="shared" si="76"/>
        <v>1</v>
      </c>
      <c r="Z261" s="104">
        <f t="shared" si="77"/>
        <v>0</v>
      </c>
    </row>
    <row r="262" spans="1:26" hidden="1" x14ac:dyDescent="0.55000000000000004">
      <c r="A262" s="195" t="str">
        <f t="shared" si="72"/>
        <v>Industriaffald</v>
      </c>
      <c r="B262" s="195" t="str">
        <f t="shared" si="73"/>
        <v>Bionedbrydeligt affald</v>
      </c>
      <c r="C262" s="195">
        <f>IF(COUNTIFS('Resultater - Danmark'!$D$3:$D$482,'Resultat-Produktion &amp; forbrug'!A262,'Resultater - Danmark'!$A$3:$A$482,"Til energi")+COUNTIFS('Resultater - Danmark'!$D$3:$D$482,'Resultat-Produktion &amp; forbrug'!A262,'Resultater - Danmark'!$A$3:$A$482,"Biogasanlæg")&gt;0,1,0)</f>
        <v>1</v>
      </c>
      <c r="D262" s="195">
        <f t="shared" si="74"/>
        <v>2050</v>
      </c>
      <c r="E262" s="193" t="s">
        <v>24</v>
      </c>
      <c r="F262" s="196">
        <f>IF(E262="Vestdanmark",SUMIFS(IF(D262=År1,'Resultater - Vestdanmark'!H$3:H$482,IF(D262=År2,'Resultater - Vestdanmark'!I$3:I$482,'Resultater - Vestdanmark'!J$3:J$482)),'Resultater - Vestdanmark'!$F$3:$F$482,$A262,IF(D262=År1,'Resultater - Vestdanmark'!H$3:H$482,IF(D262=År2,'Resultater - Vestdanmark'!I$3:I$482,'Resultater - Vestdanmark'!J$3:J$482)),"&gt;0"),SUMIFS(IF(D262=År1,'Resultater - Østdanmark'!H$3:H$482,IF(D262=År2,'Resultater - Østdanmark'!I$3:I$482,'Resultater - Østdanmark'!J$3:J$482)),'Resultater - Østdanmark'!$F$3:$F$482,$A262,IF(D262=År1,'Resultater - Østdanmark'!H$3:H$482,IF(D262=År2,'Resultater - Østdanmark'!I$3:I$482,'Resultater - Østdanmark'!J$3:J$482)),"&gt;0"))</f>
        <v>203334.81459864558</v>
      </c>
      <c r="G262" s="196">
        <f>SUMIFS('Forbrug af biomasse'!$E$2:$E$425,'Forbrug af biomasse'!$C$2:$C$425,'Resultat-Produktion &amp; forbrug'!$A262,'Forbrug af biomasse'!$D$2:$D$425,'Resultat-Produktion &amp; forbrug'!$D262,'Forbrug af biomasse'!$A$2:$A$425,'Resultat-Produktion &amp; forbrug'!G$2,'Forbrug af biomasse'!$B$2:$B$425,$E262)</f>
        <v>0</v>
      </c>
      <c r="H262" s="193">
        <f>IF(E262="Vestdanmark",-IF(A262="Halm",SUMIFS(IF(D262=År1,'Resultater - Vestdanmark'!H$3:H$482,IF(D262=År2,'Resultater - Vestdanmark'!I$3:I$482,'Resultater - Vestdanmark'!J$3:J$482)),'Resultater - Vestdanmark'!$F$3:$F$482,$A262,'Resultater - Vestdanmark'!H$3:H$482,"&lt;0"),0),-IF(A262="Halm",SUMIFS(IF(D262=År1,'Resultater - Østdanmark'!H$3:H$482,IF(D262=År2,'Resultater - Østdanmark'!I$3:I$482,'Resultater - Østdanmark'!J$3:J$482)),'Resultater - Østdanmark'!$F$3:$F$482,$A262,'Resultater - Østdanmark'!H$3:H$482,"&lt;0"),0))</f>
        <v>0</v>
      </c>
      <c r="I262" s="196">
        <f>SUMIFS('Forbrug af biomasse'!$E$2:$E$425,'Forbrug af biomasse'!$C$2:$C$425,'Resultat-Produktion &amp; forbrug'!$A262,'Forbrug af biomasse'!$D$2:$D$425,'Resultat-Produktion &amp; forbrug'!$D262,'Forbrug af biomasse'!$A$2:$A$425,'Resultat-Produktion &amp; forbrug'!I$2,'Forbrug af biomasse'!$B$2:$B$425,$E262)</f>
        <v>0</v>
      </c>
      <c r="J262" s="196">
        <f>SUMIFS('Forbrug af biomasse'!$E$2:$E$425,'Forbrug af biomasse'!$C$2:$C$425,'Resultat-Produktion &amp; forbrug'!$A262,'Forbrug af biomasse'!$D$2:$D$425,'Resultat-Produktion &amp; forbrug'!$D262,'Forbrug af biomasse'!$A$2:$A$425,'Resultat-Produktion &amp; forbrug'!J$2,'Forbrug af biomasse'!$B$2:$B$425,$E262)</f>
        <v>203334.8469193347</v>
      </c>
      <c r="K262" s="196">
        <f>SUMIFS('Forbrug af biomasse'!$E$2:$E$425,'Forbrug af biomasse'!$C$2:$C$425,'Resultat-Produktion &amp; forbrug'!$A262,'Forbrug af biomasse'!$D$2:$D$425,'Resultat-Produktion &amp; forbrug'!$D262,'Forbrug af biomasse'!$A$2:$A$425,'Resultat-Produktion &amp; forbrug'!K$2,'Forbrug af biomasse'!$B$2:$B$425,$E262)</f>
        <v>0</v>
      </c>
      <c r="L262" s="196">
        <f>IF(A262&lt;&gt;"Biogas",SUMIFS('Forbrug af biomasse'!$E$2:$E$425,'Forbrug af biomasse'!$C$2:$C$425,'Resultat-Produktion &amp; forbrug'!$A262,'Forbrug af biomasse'!$D$2:$D$425,'Resultat-Produktion &amp; forbrug'!$D262,'Forbrug af biomasse'!$A$2:$A$425,'Resultat-Produktion &amp; forbrug'!L$2,'Forbrug af biomasse'!$B$2:$B$425,$E262),F262)</f>
        <v>0</v>
      </c>
      <c r="M262" s="158">
        <f>SUMIFS('Forbrug af biomasse'!E:E,'Forbrug af biomasse'!C:C,'Resultat-Produktion &amp; forbrug'!$A262,'Forbrug af biomasse'!D:D,'Resultat-Produktion &amp; forbrug'!$D262,'Forbrug af biomasse'!G:G,1,'Forbrug af biomasse'!B:B,$E262)</f>
        <v>0</v>
      </c>
      <c r="N262" s="205">
        <f t="shared" si="62"/>
        <v>-3.2320689118932933E-2</v>
      </c>
      <c r="O262" s="196">
        <f t="shared" si="75"/>
        <v>0</v>
      </c>
      <c r="P262" s="206">
        <f t="shared" si="63"/>
        <v>203334.8469193347</v>
      </c>
      <c r="Q262" s="193">
        <f>IFERROR(VLOOKUP(A262,[1]Energiindhold!$A$2:$C$11,3,FALSE),IFERROR(VLOOKUP(A262,[1]Biogasudbytte!$A$2:$B$18,2,FALSE)*[1]Energiindhold!$C$10,0))*O262</f>
        <v>0</v>
      </c>
      <c r="R262" s="193">
        <f>IF(A262&lt;&gt;"Biogas",IFERROR(VLOOKUP(A262,[1]Biogasudbytte!$A$2:$B$18,2,FALSE)*[1]Energiindhold!$C$10,0)*J262*IFERROR(VLOOKUP(A262,Biogasanlæg!$F$3:$G$8,2,FALSE),1)+IFERROR(VLOOKUP(A262,[1]Energiindhold!$A$2:$C$11,3,FALSE),0)*L262+IF(D262&lt;&gt;År1,Q262,0),0)</f>
        <v>0.79296869270841919</v>
      </c>
      <c r="S262" s="193">
        <f>IFERROR(VLOOKUP(A262,[1]Biogasudbytte!$A$2:$B$18,2,FALSE)*[1]Energiindhold!$C$10,0)*J262*IFERROR(VLOOKUP(A262,Biogasanlæg!$F$3:$G$8,2,FALSE),1)</f>
        <v>0.79296869270841919</v>
      </c>
      <c r="T262" s="194">
        <f t="shared" si="64"/>
        <v>0</v>
      </c>
      <c r="U262" s="192">
        <f>O262*IFERROR(VLOOKUP(A262,[1]Tørstofindhold!A$2:B$25,2,FALSE),0)</f>
        <v>0</v>
      </c>
      <c r="V262" s="193">
        <f>IF(D262=År1,P262,SUM(O262,P262))*IFERROR(VLOOKUP(A262,[1]Tørstofindhold!A$2:B$25,2,FALSE),0)</f>
        <v>85400.635706120564</v>
      </c>
      <c r="W262" s="193">
        <f>J262*IFERROR(VLOOKUP(A262,[1]Tørstofindhold!A$2:B$25,2,FALSE),0)</f>
        <v>85400.635706120564</v>
      </c>
      <c r="X262" s="194">
        <f t="shared" si="65"/>
        <v>0</v>
      </c>
      <c r="Y262" s="172">
        <f t="shared" si="76"/>
        <v>1</v>
      </c>
      <c r="Z262" s="104">
        <f t="shared" si="77"/>
        <v>0</v>
      </c>
    </row>
    <row r="263" spans="1:26" hidden="1" x14ac:dyDescent="0.55000000000000004">
      <c r="A263" s="195" t="str">
        <f t="shared" si="72"/>
        <v>Juletræer</v>
      </c>
      <c r="B263" s="195" t="str">
        <f t="shared" si="73"/>
        <v/>
      </c>
      <c r="C263" s="195">
        <f>IF(COUNTIFS('Resultater - Danmark'!$D$3:$D$482,'Resultat-Produktion &amp; forbrug'!A263,'Resultater - Danmark'!$A$3:$A$482,"Til energi")+COUNTIFS('Resultater - Danmark'!$D$3:$D$482,'Resultat-Produktion &amp; forbrug'!A263,'Resultater - Danmark'!$A$3:$A$482,"Biogasanlæg")&gt;0,1,0)</f>
        <v>0</v>
      </c>
      <c r="D263" s="195">
        <f t="shared" si="74"/>
        <v>2050</v>
      </c>
      <c r="E263" s="193" t="s">
        <v>24</v>
      </c>
      <c r="F263" s="196">
        <f>IF(E263="Vestdanmark",SUMIFS(IF(D263=År1,'Resultater - Vestdanmark'!H$3:H$482,IF(D263=År2,'Resultater - Vestdanmark'!I$3:I$482,'Resultater - Vestdanmark'!J$3:J$482)),'Resultater - Vestdanmark'!$F$3:$F$482,$A263,IF(D263=År1,'Resultater - Vestdanmark'!H$3:H$482,IF(D263=År2,'Resultater - Vestdanmark'!I$3:I$482,'Resultater - Vestdanmark'!J$3:J$482)),"&gt;0"),SUMIFS(IF(D263=År1,'Resultater - Østdanmark'!H$3:H$482,IF(D263=År2,'Resultater - Østdanmark'!I$3:I$482,'Resultater - Østdanmark'!J$3:J$482)),'Resultater - Østdanmark'!$F$3:$F$482,$A263,IF(D263=År1,'Resultater - Østdanmark'!H$3:H$482,IF(D263=År2,'Resultater - Østdanmark'!I$3:I$482,'Resultater - Østdanmark'!J$3:J$482)),"&gt;0"))</f>
        <v>150184.32869116802</v>
      </c>
      <c r="G263" s="196">
        <f>SUMIFS('Forbrug af biomasse'!$E$2:$E$425,'Forbrug af biomasse'!$C$2:$C$425,'Resultat-Produktion &amp; forbrug'!$A263,'Forbrug af biomasse'!$D$2:$D$425,'Resultat-Produktion &amp; forbrug'!$D263,'Forbrug af biomasse'!$A$2:$A$425,'Resultat-Produktion &amp; forbrug'!G$2,'Forbrug af biomasse'!$B$2:$B$425,$E263)</f>
        <v>0</v>
      </c>
      <c r="H263" s="193">
        <f>IF(E263="Vestdanmark",-IF(A263="Halm",SUMIFS(IF(D263=År1,'Resultater - Vestdanmark'!H$3:H$482,IF(D263=År2,'Resultater - Vestdanmark'!I$3:I$482,'Resultater - Vestdanmark'!J$3:J$482)),'Resultater - Vestdanmark'!$F$3:$F$482,$A263,'Resultater - Vestdanmark'!H$3:H$482,"&lt;0"),0),-IF(A263="Halm",SUMIFS(IF(D263=År1,'Resultater - Østdanmark'!H$3:H$482,IF(D263=År2,'Resultater - Østdanmark'!I$3:I$482,'Resultater - Østdanmark'!J$3:J$482)),'Resultater - Østdanmark'!$F$3:$F$482,$A263,'Resultater - Østdanmark'!H$3:H$482,"&lt;0"),0))</f>
        <v>0</v>
      </c>
      <c r="I263" s="196">
        <f>SUMIFS('Forbrug af biomasse'!$E$2:$E$425,'Forbrug af biomasse'!$C$2:$C$425,'Resultat-Produktion &amp; forbrug'!$A263,'Forbrug af biomasse'!$D$2:$D$425,'Resultat-Produktion &amp; forbrug'!$D263,'Forbrug af biomasse'!$A$2:$A$425,'Resultat-Produktion &amp; forbrug'!I$2,'Forbrug af biomasse'!$B$2:$B$425,$E263)</f>
        <v>0</v>
      </c>
      <c r="J263" s="196">
        <f>SUMIFS('Forbrug af biomasse'!$E$2:$E$425,'Forbrug af biomasse'!$C$2:$C$425,'Resultat-Produktion &amp; forbrug'!$A263,'Forbrug af biomasse'!$D$2:$D$425,'Resultat-Produktion &amp; forbrug'!$D263,'Forbrug af biomasse'!$A$2:$A$425,'Resultat-Produktion &amp; forbrug'!J$2,'Forbrug af biomasse'!$B$2:$B$425,$E263)</f>
        <v>0</v>
      </c>
      <c r="K263" s="196">
        <f>SUMIFS('Forbrug af biomasse'!$E$2:$E$425,'Forbrug af biomasse'!$C$2:$C$425,'Resultat-Produktion &amp; forbrug'!$A263,'Forbrug af biomasse'!$D$2:$D$425,'Resultat-Produktion &amp; forbrug'!$D263,'Forbrug af biomasse'!$A$2:$A$425,'Resultat-Produktion &amp; forbrug'!K$2,'Forbrug af biomasse'!$B$2:$B$425,$E263)</f>
        <v>0</v>
      </c>
      <c r="L263" s="196">
        <f>IF(A263&lt;&gt;"Biogas",SUMIFS('Forbrug af biomasse'!$E$2:$E$425,'Forbrug af biomasse'!$C$2:$C$425,'Resultat-Produktion &amp; forbrug'!$A263,'Forbrug af biomasse'!$D$2:$D$425,'Resultat-Produktion &amp; forbrug'!$D263,'Forbrug af biomasse'!$A$2:$A$425,'Resultat-Produktion &amp; forbrug'!L$2,'Forbrug af biomasse'!$B$2:$B$425,$E263),F263)</f>
        <v>0</v>
      </c>
      <c r="M263" s="158">
        <f>SUMIFS('Forbrug af biomasse'!E:E,'Forbrug af biomasse'!C:C,'Resultat-Produktion &amp; forbrug'!$A263,'Forbrug af biomasse'!D:D,'Resultat-Produktion &amp; forbrug'!$D263,'Forbrug af biomasse'!G:G,1,'Forbrug af biomasse'!B:B,$E263)</f>
        <v>0</v>
      </c>
      <c r="N263" s="205">
        <f t="shared" si="62"/>
        <v>150184.32869116802</v>
      </c>
      <c r="O263" s="196">
        <f t="shared" si="75"/>
        <v>0</v>
      </c>
      <c r="P263" s="206">
        <f t="shared" si="63"/>
        <v>0</v>
      </c>
      <c r="Q263" s="193">
        <f>IFERROR(VLOOKUP(A263,[1]Energiindhold!$A$2:$C$11,3,FALSE),IFERROR(VLOOKUP(A263,[1]Biogasudbytte!$A$2:$B$18,2,FALSE)*[1]Energiindhold!$C$10,0))*O263</f>
        <v>0</v>
      </c>
      <c r="R263" s="193">
        <f>IF(A263&lt;&gt;"Biogas",IFERROR(VLOOKUP(A263,[1]Biogasudbytte!$A$2:$B$18,2,FALSE)*[1]Energiindhold!$C$10,0)*J263*IFERROR(VLOOKUP(A263,Biogasanlæg!$F$3:$G$8,2,FALSE),1)+IFERROR(VLOOKUP(A263,[1]Energiindhold!$A$2:$C$11,3,FALSE),0)*L263+IF(D263&lt;&gt;År1,Q263,0),0)</f>
        <v>0</v>
      </c>
      <c r="S263" s="193">
        <f>IFERROR(VLOOKUP(A263,[1]Biogasudbytte!$A$2:$B$18,2,FALSE)*[1]Energiindhold!$C$10,0)*J263*IFERROR(VLOOKUP(A263,Biogasanlæg!$F$3:$G$8,2,FALSE),1)</f>
        <v>0</v>
      </c>
      <c r="T263" s="194">
        <f t="shared" si="64"/>
        <v>0</v>
      </c>
      <c r="U263" s="192">
        <f>O263*IFERROR(VLOOKUP(A263,[1]Tørstofindhold!A$2:B$25,2,FALSE),0)</f>
        <v>0</v>
      </c>
      <c r="V263" s="193">
        <f>IF(D263=År1,P263,SUM(O263,P263))*IFERROR(VLOOKUP(A263,[1]Tørstofindhold!A$2:B$25,2,FALSE),0)</f>
        <v>0</v>
      </c>
      <c r="W263" s="193">
        <f>J263*IFERROR(VLOOKUP(A263,[1]Tørstofindhold!A$2:B$25,2,FALSE),0)</f>
        <v>0</v>
      </c>
      <c r="X263" s="194">
        <f t="shared" si="65"/>
        <v>0</v>
      </c>
      <c r="Y263" s="172">
        <f t="shared" si="76"/>
        <v>0</v>
      </c>
      <c r="Z263" s="104">
        <f t="shared" si="77"/>
        <v>1</v>
      </c>
    </row>
    <row r="264" spans="1:26" hidden="1" x14ac:dyDescent="0.55000000000000004">
      <c r="A264" s="195" t="str">
        <f t="shared" si="72"/>
        <v>Kartofler</v>
      </c>
      <c r="B264" s="195" t="str">
        <f t="shared" si="73"/>
        <v/>
      </c>
      <c r="C264" s="195">
        <f>IF(COUNTIFS('Resultater - Danmark'!$D$3:$D$482,'Resultat-Produktion &amp; forbrug'!A264,'Resultater - Danmark'!$A$3:$A$482,"Til energi")+COUNTIFS('Resultater - Danmark'!$D$3:$D$482,'Resultat-Produktion &amp; forbrug'!A264,'Resultater - Danmark'!$A$3:$A$482,"Biogasanlæg")&gt;0,1,0)</f>
        <v>0</v>
      </c>
      <c r="D264" s="195">
        <f t="shared" si="74"/>
        <v>2050</v>
      </c>
      <c r="E264" s="193" t="s">
        <v>24</v>
      </c>
      <c r="F264" s="196">
        <f>IF(E264="Vestdanmark",SUMIFS(IF(D264=År1,'Resultater - Vestdanmark'!H$3:H$482,IF(D264=År2,'Resultater - Vestdanmark'!I$3:I$482,'Resultater - Vestdanmark'!J$3:J$482)),'Resultater - Vestdanmark'!$F$3:$F$482,$A264,IF(D264=År1,'Resultater - Vestdanmark'!H$3:H$482,IF(D264=År2,'Resultater - Vestdanmark'!I$3:I$482,'Resultater - Vestdanmark'!J$3:J$482)),"&gt;0"),SUMIFS(IF(D264=År1,'Resultater - Østdanmark'!H$3:H$482,IF(D264=År2,'Resultater - Østdanmark'!I$3:I$482,'Resultater - Østdanmark'!J$3:J$482)),'Resultater - Østdanmark'!$F$3:$F$482,$A264,IF(D264=År1,'Resultater - Østdanmark'!H$3:H$482,IF(D264=År2,'Resultater - Østdanmark'!I$3:I$482,'Resultater - Østdanmark'!J$3:J$482)),"&gt;0"))</f>
        <v>119824.59197839584</v>
      </c>
      <c r="G264" s="196">
        <f>SUMIFS('Forbrug af biomasse'!$E$2:$E$425,'Forbrug af biomasse'!$C$2:$C$425,'Resultat-Produktion &amp; forbrug'!$A264,'Forbrug af biomasse'!$D$2:$D$425,'Resultat-Produktion &amp; forbrug'!$D264,'Forbrug af biomasse'!$A$2:$A$425,'Resultat-Produktion &amp; forbrug'!G$2,'Forbrug af biomasse'!$B$2:$B$425,$E264)</f>
        <v>0</v>
      </c>
      <c r="H264" s="193">
        <f>IF(E264="Vestdanmark",-IF(A264="Halm",SUMIFS(IF(D264=År1,'Resultater - Vestdanmark'!H$3:H$482,IF(D264=År2,'Resultater - Vestdanmark'!I$3:I$482,'Resultater - Vestdanmark'!J$3:J$482)),'Resultater - Vestdanmark'!$F$3:$F$482,$A264,'Resultater - Vestdanmark'!H$3:H$482,"&lt;0"),0),-IF(A264="Halm",SUMIFS(IF(D264=År1,'Resultater - Østdanmark'!H$3:H$482,IF(D264=År2,'Resultater - Østdanmark'!I$3:I$482,'Resultater - Østdanmark'!J$3:J$482)),'Resultater - Østdanmark'!$F$3:$F$482,$A264,'Resultater - Østdanmark'!H$3:H$482,"&lt;0"),0))</f>
        <v>0</v>
      </c>
      <c r="I264" s="196">
        <f>SUMIFS('Forbrug af biomasse'!$E$2:$E$425,'Forbrug af biomasse'!$C$2:$C$425,'Resultat-Produktion &amp; forbrug'!$A264,'Forbrug af biomasse'!$D$2:$D$425,'Resultat-Produktion &amp; forbrug'!$D264,'Forbrug af biomasse'!$A$2:$A$425,'Resultat-Produktion &amp; forbrug'!I$2,'Forbrug af biomasse'!$B$2:$B$425,$E264)</f>
        <v>111975.50765955324</v>
      </c>
      <c r="J264" s="196">
        <f>SUMIFS('Forbrug af biomasse'!$E$2:$E$425,'Forbrug af biomasse'!$C$2:$C$425,'Resultat-Produktion &amp; forbrug'!$A264,'Forbrug af biomasse'!$D$2:$D$425,'Resultat-Produktion &amp; forbrug'!$D264,'Forbrug af biomasse'!$A$2:$A$425,'Resultat-Produktion &amp; forbrug'!J$2,'Forbrug af biomasse'!$B$2:$B$425,$E264)</f>
        <v>0</v>
      </c>
      <c r="K264" s="196">
        <f>SUMIFS('Forbrug af biomasse'!$E$2:$E$425,'Forbrug af biomasse'!$C$2:$C$425,'Resultat-Produktion &amp; forbrug'!$A264,'Forbrug af biomasse'!$D$2:$D$425,'Resultat-Produktion &amp; forbrug'!$D264,'Forbrug af biomasse'!$A$2:$A$425,'Resultat-Produktion &amp; forbrug'!K$2,'Forbrug af biomasse'!$B$2:$B$425,$E264)</f>
        <v>0</v>
      </c>
      <c r="L264" s="196">
        <f>IF(A264&lt;&gt;"Biogas",SUMIFS('Forbrug af biomasse'!$E$2:$E$425,'Forbrug af biomasse'!$C$2:$C$425,'Resultat-Produktion &amp; forbrug'!$A264,'Forbrug af biomasse'!$D$2:$D$425,'Resultat-Produktion &amp; forbrug'!$D264,'Forbrug af biomasse'!$A$2:$A$425,'Resultat-Produktion &amp; forbrug'!L$2,'Forbrug af biomasse'!$B$2:$B$425,$E264),F264)</f>
        <v>0</v>
      </c>
      <c r="M264" s="158">
        <f>SUMIFS('Forbrug af biomasse'!E:E,'Forbrug af biomasse'!C:C,'Resultat-Produktion &amp; forbrug'!$A264,'Forbrug af biomasse'!D:D,'Resultat-Produktion &amp; forbrug'!$D264,'Forbrug af biomasse'!G:G,1,'Forbrug af biomasse'!B:B,$E264)</f>
        <v>0</v>
      </c>
      <c r="N264" s="205">
        <f t="shared" si="62"/>
        <v>7849.0843188425933</v>
      </c>
      <c r="O264" s="196">
        <f t="shared" si="75"/>
        <v>0</v>
      </c>
      <c r="P264" s="206">
        <f t="shared" si="63"/>
        <v>0</v>
      </c>
      <c r="Q264" s="193">
        <f>IFERROR(VLOOKUP(A264,[1]Energiindhold!$A$2:$C$11,3,FALSE),IFERROR(VLOOKUP(A264,[1]Biogasudbytte!$A$2:$B$18,2,FALSE)*[1]Energiindhold!$C$10,0))*O264</f>
        <v>0</v>
      </c>
      <c r="R264" s="193">
        <f>IF(A264&lt;&gt;"Biogas",IFERROR(VLOOKUP(A264,[1]Biogasudbytte!$A$2:$B$18,2,FALSE)*[1]Energiindhold!$C$10,0)*J264*IFERROR(VLOOKUP(A264,Biogasanlæg!$F$3:$G$8,2,FALSE),1)+IFERROR(VLOOKUP(A264,[1]Energiindhold!$A$2:$C$11,3,FALSE),0)*L264+IF(D264&lt;&gt;År1,Q264,0),0)</f>
        <v>0</v>
      </c>
      <c r="S264" s="193">
        <f>IFERROR(VLOOKUP(A264,[1]Biogasudbytte!$A$2:$B$18,2,FALSE)*[1]Energiindhold!$C$10,0)*J264*IFERROR(VLOOKUP(A264,Biogasanlæg!$F$3:$G$8,2,FALSE),1)</f>
        <v>0</v>
      </c>
      <c r="T264" s="194">
        <f t="shared" si="64"/>
        <v>0</v>
      </c>
      <c r="U264" s="192">
        <f>O264*IFERROR(VLOOKUP(A264,[1]Tørstofindhold!A$2:B$25,2,FALSE),0)</f>
        <v>0</v>
      </c>
      <c r="V264" s="193">
        <f>IF(D264=År1,P264,SUM(O264,P264))*IFERROR(VLOOKUP(A264,[1]Tørstofindhold!A$2:B$25,2,FALSE),0)</f>
        <v>0</v>
      </c>
      <c r="W264" s="193">
        <f>J264*IFERROR(VLOOKUP(A264,[1]Tørstofindhold!A$2:B$25,2,FALSE),0)</f>
        <v>0</v>
      </c>
      <c r="X264" s="194">
        <f t="shared" si="65"/>
        <v>0</v>
      </c>
      <c r="Y264" s="172">
        <f t="shared" si="76"/>
        <v>0</v>
      </c>
      <c r="Z264" s="104">
        <f t="shared" si="77"/>
        <v>1</v>
      </c>
    </row>
    <row r="265" spans="1:26" hidden="1" x14ac:dyDescent="0.55000000000000004">
      <c r="A265" s="195" t="str">
        <f t="shared" si="72"/>
        <v>Korn</v>
      </c>
      <c r="B265" s="195" t="str">
        <f t="shared" si="73"/>
        <v>Halm og strå</v>
      </c>
      <c r="C265" s="195">
        <f>IF(COUNTIFS('Resultater - Danmark'!$D$3:$D$482,'Resultat-Produktion &amp; forbrug'!A265,'Resultater - Danmark'!$A$3:$A$482,"Til energi")+COUNTIFS('Resultater - Danmark'!$D$3:$D$482,'Resultat-Produktion &amp; forbrug'!A265,'Resultater - Danmark'!$A$3:$A$482,"Biogasanlæg")&gt;0,1,0)</f>
        <v>1</v>
      </c>
      <c r="D265" s="195">
        <f t="shared" si="74"/>
        <v>2050</v>
      </c>
      <c r="E265" s="193" t="s">
        <v>24</v>
      </c>
      <c r="F265" s="196">
        <f>IF(E265="Vestdanmark",SUMIFS(IF(D265=År1,'Resultater - Vestdanmark'!H$3:H$482,IF(D265=År2,'Resultater - Vestdanmark'!I$3:I$482,'Resultater - Vestdanmark'!J$3:J$482)),'Resultater - Vestdanmark'!$F$3:$F$482,$A265,IF(D265=År1,'Resultater - Vestdanmark'!H$3:H$482,IF(D265=År2,'Resultater - Vestdanmark'!I$3:I$482,'Resultater - Vestdanmark'!J$3:J$482)),"&gt;0"),SUMIFS(IF(D265=År1,'Resultater - Østdanmark'!H$3:H$482,IF(D265=År2,'Resultater - Østdanmark'!I$3:I$482,'Resultater - Østdanmark'!J$3:J$482)),'Resultater - Østdanmark'!$F$3:$F$482,$A265,IF(D265=År1,'Resultater - Østdanmark'!H$3:H$482,IF(D265=År2,'Resultater - Østdanmark'!I$3:I$482,'Resultater - Østdanmark'!J$3:J$482)),"&gt;0"))</f>
        <v>2360239.3885877775</v>
      </c>
      <c r="G265" s="196">
        <f>SUMIFS('Forbrug af biomasse'!$E$2:$E$425,'Forbrug af biomasse'!$C$2:$C$425,'Resultat-Produktion &amp; forbrug'!$A265,'Forbrug af biomasse'!$D$2:$D$425,'Resultat-Produktion &amp; forbrug'!$D265,'Forbrug af biomasse'!$A$2:$A$425,'Resultat-Produktion &amp; forbrug'!G$2,'Forbrug af biomasse'!$B$2:$B$425,$E265)</f>
        <v>721621.60770550335</v>
      </c>
      <c r="H265" s="193">
        <f>IF(E265="Vestdanmark",-IF(A265="Halm",SUMIFS(IF(D265=År1,'Resultater - Vestdanmark'!H$3:H$482,IF(D265=År2,'Resultater - Vestdanmark'!I$3:I$482,'Resultater - Vestdanmark'!J$3:J$482)),'Resultater - Vestdanmark'!$F$3:$F$482,$A265,'Resultater - Vestdanmark'!H$3:H$482,"&lt;0"),0),-IF(A265="Halm",SUMIFS(IF(D265=År1,'Resultater - Østdanmark'!H$3:H$482,IF(D265=År2,'Resultater - Østdanmark'!I$3:I$482,'Resultater - Østdanmark'!J$3:J$482)),'Resultater - Østdanmark'!$F$3:$F$482,$A265,'Resultater - Østdanmark'!H$3:H$482,"&lt;0"),0))</f>
        <v>0</v>
      </c>
      <c r="I265" s="196">
        <f>SUMIFS('Forbrug af biomasse'!$E$2:$E$425,'Forbrug af biomasse'!$C$2:$C$425,'Resultat-Produktion &amp; forbrug'!$A265,'Forbrug af biomasse'!$D$2:$D$425,'Resultat-Produktion &amp; forbrug'!$D265,'Forbrug af biomasse'!$A$2:$A$425,'Resultat-Produktion &amp; forbrug'!I$2,'Forbrug af biomasse'!$B$2:$B$425,$E265)</f>
        <v>268249.01834925939</v>
      </c>
      <c r="J265" s="196">
        <f>SUMIFS('Forbrug af biomasse'!$E$2:$E$425,'Forbrug af biomasse'!$C$2:$C$425,'Resultat-Produktion &amp; forbrug'!$A265,'Forbrug af biomasse'!$D$2:$D$425,'Resultat-Produktion &amp; forbrug'!$D265,'Forbrug af biomasse'!$A$2:$A$425,'Resultat-Produktion &amp; forbrug'!J$2,'Forbrug af biomasse'!$B$2:$B$425,$E265)</f>
        <v>960.24397829585632</v>
      </c>
      <c r="K265" s="196">
        <f>SUMIFS('Forbrug af biomasse'!$E$2:$E$425,'Forbrug af biomasse'!$C$2:$C$425,'Resultat-Produktion &amp; forbrug'!$A265,'Forbrug af biomasse'!$D$2:$D$425,'Resultat-Produktion &amp; forbrug'!$D265,'Forbrug af biomasse'!$A$2:$A$425,'Resultat-Produktion &amp; forbrug'!K$2,'Forbrug af biomasse'!$B$2:$B$425,$E265)</f>
        <v>0</v>
      </c>
      <c r="L265" s="196">
        <f>IF(A265&lt;&gt;"Biogas",SUMIFS('Forbrug af biomasse'!$E$2:$E$425,'Forbrug af biomasse'!$C$2:$C$425,'Resultat-Produktion &amp; forbrug'!$A265,'Forbrug af biomasse'!$D$2:$D$425,'Resultat-Produktion &amp; forbrug'!$D265,'Forbrug af biomasse'!$A$2:$A$425,'Resultat-Produktion &amp; forbrug'!L$2,'Forbrug af biomasse'!$B$2:$B$425,$E265),F265)</f>
        <v>0</v>
      </c>
      <c r="M265" s="158">
        <f>SUMIFS('Forbrug af biomasse'!E:E,'Forbrug af biomasse'!C:C,'Resultat-Produktion &amp; forbrug'!$A265,'Forbrug af biomasse'!D:D,'Resultat-Produktion &amp; forbrug'!$D265,'Forbrug af biomasse'!G:G,1,'Forbrug af biomasse'!B:B,$E265)</f>
        <v>0</v>
      </c>
      <c r="N265" s="205">
        <f t="shared" si="62"/>
        <v>1369408.5185547189</v>
      </c>
      <c r="O265" s="196">
        <f t="shared" si="75"/>
        <v>1369408.5185547189</v>
      </c>
      <c r="P265" s="206">
        <f t="shared" si="63"/>
        <v>960.24397829585632</v>
      </c>
      <c r="Q265" s="193">
        <f>IFERROR(VLOOKUP(A265,[1]Energiindhold!$A$2:$C$11,3,FALSE),IFERROR(VLOOKUP(A265,[1]Biogasudbytte!$A$2:$B$18,2,FALSE)*[1]Energiindhold!$C$10,0))*O265</f>
        <v>4.6900324588573152</v>
      </c>
      <c r="R265" s="193">
        <f>IF(A265&lt;&gt;"Biogas",IFERROR(VLOOKUP(A265,[1]Biogasudbytte!$A$2:$B$18,2,FALSE)*[1]Energiindhold!$C$10,0)*J265*IFERROR(VLOOKUP(A265,Biogasanlæg!$F$3:$G$8,2,FALSE),1)+IFERROR(VLOOKUP(A265,[1]Energiindhold!$A$2:$C$11,3,FALSE),0)*L265+IF(D265&lt;&gt;År1,Q265,0),0)</f>
        <v>4.6933211600488214</v>
      </c>
      <c r="S265" s="193">
        <f>IFERROR(VLOOKUP(A265,[1]Biogasudbytte!$A$2:$B$18,2,FALSE)*[1]Energiindhold!$C$10,0)*J265*IFERROR(VLOOKUP(A265,Biogasanlæg!$F$3:$G$8,2,FALSE),1)</f>
        <v>3.288701191506347E-3</v>
      </c>
      <c r="T265" s="194">
        <f t="shared" si="64"/>
        <v>4.6900324588573152</v>
      </c>
      <c r="U265" s="192">
        <f>O265*IFERROR(VLOOKUP(A265,[1]Tørstofindhold!A$2:B$25,2,FALSE),0)</f>
        <v>424516.64075196284</v>
      </c>
      <c r="V265" s="193">
        <f>IF(D265=År1,P265,SUM(O265,P265))*IFERROR(VLOOKUP(A265,[1]Tørstofindhold!A$2:B$25,2,FALSE),0)</f>
        <v>424814.31638523459</v>
      </c>
      <c r="W265" s="193">
        <f>J265*IFERROR(VLOOKUP(A265,[1]Tørstofindhold!A$2:B$25,2,FALSE),0)</f>
        <v>297.67563327171547</v>
      </c>
      <c r="X265" s="194">
        <f t="shared" si="65"/>
        <v>424516.6407519629</v>
      </c>
      <c r="Y265" s="172">
        <f t="shared" si="76"/>
        <v>0</v>
      </c>
      <c r="Z265" s="104">
        <f t="shared" si="77"/>
        <v>1</v>
      </c>
    </row>
    <row r="266" spans="1:26" hidden="1" x14ac:dyDescent="0.55000000000000004">
      <c r="A266" s="195" t="str">
        <f t="shared" si="72"/>
        <v>Kunstgødning</v>
      </c>
      <c r="B266" s="195" t="str">
        <f t="shared" si="73"/>
        <v/>
      </c>
      <c r="C266" s="195">
        <f>IF(COUNTIFS('Resultater - Danmark'!$D$3:$D$482,'Resultat-Produktion &amp; forbrug'!A266,'Resultater - Danmark'!$A$3:$A$482,"Til energi")+COUNTIFS('Resultater - Danmark'!$D$3:$D$482,'Resultat-Produktion &amp; forbrug'!A266,'Resultater - Danmark'!$A$3:$A$482,"Biogasanlæg")&gt;0,1,0)</f>
        <v>0</v>
      </c>
      <c r="D266" s="195">
        <f t="shared" si="74"/>
        <v>2050</v>
      </c>
      <c r="E266" s="193" t="s">
        <v>24</v>
      </c>
      <c r="F266" s="196">
        <f>IF(E266="Vestdanmark",SUMIFS(IF(D266=År1,'Resultater - Vestdanmark'!H$3:H$482,IF(D266=År2,'Resultater - Vestdanmark'!I$3:I$482,'Resultater - Vestdanmark'!J$3:J$482)),'Resultater - Vestdanmark'!$F$3:$F$482,$A266,IF(D266=År1,'Resultater - Vestdanmark'!H$3:H$482,IF(D266=År2,'Resultater - Vestdanmark'!I$3:I$482,'Resultater - Vestdanmark'!J$3:J$482)),"&gt;0"),SUMIFS(IF(D266=År1,'Resultater - Østdanmark'!H$3:H$482,IF(D266=År2,'Resultater - Østdanmark'!I$3:I$482,'Resultater - Østdanmark'!J$3:J$482)),'Resultater - Østdanmark'!$F$3:$F$482,$A266,IF(D266=År1,'Resultater - Østdanmark'!H$3:H$482,IF(D266=År2,'Resultater - Østdanmark'!I$3:I$482,'Resultater - Østdanmark'!J$3:J$482)),"&gt;0"))</f>
        <v>0</v>
      </c>
      <c r="G266" s="196">
        <f>SUMIFS('Forbrug af biomasse'!$E$2:$E$425,'Forbrug af biomasse'!$C$2:$C$425,'Resultat-Produktion &amp; forbrug'!$A266,'Forbrug af biomasse'!$D$2:$D$425,'Resultat-Produktion &amp; forbrug'!$D266,'Forbrug af biomasse'!$A$2:$A$425,'Resultat-Produktion &amp; forbrug'!G$2,'Forbrug af biomasse'!$B$2:$B$425,$E266)</f>
        <v>0</v>
      </c>
      <c r="H266" s="193">
        <f>IF(E266="Vestdanmark",-IF(A266="Halm",SUMIFS(IF(D266=År1,'Resultater - Vestdanmark'!H$3:H$482,IF(D266=År2,'Resultater - Vestdanmark'!I$3:I$482,'Resultater - Vestdanmark'!J$3:J$482)),'Resultater - Vestdanmark'!$F$3:$F$482,$A266,'Resultater - Vestdanmark'!H$3:H$482,"&lt;0"),0),-IF(A266="Halm",SUMIFS(IF(D266=År1,'Resultater - Østdanmark'!H$3:H$482,IF(D266=År2,'Resultater - Østdanmark'!I$3:I$482,'Resultater - Østdanmark'!J$3:J$482)),'Resultater - Østdanmark'!$F$3:$F$482,$A266,'Resultater - Østdanmark'!H$3:H$482,"&lt;0"),0))</f>
        <v>0</v>
      </c>
      <c r="I266" s="196">
        <f>SUMIFS('Forbrug af biomasse'!$E$2:$E$425,'Forbrug af biomasse'!$C$2:$C$425,'Resultat-Produktion &amp; forbrug'!$A266,'Forbrug af biomasse'!$D$2:$D$425,'Resultat-Produktion &amp; forbrug'!$D266,'Forbrug af biomasse'!$A$2:$A$425,'Resultat-Produktion &amp; forbrug'!I$2,'Forbrug af biomasse'!$B$2:$B$425,$E266)</f>
        <v>0</v>
      </c>
      <c r="J266" s="196">
        <f>SUMIFS('Forbrug af biomasse'!$E$2:$E$425,'Forbrug af biomasse'!$C$2:$C$425,'Resultat-Produktion &amp; forbrug'!$A266,'Forbrug af biomasse'!$D$2:$D$425,'Resultat-Produktion &amp; forbrug'!$D266,'Forbrug af biomasse'!$A$2:$A$425,'Resultat-Produktion &amp; forbrug'!J$2,'Forbrug af biomasse'!$B$2:$B$425,$E266)</f>
        <v>0</v>
      </c>
      <c r="K266" s="196">
        <f ca="1">SUMIFS('Forbrug af biomasse'!$E$2:$E$425,'Forbrug af biomasse'!$C$2:$C$425,'Resultat-Produktion &amp; forbrug'!$A266,'Forbrug af biomasse'!$D$2:$D$425,'Resultat-Produktion &amp; forbrug'!$D266,'Forbrug af biomasse'!$A$2:$A$425,'Resultat-Produktion &amp; forbrug'!K$2,'Forbrug af biomasse'!$B$2:$B$425,$E266)</f>
        <v>362262.716942953</v>
      </c>
      <c r="L266" s="196">
        <f>IF(A266&lt;&gt;"Biogas",SUMIFS('Forbrug af biomasse'!$E$2:$E$425,'Forbrug af biomasse'!$C$2:$C$425,'Resultat-Produktion &amp; forbrug'!$A266,'Forbrug af biomasse'!$D$2:$D$425,'Resultat-Produktion &amp; forbrug'!$D266,'Forbrug af biomasse'!$A$2:$A$425,'Resultat-Produktion &amp; forbrug'!L$2,'Forbrug af biomasse'!$B$2:$B$425,$E266),F266)</f>
        <v>0</v>
      </c>
      <c r="M266" s="158">
        <f>SUMIFS('Forbrug af biomasse'!E:E,'Forbrug af biomasse'!C:C,'Resultat-Produktion &amp; forbrug'!$A266,'Forbrug af biomasse'!D:D,'Resultat-Produktion &amp; forbrug'!$D266,'Forbrug af biomasse'!G:G,1,'Forbrug af biomasse'!B:B,$E266)</f>
        <v>0</v>
      </c>
      <c r="N266" s="205">
        <f t="shared" ca="1" si="62"/>
        <v>-362262.716942953</v>
      </c>
      <c r="O266" s="196">
        <f t="shared" si="75"/>
        <v>0</v>
      </c>
      <c r="P266" s="206">
        <f t="shared" si="63"/>
        <v>0</v>
      </c>
      <c r="Q266" s="193">
        <f>IFERROR(VLOOKUP(A266,[1]Energiindhold!$A$2:$C$11,3,FALSE),IFERROR(VLOOKUP(A266,[1]Biogasudbytte!$A$2:$B$18,2,FALSE)*[1]Energiindhold!$C$10,0))*O266</f>
        <v>0</v>
      </c>
      <c r="R266" s="193">
        <f>IF(A266&lt;&gt;"Biogas",IFERROR(VLOOKUP(A266,[1]Biogasudbytte!$A$2:$B$18,2,FALSE)*[1]Energiindhold!$C$10,0)*J266*IFERROR(VLOOKUP(A266,Biogasanlæg!$F$3:$G$8,2,FALSE),1)+IFERROR(VLOOKUP(A266,[1]Energiindhold!$A$2:$C$11,3,FALSE),0)*L266+IF(D266&lt;&gt;År1,Q266,0),0)</f>
        <v>0</v>
      </c>
      <c r="S266" s="193">
        <f>IFERROR(VLOOKUP(A266,[1]Biogasudbytte!$A$2:$B$18,2,FALSE)*[1]Energiindhold!$C$10,0)*J266*IFERROR(VLOOKUP(A266,Biogasanlæg!$F$3:$G$8,2,FALSE),1)</f>
        <v>0</v>
      </c>
      <c r="T266" s="194">
        <f t="shared" si="64"/>
        <v>0</v>
      </c>
      <c r="U266" s="192">
        <f>O266*IFERROR(VLOOKUP(A266,[1]Tørstofindhold!A$2:B$25,2,FALSE),0)</f>
        <v>0</v>
      </c>
      <c r="V266" s="193">
        <f>IF(D266=År1,P266,SUM(O266,P266))*IFERROR(VLOOKUP(A266,[1]Tørstofindhold!A$2:B$25,2,FALSE),0)</f>
        <v>0</v>
      </c>
      <c r="W266" s="193">
        <f>J266*IFERROR(VLOOKUP(A266,[1]Tørstofindhold!A$2:B$25,2,FALSE),0)</f>
        <v>0</v>
      </c>
      <c r="X266" s="194">
        <f t="shared" si="65"/>
        <v>0</v>
      </c>
      <c r="Y266" s="172">
        <f t="shared" ca="1" si="76"/>
        <v>1</v>
      </c>
      <c r="Z266" s="104">
        <f t="shared" ca="1" si="77"/>
        <v>0</v>
      </c>
    </row>
    <row r="267" spans="1:26" hidden="1" x14ac:dyDescent="0.55000000000000004">
      <c r="A267" s="195" t="str">
        <f t="shared" si="72"/>
        <v>Kvæggylle</v>
      </c>
      <c r="B267" s="195" t="str">
        <f t="shared" si="73"/>
        <v>Husdyrgødning</v>
      </c>
      <c r="C267" s="195">
        <f>IF(COUNTIFS('Resultater - Danmark'!$D$3:$D$482,'Resultat-Produktion &amp; forbrug'!A267,'Resultater - Danmark'!$A$3:$A$482,"Til energi")+COUNTIFS('Resultater - Danmark'!$D$3:$D$482,'Resultat-Produktion &amp; forbrug'!A267,'Resultater - Danmark'!$A$3:$A$482,"Biogasanlæg")&gt;0,1,0)</f>
        <v>1</v>
      </c>
      <c r="D267" s="195">
        <f t="shared" si="74"/>
        <v>2050</v>
      </c>
      <c r="E267" s="193" t="s">
        <v>24</v>
      </c>
      <c r="F267" s="196">
        <f>IF(E267="Vestdanmark",SUMIFS(IF(D267=År1,'Resultater - Vestdanmark'!H$3:H$482,IF(D267=År2,'Resultater - Vestdanmark'!I$3:I$482,'Resultater - Vestdanmark'!J$3:J$482)),'Resultater - Vestdanmark'!$F$3:$F$482,$A267,IF(D267=År1,'Resultater - Vestdanmark'!H$3:H$482,IF(D267=År2,'Resultater - Vestdanmark'!I$3:I$482,'Resultater - Vestdanmark'!J$3:J$482)),"&gt;0"),SUMIFS(IF(D267=År1,'Resultater - Østdanmark'!H$3:H$482,IF(D267=År2,'Resultater - Østdanmark'!I$3:I$482,'Resultater - Østdanmark'!J$3:J$482)),'Resultater - Østdanmark'!$F$3:$F$482,$A267,IF(D267=År1,'Resultater - Østdanmark'!H$3:H$482,IF(D267=År2,'Resultater - Østdanmark'!I$3:I$482,'Resultater - Østdanmark'!J$3:J$482)),"&gt;0"))</f>
        <v>905156.40673249087</v>
      </c>
      <c r="G267" s="196">
        <f>SUMIFS('Forbrug af biomasse'!$E$2:$E$425,'Forbrug af biomasse'!$C$2:$C$425,'Resultat-Produktion &amp; forbrug'!$A267,'Forbrug af biomasse'!$D$2:$D$425,'Resultat-Produktion &amp; forbrug'!$D267,'Forbrug af biomasse'!$A$2:$A$425,'Resultat-Produktion &amp; forbrug'!G$2,'Forbrug af biomasse'!$B$2:$B$425,$E267)</f>
        <v>0</v>
      </c>
      <c r="H267" s="193">
        <f>IF(E267="Vestdanmark",-IF(A267="Halm",SUMIFS(IF(D267=År1,'Resultater - Vestdanmark'!H$3:H$482,IF(D267=År2,'Resultater - Vestdanmark'!I$3:I$482,'Resultater - Vestdanmark'!J$3:J$482)),'Resultater - Vestdanmark'!$F$3:$F$482,$A267,'Resultater - Vestdanmark'!H$3:H$482,"&lt;0"),0),-IF(A267="Halm",SUMIFS(IF(D267=År1,'Resultater - Østdanmark'!H$3:H$482,IF(D267=År2,'Resultater - Østdanmark'!I$3:I$482,'Resultater - Østdanmark'!J$3:J$482)),'Resultater - Østdanmark'!$F$3:$F$482,$A267,'Resultater - Østdanmark'!H$3:H$482,"&lt;0"),0))</f>
        <v>0</v>
      </c>
      <c r="I267" s="196">
        <f>SUMIFS('Forbrug af biomasse'!$E$2:$E$425,'Forbrug af biomasse'!$C$2:$C$425,'Resultat-Produktion &amp; forbrug'!$A267,'Forbrug af biomasse'!$D$2:$D$425,'Resultat-Produktion &amp; forbrug'!$D267,'Forbrug af biomasse'!$A$2:$A$425,'Resultat-Produktion &amp; forbrug'!I$2,'Forbrug af biomasse'!$B$2:$B$425,$E267)</f>
        <v>0</v>
      </c>
      <c r="J267" s="196">
        <f>SUMIFS('Forbrug af biomasse'!$E$2:$E$425,'Forbrug af biomasse'!$C$2:$C$425,'Resultat-Produktion &amp; forbrug'!$A267,'Forbrug af biomasse'!$D$2:$D$425,'Resultat-Produktion &amp; forbrug'!$D267,'Forbrug af biomasse'!$A$2:$A$425,'Resultat-Produktion &amp; forbrug'!J$2,'Forbrug af biomasse'!$B$2:$B$425,$E267)</f>
        <v>687918.86911669304</v>
      </c>
      <c r="K267" s="196">
        <f>SUMIFS('Forbrug af biomasse'!$E$2:$E$425,'Forbrug af biomasse'!$C$2:$C$425,'Resultat-Produktion &amp; forbrug'!$A267,'Forbrug af biomasse'!$D$2:$D$425,'Resultat-Produktion &amp; forbrug'!$D267,'Forbrug af biomasse'!$A$2:$A$425,'Resultat-Produktion &amp; forbrug'!K$2,'Forbrug af biomasse'!$B$2:$B$425,$E267)</f>
        <v>143919.86867046604</v>
      </c>
      <c r="L267" s="196">
        <f>IF(A267&lt;&gt;"Biogas",SUMIFS('Forbrug af biomasse'!$E$2:$E$425,'Forbrug af biomasse'!$C$2:$C$425,'Resultat-Produktion &amp; forbrug'!$A267,'Forbrug af biomasse'!$D$2:$D$425,'Resultat-Produktion &amp; forbrug'!$D267,'Forbrug af biomasse'!$A$2:$A$425,'Resultat-Produktion &amp; forbrug'!L$2,'Forbrug af biomasse'!$B$2:$B$425,$E267),F267)</f>
        <v>0</v>
      </c>
      <c r="M267" s="158">
        <f>SUMIFS('Forbrug af biomasse'!E:E,'Forbrug af biomasse'!C:C,'Resultat-Produktion &amp; forbrug'!$A267,'Forbrug af biomasse'!D:D,'Resultat-Produktion &amp; forbrug'!$D267,'Forbrug af biomasse'!G:G,1,'Forbrug af biomasse'!B:B,$E267)</f>
        <v>0</v>
      </c>
      <c r="N267" s="205">
        <f t="shared" si="62"/>
        <v>73317.668945331825</v>
      </c>
      <c r="O267" s="196">
        <f t="shared" si="75"/>
        <v>73317.668945331825</v>
      </c>
      <c r="P267" s="206">
        <f t="shared" si="63"/>
        <v>687918.86911669304</v>
      </c>
      <c r="Q267" s="193">
        <f>IFERROR(VLOOKUP(A267,[1]Energiindhold!$A$2:$C$11,3,FALSE),IFERROR(VLOOKUP(A267,[1]Biogasudbytte!$A$2:$B$18,2,FALSE)*[1]Energiindhold!$C$10,0))*O267</f>
        <v>3.7112670843437522E-2</v>
      </c>
      <c r="R267" s="193">
        <f>IF(A267&lt;&gt;"Biogas",IFERROR(VLOOKUP(A267,[1]Biogasudbytte!$A$2:$B$18,2,FALSE)*[1]Energiindhold!$C$10,0)*J267*IFERROR(VLOOKUP(A267,Biogasanlæg!$F$3:$G$8,2,FALSE),1)+IFERROR(VLOOKUP(A267,[1]Energiindhold!$A$2:$C$11,3,FALSE),0)*L267+IF(D267&lt;&gt;År1,Q267,0),0)</f>
        <v>0.38533032320161636</v>
      </c>
      <c r="S267" s="193">
        <f>IFERROR(VLOOKUP(A267,[1]Biogasudbytte!$A$2:$B$18,2,FALSE)*[1]Energiindhold!$C$10,0)*J267*IFERROR(VLOOKUP(A267,Biogasanlæg!$F$3:$G$8,2,FALSE),1)</f>
        <v>0.34821765235817886</v>
      </c>
      <c r="T267" s="194">
        <f t="shared" si="64"/>
        <v>3.7112670843437501E-2</v>
      </c>
      <c r="U267" s="192">
        <f>O267*IFERROR(VLOOKUP(A267,[1]Tørstofindhold!A$2:B$25,2,FALSE),0)</f>
        <v>5572.142839845219</v>
      </c>
      <c r="V267" s="193">
        <f>IF(D267=År1,P267,SUM(O267,P267))*IFERROR(VLOOKUP(A267,[1]Tørstofindhold!A$2:B$25,2,FALSE),0)</f>
        <v>57853.976892713887</v>
      </c>
      <c r="W267" s="193">
        <f>J267*IFERROR(VLOOKUP(A267,[1]Tørstofindhold!A$2:B$25,2,FALSE),0)</f>
        <v>52281.834052868668</v>
      </c>
      <c r="X267" s="194">
        <f t="shared" si="65"/>
        <v>5572.142839845219</v>
      </c>
      <c r="Y267" s="172">
        <f t="shared" si="76"/>
        <v>0</v>
      </c>
      <c r="Z267" s="104">
        <f t="shared" si="77"/>
        <v>1</v>
      </c>
    </row>
    <row r="268" spans="1:26" hidden="1" x14ac:dyDescent="0.55000000000000004">
      <c r="A268" s="195" t="str">
        <f t="shared" si="72"/>
        <v>Mælk til foder</v>
      </c>
      <c r="B268" s="195" t="str">
        <f t="shared" si="73"/>
        <v/>
      </c>
      <c r="C268" s="195">
        <f>IF(COUNTIFS('Resultater - Danmark'!$D$3:$D$482,'Resultat-Produktion &amp; forbrug'!A268,'Resultater - Danmark'!$A$3:$A$482,"Til energi")+COUNTIFS('Resultater - Danmark'!$D$3:$D$482,'Resultat-Produktion &amp; forbrug'!A268,'Resultater - Danmark'!$A$3:$A$482,"Biogasanlæg")&gt;0,1,0)</f>
        <v>0</v>
      </c>
      <c r="D268" s="195">
        <f t="shared" si="74"/>
        <v>2050</v>
      </c>
      <c r="E268" s="193" t="s">
        <v>24</v>
      </c>
      <c r="F268" s="196">
        <f>IF(E268="Vestdanmark",SUMIFS(IF(D268=År1,'Resultater - Vestdanmark'!H$3:H$482,IF(D268=År2,'Resultater - Vestdanmark'!I$3:I$482,'Resultater - Vestdanmark'!J$3:J$482)),'Resultater - Vestdanmark'!$F$3:$F$482,$A268,IF(D268=År1,'Resultater - Vestdanmark'!H$3:H$482,IF(D268=År2,'Resultater - Vestdanmark'!I$3:I$482,'Resultater - Vestdanmark'!J$3:J$482)),"&gt;0"),SUMIFS(IF(D268=År1,'Resultater - Østdanmark'!H$3:H$482,IF(D268=År2,'Resultater - Østdanmark'!I$3:I$482,'Resultater - Østdanmark'!J$3:J$482)),'Resultater - Østdanmark'!$F$3:$F$482,$A268,IF(D268=År1,'Resultater - Østdanmark'!H$3:H$482,IF(D268=År2,'Resultater - Østdanmark'!I$3:I$482,'Resultater - Østdanmark'!J$3:J$482)),"&gt;0"))</f>
        <v>113070.46736338305</v>
      </c>
      <c r="G268" s="196">
        <f>SUMIFS('Forbrug af biomasse'!$E$2:$E$425,'Forbrug af biomasse'!$C$2:$C$425,'Resultat-Produktion &amp; forbrug'!$A268,'Forbrug af biomasse'!$D$2:$D$425,'Resultat-Produktion &amp; forbrug'!$D268,'Forbrug af biomasse'!$A$2:$A$425,'Resultat-Produktion &amp; forbrug'!G$2,'Forbrug af biomasse'!$B$2:$B$425,$E268)</f>
        <v>186040.49371289223</v>
      </c>
      <c r="H268" s="193">
        <f>IF(E268="Vestdanmark",-IF(A268="Halm",SUMIFS(IF(D268=År1,'Resultater - Vestdanmark'!H$3:H$482,IF(D268=År2,'Resultater - Vestdanmark'!I$3:I$482,'Resultater - Vestdanmark'!J$3:J$482)),'Resultater - Vestdanmark'!$F$3:$F$482,$A268,'Resultater - Vestdanmark'!H$3:H$482,"&lt;0"),0),-IF(A268="Halm",SUMIFS(IF(D268=År1,'Resultater - Østdanmark'!H$3:H$482,IF(D268=År2,'Resultater - Østdanmark'!I$3:I$482,'Resultater - Østdanmark'!J$3:J$482)),'Resultater - Østdanmark'!$F$3:$F$482,$A268,'Resultater - Østdanmark'!H$3:H$482,"&lt;0"),0))</f>
        <v>0</v>
      </c>
      <c r="I268" s="196">
        <f>SUMIFS('Forbrug af biomasse'!$E$2:$E$425,'Forbrug af biomasse'!$C$2:$C$425,'Resultat-Produktion &amp; forbrug'!$A268,'Forbrug af biomasse'!$D$2:$D$425,'Resultat-Produktion &amp; forbrug'!$D268,'Forbrug af biomasse'!$A$2:$A$425,'Resultat-Produktion &amp; forbrug'!I$2,'Forbrug af biomasse'!$B$2:$B$425,$E268)</f>
        <v>0</v>
      </c>
      <c r="J268" s="196">
        <f>SUMIFS('Forbrug af biomasse'!$E$2:$E$425,'Forbrug af biomasse'!$C$2:$C$425,'Resultat-Produktion &amp; forbrug'!$A268,'Forbrug af biomasse'!$D$2:$D$425,'Resultat-Produktion &amp; forbrug'!$D268,'Forbrug af biomasse'!$A$2:$A$425,'Resultat-Produktion &amp; forbrug'!J$2,'Forbrug af biomasse'!$B$2:$B$425,$E268)</f>
        <v>0</v>
      </c>
      <c r="K268" s="196">
        <f>SUMIFS('Forbrug af biomasse'!$E$2:$E$425,'Forbrug af biomasse'!$C$2:$C$425,'Resultat-Produktion &amp; forbrug'!$A268,'Forbrug af biomasse'!$D$2:$D$425,'Resultat-Produktion &amp; forbrug'!$D268,'Forbrug af biomasse'!$A$2:$A$425,'Resultat-Produktion &amp; forbrug'!K$2,'Forbrug af biomasse'!$B$2:$B$425,$E268)</f>
        <v>0</v>
      </c>
      <c r="L268" s="196">
        <f>IF(A268&lt;&gt;"Biogas",SUMIFS('Forbrug af biomasse'!$E$2:$E$425,'Forbrug af biomasse'!$C$2:$C$425,'Resultat-Produktion &amp; forbrug'!$A268,'Forbrug af biomasse'!$D$2:$D$425,'Resultat-Produktion &amp; forbrug'!$D268,'Forbrug af biomasse'!$A$2:$A$425,'Resultat-Produktion &amp; forbrug'!L$2,'Forbrug af biomasse'!$B$2:$B$425,$E268),F268)</f>
        <v>0</v>
      </c>
      <c r="M268" s="158">
        <f>SUMIFS('Forbrug af biomasse'!E:E,'Forbrug af biomasse'!C:C,'Resultat-Produktion &amp; forbrug'!$A268,'Forbrug af biomasse'!D:D,'Resultat-Produktion &amp; forbrug'!$D268,'Forbrug af biomasse'!G:G,1,'Forbrug af biomasse'!B:B,$E268)</f>
        <v>0</v>
      </c>
      <c r="N268" s="205">
        <f t="shared" si="62"/>
        <v>-72970.026349509179</v>
      </c>
      <c r="O268" s="196">
        <f t="shared" si="75"/>
        <v>0</v>
      </c>
      <c r="P268" s="206">
        <f t="shared" si="63"/>
        <v>0</v>
      </c>
      <c r="Q268" s="193">
        <f>IFERROR(VLOOKUP(A268,[1]Energiindhold!$A$2:$C$11,3,FALSE),IFERROR(VLOOKUP(A268,[1]Biogasudbytte!$A$2:$B$18,2,FALSE)*[1]Energiindhold!$C$10,0))*O268</f>
        <v>0</v>
      </c>
      <c r="R268" s="193">
        <f>IF(A268&lt;&gt;"Biogas",IFERROR(VLOOKUP(A268,[1]Biogasudbytte!$A$2:$B$18,2,FALSE)*[1]Energiindhold!$C$10,0)*J268*IFERROR(VLOOKUP(A268,Biogasanlæg!$F$3:$G$8,2,FALSE),1)+IFERROR(VLOOKUP(A268,[1]Energiindhold!$A$2:$C$11,3,FALSE),0)*L268+IF(D268&lt;&gt;År1,Q268,0),0)</f>
        <v>0</v>
      </c>
      <c r="S268" s="193">
        <f>IFERROR(VLOOKUP(A268,[1]Biogasudbytte!$A$2:$B$18,2,FALSE)*[1]Energiindhold!$C$10,0)*J268*IFERROR(VLOOKUP(A268,Biogasanlæg!$F$3:$G$8,2,FALSE),1)</f>
        <v>0</v>
      </c>
      <c r="T268" s="194">
        <f t="shared" si="64"/>
        <v>0</v>
      </c>
      <c r="U268" s="192">
        <f>O268*IFERROR(VLOOKUP(A268,[1]Tørstofindhold!A$2:B$25,2,FALSE),0)</f>
        <v>0</v>
      </c>
      <c r="V268" s="193">
        <f>IF(D268=År1,P268,SUM(O268,P268))*IFERROR(VLOOKUP(A268,[1]Tørstofindhold!A$2:B$25,2,FALSE),0)</f>
        <v>0</v>
      </c>
      <c r="W268" s="193">
        <f>J268*IFERROR(VLOOKUP(A268,[1]Tørstofindhold!A$2:B$25,2,FALSE),0)</f>
        <v>0</v>
      </c>
      <c r="X268" s="194">
        <f t="shared" si="65"/>
        <v>0</v>
      </c>
      <c r="Y268" s="172">
        <f t="shared" si="76"/>
        <v>0</v>
      </c>
      <c r="Z268" s="104">
        <f t="shared" si="77"/>
        <v>1</v>
      </c>
    </row>
    <row r="269" spans="1:26" hidden="1" x14ac:dyDescent="0.55000000000000004">
      <c r="A269" s="195" t="str">
        <f t="shared" si="72"/>
        <v>Majs</v>
      </c>
      <c r="B269" s="195" t="str">
        <f t="shared" si="73"/>
        <v>Græs og urter</v>
      </c>
      <c r="C269" s="195">
        <f>IF(COUNTIFS('Resultater - Danmark'!$D$3:$D$482,'Resultat-Produktion &amp; forbrug'!A269,'Resultater - Danmark'!$A$3:$A$482,"Til energi")+COUNTIFS('Resultater - Danmark'!$D$3:$D$482,'Resultat-Produktion &amp; forbrug'!A269,'Resultater - Danmark'!$A$3:$A$482,"Biogasanlæg")&gt;0,1,0)</f>
        <v>1</v>
      </c>
      <c r="D269" s="195">
        <f t="shared" si="74"/>
        <v>2050</v>
      </c>
      <c r="E269" s="193" t="s">
        <v>24</v>
      </c>
      <c r="F269" s="196">
        <f>IF(E269="Vestdanmark",SUMIFS(IF(D269=År1,'Resultater - Vestdanmark'!H$3:H$482,IF(D269=År2,'Resultater - Vestdanmark'!I$3:I$482,'Resultater - Vestdanmark'!J$3:J$482)),'Resultater - Vestdanmark'!$F$3:$F$482,$A269,IF(D269=År1,'Resultater - Vestdanmark'!H$3:H$482,IF(D269=År2,'Resultater - Vestdanmark'!I$3:I$482,'Resultater - Vestdanmark'!J$3:J$482)),"&gt;0"),SUMIFS(IF(D269=År1,'Resultater - Østdanmark'!H$3:H$482,IF(D269=År2,'Resultater - Østdanmark'!I$3:I$482,'Resultater - Østdanmark'!J$3:J$482)),'Resultater - Østdanmark'!$F$3:$F$482,$A269,IF(D269=År1,'Resultater - Østdanmark'!H$3:H$482,IF(D269=År2,'Resultater - Østdanmark'!I$3:I$482,'Resultater - Østdanmark'!J$3:J$482)),"&gt;0"))</f>
        <v>383747.87380717852</v>
      </c>
      <c r="G269" s="196">
        <f>SUMIFS('Forbrug af biomasse'!$E$2:$E$425,'Forbrug af biomasse'!$C$2:$C$425,'Resultat-Produktion &amp; forbrug'!$A269,'Forbrug af biomasse'!$D$2:$D$425,'Resultat-Produktion &amp; forbrug'!$D269,'Forbrug af biomasse'!$A$2:$A$425,'Resultat-Produktion &amp; forbrug'!G$2,'Forbrug af biomasse'!$B$2:$B$425,$E269)</f>
        <v>694353.2611092875</v>
      </c>
      <c r="H269" s="193">
        <f>IF(E269="Vestdanmark",-IF(A269="Halm",SUMIFS(IF(D269=År1,'Resultater - Vestdanmark'!H$3:H$482,IF(D269=År2,'Resultater - Vestdanmark'!I$3:I$482,'Resultater - Vestdanmark'!J$3:J$482)),'Resultater - Vestdanmark'!$F$3:$F$482,$A269,'Resultater - Vestdanmark'!H$3:H$482,"&lt;0"),0),-IF(A269="Halm",SUMIFS(IF(D269=År1,'Resultater - Østdanmark'!H$3:H$482,IF(D269=År2,'Resultater - Østdanmark'!I$3:I$482,'Resultater - Østdanmark'!J$3:J$482)),'Resultater - Østdanmark'!$F$3:$F$482,$A269,'Resultater - Østdanmark'!H$3:H$482,"&lt;0"),0))</f>
        <v>0</v>
      </c>
      <c r="I269" s="196">
        <f>SUMIFS('Forbrug af biomasse'!$E$2:$E$425,'Forbrug af biomasse'!$C$2:$C$425,'Resultat-Produktion &amp; forbrug'!$A269,'Forbrug af biomasse'!$D$2:$D$425,'Resultat-Produktion &amp; forbrug'!$D269,'Forbrug af biomasse'!$A$2:$A$425,'Resultat-Produktion &amp; forbrug'!I$2,'Forbrug af biomasse'!$B$2:$B$425,$E269)</f>
        <v>0</v>
      </c>
      <c r="J269" s="196">
        <f>SUMIFS('Forbrug af biomasse'!$E$2:$E$425,'Forbrug af biomasse'!$C$2:$C$425,'Resultat-Produktion &amp; forbrug'!$A269,'Forbrug af biomasse'!$D$2:$D$425,'Resultat-Produktion &amp; forbrug'!$D269,'Forbrug af biomasse'!$A$2:$A$425,'Resultat-Produktion &amp; forbrug'!J$2,'Forbrug af biomasse'!$B$2:$B$425,$E269)</f>
        <v>15500.875420530891</v>
      </c>
      <c r="K269" s="196">
        <f>SUMIFS('Forbrug af biomasse'!$E$2:$E$425,'Forbrug af biomasse'!$C$2:$C$425,'Resultat-Produktion &amp; forbrug'!$A269,'Forbrug af biomasse'!$D$2:$D$425,'Resultat-Produktion &amp; forbrug'!$D269,'Forbrug af biomasse'!$A$2:$A$425,'Resultat-Produktion &amp; forbrug'!K$2,'Forbrug af biomasse'!$B$2:$B$425,$E269)</f>
        <v>0</v>
      </c>
      <c r="L269" s="196">
        <f>IF(A269&lt;&gt;"Biogas",SUMIFS('Forbrug af biomasse'!$E$2:$E$425,'Forbrug af biomasse'!$C$2:$C$425,'Resultat-Produktion &amp; forbrug'!$A269,'Forbrug af biomasse'!$D$2:$D$425,'Resultat-Produktion &amp; forbrug'!$D269,'Forbrug af biomasse'!$A$2:$A$425,'Resultat-Produktion &amp; forbrug'!L$2,'Forbrug af biomasse'!$B$2:$B$425,$E269),F269)</f>
        <v>0</v>
      </c>
      <c r="M269" s="158">
        <f>SUMIFS('Forbrug af biomasse'!E:E,'Forbrug af biomasse'!C:C,'Resultat-Produktion &amp; forbrug'!$A269,'Forbrug af biomasse'!D:D,'Resultat-Produktion &amp; forbrug'!$D269,'Forbrug af biomasse'!G:G,1,'Forbrug af biomasse'!B:B,$E269)</f>
        <v>0</v>
      </c>
      <c r="N269" s="205">
        <f t="shared" si="62"/>
        <v>-326106.26272263989</v>
      </c>
      <c r="O269" s="196">
        <f t="shared" si="75"/>
        <v>0</v>
      </c>
      <c r="P269" s="206">
        <f t="shared" si="63"/>
        <v>15500.875420530891</v>
      </c>
      <c r="Q269" s="193">
        <f>IFERROR(VLOOKUP(A269,[1]Energiindhold!$A$2:$C$11,3,FALSE),IFERROR(VLOOKUP(A269,[1]Biogasudbytte!$A$2:$B$18,2,FALSE)*[1]Energiindhold!$C$10,0))*O269</f>
        <v>0</v>
      </c>
      <c r="R269" s="193">
        <f>IF(A269&lt;&gt;"Biogas",IFERROR(VLOOKUP(A269,[1]Biogasudbytte!$A$2:$B$18,2,FALSE)*[1]Energiindhold!$C$10,0)*J269*IFERROR(VLOOKUP(A269,Biogasanlæg!$F$3:$G$8,2,FALSE),1)+IFERROR(VLOOKUP(A269,[1]Energiindhold!$A$2:$C$11,3,FALSE),0)*L269+IF(D269&lt;&gt;År1,Q269,0),0)</f>
        <v>5.56481427597059E-2</v>
      </c>
      <c r="S269" s="193">
        <f>IFERROR(VLOOKUP(A269,[1]Biogasudbytte!$A$2:$B$18,2,FALSE)*[1]Energiindhold!$C$10,0)*J269*IFERROR(VLOOKUP(A269,Biogasanlæg!$F$3:$G$8,2,FALSE),1)</f>
        <v>5.56481427597059E-2</v>
      </c>
      <c r="T269" s="194">
        <f t="shared" si="64"/>
        <v>0</v>
      </c>
      <c r="U269" s="192">
        <f>O269*IFERROR(VLOOKUP(A269,[1]Tørstofindhold!A$2:B$25,2,FALSE),0)</f>
        <v>0</v>
      </c>
      <c r="V269" s="193">
        <f>IF(D269=År1,P269,SUM(O269,P269))*IFERROR(VLOOKUP(A269,[1]Tørstofindhold!A$2:B$25,2,FALSE),0)</f>
        <v>4650.2626261592668</v>
      </c>
      <c r="W269" s="193">
        <f>J269*IFERROR(VLOOKUP(A269,[1]Tørstofindhold!A$2:B$25,2,FALSE),0)</f>
        <v>4650.2626261592668</v>
      </c>
      <c r="X269" s="194">
        <f t="shared" si="65"/>
        <v>0</v>
      </c>
      <c r="Y269" s="172">
        <f t="shared" si="76"/>
        <v>0</v>
      </c>
      <c r="Z269" s="104">
        <f t="shared" si="77"/>
        <v>1</v>
      </c>
    </row>
    <row r="270" spans="1:26" hidden="1" x14ac:dyDescent="0.55000000000000004">
      <c r="A270" s="195" t="str">
        <f t="shared" si="72"/>
        <v>Mejeriprodukter</v>
      </c>
      <c r="B270" s="195" t="str">
        <f t="shared" si="73"/>
        <v/>
      </c>
      <c r="C270" s="195">
        <f>IF(COUNTIFS('Resultater - Danmark'!$D$3:$D$482,'Resultat-Produktion &amp; forbrug'!A270,'Resultater - Danmark'!$A$3:$A$482,"Til energi")+COUNTIFS('Resultater - Danmark'!$D$3:$D$482,'Resultat-Produktion &amp; forbrug'!A270,'Resultater - Danmark'!$A$3:$A$482,"Biogasanlæg")&gt;0,1,0)</f>
        <v>0</v>
      </c>
      <c r="D270" s="195">
        <f t="shared" si="74"/>
        <v>2050</v>
      </c>
      <c r="E270" s="193" t="s">
        <v>24</v>
      </c>
      <c r="F270" s="196">
        <f>IF(E270="Vestdanmark",SUMIFS(IF(D270=År1,'Resultater - Vestdanmark'!H$3:H$482,IF(D270=År2,'Resultater - Vestdanmark'!I$3:I$482,'Resultater - Vestdanmark'!J$3:J$482)),'Resultater - Vestdanmark'!$F$3:$F$482,$A270,IF(D270=År1,'Resultater - Vestdanmark'!H$3:H$482,IF(D270=År2,'Resultater - Vestdanmark'!I$3:I$482,'Resultater - Vestdanmark'!J$3:J$482)),"&gt;0"),SUMIFS(IF(D270=År1,'Resultater - Østdanmark'!H$3:H$482,IF(D270=År2,'Resultater - Østdanmark'!I$3:I$482,'Resultater - Østdanmark'!J$3:J$482)),'Resultater - Østdanmark'!$F$3:$F$482,$A270,IF(D270=År1,'Resultater - Østdanmark'!H$3:H$482,IF(D270=År2,'Resultater - Østdanmark'!I$3:I$482,'Resultater - Østdanmark'!J$3:J$482)),"&gt;0"))</f>
        <v>218167.31964379738</v>
      </c>
      <c r="G270" s="196">
        <f>SUMIFS('Forbrug af biomasse'!$E$2:$E$425,'Forbrug af biomasse'!$C$2:$C$425,'Resultat-Produktion &amp; forbrug'!$A270,'Forbrug af biomasse'!$D$2:$D$425,'Resultat-Produktion &amp; forbrug'!$D270,'Forbrug af biomasse'!$A$2:$A$425,'Resultat-Produktion &amp; forbrug'!G$2,'Forbrug af biomasse'!$B$2:$B$425,$E270)</f>
        <v>0</v>
      </c>
      <c r="H270" s="193">
        <f>IF(E270="Vestdanmark",-IF(A270="Halm",SUMIFS(IF(D270=År1,'Resultater - Vestdanmark'!H$3:H$482,IF(D270=År2,'Resultater - Vestdanmark'!I$3:I$482,'Resultater - Vestdanmark'!J$3:J$482)),'Resultater - Vestdanmark'!$F$3:$F$482,$A270,'Resultater - Vestdanmark'!H$3:H$482,"&lt;0"),0),-IF(A270="Halm",SUMIFS(IF(D270=År1,'Resultater - Østdanmark'!H$3:H$482,IF(D270=År2,'Resultater - Østdanmark'!I$3:I$482,'Resultater - Østdanmark'!J$3:J$482)),'Resultater - Østdanmark'!$F$3:$F$482,$A270,'Resultater - Østdanmark'!H$3:H$482,"&lt;0"),0))</f>
        <v>0</v>
      </c>
      <c r="I270" s="196">
        <f>SUMIFS('Forbrug af biomasse'!$E$2:$E$425,'Forbrug af biomasse'!$C$2:$C$425,'Resultat-Produktion &amp; forbrug'!$A270,'Forbrug af biomasse'!$D$2:$D$425,'Resultat-Produktion &amp; forbrug'!$D270,'Forbrug af biomasse'!$A$2:$A$425,'Resultat-Produktion &amp; forbrug'!I$2,'Forbrug af biomasse'!$B$2:$B$425,$E270)</f>
        <v>428214.02929147833</v>
      </c>
      <c r="J270" s="196">
        <f>SUMIFS('Forbrug af biomasse'!$E$2:$E$425,'Forbrug af biomasse'!$C$2:$C$425,'Resultat-Produktion &amp; forbrug'!$A270,'Forbrug af biomasse'!$D$2:$D$425,'Resultat-Produktion &amp; forbrug'!$D270,'Forbrug af biomasse'!$A$2:$A$425,'Resultat-Produktion &amp; forbrug'!J$2,'Forbrug af biomasse'!$B$2:$B$425,$E270)</f>
        <v>0</v>
      </c>
      <c r="K270" s="196">
        <f>SUMIFS('Forbrug af biomasse'!$E$2:$E$425,'Forbrug af biomasse'!$C$2:$C$425,'Resultat-Produktion &amp; forbrug'!$A270,'Forbrug af biomasse'!$D$2:$D$425,'Resultat-Produktion &amp; forbrug'!$D270,'Forbrug af biomasse'!$A$2:$A$425,'Resultat-Produktion &amp; forbrug'!K$2,'Forbrug af biomasse'!$B$2:$B$425,$E270)</f>
        <v>0</v>
      </c>
      <c r="L270" s="196">
        <f>IF(A270&lt;&gt;"Biogas",SUMIFS('Forbrug af biomasse'!$E$2:$E$425,'Forbrug af biomasse'!$C$2:$C$425,'Resultat-Produktion &amp; forbrug'!$A270,'Forbrug af biomasse'!$D$2:$D$425,'Resultat-Produktion &amp; forbrug'!$D270,'Forbrug af biomasse'!$A$2:$A$425,'Resultat-Produktion &amp; forbrug'!L$2,'Forbrug af biomasse'!$B$2:$B$425,$E270),F270)</f>
        <v>0</v>
      </c>
      <c r="M270" s="158">
        <f>SUMIFS('Forbrug af biomasse'!E:E,'Forbrug af biomasse'!C:C,'Resultat-Produktion &amp; forbrug'!$A270,'Forbrug af biomasse'!D:D,'Resultat-Produktion &amp; forbrug'!$D270,'Forbrug af biomasse'!G:G,1,'Forbrug af biomasse'!B:B,$E270)</f>
        <v>0</v>
      </c>
      <c r="N270" s="205">
        <f t="shared" si="62"/>
        <v>-210046.70964768095</v>
      </c>
      <c r="O270" s="196">
        <f t="shared" si="75"/>
        <v>0</v>
      </c>
      <c r="P270" s="206">
        <f t="shared" si="63"/>
        <v>0</v>
      </c>
      <c r="Q270" s="193">
        <f>IFERROR(VLOOKUP(A270,[1]Energiindhold!$A$2:$C$11,3,FALSE),IFERROR(VLOOKUP(A270,[1]Biogasudbytte!$A$2:$B$18,2,FALSE)*[1]Energiindhold!$C$10,0))*O270</f>
        <v>0</v>
      </c>
      <c r="R270" s="193">
        <f>IF(A270&lt;&gt;"Biogas",IFERROR(VLOOKUP(A270,[1]Biogasudbytte!$A$2:$B$18,2,FALSE)*[1]Energiindhold!$C$10,0)*J270*IFERROR(VLOOKUP(A270,Biogasanlæg!$F$3:$G$8,2,FALSE),1)+IFERROR(VLOOKUP(A270,[1]Energiindhold!$A$2:$C$11,3,FALSE),0)*L270+IF(D270&lt;&gt;År1,Q270,0),0)</f>
        <v>0</v>
      </c>
      <c r="S270" s="193">
        <f>IFERROR(VLOOKUP(A270,[1]Biogasudbytte!$A$2:$B$18,2,FALSE)*[1]Energiindhold!$C$10,0)*J270*IFERROR(VLOOKUP(A270,Biogasanlæg!$F$3:$G$8,2,FALSE),1)</f>
        <v>0</v>
      </c>
      <c r="T270" s="194">
        <f t="shared" si="64"/>
        <v>0</v>
      </c>
      <c r="U270" s="192">
        <f>O270*IFERROR(VLOOKUP(A270,[1]Tørstofindhold!A$2:B$25,2,FALSE),0)</f>
        <v>0</v>
      </c>
      <c r="V270" s="193">
        <f>IF(D270=År1,P270,SUM(O270,P270))*IFERROR(VLOOKUP(A270,[1]Tørstofindhold!A$2:B$25,2,FALSE),0)</f>
        <v>0</v>
      </c>
      <c r="W270" s="193">
        <f>J270*IFERROR(VLOOKUP(A270,[1]Tørstofindhold!A$2:B$25,2,FALSE),0)</f>
        <v>0</v>
      </c>
      <c r="X270" s="194">
        <f t="shared" si="65"/>
        <v>0</v>
      </c>
      <c r="Y270" s="172">
        <f t="shared" si="76"/>
        <v>0</v>
      </c>
      <c r="Z270" s="104">
        <f t="shared" si="77"/>
        <v>1</v>
      </c>
    </row>
    <row r="271" spans="1:26" x14ac:dyDescent="0.55000000000000004">
      <c r="A271" s="195" t="str">
        <f t="shared" si="72"/>
        <v>Muslinger</v>
      </c>
      <c r="B271" s="195" t="str">
        <f t="shared" si="73"/>
        <v>Havbiomasse</v>
      </c>
      <c r="C271" s="195">
        <f>IF(COUNTIFS('Resultater - Danmark'!$D$3:$D$482,'Resultat-Produktion &amp; forbrug'!A271,'Resultater - Danmark'!$A$3:$A$482,"Til energi")+COUNTIFS('Resultater - Danmark'!$D$3:$D$482,'Resultat-Produktion &amp; forbrug'!A271,'Resultater - Danmark'!$A$3:$A$482,"Biogasanlæg")&gt;0,1,0)</f>
        <v>1</v>
      </c>
      <c r="D271" s="195">
        <f t="shared" si="74"/>
        <v>2050</v>
      </c>
      <c r="E271" s="193" t="s">
        <v>24</v>
      </c>
      <c r="F271" s="196">
        <f>IF(E271="Vestdanmark",SUMIFS(IF(D271=År1,'Resultater - Vestdanmark'!H$3:H$482,IF(D271=År2,'Resultater - Vestdanmark'!I$3:I$482,'Resultater - Vestdanmark'!J$3:J$482)),'Resultater - Vestdanmark'!$F$3:$F$482,$A271,IF(D271=År1,'Resultater - Vestdanmark'!H$3:H$482,IF(D271=År2,'Resultater - Vestdanmark'!I$3:I$482,'Resultater - Vestdanmark'!J$3:J$482)),"&gt;0"),SUMIFS(IF(D271=År1,'Resultater - Østdanmark'!H$3:H$482,IF(D271=År2,'Resultater - Østdanmark'!I$3:I$482,'Resultater - Østdanmark'!J$3:J$482)),'Resultater - Østdanmark'!$F$3:$F$482,$A271,IF(D271=År1,'Resultater - Østdanmark'!H$3:H$482,IF(D271=År2,'Resultater - Østdanmark'!I$3:I$482,'Resultater - Østdanmark'!J$3:J$482)),"&gt;0"))</f>
        <v>48650.027670673619</v>
      </c>
      <c r="G271" s="196">
        <f>SUMIFS('Forbrug af biomasse'!$E$2:$E$425,'Forbrug af biomasse'!$C$2:$C$425,'Resultat-Produktion &amp; forbrug'!$A271,'Forbrug af biomasse'!$D$2:$D$425,'Resultat-Produktion &amp; forbrug'!$D271,'Forbrug af biomasse'!$A$2:$A$425,'Resultat-Produktion &amp; forbrug'!G$2,'Forbrug af biomasse'!$B$2:$B$425,$E271)</f>
        <v>0</v>
      </c>
      <c r="H271" s="193">
        <f>IF(E271="Vestdanmark",-IF(A271="Halm",SUMIFS(IF(D271=År1,'Resultater - Vestdanmark'!H$3:H$482,IF(D271=År2,'Resultater - Vestdanmark'!I$3:I$482,'Resultater - Vestdanmark'!J$3:J$482)),'Resultater - Vestdanmark'!$F$3:$F$482,$A271,'Resultater - Vestdanmark'!H$3:H$482,"&lt;0"),0),-IF(A271="Halm",SUMIFS(IF(D271=År1,'Resultater - Østdanmark'!H$3:H$482,IF(D271=År2,'Resultater - Østdanmark'!I$3:I$482,'Resultater - Østdanmark'!J$3:J$482)),'Resultater - Østdanmark'!$F$3:$F$482,$A271,'Resultater - Østdanmark'!H$3:H$482,"&lt;0"),0))</f>
        <v>0</v>
      </c>
      <c r="I271" s="196">
        <f>SUMIFS('Forbrug af biomasse'!$E$2:$E$425,'Forbrug af biomasse'!$C$2:$C$425,'Resultat-Produktion &amp; forbrug'!$A271,'Forbrug af biomasse'!$D$2:$D$425,'Resultat-Produktion &amp; forbrug'!$D271,'Forbrug af biomasse'!$A$2:$A$425,'Resultat-Produktion &amp; forbrug'!I$2,'Forbrug af biomasse'!$B$2:$B$425,$E271)</f>
        <v>0</v>
      </c>
      <c r="J271" s="196">
        <f>SUMIFS('Forbrug af biomasse'!$E$2:$E$425,'Forbrug af biomasse'!$C$2:$C$425,'Resultat-Produktion &amp; forbrug'!$A271,'Forbrug af biomasse'!$D$2:$D$425,'Resultat-Produktion &amp; forbrug'!$D271,'Forbrug af biomasse'!$A$2:$A$425,'Resultat-Produktion &amp; forbrug'!J$2,'Forbrug af biomasse'!$B$2:$B$425,$E271)</f>
        <v>0</v>
      </c>
      <c r="K271" s="196">
        <f>SUMIFS('Forbrug af biomasse'!$E$2:$E$425,'Forbrug af biomasse'!$C$2:$C$425,'Resultat-Produktion &amp; forbrug'!$A271,'Forbrug af biomasse'!$D$2:$D$425,'Resultat-Produktion &amp; forbrug'!$D271,'Forbrug af biomasse'!$A$2:$A$425,'Resultat-Produktion &amp; forbrug'!K$2,'Forbrug af biomasse'!$B$2:$B$425,$E271)</f>
        <v>0</v>
      </c>
      <c r="L271" s="196">
        <f>IF(A271&lt;&gt;"Biogas",SUMIFS('Forbrug af biomasse'!$E$2:$E$425,'Forbrug af biomasse'!$C$2:$C$425,'Resultat-Produktion &amp; forbrug'!$A271,'Forbrug af biomasse'!$D$2:$D$425,'Resultat-Produktion &amp; forbrug'!$D271,'Forbrug af biomasse'!$A$2:$A$425,'Resultat-Produktion &amp; forbrug'!L$2,'Forbrug af biomasse'!$B$2:$B$425,$E271),F271)</f>
        <v>0</v>
      </c>
      <c r="M271" s="158">
        <f>SUMIFS('Forbrug af biomasse'!E:E,'Forbrug af biomasse'!C:C,'Resultat-Produktion &amp; forbrug'!$A271,'Forbrug af biomasse'!D:D,'Resultat-Produktion &amp; forbrug'!$D271,'Forbrug af biomasse'!G:G,1,'Forbrug af biomasse'!B:B,$E271)</f>
        <v>0</v>
      </c>
      <c r="N271" s="205">
        <f t="shared" si="62"/>
        <v>48650.027670673619</v>
      </c>
      <c r="O271" s="196">
        <f t="shared" si="75"/>
        <v>48650.027670673619</v>
      </c>
      <c r="P271" s="206">
        <f t="shared" si="63"/>
        <v>0</v>
      </c>
      <c r="Q271" s="193">
        <f>IFERROR(VLOOKUP(A271,[1]Energiindhold!$A$2:$C$11,3,FALSE),IFERROR(VLOOKUP(A271,[1]Biogasudbytte!$A$2:$B$18,2,FALSE)*[1]Energiindhold!$C$10,0))*O271</f>
        <v>4.366339983442958E-2</v>
      </c>
      <c r="R271" s="193">
        <f>IF(A271&lt;&gt;"Biogas",IFERROR(VLOOKUP(A271,[1]Biogasudbytte!$A$2:$B$18,2,FALSE)*[1]Energiindhold!$C$10,0)*J271*IFERROR(VLOOKUP(A271,Biogasanlæg!$F$3:$G$8,2,FALSE),1)+IFERROR(VLOOKUP(A271,[1]Energiindhold!$A$2:$C$11,3,FALSE),0)*L271+IF(D271&lt;&gt;År1,Q271,0),0)</f>
        <v>4.366339983442958E-2</v>
      </c>
      <c r="S271" s="193">
        <f>IFERROR(VLOOKUP(A271,[1]Biogasudbytte!$A$2:$B$18,2,FALSE)*[1]Energiindhold!$C$10,0)*J271*IFERROR(VLOOKUP(A271,Biogasanlæg!$F$3:$G$8,2,FALSE),1)</f>
        <v>0</v>
      </c>
      <c r="T271" s="194">
        <f t="shared" si="64"/>
        <v>4.366339983442958E-2</v>
      </c>
      <c r="U271" s="192">
        <f>O271*IFERROR(VLOOKUP(A271,[1]Tørstofindhold!A$2:B$25,2,FALSE),0)</f>
        <v>7297.504150601043</v>
      </c>
      <c r="V271" s="193">
        <f>IF(D271=År1,P271,SUM(O271,P271))*IFERROR(VLOOKUP(A271,[1]Tørstofindhold!A$2:B$25,2,FALSE),0)</f>
        <v>7297.504150601043</v>
      </c>
      <c r="W271" s="193">
        <f>J271*IFERROR(VLOOKUP(A271,[1]Tørstofindhold!A$2:B$25,2,FALSE),0)</f>
        <v>0</v>
      </c>
      <c r="X271" s="194">
        <f t="shared" si="65"/>
        <v>7297.504150601043</v>
      </c>
      <c r="Y271" s="172">
        <f t="shared" si="76"/>
        <v>0</v>
      </c>
      <c r="Z271" s="104">
        <f t="shared" si="77"/>
        <v>1</v>
      </c>
    </row>
    <row r="272" spans="1:26" hidden="1" x14ac:dyDescent="0.55000000000000004">
      <c r="A272" s="195" t="str">
        <f t="shared" si="72"/>
        <v>Oksekød</v>
      </c>
      <c r="B272" s="195" t="str">
        <f t="shared" si="73"/>
        <v/>
      </c>
      <c r="C272" s="195">
        <f>IF(COUNTIFS('Resultater - Danmark'!$D$3:$D$482,'Resultat-Produktion &amp; forbrug'!A272,'Resultater - Danmark'!$A$3:$A$482,"Til energi")+COUNTIFS('Resultater - Danmark'!$D$3:$D$482,'Resultat-Produktion &amp; forbrug'!A272,'Resultater - Danmark'!$A$3:$A$482,"Biogasanlæg")&gt;0,1,0)</f>
        <v>0</v>
      </c>
      <c r="D272" s="195">
        <f t="shared" si="74"/>
        <v>2050</v>
      </c>
      <c r="E272" s="193" t="s">
        <v>24</v>
      </c>
      <c r="F272" s="196">
        <f>IF(E272="Vestdanmark",SUMIFS(IF(D272=År1,'Resultater - Vestdanmark'!H$3:H$482,IF(D272=År2,'Resultater - Vestdanmark'!I$3:I$482,'Resultater - Vestdanmark'!J$3:J$482)),'Resultater - Vestdanmark'!$F$3:$F$482,$A272,IF(D272=År1,'Resultater - Vestdanmark'!H$3:H$482,IF(D272=År2,'Resultater - Vestdanmark'!I$3:I$482,'Resultater - Vestdanmark'!J$3:J$482)),"&gt;0"),SUMIFS(IF(D272=År1,'Resultater - Østdanmark'!H$3:H$482,IF(D272=År2,'Resultater - Østdanmark'!I$3:I$482,'Resultater - Østdanmark'!J$3:J$482)),'Resultater - Østdanmark'!$F$3:$F$482,$A272,IF(D272=År1,'Resultater - Østdanmark'!H$3:H$482,IF(D272=År2,'Resultater - Østdanmark'!I$3:I$482,'Resultater - Østdanmark'!J$3:J$482)),"&gt;0"))</f>
        <v>7305.5635465813803</v>
      </c>
      <c r="G272" s="196">
        <f>SUMIFS('Forbrug af biomasse'!$E$2:$E$425,'Forbrug af biomasse'!$C$2:$C$425,'Resultat-Produktion &amp; forbrug'!$A272,'Forbrug af biomasse'!$D$2:$D$425,'Resultat-Produktion &amp; forbrug'!$D272,'Forbrug af biomasse'!$A$2:$A$425,'Resultat-Produktion &amp; forbrug'!G$2,'Forbrug af biomasse'!$B$2:$B$425,$E272)</f>
        <v>0</v>
      </c>
      <c r="H272" s="193">
        <f>IF(E272="Vestdanmark",-IF(A272="Halm",SUMIFS(IF(D272=År1,'Resultater - Vestdanmark'!H$3:H$482,IF(D272=År2,'Resultater - Vestdanmark'!I$3:I$482,'Resultater - Vestdanmark'!J$3:J$482)),'Resultater - Vestdanmark'!$F$3:$F$482,$A272,'Resultater - Vestdanmark'!H$3:H$482,"&lt;0"),0),-IF(A272="Halm",SUMIFS(IF(D272=År1,'Resultater - Østdanmark'!H$3:H$482,IF(D272=År2,'Resultater - Østdanmark'!I$3:I$482,'Resultater - Østdanmark'!J$3:J$482)),'Resultater - Østdanmark'!$F$3:$F$482,$A272,'Resultater - Østdanmark'!H$3:H$482,"&lt;0"),0))</f>
        <v>0</v>
      </c>
      <c r="I272" s="196">
        <f>SUMIFS('Forbrug af biomasse'!$E$2:$E$425,'Forbrug af biomasse'!$C$2:$C$425,'Resultat-Produktion &amp; forbrug'!$A272,'Forbrug af biomasse'!$D$2:$D$425,'Resultat-Produktion &amp; forbrug'!$D272,'Forbrug af biomasse'!$A$2:$A$425,'Resultat-Produktion &amp; forbrug'!I$2,'Forbrug af biomasse'!$B$2:$B$425,$E272)</f>
        <v>54412.71372203785</v>
      </c>
      <c r="J272" s="196">
        <f>SUMIFS('Forbrug af biomasse'!$E$2:$E$425,'Forbrug af biomasse'!$C$2:$C$425,'Resultat-Produktion &amp; forbrug'!$A272,'Forbrug af biomasse'!$D$2:$D$425,'Resultat-Produktion &amp; forbrug'!$D272,'Forbrug af biomasse'!$A$2:$A$425,'Resultat-Produktion &amp; forbrug'!J$2,'Forbrug af biomasse'!$B$2:$B$425,$E272)</f>
        <v>0</v>
      </c>
      <c r="K272" s="196">
        <f>SUMIFS('Forbrug af biomasse'!$E$2:$E$425,'Forbrug af biomasse'!$C$2:$C$425,'Resultat-Produktion &amp; forbrug'!$A272,'Forbrug af biomasse'!$D$2:$D$425,'Resultat-Produktion &amp; forbrug'!$D272,'Forbrug af biomasse'!$A$2:$A$425,'Resultat-Produktion &amp; forbrug'!K$2,'Forbrug af biomasse'!$B$2:$B$425,$E272)</f>
        <v>0</v>
      </c>
      <c r="L272" s="196">
        <f>IF(A272&lt;&gt;"Biogas",SUMIFS('Forbrug af biomasse'!$E$2:$E$425,'Forbrug af biomasse'!$C$2:$C$425,'Resultat-Produktion &amp; forbrug'!$A272,'Forbrug af biomasse'!$D$2:$D$425,'Resultat-Produktion &amp; forbrug'!$D272,'Forbrug af biomasse'!$A$2:$A$425,'Resultat-Produktion &amp; forbrug'!L$2,'Forbrug af biomasse'!$B$2:$B$425,$E272),F272)</f>
        <v>0</v>
      </c>
      <c r="M272" s="158">
        <f>SUMIFS('Forbrug af biomasse'!E:E,'Forbrug af biomasse'!C:C,'Resultat-Produktion &amp; forbrug'!$A272,'Forbrug af biomasse'!D:D,'Resultat-Produktion &amp; forbrug'!$D272,'Forbrug af biomasse'!G:G,1,'Forbrug af biomasse'!B:B,$E272)</f>
        <v>0</v>
      </c>
      <c r="N272" s="205">
        <f t="shared" si="62"/>
        <v>-47107.150175456467</v>
      </c>
      <c r="O272" s="196">
        <f t="shared" si="75"/>
        <v>0</v>
      </c>
      <c r="P272" s="206">
        <f t="shared" si="63"/>
        <v>0</v>
      </c>
      <c r="Q272" s="193">
        <f>IFERROR(VLOOKUP(A272,[1]Energiindhold!$A$2:$C$11,3,FALSE),IFERROR(VLOOKUP(A272,[1]Biogasudbytte!$A$2:$B$18,2,FALSE)*[1]Energiindhold!$C$10,0))*O272</f>
        <v>0</v>
      </c>
      <c r="R272" s="193">
        <f>IF(A272&lt;&gt;"Biogas",IFERROR(VLOOKUP(A272,[1]Biogasudbytte!$A$2:$B$18,2,FALSE)*[1]Energiindhold!$C$10,0)*J272*IFERROR(VLOOKUP(A272,Biogasanlæg!$F$3:$G$8,2,FALSE),1)+IFERROR(VLOOKUP(A272,[1]Energiindhold!$A$2:$C$11,3,FALSE),0)*L272+IF(D272&lt;&gt;År1,Q272,0),0)</f>
        <v>0</v>
      </c>
      <c r="S272" s="193">
        <f>IFERROR(VLOOKUP(A272,[1]Biogasudbytte!$A$2:$B$18,2,FALSE)*[1]Energiindhold!$C$10,0)*J272*IFERROR(VLOOKUP(A272,Biogasanlæg!$F$3:$G$8,2,FALSE),1)</f>
        <v>0</v>
      </c>
      <c r="T272" s="194">
        <f t="shared" si="64"/>
        <v>0</v>
      </c>
      <c r="U272" s="192">
        <f>O272*IFERROR(VLOOKUP(A272,[1]Tørstofindhold!A$2:B$25,2,FALSE),0)</f>
        <v>0</v>
      </c>
      <c r="V272" s="193">
        <f>IF(D272=År1,P272,SUM(O272,P272))*IFERROR(VLOOKUP(A272,[1]Tørstofindhold!A$2:B$25,2,FALSE),0)</f>
        <v>0</v>
      </c>
      <c r="W272" s="193">
        <f>J272*IFERROR(VLOOKUP(A272,[1]Tørstofindhold!A$2:B$25,2,FALSE),0)</f>
        <v>0</v>
      </c>
      <c r="X272" s="194">
        <f t="shared" si="65"/>
        <v>0</v>
      </c>
      <c r="Y272" s="172">
        <f t="shared" si="76"/>
        <v>1</v>
      </c>
      <c r="Z272" s="104">
        <f t="shared" si="77"/>
        <v>0</v>
      </c>
    </row>
    <row r="273" spans="1:26" hidden="1" x14ac:dyDescent="0.55000000000000004">
      <c r="A273" s="195" t="str">
        <f t="shared" si="72"/>
        <v>Øvrige</v>
      </c>
      <c r="B273" s="195" t="str">
        <f t="shared" si="73"/>
        <v/>
      </c>
      <c r="C273" s="195">
        <f>IF(COUNTIFS('Resultater - Danmark'!$D$3:$D$482,'Resultat-Produktion &amp; forbrug'!A273,'Resultater - Danmark'!$A$3:$A$482,"Til energi")+COUNTIFS('Resultater - Danmark'!$D$3:$D$482,'Resultat-Produktion &amp; forbrug'!A273,'Resultater - Danmark'!$A$3:$A$482,"Biogasanlæg")&gt;0,1,0)</f>
        <v>0</v>
      </c>
      <c r="D273" s="195">
        <f t="shared" si="74"/>
        <v>2050</v>
      </c>
      <c r="E273" s="193" t="s">
        <v>24</v>
      </c>
      <c r="F273" s="196">
        <f>IF(E273="Vestdanmark",SUMIFS(IF(D273=År1,'Resultater - Vestdanmark'!H$3:H$482,IF(D273=År2,'Resultater - Vestdanmark'!I$3:I$482,'Resultater - Vestdanmark'!J$3:J$482)),'Resultater - Vestdanmark'!$F$3:$F$482,$A273,IF(D273=År1,'Resultater - Vestdanmark'!H$3:H$482,IF(D273=År2,'Resultater - Vestdanmark'!I$3:I$482,'Resultater - Vestdanmark'!J$3:J$482)),"&gt;0"),SUMIFS(IF(D273=År1,'Resultater - Østdanmark'!H$3:H$482,IF(D273=År2,'Resultater - Østdanmark'!I$3:I$482,'Resultater - Østdanmark'!J$3:J$482)),'Resultater - Østdanmark'!$F$3:$F$482,$A273,IF(D273=År1,'Resultater - Østdanmark'!H$3:H$482,IF(D273=År2,'Resultater - Østdanmark'!I$3:I$482,'Resultater - Østdanmark'!J$3:J$482)),"&gt;0"))</f>
        <v>407823.31273083866</v>
      </c>
      <c r="G273" s="196">
        <f>SUMIFS('Forbrug af biomasse'!$E$2:$E$425,'Forbrug af biomasse'!$C$2:$C$425,'Resultat-Produktion &amp; forbrug'!$A273,'Forbrug af biomasse'!$D$2:$D$425,'Resultat-Produktion &amp; forbrug'!$D273,'Forbrug af biomasse'!$A$2:$A$425,'Resultat-Produktion &amp; forbrug'!G$2,'Forbrug af biomasse'!$B$2:$B$425,$E273)</f>
        <v>0</v>
      </c>
      <c r="H273" s="193">
        <f>IF(E273="Vestdanmark",-IF(A273="Halm",SUMIFS(IF(D273=År1,'Resultater - Vestdanmark'!H$3:H$482,IF(D273=År2,'Resultater - Vestdanmark'!I$3:I$482,'Resultater - Vestdanmark'!J$3:J$482)),'Resultater - Vestdanmark'!$F$3:$F$482,$A273,'Resultater - Vestdanmark'!H$3:H$482,"&lt;0"),0),-IF(A273="Halm",SUMIFS(IF(D273=År1,'Resultater - Østdanmark'!H$3:H$482,IF(D273=År2,'Resultater - Østdanmark'!I$3:I$482,'Resultater - Østdanmark'!J$3:J$482)),'Resultater - Østdanmark'!$F$3:$F$482,$A273,'Resultater - Østdanmark'!H$3:H$482,"&lt;0"),0))</f>
        <v>0</v>
      </c>
      <c r="I273" s="196">
        <f>SUMIFS('Forbrug af biomasse'!$E$2:$E$425,'Forbrug af biomasse'!$C$2:$C$425,'Resultat-Produktion &amp; forbrug'!$A273,'Forbrug af biomasse'!$D$2:$D$425,'Resultat-Produktion &amp; forbrug'!$D273,'Forbrug af biomasse'!$A$2:$A$425,'Resultat-Produktion &amp; forbrug'!I$2,'Forbrug af biomasse'!$B$2:$B$425,$E273)</f>
        <v>0</v>
      </c>
      <c r="J273" s="196">
        <f>SUMIFS('Forbrug af biomasse'!$E$2:$E$425,'Forbrug af biomasse'!$C$2:$C$425,'Resultat-Produktion &amp; forbrug'!$A273,'Forbrug af biomasse'!$D$2:$D$425,'Resultat-Produktion &amp; forbrug'!$D273,'Forbrug af biomasse'!$A$2:$A$425,'Resultat-Produktion &amp; forbrug'!J$2,'Forbrug af biomasse'!$B$2:$B$425,$E273)</f>
        <v>0</v>
      </c>
      <c r="K273" s="196">
        <f>SUMIFS('Forbrug af biomasse'!$E$2:$E$425,'Forbrug af biomasse'!$C$2:$C$425,'Resultat-Produktion &amp; forbrug'!$A273,'Forbrug af biomasse'!$D$2:$D$425,'Resultat-Produktion &amp; forbrug'!$D273,'Forbrug af biomasse'!$A$2:$A$425,'Resultat-Produktion &amp; forbrug'!K$2,'Forbrug af biomasse'!$B$2:$B$425,$E273)</f>
        <v>0</v>
      </c>
      <c r="L273" s="196">
        <f>IF(A273&lt;&gt;"Biogas",SUMIFS('Forbrug af biomasse'!$E$2:$E$425,'Forbrug af biomasse'!$C$2:$C$425,'Resultat-Produktion &amp; forbrug'!$A273,'Forbrug af biomasse'!$D$2:$D$425,'Resultat-Produktion &amp; forbrug'!$D273,'Forbrug af biomasse'!$A$2:$A$425,'Resultat-Produktion &amp; forbrug'!L$2,'Forbrug af biomasse'!$B$2:$B$425,$E273),F273)</f>
        <v>0</v>
      </c>
      <c r="M273" s="158">
        <f>SUMIFS('Forbrug af biomasse'!E:E,'Forbrug af biomasse'!C:C,'Resultat-Produktion &amp; forbrug'!$A273,'Forbrug af biomasse'!D:D,'Resultat-Produktion &amp; forbrug'!$D273,'Forbrug af biomasse'!G:G,1,'Forbrug af biomasse'!B:B,$E273)</f>
        <v>0</v>
      </c>
      <c r="N273" s="205">
        <f t="shared" si="62"/>
        <v>407823.31273083866</v>
      </c>
      <c r="O273" s="196">
        <f t="shared" si="75"/>
        <v>0</v>
      </c>
      <c r="P273" s="206">
        <f t="shared" si="63"/>
        <v>0</v>
      </c>
      <c r="Q273" s="193">
        <f>IFERROR(VLOOKUP(A273,[1]Energiindhold!$A$2:$C$11,3,FALSE),IFERROR(VLOOKUP(A273,[1]Biogasudbytte!$A$2:$B$18,2,FALSE)*[1]Energiindhold!$C$10,0))*O273</f>
        <v>0</v>
      </c>
      <c r="R273" s="193">
        <f>IF(A273&lt;&gt;"Biogas",IFERROR(VLOOKUP(A273,[1]Biogasudbytte!$A$2:$B$18,2,FALSE)*[1]Energiindhold!$C$10,0)*J273*IFERROR(VLOOKUP(A273,Biogasanlæg!$F$3:$G$8,2,FALSE),1)+IFERROR(VLOOKUP(A273,[1]Energiindhold!$A$2:$C$11,3,FALSE),0)*L273+IF(D273&lt;&gt;År1,Q273,0),0)</f>
        <v>0</v>
      </c>
      <c r="S273" s="193">
        <f>IFERROR(VLOOKUP(A273,[1]Biogasudbytte!$A$2:$B$18,2,FALSE)*[1]Energiindhold!$C$10,0)*J273*IFERROR(VLOOKUP(A273,Biogasanlæg!$F$3:$G$8,2,FALSE),1)</f>
        <v>0</v>
      </c>
      <c r="T273" s="194">
        <f t="shared" si="64"/>
        <v>0</v>
      </c>
      <c r="U273" s="192">
        <f>O273*IFERROR(VLOOKUP(A273,[1]Tørstofindhold!A$2:B$25,2,FALSE),0)</f>
        <v>0</v>
      </c>
      <c r="V273" s="193">
        <f>IF(D273=År1,P273,SUM(O273,P273))*IFERROR(VLOOKUP(A273,[1]Tørstofindhold!A$2:B$25,2,FALSE),0)</f>
        <v>0</v>
      </c>
      <c r="W273" s="193">
        <f>J273*IFERROR(VLOOKUP(A273,[1]Tørstofindhold!A$2:B$25,2,FALSE),0)</f>
        <v>0</v>
      </c>
      <c r="X273" s="194">
        <f t="shared" si="65"/>
        <v>0</v>
      </c>
      <c r="Y273" s="172">
        <f t="shared" si="76"/>
        <v>0</v>
      </c>
      <c r="Z273" s="104">
        <f t="shared" si="77"/>
        <v>1</v>
      </c>
    </row>
    <row r="274" spans="1:26" hidden="1" x14ac:dyDescent="0.55000000000000004">
      <c r="A274" s="195" t="str">
        <f t="shared" si="72"/>
        <v>Pil &amp; poppel</v>
      </c>
      <c r="B274" s="195" t="str">
        <f t="shared" si="73"/>
        <v>Vedmasse</v>
      </c>
      <c r="C274" s="195">
        <f>IF(COUNTIFS('Resultater - Danmark'!$D$3:$D$482,'Resultat-Produktion &amp; forbrug'!A274,'Resultater - Danmark'!$A$3:$A$482,"Til energi")+COUNTIFS('Resultater - Danmark'!$D$3:$D$482,'Resultat-Produktion &amp; forbrug'!A274,'Resultater - Danmark'!$A$3:$A$482,"Biogasanlæg")&gt;0,1,0)</f>
        <v>1</v>
      </c>
      <c r="D274" s="195">
        <f t="shared" si="74"/>
        <v>2050</v>
      </c>
      <c r="E274" s="193" t="s">
        <v>24</v>
      </c>
      <c r="F274" s="196">
        <f>IF(E274="Vestdanmark",SUMIFS(IF(D274=År1,'Resultater - Vestdanmark'!H$3:H$482,IF(D274=År2,'Resultater - Vestdanmark'!I$3:I$482,'Resultater - Vestdanmark'!J$3:J$482)),'Resultater - Vestdanmark'!$F$3:$F$482,$A274,IF(D274=År1,'Resultater - Vestdanmark'!H$3:H$482,IF(D274=År2,'Resultater - Vestdanmark'!I$3:I$482,'Resultater - Vestdanmark'!J$3:J$482)),"&gt;0"),SUMIFS(IF(D274=År1,'Resultater - Østdanmark'!H$3:H$482,IF(D274=År2,'Resultater - Østdanmark'!I$3:I$482,'Resultater - Østdanmark'!J$3:J$482)),'Resultater - Østdanmark'!$F$3:$F$482,$A274,IF(D274=År1,'Resultater - Østdanmark'!H$3:H$482,IF(D274=År2,'Resultater - Østdanmark'!I$3:I$482,'Resultater - Østdanmark'!J$3:J$482)),"&gt;0"))</f>
        <v>38470.033999756291</v>
      </c>
      <c r="G274" s="196">
        <f>SUMIFS('Forbrug af biomasse'!$E$2:$E$425,'Forbrug af biomasse'!$C$2:$C$425,'Resultat-Produktion &amp; forbrug'!$A274,'Forbrug af biomasse'!$D$2:$D$425,'Resultat-Produktion &amp; forbrug'!$D274,'Forbrug af biomasse'!$A$2:$A$425,'Resultat-Produktion &amp; forbrug'!G$2,'Forbrug af biomasse'!$B$2:$B$425,$E274)</f>
        <v>0</v>
      </c>
      <c r="H274" s="193">
        <f>IF(E274="Vestdanmark",-IF(A274="Halm",SUMIFS(IF(D274=År1,'Resultater - Vestdanmark'!H$3:H$482,IF(D274=År2,'Resultater - Vestdanmark'!I$3:I$482,'Resultater - Vestdanmark'!J$3:J$482)),'Resultater - Vestdanmark'!$F$3:$F$482,$A274,'Resultater - Vestdanmark'!H$3:H$482,"&lt;0"),0),-IF(A274="Halm",SUMIFS(IF(D274=År1,'Resultater - Østdanmark'!H$3:H$482,IF(D274=År2,'Resultater - Østdanmark'!I$3:I$482,'Resultater - Østdanmark'!J$3:J$482)),'Resultater - Østdanmark'!$F$3:$F$482,$A274,'Resultater - Østdanmark'!H$3:H$482,"&lt;0"),0))</f>
        <v>0</v>
      </c>
      <c r="I274" s="196">
        <f>SUMIFS('Forbrug af biomasse'!$E$2:$E$425,'Forbrug af biomasse'!$C$2:$C$425,'Resultat-Produktion &amp; forbrug'!$A274,'Forbrug af biomasse'!$D$2:$D$425,'Resultat-Produktion &amp; forbrug'!$D274,'Forbrug af biomasse'!$A$2:$A$425,'Resultat-Produktion &amp; forbrug'!I$2,'Forbrug af biomasse'!$B$2:$B$425,$E274)</f>
        <v>0</v>
      </c>
      <c r="J274" s="196">
        <f>SUMIFS('Forbrug af biomasse'!$E$2:$E$425,'Forbrug af biomasse'!$C$2:$C$425,'Resultat-Produktion &amp; forbrug'!$A274,'Forbrug af biomasse'!$D$2:$D$425,'Resultat-Produktion &amp; forbrug'!$D274,'Forbrug af biomasse'!$A$2:$A$425,'Resultat-Produktion &amp; forbrug'!J$2,'Forbrug af biomasse'!$B$2:$B$425,$E274)</f>
        <v>0</v>
      </c>
      <c r="K274" s="196">
        <f>SUMIFS('Forbrug af biomasse'!$E$2:$E$425,'Forbrug af biomasse'!$C$2:$C$425,'Resultat-Produktion &amp; forbrug'!$A274,'Forbrug af biomasse'!$D$2:$D$425,'Resultat-Produktion &amp; forbrug'!$D274,'Forbrug af biomasse'!$A$2:$A$425,'Resultat-Produktion &amp; forbrug'!K$2,'Forbrug af biomasse'!$B$2:$B$425,$E274)</f>
        <v>0</v>
      </c>
      <c r="L274" s="196">
        <f>IF(A274&lt;&gt;"Biogas",SUMIFS('Forbrug af biomasse'!$E$2:$E$425,'Forbrug af biomasse'!$C$2:$C$425,'Resultat-Produktion &amp; forbrug'!$A274,'Forbrug af biomasse'!$D$2:$D$425,'Resultat-Produktion &amp; forbrug'!$D274,'Forbrug af biomasse'!$A$2:$A$425,'Resultat-Produktion &amp; forbrug'!L$2,'Forbrug af biomasse'!$B$2:$B$425,$E274),F274)</f>
        <v>38470.033999756291</v>
      </c>
      <c r="M274" s="158">
        <f>SUMIFS('Forbrug af biomasse'!E:E,'Forbrug af biomasse'!C:C,'Resultat-Produktion &amp; forbrug'!$A274,'Forbrug af biomasse'!D:D,'Resultat-Produktion &amp; forbrug'!$D274,'Forbrug af biomasse'!G:G,1,'Forbrug af biomasse'!B:B,$E274)</f>
        <v>0</v>
      </c>
      <c r="N274" s="205">
        <f t="shared" si="62"/>
        <v>0</v>
      </c>
      <c r="O274" s="196">
        <f t="shared" si="75"/>
        <v>0</v>
      </c>
      <c r="P274" s="206">
        <f t="shared" si="63"/>
        <v>38470.033999756291</v>
      </c>
      <c r="Q274" s="193">
        <f>IFERROR(VLOOKUP(A274,[1]Energiindhold!$A$2:$C$11,3,FALSE),IFERROR(VLOOKUP(A274,[1]Biogasudbytte!$A$2:$B$18,2,FALSE)*[1]Energiindhold!$C$10,0))*O274</f>
        <v>0</v>
      </c>
      <c r="R274" s="193">
        <f>IF(A274&lt;&gt;"Biogas",IFERROR(VLOOKUP(A274,[1]Biogasudbytte!$A$2:$B$18,2,FALSE)*[1]Energiindhold!$C$10,0)*J274*IFERROR(VLOOKUP(A274,Biogasanlæg!$F$3:$G$8,2,FALSE),1)+IFERROR(VLOOKUP(A274,[1]Energiindhold!$A$2:$C$11,3,FALSE),0)*L274+IF(D274&lt;&gt;År1,Q274,0),0)</f>
        <v>0.70784862559551565</v>
      </c>
      <c r="S274" s="193">
        <f>IFERROR(VLOOKUP(A274,[1]Biogasudbytte!$A$2:$B$18,2,FALSE)*[1]Energiindhold!$C$10,0)*J274*IFERROR(VLOOKUP(A274,Biogasanlæg!$F$3:$G$8,2,FALSE),1)</f>
        <v>0</v>
      </c>
      <c r="T274" s="194">
        <f t="shared" si="64"/>
        <v>0.70784862559551565</v>
      </c>
      <c r="U274" s="192">
        <f>O274*IFERROR(VLOOKUP(A274,[1]Tørstofindhold!A$2:B$25,2,FALSE),0)</f>
        <v>0</v>
      </c>
      <c r="V274" s="193">
        <f>IF(D274=År1,P274,SUM(O274,P274))*IFERROR(VLOOKUP(A274,[1]Tørstofindhold!A$2:B$25,2,FALSE),0)</f>
        <v>15965.064109898862</v>
      </c>
      <c r="W274" s="193">
        <f>J274*IFERROR(VLOOKUP(A274,[1]Tørstofindhold!A$2:B$25,2,FALSE),0)</f>
        <v>0</v>
      </c>
      <c r="X274" s="194">
        <f t="shared" si="65"/>
        <v>15965.064109898862</v>
      </c>
      <c r="Y274" s="172">
        <f t="shared" si="76"/>
        <v>0</v>
      </c>
      <c r="Z274" s="104">
        <f t="shared" si="77"/>
        <v>0</v>
      </c>
    </row>
    <row r="275" spans="1:26" hidden="1" x14ac:dyDescent="0.55000000000000004">
      <c r="A275" s="195" t="str">
        <f t="shared" ref="A275:A276" si="78">A227</f>
        <v>Pyrolysegas</v>
      </c>
      <c r="B275" s="195" t="str">
        <f t="shared" ref="B275:B276" si="79">IF(B227&lt;&gt;"",B227,"")</f>
        <v>Pyrolyseprodukter</v>
      </c>
      <c r="C275" s="195">
        <f>IF(COUNTIFS('Resultater - Danmark'!$D$3:$D$482,'Resultat-Produktion &amp; forbrug'!A275,'Resultater - Danmark'!$A$3:$A$482,"Til energi")+COUNTIFS('Resultater - Danmark'!$D$3:$D$482,'Resultat-Produktion &amp; forbrug'!A275,'Resultater - Danmark'!$A$3:$A$482,"Biogasanlæg")&gt;0,1,0)</f>
        <v>1</v>
      </c>
      <c r="D275" s="195">
        <f t="shared" si="74"/>
        <v>2050</v>
      </c>
      <c r="E275" s="193" t="s">
        <v>24</v>
      </c>
      <c r="F275" s="196">
        <f>IF(E275="Vestdanmark",SUMIFS(IF(D275=År1,'Resultater - Vestdanmark'!H$3:H$482,IF(D275=År2,'Resultater - Vestdanmark'!I$3:I$482,'Resultater - Vestdanmark'!J$3:J$482)),'Resultater - Vestdanmark'!$F$3:$F$482,$A275,IF(D275=År1,'Resultater - Vestdanmark'!H$3:H$482,IF(D275=År2,'Resultater - Vestdanmark'!I$3:I$482,'Resultater - Vestdanmark'!J$3:J$482)),"&gt;0"),SUMIFS(IF(D275=År1,'Resultater - Østdanmark'!H$3:H$482,IF(D275=År2,'Resultater - Østdanmark'!I$3:I$482,'Resultater - Østdanmark'!J$3:J$482)),'Resultater - Østdanmark'!$F$3:$F$482,$A275,IF(D275=År1,'Resultater - Østdanmark'!H$3:H$482,IF(D275=År2,'Resultater - Østdanmark'!I$3:I$482,'Resultater - Østdanmark'!J$3:J$482)),"&gt;0"))</f>
        <v>0</v>
      </c>
      <c r="G275" s="196">
        <f>SUMIFS('Forbrug af biomasse'!$E$2:$E$425,'Forbrug af biomasse'!$C$2:$C$425,'Resultat-Produktion &amp; forbrug'!$A275,'Forbrug af biomasse'!$D$2:$D$425,'Resultat-Produktion &amp; forbrug'!$D275,'Forbrug af biomasse'!$A$2:$A$425,'Resultat-Produktion &amp; forbrug'!G$2,'Forbrug af biomasse'!$B$2:$B$425,$E275)</f>
        <v>0</v>
      </c>
      <c r="H275" s="193">
        <f>IF(E275="Vestdanmark",-IF(A275="Halm",SUMIFS(IF(D275=År1,'Resultater - Vestdanmark'!H$3:H$482,IF(D275=År2,'Resultater - Vestdanmark'!I$3:I$482,'Resultater - Vestdanmark'!J$3:J$482)),'Resultater - Vestdanmark'!$F$3:$F$482,$A275,'Resultater - Vestdanmark'!H$3:H$482,"&lt;0"),0),-IF(A275="Halm",SUMIFS(IF(D275=År1,'Resultater - Østdanmark'!H$3:H$482,IF(D275=År2,'Resultater - Østdanmark'!I$3:I$482,'Resultater - Østdanmark'!J$3:J$482)),'Resultater - Østdanmark'!$F$3:$F$482,$A275,'Resultater - Østdanmark'!H$3:H$482,"&lt;0"),0))</f>
        <v>0</v>
      </c>
      <c r="I275" s="196">
        <f>SUMIFS('Forbrug af biomasse'!$E$2:$E$425,'Forbrug af biomasse'!$C$2:$C$425,'Resultat-Produktion &amp; forbrug'!$A275,'Forbrug af biomasse'!$D$2:$D$425,'Resultat-Produktion &amp; forbrug'!$D275,'Forbrug af biomasse'!$A$2:$A$425,'Resultat-Produktion &amp; forbrug'!I$2,'Forbrug af biomasse'!$B$2:$B$425,$E275)</f>
        <v>0</v>
      </c>
      <c r="J275" s="196">
        <f>SUMIFS('Forbrug af biomasse'!$E$2:$E$425,'Forbrug af biomasse'!$C$2:$C$425,'Resultat-Produktion &amp; forbrug'!$A275,'Forbrug af biomasse'!$D$2:$D$425,'Resultat-Produktion &amp; forbrug'!$D275,'Forbrug af biomasse'!$A$2:$A$425,'Resultat-Produktion &amp; forbrug'!J$2,'Forbrug af biomasse'!$B$2:$B$425,$E275)</f>
        <v>0</v>
      </c>
      <c r="K275" s="196">
        <f>SUMIFS('Forbrug af biomasse'!$E$2:$E$425,'Forbrug af biomasse'!$C$2:$C$425,'Resultat-Produktion &amp; forbrug'!$A275,'Forbrug af biomasse'!$D$2:$D$425,'Resultat-Produktion &amp; forbrug'!$D275,'Forbrug af biomasse'!$A$2:$A$425,'Resultat-Produktion &amp; forbrug'!K$2,'Forbrug af biomasse'!$B$2:$B$425,$E275)</f>
        <v>0</v>
      </c>
      <c r="L275" s="196">
        <f>IF(A275&lt;&gt;"Biogas",SUMIFS('Forbrug af biomasse'!$E$2:$E$425,'Forbrug af biomasse'!$C$2:$C$425,'Resultat-Produktion &amp; forbrug'!$A275,'Forbrug af biomasse'!$D$2:$D$425,'Resultat-Produktion &amp; forbrug'!$D275,'Forbrug af biomasse'!$A$2:$A$425,'Resultat-Produktion &amp; forbrug'!L$2,'Forbrug af biomasse'!$B$2:$B$425,$E275),F275)</f>
        <v>0</v>
      </c>
      <c r="M275" s="158">
        <f>SUMIFS('Forbrug af biomasse'!E:E,'Forbrug af biomasse'!C:C,'Resultat-Produktion &amp; forbrug'!$A275,'Forbrug af biomasse'!D:D,'Resultat-Produktion &amp; forbrug'!$D275,'Forbrug af biomasse'!G:G,1,'Forbrug af biomasse'!B:B,$E275)</f>
        <v>0</v>
      </c>
      <c r="N275" s="205">
        <f t="shared" ref="N275:N276" si="80">F275-SUM(G275:M275)</f>
        <v>0</v>
      </c>
      <c r="O275" s="196">
        <f t="shared" ref="O275:O276" si="81">IF(C275=1,IF(N275+IF(SUMIFS($N$3:$N$290,$A$3:$A$290,A275,$D$3:$D$290,D275,$E$3:$E$290,"&lt;&gt;"&amp;E275)&lt;0,SUMIFS($N$3:$N$290,$A$3:$A$290,A275,$D$3:$D$290,D275,$E$3:$E$290,"&lt;&gt;"&amp;E275),0)&gt;0,N275+IF(SUMIFS($N$3:$N$290,$A$3:$A$290,A275,$D$3:$D$290,D275,$E$3:$E$290,"&lt;&gt;"&amp;E275)&lt;0,SUMIFS($N$3:$N$290,$A$3:$A$290,A275,$D$3:$D$290,D275,$E$3:$E$290,"&lt;&gt;"&amp;E275),0),0),0)</f>
        <v>0</v>
      </c>
      <c r="P275" s="206">
        <f t="shared" ref="P275:P276" si="82">SUM(J275,L275)</f>
        <v>0</v>
      </c>
      <c r="Q275" s="193">
        <f>IFERROR(VLOOKUP(A275,[1]Energiindhold!$A$2:$C$11,3,FALSE),IFERROR(VLOOKUP(A275,[1]Biogasudbytte!$A$2:$B$18,2,FALSE)*[1]Energiindhold!$C$10,0))*O275</f>
        <v>0</v>
      </c>
      <c r="R275" s="193">
        <f>IF(A275&lt;&gt;"Biogas",IFERROR(VLOOKUP(A275,[1]Biogasudbytte!$A$2:$B$18,2,FALSE)*[1]Energiindhold!$C$10,0)*J275*IFERROR(VLOOKUP(A275,Biogasanlæg!$F$3:$G$8,2,FALSE),1)+IFERROR(VLOOKUP(A275,[1]Energiindhold!$A$2:$C$11,3,FALSE),0)*L275+IF(D275&lt;&gt;År1,Q275,0),0)</f>
        <v>0</v>
      </c>
      <c r="S275" s="193">
        <f>IFERROR(VLOOKUP(A275,[1]Biogasudbytte!$A$2:$B$18,2,FALSE)*[1]Energiindhold!$C$10,0)*J275*IFERROR(VLOOKUP(A275,Biogasanlæg!$F$3:$G$8,2,FALSE),1)</f>
        <v>0</v>
      </c>
      <c r="T275" s="194">
        <f t="shared" ref="T275:T276" si="83">R275-S275</f>
        <v>0</v>
      </c>
      <c r="U275" s="192">
        <f>O275*IFERROR(VLOOKUP(A275,[1]Tørstofindhold!A$2:B$25,2,FALSE),0)</f>
        <v>0</v>
      </c>
      <c r="V275" s="193">
        <f>IF(D275=År1,P275,SUM(O275,P275))*IFERROR(VLOOKUP(A275,[1]Tørstofindhold!A$2:B$25,2,FALSE),0)</f>
        <v>0</v>
      </c>
      <c r="W275" s="193">
        <f>J275*IFERROR(VLOOKUP(A275,[1]Tørstofindhold!A$2:B$25,2,FALSE),0)</f>
        <v>0</v>
      </c>
      <c r="X275" s="194">
        <f t="shared" ref="X275:X276" si="84">V275-W275</f>
        <v>0</v>
      </c>
      <c r="Y275" s="172">
        <f t="shared" ref="Y275:Y276" si="85">IF(SUMIFS($N$3:$N$290,$A$3:$A$290,A275,$D$3:$D$290,D275)&lt;0,1,0)</f>
        <v>0</v>
      </c>
      <c r="Z275" s="104">
        <f t="shared" ref="Z275:Z276" si="86">IF(SUMIFS($N$3:$N$290,$A$3:$A$290,A275,$D$3:$D$290,D275)&gt;0,1,0)</f>
        <v>0</v>
      </c>
    </row>
    <row r="276" spans="1:26" hidden="1" x14ac:dyDescent="0.55000000000000004">
      <c r="A276" s="195" t="str">
        <f t="shared" si="78"/>
        <v>Pyrolyseolie</v>
      </c>
      <c r="B276" s="195" t="str">
        <f t="shared" si="79"/>
        <v>Pyrolyseprodukter</v>
      </c>
      <c r="C276" s="195">
        <f>IF(COUNTIFS('Resultater - Danmark'!$D$3:$D$482,'Resultat-Produktion &amp; forbrug'!A276,'Resultater - Danmark'!$A$3:$A$482,"Til energi")+COUNTIFS('Resultater - Danmark'!$D$3:$D$482,'Resultat-Produktion &amp; forbrug'!A276,'Resultater - Danmark'!$A$3:$A$482,"Biogasanlæg")&gt;0,1,0)</f>
        <v>1</v>
      </c>
      <c r="D276" s="195">
        <f t="shared" si="74"/>
        <v>2050</v>
      </c>
      <c r="E276" s="193" t="s">
        <v>24</v>
      </c>
      <c r="F276" s="196">
        <f>IF(E276="Vestdanmark",SUMIFS(IF(D276=År1,'Resultater - Vestdanmark'!H$3:H$482,IF(D276=År2,'Resultater - Vestdanmark'!I$3:I$482,'Resultater - Vestdanmark'!J$3:J$482)),'Resultater - Vestdanmark'!$F$3:$F$482,$A276,IF(D276=År1,'Resultater - Vestdanmark'!H$3:H$482,IF(D276=År2,'Resultater - Vestdanmark'!I$3:I$482,'Resultater - Vestdanmark'!J$3:J$482)),"&gt;0"),SUMIFS(IF(D276=År1,'Resultater - Østdanmark'!H$3:H$482,IF(D276=År2,'Resultater - Østdanmark'!I$3:I$482,'Resultater - Østdanmark'!J$3:J$482)),'Resultater - Østdanmark'!$F$3:$F$482,$A276,IF(D276=År1,'Resultater - Østdanmark'!H$3:H$482,IF(D276=År2,'Resultater - Østdanmark'!I$3:I$482,'Resultater - Østdanmark'!J$3:J$482)),"&gt;0"))</f>
        <v>0</v>
      </c>
      <c r="G276" s="196">
        <f>SUMIFS('Forbrug af biomasse'!$E$2:$E$425,'Forbrug af biomasse'!$C$2:$C$425,'Resultat-Produktion &amp; forbrug'!$A276,'Forbrug af biomasse'!$D$2:$D$425,'Resultat-Produktion &amp; forbrug'!$D276,'Forbrug af biomasse'!$A$2:$A$425,'Resultat-Produktion &amp; forbrug'!G$2,'Forbrug af biomasse'!$B$2:$B$425,$E276)</f>
        <v>0</v>
      </c>
      <c r="H276" s="193">
        <f>IF(E276="Vestdanmark",-IF(A276="Halm",SUMIFS(IF(D276=År1,'Resultater - Vestdanmark'!H$3:H$482,IF(D276=År2,'Resultater - Vestdanmark'!I$3:I$482,'Resultater - Vestdanmark'!J$3:J$482)),'Resultater - Vestdanmark'!$F$3:$F$482,$A276,'Resultater - Vestdanmark'!H$3:H$482,"&lt;0"),0),-IF(A276="Halm",SUMIFS(IF(D276=År1,'Resultater - Østdanmark'!H$3:H$482,IF(D276=År2,'Resultater - Østdanmark'!I$3:I$482,'Resultater - Østdanmark'!J$3:J$482)),'Resultater - Østdanmark'!$F$3:$F$482,$A276,'Resultater - Østdanmark'!H$3:H$482,"&lt;0"),0))</f>
        <v>0</v>
      </c>
      <c r="I276" s="196">
        <f>SUMIFS('Forbrug af biomasse'!$E$2:$E$425,'Forbrug af biomasse'!$C$2:$C$425,'Resultat-Produktion &amp; forbrug'!$A276,'Forbrug af biomasse'!$D$2:$D$425,'Resultat-Produktion &amp; forbrug'!$D276,'Forbrug af biomasse'!$A$2:$A$425,'Resultat-Produktion &amp; forbrug'!I$2,'Forbrug af biomasse'!$B$2:$B$425,$E276)</f>
        <v>0</v>
      </c>
      <c r="J276" s="196">
        <f>SUMIFS('Forbrug af biomasse'!$E$2:$E$425,'Forbrug af biomasse'!$C$2:$C$425,'Resultat-Produktion &amp; forbrug'!$A276,'Forbrug af biomasse'!$D$2:$D$425,'Resultat-Produktion &amp; forbrug'!$D276,'Forbrug af biomasse'!$A$2:$A$425,'Resultat-Produktion &amp; forbrug'!J$2,'Forbrug af biomasse'!$B$2:$B$425,$E276)</f>
        <v>0</v>
      </c>
      <c r="K276" s="196">
        <f>SUMIFS('Forbrug af biomasse'!$E$2:$E$425,'Forbrug af biomasse'!$C$2:$C$425,'Resultat-Produktion &amp; forbrug'!$A276,'Forbrug af biomasse'!$D$2:$D$425,'Resultat-Produktion &amp; forbrug'!$D276,'Forbrug af biomasse'!$A$2:$A$425,'Resultat-Produktion &amp; forbrug'!K$2,'Forbrug af biomasse'!$B$2:$B$425,$E276)</f>
        <v>0</v>
      </c>
      <c r="L276" s="196">
        <f>IF(A276&lt;&gt;"Biogas",SUMIFS('Forbrug af biomasse'!$E$2:$E$425,'Forbrug af biomasse'!$C$2:$C$425,'Resultat-Produktion &amp; forbrug'!$A276,'Forbrug af biomasse'!$D$2:$D$425,'Resultat-Produktion &amp; forbrug'!$D276,'Forbrug af biomasse'!$A$2:$A$425,'Resultat-Produktion &amp; forbrug'!L$2,'Forbrug af biomasse'!$B$2:$B$425,$E276),F276)</f>
        <v>0</v>
      </c>
      <c r="M276" s="158">
        <f>SUMIFS('Forbrug af biomasse'!E:E,'Forbrug af biomasse'!C:C,'Resultat-Produktion &amp; forbrug'!$A276,'Forbrug af biomasse'!D:D,'Resultat-Produktion &amp; forbrug'!$D276,'Forbrug af biomasse'!G:G,1,'Forbrug af biomasse'!B:B,$E276)</f>
        <v>0</v>
      </c>
      <c r="N276" s="205">
        <f t="shared" si="80"/>
        <v>0</v>
      </c>
      <c r="O276" s="196">
        <f t="shared" si="81"/>
        <v>0</v>
      </c>
      <c r="P276" s="206">
        <f t="shared" si="82"/>
        <v>0</v>
      </c>
      <c r="Q276" s="193">
        <f>IFERROR(VLOOKUP(A276,[1]Energiindhold!$A$2:$C$11,3,FALSE),IFERROR(VLOOKUP(A276,[1]Biogasudbytte!$A$2:$B$18,2,FALSE)*[1]Energiindhold!$C$10,0))*O276</f>
        <v>0</v>
      </c>
      <c r="R276" s="193">
        <f>IF(A276&lt;&gt;"Biogas",IFERROR(VLOOKUP(A276,[1]Biogasudbytte!$A$2:$B$18,2,FALSE)*[1]Energiindhold!$C$10,0)*J276*IFERROR(VLOOKUP(A276,Biogasanlæg!$F$3:$G$8,2,FALSE),1)+IFERROR(VLOOKUP(A276,[1]Energiindhold!$A$2:$C$11,3,FALSE),0)*L276+IF(D276&lt;&gt;År1,Q276,0),0)</f>
        <v>0</v>
      </c>
      <c r="S276" s="193">
        <f>IFERROR(VLOOKUP(A276,[1]Biogasudbytte!$A$2:$B$18,2,FALSE)*[1]Energiindhold!$C$10,0)*J276*IFERROR(VLOOKUP(A276,Biogasanlæg!$F$3:$G$8,2,FALSE),1)</f>
        <v>0</v>
      </c>
      <c r="T276" s="194">
        <f t="shared" si="83"/>
        <v>0</v>
      </c>
      <c r="U276" s="192">
        <f>O276*IFERROR(VLOOKUP(A276,[1]Tørstofindhold!A$2:B$25,2,FALSE),0)</f>
        <v>0</v>
      </c>
      <c r="V276" s="193">
        <f>IF(D276=År1,P276,SUM(O276,P276))*IFERROR(VLOOKUP(A276,[1]Tørstofindhold!A$2:B$25,2,FALSE),0)</f>
        <v>0</v>
      </c>
      <c r="W276" s="193">
        <f>J276*IFERROR(VLOOKUP(A276,[1]Tørstofindhold!A$2:B$25,2,FALSE),0)</f>
        <v>0</v>
      </c>
      <c r="X276" s="194">
        <f t="shared" si="84"/>
        <v>0</v>
      </c>
      <c r="Y276" s="172">
        <f t="shared" si="85"/>
        <v>0</v>
      </c>
      <c r="Z276" s="104">
        <f t="shared" si="86"/>
        <v>0</v>
      </c>
    </row>
    <row r="277" spans="1:26" hidden="1" x14ac:dyDescent="0.55000000000000004">
      <c r="A277" s="195" t="str">
        <f t="shared" ref="A277:A290" si="87">A229</f>
        <v>Råmælk</v>
      </c>
      <c r="B277" s="195" t="str">
        <f t="shared" ref="B277:B290" si="88">IF(B229&lt;&gt;"",B229,"")</f>
        <v/>
      </c>
      <c r="C277" s="195">
        <f>IF(COUNTIFS('Resultater - Danmark'!$D$3:$D$482,'Resultat-Produktion &amp; forbrug'!A277,'Resultater - Danmark'!$A$3:$A$482,"Til energi")+COUNTIFS('Resultater - Danmark'!$D$3:$D$482,'Resultat-Produktion &amp; forbrug'!A277,'Resultater - Danmark'!$A$3:$A$482,"Biogasanlæg")&gt;0,1,0)</f>
        <v>0</v>
      </c>
      <c r="D277" s="195">
        <f t="shared" si="74"/>
        <v>2050</v>
      </c>
      <c r="E277" s="193" t="s">
        <v>24</v>
      </c>
      <c r="F277" s="196">
        <f>IF(E277="Vestdanmark",SUMIFS(IF(D277=År1,'Resultater - Vestdanmark'!H$3:H$482,IF(D277=År2,'Resultater - Vestdanmark'!I$3:I$482,'Resultater - Vestdanmark'!J$3:J$482)),'Resultater - Vestdanmark'!$F$3:$F$482,$A277,IF(D277=År1,'Resultater - Vestdanmark'!H$3:H$482,IF(D277=År2,'Resultater - Vestdanmark'!I$3:I$482,'Resultater - Vestdanmark'!J$3:J$482)),"&gt;0"),SUMIFS(IF(D277=År1,'Resultater - Østdanmark'!H$3:H$482,IF(D277=År2,'Resultater - Østdanmark'!I$3:I$482,'Resultater - Østdanmark'!J$3:J$482)),'Resultater - Østdanmark'!$F$3:$F$482,$A277,IF(D277=År1,'Resultater - Østdanmark'!H$3:H$482,IF(D277=År2,'Resultater - Østdanmark'!I$3:I$482,'Resultater - Østdanmark'!J$3:J$482)),"&gt;0"))</f>
        <v>339731.06359710812</v>
      </c>
      <c r="G277" s="196">
        <f>SUMIFS('Forbrug af biomasse'!$E$2:$E$425,'Forbrug af biomasse'!$C$2:$C$425,'Resultat-Produktion &amp; forbrug'!$A277,'Forbrug af biomasse'!$D$2:$D$425,'Resultat-Produktion &amp; forbrug'!$D277,'Forbrug af biomasse'!$A$2:$A$425,'Resultat-Produktion &amp; forbrug'!G$2,'Forbrug af biomasse'!$B$2:$B$425,$E277)</f>
        <v>0</v>
      </c>
      <c r="H277" s="193">
        <f>IF(E277="Vestdanmark",-IF(A277="Halm",SUMIFS(IF(D277=År1,'Resultater - Vestdanmark'!H$3:H$482,IF(D277=År2,'Resultater - Vestdanmark'!I$3:I$482,'Resultater - Vestdanmark'!J$3:J$482)),'Resultater - Vestdanmark'!$F$3:$F$482,$A277,'Resultater - Vestdanmark'!H$3:H$482,"&lt;0"),0),-IF(A277="Halm",SUMIFS(IF(D277=År1,'Resultater - Østdanmark'!H$3:H$482,IF(D277=År2,'Resultater - Østdanmark'!I$3:I$482,'Resultater - Østdanmark'!J$3:J$482)),'Resultater - Østdanmark'!$F$3:$F$482,$A277,'Resultater - Østdanmark'!H$3:H$482,"&lt;0"),0))</f>
        <v>0</v>
      </c>
      <c r="I277" s="196">
        <f>SUMIFS('Forbrug af biomasse'!$E$2:$E$425,'Forbrug af biomasse'!$C$2:$C$425,'Resultat-Produktion &amp; forbrug'!$A277,'Forbrug af biomasse'!$D$2:$D$425,'Resultat-Produktion &amp; forbrug'!$D277,'Forbrug af biomasse'!$A$2:$A$425,'Resultat-Produktion &amp; forbrug'!I$2,'Forbrug af biomasse'!$B$2:$B$425,$E277)</f>
        <v>0</v>
      </c>
      <c r="J277" s="196">
        <f>SUMIFS('Forbrug af biomasse'!$E$2:$E$425,'Forbrug af biomasse'!$C$2:$C$425,'Resultat-Produktion &amp; forbrug'!$A277,'Forbrug af biomasse'!$D$2:$D$425,'Resultat-Produktion &amp; forbrug'!$D277,'Forbrug af biomasse'!$A$2:$A$425,'Resultat-Produktion &amp; forbrug'!J$2,'Forbrug af biomasse'!$B$2:$B$425,$E277)</f>
        <v>0</v>
      </c>
      <c r="K277" s="196">
        <f>SUMIFS('Forbrug af biomasse'!$E$2:$E$425,'Forbrug af biomasse'!$C$2:$C$425,'Resultat-Produktion &amp; forbrug'!$A277,'Forbrug af biomasse'!$D$2:$D$425,'Resultat-Produktion &amp; forbrug'!$D277,'Forbrug af biomasse'!$A$2:$A$425,'Resultat-Produktion &amp; forbrug'!K$2,'Forbrug af biomasse'!$B$2:$B$425,$E277)</f>
        <v>0</v>
      </c>
      <c r="L277" s="196">
        <f>IF(A277&lt;&gt;"Biogas",SUMIFS('Forbrug af biomasse'!$E$2:$E$425,'Forbrug af biomasse'!$C$2:$C$425,'Resultat-Produktion &amp; forbrug'!$A277,'Forbrug af biomasse'!$D$2:$D$425,'Resultat-Produktion &amp; forbrug'!$D277,'Forbrug af biomasse'!$A$2:$A$425,'Resultat-Produktion &amp; forbrug'!L$2,'Forbrug af biomasse'!$B$2:$B$425,$E277),F277)</f>
        <v>0</v>
      </c>
      <c r="M277" s="158">
        <f>SUMIFS('Forbrug af biomasse'!E:E,'Forbrug af biomasse'!C:C,'Resultat-Produktion &amp; forbrug'!$A277,'Forbrug af biomasse'!D:D,'Resultat-Produktion &amp; forbrug'!$D277,'Forbrug af biomasse'!G:G,1,'Forbrug af biomasse'!B:B,$E277)</f>
        <v>0</v>
      </c>
      <c r="N277" s="205">
        <f t="shared" si="62"/>
        <v>339731.06359710812</v>
      </c>
      <c r="O277" s="196">
        <f t="shared" ref="O277:O290" si="89">IF(C277=1,IF(N277+IF(SUMIFS($N$3:$N$290,$A$3:$A$290,A277,$D$3:$D$290,D277,$E$3:$E$290,"&lt;&gt;"&amp;E277)&lt;0,SUMIFS($N$3:$N$290,$A$3:$A$290,A277,$D$3:$D$290,D277,$E$3:$E$290,"&lt;&gt;"&amp;E277),0)&gt;0,N277+IF(SUMIFS($N$3:$N$290,$A$3:$A$290,A277,$D$3:$D$290,D277,$E$3:$E$290,"&lt;&gt;"&amp;E277)&lt;0,SUMIFS($N$3:$N$290,$A$3:$A$290,A277,$D$3:$D$290,D277,$E$3:$E$290,"&lt;&gt;"&amp;E277),0),0),0)</f>
        <v>0</v>
      </c>
      <c r="P277" s="206">
        <f t="shared" si="63"/>
        <v>0</v>
      </c>
      <c r="Q277" s="193">
        <f>IFERROR(VLOOKUP(A277,[1]Energiindhold!$A$2:$C$11,3,FALSE),IFERROR(VLOOKUP(A277,[1]Biogasudbytte!$A$2:$B$18,2,FALSE)*[1]Energiindhold!$C$10,0))*O277</f>
        <v>0</v>
      </c>
      <c r="R277" s="193">
        <f>IF(A277&lt;&gt;"Biogas",IFERROR(VLOOKUP(A277,[1]Biogasudbytte!$A$2:$B$18,2,FALSE)*[1]Energiindhold!$C$10,0)*J277*IFERROR(VLOOKUP(A277,Biogasanlæg!$F$3:$G$8,2,FALSE),1)+IFERROR(VLOOKUP(A277,[1]Energiindhold!$A$2:$C$11,3,FALSE),0)*L277+IF(D277&lt;&gt;År1,Q277,0),0)</f>
        <v>0</v>
      </c>
      <c r="S277" s="193">
        <f>IFERROR(VLOOKUP(A277,[1]Biogasudbytte!$A$2:$B$18,2,FALSE)*[1]Energiindhold!$C$10,0)*J277*IFERROR(VLOOKUP(A277,Biogasanlæg!$F$3:$G$8,2,FALSE),1)</f>
        <v>0</v>
      </c>
      <c r="T277" s="194">
        <f t="shared" si="64"/>
        <v>0</v>
      </c>
      <c r="U277" s="192">
        <f>O277*IFERROR(VLOOKUP(A277,[1]Tørstofindhold!A$2:B$25,2,FALSE),0)</f>
        <v>0</v>
      </c>
      <c r="V277" s="193">
        <f>IF(D277=År1,P277,SUM(O277,P277))*IFERROR(VLOOKUP(A277,[1]Tørstofindhold!A$2:B$25,2,FALSE),0)</f>
        <v>0</v>
      </c>
      <c r="W277" s="193">
        <f>J277*IFERROR(VLOOKUP(A277,[1]Tørstofindhold!A$2:B$25,2,FALSE),0)</f>
        <v>0</v>
      </c>
      <c r="X277" s="194">
        <f t="shared" si="65"/>
        <v>0</v>
      </c>
      <c r="Y277" s="172">
        <f t="shared" ref="Y277:Y290" si="90">IF(SUMIFS($N$3:$N$290,$A$3:$A$290,A277,$D$3:$D$290,D277)&lt;0,1,0)</f>
        <v>0</v>
      </c>
      <c r="Z277" s="104">
        <f t="shared" ref="Z277:Z290" si="91">IF(SUMIFS($N$3:$N$290,$A$3:$A$290,A277,$D$3:$D$290,D277)&gt;0,1,0)</f>
        <v>1</v>
      </c>
    </row>
    <row r="278" spans="1:26" hidden="1" x14ac:dyDescent="0.55000000000000004">
      <c r="A278" s="195" t="str">
        <f t="shared" si="87"/>
        <v>Raps</v>
      </c>
      <c r="B278" s="195" t="str">
        <f t="shared" si="88"/>
        <v/>
      </c>
      <c r="C278" s="195">
        <f>IF(COUNTIFS('Resultater - Danmark'!$D$3:$D$482,'Resultat-Produktion &amp; forbrug'!A278,'Resultater - Danmark'!$A$3:$A$482,"Til energi")+COUNTIFS('Resultater - Danmark'!$D$3:$D$482,'Resultat-Produktion &amp; forbrug'!A278,'Resultater - Danmark'!$A$3:$A$482,"Biogasanlæg")&gt;0,1,0)</f>
        <v>0</v>
      </c>
      <c r="D278" s="195">
        <f t="shared" si="74"/>
        <v>2050</v>
      </c>
      <c r="E278" s="193" t="s">
        <v>24</v>
      </c>
      <c r="F278" s="196">
        <f>IF(E278="Vestdanmark",SUMIFS(IF(D278=År1,'Resultater - Vestdanmark'!H$3:H$482,IF(D278=År2,'Resultater - Vestdanmark'!I$3:I$482,'Resultater - Vestdanmark'!J$3:J$482)),'Resultater - Vestdanmark'!$F$3:$F$482,$A278,IF(D278=År1,'Resultater - Vestdanmark'!H$3:H$482,IF(D278=År2,'Resultater - Vestdanmark'!I$3:I$482,'Resultater - Vestdanmark'!J$3:J$482)),"&gt;0"),SUMIFS(IF(D278=År1,'Resultater - Østdanmark'!H$3:H$482,IF(D278=År2,'Resultater - Østdanmark'!I$3:I$482,'Resultater - Østdanmark'!J$3:J$482)),'Resultater - Østdanmark'!$F$3:$F$482,$A278,IF(D278=År1,'Resultater - Østdanmark'!H$3:H$482,IF(D278=År2,'Resultater - Østdanmark'!I$3:I$482,'Resultater - Østdanmark'!J$3:J$482)),"&gt;0"))</f>
        <v>199163.17844104863</v>
      </c>
      <c r="G278" s="196">
        <f>SUMIFS('Forbrug af biomasse'!$E$2:$E$425,'Forbrug af biomasse'!$C$2:$C$425,'Resultat-Produktion &amp; forbrug'!$A278,'Forbrug af biomasse'!$D$2:$D$425,'Resultat-Produktion &amp; forbrug'!$D278,'Forbrug af biomasse'!$A$2:$A$425,'Resultat-Produktion &amp; forbrug'!G$2,'Forbrug af biomasse'!$B$2:$B$425,$E278)</f>
        <v>0</v>
      </c>
      <c r="H278" s="193">
        <f>IF(E278="Vestdanmark",-IF(A278="Halm",SUMIFS(IF(D278=År1,'Resultater - Vestdanmark'!H$3:H$482,IF(D278=År2,'Resultater - Vestdanmark'!I$3:I$482,'Resultater - Vestdanmark'!J$3:J$482)),'Resultater - Vestdanmark'!$F$3:$F$482,$A278,'Resultater - Vestdanmark'!H$3:H$482,"&lt;0"),0),-IF(A278="Halm",SUMIFS(IF(D278=År1,'Resultater - Østdanmark'!H$3:H$482,IF(D278=År2,'Resultater - Østdanmark'!I$3:I$482,'Resultater - Østdanmark'!J$3:J$482)),'Resultater - Østdanmark'!$F$3:$F$482,$A278,'Resultater - Østdanmark'!H$3:H$482,"&lt;0"),0))</f>
        <v>0</v>
      </c>
      <c r="I278" s="196">
        <f>SUMIFS('Forbrug af biomasse'!$E$2:$E$425,'Forbrug af biomasse'!$C$2:$C$425,'Resultat-Produktion &amp; forbrug'!$A278,'Forbrug af biomasse'!$D$2:$D$425,'Resultat-Produktion &amp; forbrug'!$D278,'Forbrug af biomasse'!$A$2:$A$425,'Resultat-Produktion &amp; forbrug'!I$2,'Forbrug af biomasse'!$B$2:$B$425,$E278)</f>
        <v>0</v>
      </c>
      <c r="J278" s="196">
        <f>SUMIFS('Forbrug af biomasse'!$E$2:$E$425,'Forbrug af biomasse'!$C$2:$C$425,'Resultat-Produktion &amp; forbrug'!$A278,'Forbrug af biomasse'!$D$2:$D$425,'Resultat-Produktion &amp; forbrug'!$D278,'Forbrug af biomasse'!$A$2:$A$425,'Resultat-Produktion &amp; forbrug'!J$2,'Forbrug af biomasse'!$B$2:$B$425,$E278)</f>
        <v>0</v>
      </c>
      <c r="K278" s="196">
        <f>SUMIFS('Forbrug af biomasse'!$E$2:$E$425,'Forbrug af biomasse'!$C$2:$C$425,'Resultat-Produktion &amp; forbrug'!$A278,'Forbrug af biomasse'!$D$2:$D$425,'Resultat-Produktion &amp; forbrug'!$D278,'Forbrug af biomasse'!$A$2:$A$425,'Resultat-Produktion &amp; forbrug'!K$2,'Forbrug af biomasse'!$B$2:$B$425,$E278)</f>
        <v>0</v>
      </c>
      <c r="L278" s="196">
        <f>IF(A278&lt;&gt;"Biogas",SUMIFS('Forbrug af biomasse'!$E$2:$E$425,'Forbrug af biomasse'!$C$2:$C$425,'Resultat-Produktion &amp; forbrug'!$A278,'Forbrug af biomasse'!$D$2:$D$425,'Resultat-Produktion &amp; forbrug'!$D278,'Forbrug af biomasse'!$A$2:$A$425,'Resultat-Produktion &amp; forbrug'!L$2,'Forbrug af biomasse'!$B$2:$B$425,$E278),F278)</f>
        <v>0</v>
      </c>
      <c r="M278" s="158">
        <f>SUMIFS('Forbrug af biomasse'!E:E,'Forbrug af biomasse'!C:C,'Resultat-Produktion &amp; forbrug'!$A278,'Forbrug af biomasse'!D:D,'Resultat-Produktion &amp; forbrug'!$D278,'Forbrug af biomasse'!G:G,1,'Forbrug af biomasse'!B:B,$E278)</f>
        <v>199163.17844104863</v>
      </c>
      <c r="N278" s="205">
        <f t="shared" si="62"/>
        <v>0</v>
      </c>
      <c r="O278" s="196">
        <f t="shared" si="89"/>
        <v>0</v>
      </c>
      <c r="P278" s="206">
        <f t="shared" si="63"/>
        <v>0</v>
      </c>
      <c r="Q278" s="193">
        <f>IFERROR(VLOOKUP(A278,[1]Energiindhold!$A$2:$C$11,3,FALSE),IFERROR(VLOOKUP(A278,[1]Biogasudbytte!$A$2:$B$18,2,FALSE)*[1]Energiindhold!$C$10,0))*O278</f>
        <v>0</v>
      </c>
      <c r="R278" s="193">
        <f>IF(A278&lt;&gt;"Biogas",IFERROR(VLOOKUP(A278,[1]Biogasudbytte!$A$2:$B$18,2,FALSE)*[1]Energiindhold!$C$10,0)*J278*IFERROR(VLOOKUP(A278,Biogasanlæg!$F$3:$G$8,2,FALSE),1)+IFERROR(VLOOKUP(A278,[1]Energiindhold!$A$2:$C$11,3,FALSE),0)*L278+IF(D278&lt;&gt;År1,Q278,0),0)</f>
        <v>0</v>
      </c>
      <c r="S278" s="193">
        <f>IFERROR(VLOOKUP(A278,[1]Biogasudbytte!$A$2:$B$18,2,FALSE)*[1]Energiindhold!$C$10,0)*J278*IFERROR(VLOOKUP(A278,Biogasanlæg!$F$3:$G$8,2,FALSE),1)</f>
        <v>0</v>
      </c>
      <c r="T278" s="194">
        <f t="shared" si="64"/>
        <v>0</v>
      </c>
      <c r="U278" s="192">
        <f>O278*IFERROR(VLOOKUP(A278,[1]Tørstofindhold!A$2:B$25,2,FALSE),0)</f>
        <v>0</v>
      </c>
      <c r="V278" s="193">
        <f>IF(D278=År1,P278,SUM(O278,P278))*IFERROR(VLOOKUP(A278,[1]Tørstofindhold!A$2:B$25,2,FALSE),0)</f>
        <v>0</v>
      </c>
      <c r="W278" s="193">
        <f>J278*IFERROR(VLOOKUP(A278,[1]Tørstofindhold!A$2:B$25,2,FALSE),0)</f>
        <v>0</v>
      </c>
      <c r="X278" s="194">
        <f t="shared" si="65"/>
        <v>0</v>
      </c>
      <c r="Y278" s="172">
        <f t="shared" si="90"/>
        <v>0</v>
      </c>
      <c r="Z278" s="104">
        <f t="shared" si="91"/>
        <v>0</v>
      </c>
    </row>
    <row r="279" spans="1:26" hidden="1" x14ac:dyDescent="0.55000000000000004">
      <c r="A279" s="195" t="str">
        <f t="shared" si="87"/>
        <v>Rapskage</v>
      </c>
      <c r="B279" s="195" t="str">
        <f t="shared" si="88"/>
        <v/>
      </c>
      <c r="C279" s="195">
        <f>IF(COUNTIFS('Resultater - Danmark'!$D$3:$D$482,'Resultat-Produktion &amp; forbrug'!A279,'Resultater - Danmark'!$A$3:$A$482,"Til energi")+COUNTIFS('Resultater - Danmark'!$D$3:$D$482,'Resultat-Produktion &amp; forbrug'!A279,'Resultater - Danmark'!$A$3:$A$482,"Biogasanlæg")&gt;0,1,0)</f>
        <v>0</v>
      </c>
      <c r="D279" s="195">
        <f t="shared" si="74"/>
        <v>2050</v>
      </c>
      <c r="E279" s="193" t="s">
        <v>24</v>
      </c>
      <c r="F279" s="196">
        <f>IF(E279="Vestdanmark",SUMIFS(IF(D279=År1,'Resultater - Vestdanmark'!H$3:H$482,IF(D279=År2,'Resultater - Vestdanmark'!I$3:I$482,'Resultater - Vestdanmark'!J$3:J$482)),'Resultater - Vestdanmark'!$F$3:$F$482,$A279,IF(D279=År1,'Resultater - Vestdanmark'!H$3:H$482,IF(D279=År2,'Resultater - Vestdanmark'!I$3:I$482,'Resultater - Vestdanmark'!J$3:J$482)),"&gt;0"),SUMIFS(IF(D279=År1,'Resultater - Østdanmark'!H$3:H$482,IF(D279=År2,'Resultater - Østdanmark'!I$3:I$482,'Resultater - Østdanmark'!J$3:J$482)),'Resultater - Østdanmark'!$F$3:$F$482,$A279,IF(D279=År1,'Resultater - Østdanmark'!H$3:H$482,IF(D279=År2,'Resultater - Østdanmark'!I$3:I$482,'Resultater - Østdanmark'!J$3:J$482)),"&gt;0"))</f>
        <v>99581.589220524314</v>
      </c>
      <c r="G279" s="196">
        <f>SUMIFS('Forbrug af biomasse'!$E$2:$E$425,'Forbrug af biomasse'!$C$2:$C$425,'Resultat-Produktion &amp; forbrug'!$A279,'Forbrug af biomasse'!$D$2:$D$425,'Resultat-Produktion &amp; forbrug'!$D279,'Forbrug af biomasse'!$A$2:$A$425,'Resultat-Produktion &amp; forbrug'!G$2,'Forbrug af biomasse'!$B$2:$B$425,$E279)</f>
        <v>26278.769501998373</v>
      </c>
      <c r="H279" s="193">
        <f>IF(E279="Vestdanmark",-IF(A279="Halm",SUMIFS(IF(D279=År1,'Resultater - Vestdanmark'!H$3:H$482,IF(D279=År2,'Resultater - Vestdanmark'!I$3:I$482,'Resultater - Vestdanmark'!J$3:J$482)),'Resultater - Vestdanmark'!$F$3:$F$482,$A279,'Resultater - Vestdanmark'!H$3:H$482,"&lt;0"),0),-IF(A279="Halm",SUMIFS(IF(D279=År1,'Resultater - Østdanmark'!H$3:H$482,IF(D279=År2,'Resultater - Østdanmark'!I$3:I$482,'Resultater - Østdanmark'!J$3:J$482)),'Resultater - Østdanmark'!$F$3:$F$482,$A279,'Resultater - Østdanmark'!H$3:H$482,"&lt;0"),0))</f>
        <v>0</v>
      </c>
      <c r="I279" s="196">
        <f>SUMIFS('Forbrug af biomasse'!$E$2:$E$425,'Forbrug af biomasse'!$C$2:$C$425,'Resultat-Produktion &amp; forbrug'!$A279,'Forbrug af biomasse'!$D$2:$D$425,'Resultat-Produktion &amp; forbrug'!$D279,'Forbrug af biomasse'!$A$2:$A$425,'Resultat-Produktion &amp; forbrug'!I$2,'Forbrug af biomasse'!$B$2:$B$425,$E279)</f>
        <v>0</v>
      </c>
      <c r="J279" s="196">
        <f>SUMIFS('Forbrug af biomasse'!$E$2:$E$425,'Forbrug af biomasse'!$C$2:$C$425,'Resultat-Produktion &amp; forbrug'!$A279,'Forbrug af biomasse'!$D$2:$D$425,'Resultat-Produktion &amp; forbrug'!$D279,'Forbrug af biomasse'!$A$2:$A$425,'Resultat-Produktion &amp; forbrug'!J$2,'Forbrug af biomasse'!$B$2:$B$425,$E279)</f>
        <v>0</v>
      </c>
      <c r="K279" s="196">
        <f>SUMIFS('Forbrug af biomasse'!$E$2:$E$425,'Forbrug af biomasse'!$C$2:$C$425,'Resultat-Produktion &amp; forbrug'!$A279,'Forbrug af biomasse'!$D$2:$D$425,'Resultat-Produktion &amp; forbrug'!$D279,'Forbrug af biomasse'!$A$2:$A$425,'Resultat-Produktion &amp; forbrug'!K$2,'Forbrug af biomasse'!$B$2:$B$425,$E279)</f>
        <v>0</v>
      </c>
      <c r="L279" s="196">
        <f>IF(A279&lt;&gt;"Biogas",SUMIFS('Forbrug af biomasse'!$E$2:$E$425,'Forbrug af biomasse'!$C$2:$C$425,'Resultat-Produktion &amp; forbrug'!$A279,'Forbrug af biomasse'!$D$2:$D$425,'Resultat-Produktion &amp; forbrug'!$D279,'Forbrug af biomasse'!$A$2:$A$425,'Resultat-Produktion &amp; forbrug'!L$2,'Forbrug af biomasse'!$B$2:$B$425,$E279),F279)</f>
        <v>0</v>
      </c>
      <c r="M279" s="158">
        <f>SUMIFS('Forbrug af biomasse'!E:E,'Forbrug af biomasse'!C:C,'Resultat-Produktion &amp; forbrug'!$A279,'Forbrug af biomasse'!D:D,'Resultat-Produktion &amp; forbrug'!$D279,'Forbrug af biomasse'!G:G,1,'Forbrug af biomasse'!B:B,$E279)</f>
        <v>0</v>
      </c>
      <c r="N279" s="205">
        <f t="shared" si="62"/>
        <v>73302.819718525949</v>
      </c>
      <c r="O279" s="196">
        <f t="shared" si="89"/>
        <v>0</v>
      </c>
      <c r="P279" s="206">
        <f t="shared" si="63"/>
        <v>0</v>
      </c>
      <c r="Q279" s="193">
        <f>IFERROR(VLOOKUP(A279,[1]Energiindhold!$A$2:$C$11,3,FALSE),IFERROR(VLOOKUP(A279,[1]Biogasudbytte!$A$2:$B$18,2,FALSE)*[1]Energiindhold!$C$10,0))*O279</f>
        <v>0</v>
      </c>
      <c r="R279" s="193">
        <f>IF(A279&lt;&gt;"Biogas",IFERROR(VLOOKUP(A279,[1]Biogasudbytte!$A$2:$B$18,2,FALSE)*[1]Energiindhold!$C$10,0)*J279*IFERROR(VLOOKUP(A279,Biogasanlæg!$F$3:$G$8,2,FALSE),1)+IFERROR(VLOOKUP(A279,[1]Energiindhold!$A$2:$C$11,3,FALSE),0)*L279+IF(D279&lt;&gt;År1,Q279,0),0)</f>
        <v>0</v>
      </c>
      <c r="S279" s="193">
        <f>IFERROR(VLOOKUP(A279,[1]Biogasudbytte!$A$2:$B$18,2,FALSE)*[1]Energiindhold!$C$10,0)*J279*IFERROR(VLOOKUP(A279,Biogasanlæg!$F$3:$G$8,2,FALSE),1)</f>
        <v>0</v>
      </c>
      <c r="T279" s="194">
        <f t="shared" si="64"/>
        <v>0</v>
      </c>
      <c r="U279" s="192">
        <f>O279*IFERROR(VLOOKUP(A279,[1]Tørstofindhold!A$2:B$25,2,FALSE),0)</f>
        <v>0</v>
      </c>
      <c r="V279" s="193">
        <f>IF(D279=År1,P279,SUM(O279,P279))*IFERROR(VLOOKUP(A279,[1]Tørstofindhold!A$2:B$25,2,FALSE),0)</f>
        <v>0</v>
      </c>
      <c r="W279" s="193">
        <f>J279*IFERROR(VLOOKUP(A279,[1]Tørstofindhold!A$2:B$25,2,FALSE),0)</f>
        <v>0</v>
      </c>
      <c r="X279" s="194">
        <f t="shared" si="65"/>
        <v>0</v>
      </c>
      <c r="Y279" s="172">
        <f t="shared" si="90"/>
        <v>0</v>
      </c>
      <c r="Z279" s="104">
        <f t="shared" si="91"/>
        <v>1</v>
      </c>
    </row>
    <row r="280" spans="1:26" hidden="1" x14ac:dyDescent="0.55000000000000004">
      <c r="A280" s="195" t="str">
        <f t="shared" si="87"/>
        <v>Rapsolie</v>
      </c>
      <c r="B280" s="195" t="str">
        <f t="shared" si="88"/>
        <v>Rapsolie</v>
      </c>
      <c r="C280" s="195">
        <f>IF(COUNTIFS('Resultater - Danmark'!$D$3:$D$482,'Resultat-Produktion &amp; forbrug'!A280,'Resultater - Danmark'!$A$3:$A$482,"Til energi")+COUNTIFS('Resultater - Danmark'!$D$3:$D$482,'Resultat-Produktion &amp; forbrug'!A280,'Resultater - Danmark'!$A$3:$A$482,"Biogasanlæg")&gt;0,1,0)</f>
        <v>1</v>
      </c>
      <c r="D280" s="195">
        <f t="shared" si="74"/>
        <v>2050</v>
      </c>
      <c r="E280" s="193" t="s">
        <v>24</v>
      </c>
      <c r="F280" s="196">
        <f>IF(E280="Vestdanmark",SUMIFS(IF(D280=År1,'Resultater - Vestdanmark'!H$3:H$482,IF(D280=År2,'Resultater - Vestdanmark'!I$3:I$482,'Resultater - Vestdanmark'!J$3:J$482)),'Resultater - Vestdanmark'!$F$3:$F$482,$A280,IF(D280=År1,'Resultater - Vestdanmark'!H$3:H$482,IF(D280=År2,'Resultater - Vestdanmark'!I$3:I$482,'Resultater - Vestdanmark'!J$3:J$482)),"&gt;0"),SUMIFS(IF(D280=År1,'Resultater - Østdanmark'!H$3:H$482,IF(D280=År2,'Resultater - Østdanmark'!I$3:I$482,'Resultater - Østdanmark'!J$3:J$482)),'Resultater - Østdanmark'!$F$3:$F$482,$A280,IF(D280=År1,'Resultater - Østdanmark'!H$3:H$482,IF(D280=År2,'Resultater - Østdanmark'!I$3:I$482,'Resultater - Østdanmark'!J$3:J$482)),"&gt;0"))</f>
        <v>63732.21710113556</v>
      </c>
      <c r="G280" s="196">
        <f>SUMIFS('Forbrug af biomasse'!$E$2:$E$425,'Forbrug af biomasse'!$C$2:$C$425,'Resultat-Produktion &amp; forbrug'!$A280,'Forbrug af biomasse'!$D$2:$D$425,'Resultat-Produktion &amp; forbrug'!$D280,'Forbrug af biomasse'!$A$2:$A$425,'Resultat-Produktion &amp; forbrug'!G$2,'Forbrug af biomasse'!$B$2:$B$425,$E280)</f>
        <v>0</v>
      </c>
      <c r="H280" s="193">
        <f>IF(E280="Vestdanmark",-IF(A280="Halm",SUMIFS(IF(D280=År1,'Resultater - Vestdanmark'!H$3:H$482,IF(D280=År2,'Resultater - Vestdanmark'!I$3:I$482,'Resultater - Vestdanmark'!J$3:J$482)),'Resultater - Vestdanmark'!$F$3:$F$482,$A280,'Resultater - Vestdanmark'!H$3:H$482,"&lt;0"),0),-IF(A280="Halm",SUMIFS(IF(D280=År1,'Resultater - Østdanmark'!H$3:H$482,IF(D280=År2,'Resultater - Østdanmark'!I$3:I$482,'Resultater - Østdanmark'!J$3:J$482)),'Resultater - Østdanmark'!$F$3:$F$482,$A280,'Resultater - Østdanmark'!H$3:H$482,"&lt;0"),0))</f>
        <v>0</v>
      </c>
      <c r="I280" s="196">
        <f>SUMIFS('Forbrug af biomasse'!$E$2:$E$425,'Forbrug af biomasse'!$C$2:$C$425,'Resultat-Produktion &amp; forbrug'!$A280,'Forbrug af biomasse'!$D$2:$D$425,'Resultat-Produktion &amp; forbrug'!$D280,'Forbrug af biomasse'!$A$2:$A$425,'Resultat-Produktion &amp; forbrug'!I$2,'Forbrug af biomasse'!$B$2:$B$425,$E280)</f>
        <v>0</v>
      </c>
      <c r="J280" s="196">
        <f>SUMIFS('Forbrug af biomasse'!$E$2:$E$425,'Forbrug af biomasse'!$C$2:$C$425,'Resultat-Produktion &amp; forbrug'!$A280,'Forbrug af biomasse'!$D$2:$D$425,'Resultat-Produktion &amp; forbrug'!$D280,'Forbrug af biomasse'!$A$2:$A$425,'Resultat-Produktion &amp; forbrug'!J$2,'Forbrug af biomasse'!$B$2:$B$425,$E280)</f>
        <v>0</v>
      </c>
      <c r="K280" s="196">
        <f>SUMIFS('Forbrug af biomasse'!$E$2:$E$425,'Forbrug af biomasse'!$C$2:$C$425,'Resultat-Produktion &amp; forbrug'!$A280,'Forbrug af biomasse'!$D$2:$D$425,'Resultat-Produktion &amp; forbrug'!$D280,'Forbrug af biomasse'!$A$2:$A$425,'Resultat-Produktion &amp; forbrug'!K$2,'Forbrug af biomasse'!$B$2:$B$425,$E280)</f>
        <v>0</v>
      </c>
      <c r="L280" s="196">
        <f>IF(A280&lt;&gt;"Biogas",SUMIFS('Forbrug af biomasse'!$E$2:$E$425,'Forbrug af biomasse'!$C$2:$C$425,'Resultat-Produktion &amp; forbrug'!$A280,'Forbrug af biomasse'!$D$2:$D$425,'Resultat-Produktion &amp; forbrug'!$D280,'Forbrug af biomasse'!$A$2:$A$425,'Resultat-Produktion &amp; forbrug'!L$2,'Forbrug af biomasse'!$B$2:$B$425,$E280),F280)</f>
        <v>63732.21710113556</v>
      </c>
      <c r="M280" s="158">
        <f>SUMIFS('Forbrug af biomasse'!E:E,'Forbrug af biomasse'!C:C,'Resultat-Produktion &amp; forbrug'!$A280,'Forbrug af biomasse'!D:D,'Resultat-Produktion &amp; forbrug'!$D280,'Forbrug af biomasse'!G:G,1,'Forbrug af biomasse'!B:B,$E280)</f>
        <v>0</v>
      </c>
      <c r="N280" s="205">
        <f t="shared" si="62"/>
        <v>0</v>
      </c>
      <c r="O280" s="196">
        <f t="shared" si="89"/>
        <v>0</v>
      </c>
      <c r="P280" s="206">
        <f t="shared" si="63"/>
        <v>63732.21710113556</v>
      </c>
      <c r="Q280" s="193">
        <f>IFERROR(VLOOKUP(A280,[1]Energiindhold!$A$2:$C$11,3,FALSE),IFERROR(VLOOKUP(A280,[1]Biogasudbytte!$A$2:$B$18,2,FALSE)*[1]Energiindhold!$C$10,0))*O280</f>
        <v>0</v>
      </c>
      <c r="R280" s="193">
        <f>IF(A280&lt;&gt;"Biogas",IFERROR(VLOOKUP(A280,[1]Biogasudbytte!$A$2:$B$18,2,FALSE)*[1]Energiindhold!$C$10,0)*J280*IFERROR(VLOOKUP(A280,Biogasanlæg!$F$3:$G$8,2,FALSE),1)+IFERROR(VLOOKUP(A280,[1]Energiindhold!$A$2:$C$11,3,FALSE),0)*L280+IF(D280&lt;&gt;År1,Q280,0),0)</f>
        <v>2.2306275985397446</v>
      </c>
      <c r="S280" s="193">
        <f>IFERROR(VLOOKUP(A280,[1]Biogasudbytte!$A$2:$B$18,2,FALSE)*[1]Energiindhold!$C$10,0)*J280*IFERROR(VLOOKUP(A280,Biogasanlæg!$F$3:$G$8,2,FALSE),1)</f>
        <v>0</v>
      </c>
      <c r="T280" s="194">
        <f t="shared" si="64"/>
        <v>2.2306275985397446</v>
      </c>
      <c r="U280" s="192">
        <f>O280*IFERROR(VLOOKUP(A280,[1]Tørstofindhold!A$2:B$25,2,FALSE),0)</f>
        <v>0</v>
      </c>
      <c r="V280" s="193">
        <f>IF(D280=År1,P280,SUM(O280,P280))*IFERROR(VLOOKUP(A280,[1]Tørstofindhold!A$2:B$25,2,FALSE),0)</f>
        <v>57996.317562033364</v>
      </c>
      <c r="W280" s="193">
        <f>J280*IFERROR(VLOOKUP(A280,[1]Tørstofindhold!A$2:B$25,2,FALSE),0)</f>
        <v>0</v>
      </c>
      <c r="X280" s="194">
        <f t="shared" si="65"/>
        <v>57996.317562033364</v>
      </c>
      <c r="Y280" s="172">
        <f t="shared" si="90"/>
        <v>0</v>
      </c>
      <c r="Z280" s="104">
        <f t="shared" si="91"/>
        <v>0</v>
      </c>
    </row>
    <row r="281" spans="1:26" hidden="1" x14ac:dyDescent="0.55000000000000004">
      <c r="A281" s="195" t="str">
        <f t="shared" si="87"/>
        <v>Roer</v>
      </c>
      <c r="B281" s="195" t="str">
        <f t="shared" si="88"/>
        <v>Græs og urter</v>
      </c>
      <c r="C281" s="195">
        <f>IF(COUNTIFS('Resultater - Danmark'!$D$3:$D$482,'Resultat-Produktion &amp; forbrug'!A281,'Resultater - Danmark'!$A$3:$A$482,"Til energi")+COUNTIFS('Resultater - Danmark'!$D$3:$D$482,'Resultat-Produktion &amp; forbrug'!A281,'Resultater - Danmark'!$A$3:$A$482,"Biogasanlæg")&gt;0,1,0)</f>
        <v>1</v>
      </c>
      <c r="D281" s="195">
        <f t="shared" si="74"/>
        <v>2050</v>
      </c>
      <c r="E281" s="193" t="s">
        <v>24</v>
      </c>
      <c r="F281" s="196">
        <f>IF(E281="Vestdanmark",SUMIFS(IF(D281=År1,'Resultater - Vestdanmark'!H$3:H$482,IF(D281=År2,'Resultater - Vestdanmark'!I$3:I$482,'Resultater - Vestdanmark'!J$3:J$482)),'Resultater - Vestdanmark'!$F$3:$F$482,$A281,IF(D281=År1,'Resultater - Vestdanmark'!H$3:H$482,IF(D281=År2,'Resultater - Vestdanmark'!I$3:I$482,'Resultater - Vestdanmark'!J$3:J$482)),"&gt;0"),SUMIFS(IF(D281=År1,'Resultater - Østdanmark'!H$3:H$482,IF(D281=År2,'Resultater - Østdanmark'!I$3:I$482,'Resultater - Østdanmark'!J$3:J$482)),'Resultater - Østdanmark'!$F$3:$F$482,$A281,IF(D281=År1,'Resultater - Østdanmark'!H$3:H$482,IF(D281=År2,'Resultater - Østdanmark'!I$3:I$482,'Resultater - Østdanmark'!J$3:J$482)),"&gt;0"))</f>
        <v>2322627.8500566902</v>
      </c>
      <c r="G281" s="196">
        <f>SUMIFS('Forbrug af biomasse'!$E$2:$E$425,'Forbrug af biomasse'!$C$2:$C$425,'Resultat-Produktion &amp; forbrug'!$A281,'Forbrug af biomasse'!$D$2:$D$425,'Resultat-Produktion &amp; forbrug'!$D281,'Forbrug af biomasse'!$A$2:$A$425,'Resultat-Produktion &amp; forbrug'!G$2,'Forbrug af biomasse'!$B$2:$B$425,$E281)</f>
        <v>103245.87683002709</v>
      </c>
      <c r="H281" s="193">
        <f>IF(E281="Vestdanmark",-IF(A281="Halm",SUMIFS(IF(D281=År1,'Resultater - Vestdanmark'!H$3:H$482,IF(D281=År2,'Resultater - Vestdanmark'!I$3:I$482,'Resultater - Vestdanmark'!J$3:J$482)),'Resultater - Vestdanmark'!$F$3:$F$482,$A281,'Resultater - Vestdanmark'!H$3:H$482,"&lt;0"),0),-IF(A281="Halm",SUMIFS(IF(D281=År1,'Resultater - Østdanmark'!H$3:H$482,IF(D281=År2,'Resultater - Østdanmark'!I$3:I$482,'Resultater - Østdanmark'!J$3:J$482)),'Resultater - Østdanmark'!$F$3:$F$482,$A281,'Resultater - Østdanmark'!H$3:H$482,"&lt;0"),0))</f>
        <v>0</v>
      </c>
      <c r="I281" s="196">
        <f>SUMIFS('Forbrug af biomasse'!$E$2:$E$425,'Forbrug af biomasse'!$C$2:$C$425,'Resultat-Produktion &amp; forbrug'!$A281,'Forbrug af biomasse'!$D$2:$D$425,'Resultat-Produktion &amp; forbrug'!$D281,'Forbrug af biomasse'!$A$2:$A$425,'Resultat-Produktion &amp; forbrug'!I$2,'Forbrug af biomasse'!$B$2:$B$425,$E281)</f>
        <v>0</v>
      </c>
      <c r="J281" s="196">
        <f>SUMIFS('Forbrug af biomasse'!$E$2:$E$425,'Forbrug af biomasse'!$C$2:$C$425,'Resultat-Produktion &amp; forbrug'!$A281,'Forbrug af biomasse'!$D$2:$D$425,'Resultat-Produktion &amp; forbrug'!$D281,'Forbrug af biomasse'!$A$2:$A$425,'Resultat-Produktion &amp; forbrug'!J$2,'Forbrug af biomasse'!$B$2:$B$425,$E281)</f>
        <v>24610.929224370728</v>
      </c>
      <c r="K281" s="196">
        <f>SUMIFS('Forbrug af biomasse'!$E$2:$E$425,'Forbrug af biomasse'!$C$2:$C$425,'Resultat-Produktion &amp; forbrug'!$A281,'Forbrug af biomasse'!$D$2:$D$425,'Resultat-Produktion &amp; forbrug'!$D281,'Forbrug af biomasse'!$A$2:$A$425,'Resultat-Produktion &amp; forbrug'!K$2,'Forbrug af biomasse'!$B$2:$B$425,$E281)</f>
        <v>0</v>
      </c>
      <c r="L281" s="196">
        <f>IF(A281&lt;&gt;"Biogas",SUMIFS('Forbrug af biomasse'!$E$2:$E$425,'Forbrug af biomasse'!$C$2:$C$425,'Resultat-Produktion &amp; forbrug'!$A281,'Forbrug af biomasse'!$D$2:$D$425,'Resultat-Produktion &amp; forbrug'!$D281,'Forbrug af biomasse'!$A$2:$A$425,'Resultat-Produktion &amp; forbrug'!L$2,'Forbrug af biomasse'!$B$2:$B$425,$E281),F281)</f>
        <v>0</v>
      </c>
      <c r="M281" s="158">
        <f>SUMIFS('Forbrug af biomasse'!E:E,'Forbrug af biomasse'!C:C,'Resultat-Produktion &amp; forbrug'!$A281,'Forbrug af biomasse'!D:D,'Resultat-Produktion &amp; forbrug'!$D281,'Forbrug af biomasse'!G:G,1,'Forbrug af biomasse'!B:B,$E281)</f>
        <v>0</v>
      </c>
      <c r="N281" s="205">
        <f t="shared" si="62"/>
        <v>2194771.0440022922</v>
      </c>
      <c r="O281" s="196">
        <f t="shared" si="89"/>
        <v>1730280.0978252576</v>
      </c>
      <c r="P281" s="206">
        <f t="shared" si="63"/>
        <v>24610.929224370728</v>
      </c>
      <c r="Q281" s="193">
        <f>IFERROR(VLOOKUP(A281,[1]Energiindhold!$A$2:$C$11,3,FALSE),IFERROR(VLOOKUP(A281,[1]Biogasudbytte!$A$2:$B$18,2,FALSE)*[1]Energiindhold!$C$10,0))*O281</f>
        <v>4.6960493967016621</v>
      </c>
      <c r="R281" s="193">
        <f>IF(A281&lt;&gt;"Biogas",IFERROR(VLOOKUP(A281,[1]Biogasudbytte!$A$2:$B$18,2,FALSE)*[1]Energiindhold!$C$10,0)*J281*IFERROR(VLOOKUP(A281,Biogasanlæg!$F$3:$G$8,2,FALSE),1)+IFERROR(VLOOKUP(A281,[1]Energiindhold!$A$2:$C$11,3,FALSE),0)*L281+IF(D281&lt;&gt;År1,Q281,0),0)</f>
        <v>4.7628444430537735</v>
      </c>
      <c r="S281" s="193">
        <f>IFERROR(VLOOKUP(A281,[1]Biogasudbytte!$A$2:$B$18,2,FALSE)*[1]Energiindhold!$C$10,0)*J281*IFERROR(VLOOKUP(A281,Biogasanlæg!$F$3:$G$8,2,FALSE),1)</f>
        <v>6.6795046352111129E-2</v>
      </c>
      <c r="T281" s="194">
        <f t="shared" si="64"/>
        <v>4.6960493967016621</v>
      </c>
      <c r="U281" s="192">
        <f>O281*IFERROR(VLOOKUP(A281,[1]Tørstofindhold!A$2:B$25,2,FALSE),0)</f>
        <v>346056.01956505154</v>
      </c>
      <c r="V281" s="193">
        <f>IF(D281=År1,P281,SUM(O281,P281))*IFERROR(VLOOKUP(A281,[1]Tørstofindhold!A$2:B$25,2,FALSE),0)</f>
        <v>350978.20540992566</v>
      </c>
      <c r="W281" s="193">
        <f>J281*IFERROR(VLOOKUP(A281,[1]Tørstofindhold!A$2:B$25,2,FALSE),0)</f>
        <v>4922.1858448741459</v>
      </c>
      <c r="X281" s="194">
        <f t="shared" si="65"/>
        <v>346056.01956505154</v>
      </c>
      <c r="Y281" s="172">
        <f t="shared" si="90"/>
        <v>0</v>
      </c>
      <c r="Z281" s="104">
        <f t="shared" si="91"/>
        <v>1</v>
      </c>
    </row>
    <row r="282" spans="1:26" hidden="1" x14ac:dyDescent="0.55000000000000004">
      <c r="A282" s="195" t="str">
        <f t="shared" si="87"/>
        <v>Slagteriaffald til andet</v>
      </c>
      <c r="B282" s="195" t="str">
        <f t="shared" si="88"/>
        <v/>
      </c>
      <c r="C282" s="195">
        <f>IF(COUNTIFS('Resultater - Danmark'!$D$3:$D$482,'Resultat-Produktion &amp; forbrug'!A282,'Resultater - Danmark'!$A$3:$A$482,"Til energi")+COUNTIFS('Resultater - Danmark'!$D$3:$D$482,'Resultat-Produktion &amp; forbrug'!A282,'Resultater - Danmark'!$A$3:$A$482,"Biogasanlæg")&gt;0,1,0)</f>
        <v>0</v>
      </c>
      <c r="D282" s="195">
        <f t="shared" ref="D282:D290" si="92">År3</f>
        <v>2050</v>
      </c>
      <c r="E282" s="193" t="s">
        <v>24</v>
      </c>
      <c r="F282" s="196">
        <f>IF(E282="Vestdanmark",SUMIFS(IF(D282=År1,'Resultater - Vestdanmark'!H$3:H$482,IF(D282=År2,'Resultater - Vestdanmark'!I$3:I$482,'Resultater - Vestdanmark'!J$3:J$482)),'Resultater - Vestdanmark'!$F$3:$F$482,$A282,IF(D282=År1,'Resultater - Vestdanmark'!H$3:H$482,IF(D282=År2,'Resultater - Vestdanmark'!I$3:I$482,'Resultater - Vestdanmark'!J$3:J$482)),"&gt;0"),SUMIFS(IF(D282=År1,'Resultater - Østdanmark'!H$3:H$482,IF(D282=År2,'Resultater - Østdanmark'!I$3:I$482,'Resultater - Østdanmark'!J$3:J$482)),'Resultater - Østdanmark'!$F$3:$F$482,$A282,IF(D282=År1,'Resultater - Østdanmark'!H$3:H$482,IF(D282=År2,'Resultater - Østdanmark'!I$3:I$482,'Resultater - Østdanmark'!J$3:J$482)),"&gt;0"))</f>
        <v>21894.979482137918</v>
      </c>
      <c r="G282" s="196">
        <f>SUMIFS('Forbrug af biomasse'!$E$2:$E$425,'Forbrug af biomasse'!$C$2:$C$425,'Resultat-Produktion &amp; forbrug'!$A282,'Forbrug af biomasse'!$D$2:$D$425,'Resultat-Produktion &amp; forbrug'!$D282,'Forbrug af biomasse'!$A$2:$A$425,'Resultat-Produktion &amp; forbrug'!G$2,'Forbrug af biomasse'!$B$2:$B$425,$E282)</f>
        <v>0</v>
      </c>
      <c r="H282" s="193">
        <f>IF(E282="Vestdanmark",-IF(A282="Halm",SUMIFS(IF(D282=År1,'Resultater - Vestdanmark'!H$3:H$482,IF(D282=År2,'Resultater - Vestdanmark'!I$3:I$482,'Resultater - Vestdanmark'!J$3:J$482)),'Resultater - Vestdanmark'!$F$3:$F$482,$A282,'Resultater - Vestdanmark'!H$3:H$482,"&lt;0"),0),-IF(A282="Halm",SUMIFS(IF(D282=År1,'Resultater - Østdanmark'!H$3:H$482,IF(D282=År2,'Resultater - Østdanmark'!I$3:I$482,'Resultater - Østdanmark'!J$3:J$482)),'Resultater - Østdanmark'!$F$3:$F$482,$A282,'Resultater - Østdanmark'!H$3:H$482,"&lt;0"),0))</f>
        <v>0</v>
      </c>
      <c r="I282" s="196">
        <f>SUMIFS('Forbrug af biomasse'!$E$2:$E$425,'Forbrug af biomasse'!$C$2:$C$425,'Resultat-Produktion &amp; forbrug'!$A282,'Forbrug af biomasse'!$D$2:$D$425,'Resultat-Produktion &amp; forbrug'!$D282,'Forbrug af biomasse'!$A$2:$A$425,'Resultat-Produktion &amp; forbrug'!I$2,'Forbrug af biomasse'!$B$2:$B$425,$E282)</f>
        <v>0</v>
      </c>
      <c r="J282" s="196">
        <f>SUMIFS('Forbrug af biomasse'!$E$2:$E$425,'Forbrug af biomasse'!$C$2:$C$425,'Resultat-Produktion &amp; forbrug'!$A282,'Forbrug af biomasse'!$D$2:$D$425,'Resultat-Produktion &amp; forbrug'!$D282,'Forbrug af biomasse'!$A$2:$A$425,'Resultat-Produktion &amp; forbrug'!J$2,'Forbrug af biomasse'!$B$2:$B$425,$E282)</f>
        <v>0</v>
      </c>
      <c r="K282" s="196">
        <f>SUMIFS('Forbrug af biomasse'!$E$2:$E$425,'Forbrug af biomasse'!$C$2:$C$425,'Resultat-Produktion &amp; forbrug'!$A282,'Forbrug af biomasse'!$D$2:$D$425,'Resultat-Produktion &amp; forbrug'!$D282,'Forbrug af biomasse'!$A$2:$A$425,'Resultat-Produktion &amp; forbrug'!K$2,'Forbrug af biomasse'!$B$2:$B$425,$E282)</f>
        <v>0</v>
      </c>
      <c r="L282" s="196">
        <f>IF(A282&lt;&gt;"Biogas",SUMIFS('Forbrug af biomasse'!$E$2:$E$425,'Forbrug af biomasse'!$C$2:$C$425,'Resultat-Produktion &amp; forbrug'!$A282,'Forbrug af biomasse'!$D$2:$D$425,'Resultat-Produktion &amp; forbrug'!$D282,'Forbrug af biomasse'!$A$2:$A$425,'Resultat-Produktion &amp; forbrug'!L$2,'Forbrug af biomasse'!$B$2:$B$425,$E282),F282)</f>
        <v>0</v>
      </c>
      <c r="M282" s="158">
        <f>SUMIFS('Forbrug af biomasse'!E:E,'Forbrug af biomasse'!C:C,'Resultat-Produktion &amp; forbrug'!$A282,'Forbrug af biomasse'!D:D,'Resultat-Produktion &amp; forbrug'!$D282,'Forbrug af biomasse'!G:G,1,'Forbrug af biomasse'!B:B,$E282)</f>
        <v>0</v>
      </c>
      <c r="N282" s="205">
        <f t="shared" ref="N282:N290" si="93">F282-SUM(G282:M282)</f>
        <v>21894.979482137918</v>
      </c>
      <c r="O282" s="196">
        <f t="shared" si="89"/>
        <v>0</v>
      </c>
      <c r="P282" s="206">
        <f t="shared" ref="P282:P290" si="94">SUM(J282,L282)</f>
        <v>0</v>
      </c>
      <c r="Q282" s="193">
        <f>IFERROR(VLOOKUP(A282,[1]Energiindhold!$A$2:$C$11,3,FALSE),IFERROR(VLOOKUP(A282,[1]Biogasudbytte!$A$2:$B$18,2,FALSE)*[1]Energiindhold!$C$10,0))*O282</f>
        <v>0</v>
      </c>
      <c r="R282" s="193">
        <f>IF(A282&lt;&gt;"Biogas",IFERROR(VLOOKUP(A282,[1]Biogasudbytte!$A$2:$B$18,2,FALSE)*[1]Energiindhold!$C$10,0)*J282*IFERROR(VLOOKUP(A282,Biogasanlæg!$F$3:$G$8,2,FALSE),1)+IFERROR(VLOOKUP(A282,[1]Energiindhold!$A$2:$C$11,3,FALSE),0)*L282+IF(D282&lt;&gt;År1,Q282,0),0)</f>
        <v>0</v>
      </c>
      <c r="S282" s="193">
        <f>IFERROR(VLOOKUP(A282,[1]Biogasudbytte!$A$2:$B$18,2,FALSE)*[1]Energiindhold!$C$10,0)*J282*IFERROR(VLOOKUP(A282,Biogasanlæg!$F$3:$G$8,2,FALSE),1)</f>
        <v>0</v>
      </c>
      <c r="T282" s="194">
        <f t="shared" ref="T282:T290" si="95">R282-S282</f>
        <v>0</v>
      </c>
      <c r="U282" s="192">
        <f>O282*IFERROR(VLOOKUP(A282,[1]Tørstofindhold!A$2:B$25,2,FALSE),0)</f>
        <v>0</v>
      </c>
      <c r="V282" s="193">
        <f>IF(D282=År1,P282,SUM(O282,P282))*IFERROR(VLOOKUP(A282,[1]Tørstofindhold!A$2:B$25,2,FALSE),0)</f>
        <v>0</v>
      </c>
      <c r="W282" s="193">
        <f>J282*IFERROR(VLOOKUP(A282,[1]Tørstofindhold!A$2:B$25,2,FALSE),0)</f>
        <v>0</v>
      </c>
      <c r="X282" s="194">
        <f t="shared" ref="X282:X290" si="96">V282-W282</f>
        <v>0</v>
      </c>
      <c r="Y282" s="172">
        <f t="shared" si="90"/>
        <v>0</v>
      </c>
      <c r="Z282" s="104">
        <f t="shared" si="91"/>
        <v>1</v>
      </c>
    </row>
    <row r="283" spans="1:26" hidden="1" x14ac:dyDescent="0.55000000000000004">
      <c r="A283" s="195" t="str">
        <f t="shared" si="87"/>
        <v>Slagteriaffald til foder</v>
      </c>
      <c r="B283" s="195" t="str">
        <f t="shared" si="88"/>
        <v/>
      </c>
      <c r="C283" s="195">
        <f>IF(COUNTIFS('Resultater - Danmark'!$D$3:$D$482,'Resultat-Produktion &amp; forbrug'!A283,'Resultater - Danmark'!$A$3:$A$482,"Til energi")+COUNTIFS('Resultater - Danmark'!$D$3:$D$482,'Resultat-Produktion &amp; forbrug'!A283,'Resultater - Danmark'!$A$3:$A$482,"Biogasanlæg")&gt;0,1,0)</f>
        <v>0</v>
      </c>
      <c r="D283" s="195">
        <f t="shared" si="92"/>
        <v>2050</v>
      </c>
      <c r="E283" s="193" t="s">
        <v>24</v>
      </c>
      <c r="F283" s="196">
        <f>IF(E283="Vestdanmark",SUMIFS(IF(D283=År1,'Resultater - Vestdanmark'!H$3:H$482,IF(D283=År2,'Resultater - Vestdanmark'!I$3:I$482,'Resultater - Vestdanmark'!J$3:J$482)),'Resultater - Vestdanmark'!$F$3:$F$482,$A283,IF(D283=År1,'Resultater - Vestdanmark'!H$3:H$482,IF(D283=År2,'Resultater - Vestdanmark'!I$3:I$482,'Resultater - Vestdanmark'!J$3:J$482)),"&gt;0"),SUMIFS(IF(D283=År1,'Resultater - Østdanmark'!H$3:H$482,IF(D283=År2,'Resultater - Østdanmark'!I$3:I$482,'Resultater - Østdanmark'!J$3:J$482)),'Resultater - Østdanmark'!$F$3:$F$482,$A283,IF(D283=År1,'Resultater - Østdanmark'!H$3:H$482,IF(D283=År2,'Resultater - Østdanmark'!I$3:I$482,'Resultater - Østdanmark'!J$3:J$482)),"&gt;0"))</f>
        <v>17785.773783011035</v>
      </c>
      <c r="G283" s="196">
        <f>SUMIFS('Forbrug af biomasse'!$E$2:$E$425,'Forbrug af biomasse'!$C$2:$C$425,'Resultat-Produktion &amp; forbrug'!$A283,'Forbrug af biomasse'!$D$2:$D$425,'Resultat-Produktion &amp; forbrug'!$D283,'Forbrug af biomasse'!$A$2:$A$425,'Resultat-Produktion &amp; forbrug'!G$2,'Forbrug af biomasse'!$B$2:$B$425,$E283)</f>
        <v>4837.9324606189475</v>
      </c>
      <c r="H283" s="193">
        <f>IF(E283="Vestdanmark",-IF(A283="Halm",SUMIFS(IF(D283=År1,'Resultater - Vestdanmark'!H$3:H$482,IF(D283=År2,'Resultater - Vestdanmark'!I$3:I$482,'Resultater - Vestdanmark'!J$3:J$482)),'Resultater - Vestdanmark'!$F$3:$F$482,$A283,'Resultater - Vestdanmark'!H$3:H$482,"&lt;0"),0),-IF(A283="Halm",SUMIFS(IF(D283=År1,'Resultater - Østdanmark'!H$3:H$482,IF(D283=År2,'Resultater - Østdanmark'!I$3:I$482,'Resultater - Østdanmark'!J$3:J$482)),'Resultater - Østdanmark'!$F$3:$F$482,$A283,'Resultater - Østdanmark'!H$3:H$482,"&lt;0"),0))</f>
        <v>0</v>
      </c>
      <c r="I283" s="196">
        <f>SUMIFS('Forbrug af biomasse'!$E$2:$E$425,'Forbrug af biomasse'!$C$2:$C$425,'Resultat-Produktion &amp; forbrug'!$A283,'Forbrug af biomasse'!$D$2:$D$425,'Resultat-Produktion &amp; forbrug'!$D283,'Forbrug af biomasse'!$A$2:$A$425,'Resultat-Produktion &amp; forbrug'!I$2,'Forbrug af biomasse'!$B$2:$B$425,$E283)</f>
        <v>0</v>
      </c>
      <c r="J283" s="196">
        <f>SUMIFS('Forbrug af biomasse'!$E$2:$E$425,'Forbrug af biomasse'!$C$2:$C$425,'Resultat-Produktion &amp; forbrug'!$A283,'Forbrug af biomasse'!$D$2:$D$425,'Resultat-Produktion &amp; forbrug'!$D283,'Forbrug af biomasse'!$A$2:$A$425,'Resultat-Produktion &amp; forbrug'!J$2,'Forbrug af biomasse'!$B$2:$B$425,$E283)</f>
        <v>0</v>
      </c>
      <c r="K283" s="196">
        <f>SUMIFS('Forbrug af biomasse'!$E$2:$E$425,'Forbrug af biomasse'!$C$2:$C$425,'Resultat-Produktion &amp; forbrug'!$A283,'Forbrug af biomasse'!$D$2:$D$425,'Resultat-Produktion &amp; forbrug'!$D283,'Forbrug af biomasse'!$A$2:$A$425,'Resultat-Produktion &amp; forbrug'!K$2,'Forbrug af biomasse'!$B$2:$B$425,$E283)</f>
        <v>0</v>
      </c>
      <c r="L283" s="196">
        <f>IF(A283&lt;&gt;"Biogas",SUMIFS('Forbrug af biomasse'!$E$2:$E$425,'Forbrug af biomasse'!$C$2:$C$425,'Resultat-Produktion &amp; forbrug'!$A283,'Forbrug af biomasse'!$D$2:$D$425,'Resultat-Produktion &amp; forbrug'!$D283,'Forbrug af biomasse'!$A$2:$A$425,'Resultat-Produktion &amp; forbrug'!L$2,'Forbrug af biomasse'!$B$2:$B$425,$E283),F283)</f>
        <v>0</v>
      </c>
      <c r="M283" s="158">
        <f>SUMIFS('Forbrug af biomasse'!E:E,'Forbrug af biomasse'!C:C,'Resultat-Produktion &amp; forbrug'!$A283,'Forbrug af biomasse'!D:D,'Resultat-Produktion &amp; forbrug'!$D283,'Forbrug af biomasse'!G:G,1,'Forbrug af biomasse'!B:B,$E283)</f>
        <v>0</v>
      </c>
      <c r="N283" s="205">
        <f t="shared" si="93"/>
        <v>12947.841322392087</v>
      </c>
      <c r="O283" s="196">
        <f t="shared" si="89"/>
        <v>0</v>
      </c>
      <c r="P283" s="206">
        <f t="shared" si="94"/>
        <v>0</v>
      </c>
      <c r="Q283" s="193">
        <f>IFERROR(VLOOKUP(A283,[1]Energiindhold!$A$2:$C$11,3,FALSE),IFERROR(VLOOKUP(A283,[1]Biogasudbytte!$A$2:$B$18,2,FALSE)*[1]Energiindhold!$C$10,0))*O283</f>
        <v>0</v>
      </c>
      <c r="R283" s="193">
        <f>IF(A283&lt;&gt;"Biogas",IFERROR(VLOOKUP(A283,[1]Biogasudbytte!$A$2:$B$18,2,FALSE)*[1]Energiindhold!$C$10,0)*J283*IFERROR(VLOOKUP(A283,Biogasanlæg!$F$3:$G$8,2,FALSE),1)+IFERROR(VLOOKUP(A283,[1]Energiindhold!$A$2:$C$11,3,FALSE),0)*L283+IF(D283&lt;&gt;År1,Q283,0),0)</f>
        <v>0</v>
      </c>
      <c r="S283" s="193">
        <f>IFERROR(VLOOKUP(A283,[1]Biogasudbytte!$A$2:$B$18,2,FALSE)*[1]Energiindhold!$C$10,0)*J283*IFERROR(VLOOKUP(A283,Biogasanlæg!$F$3:$G$8,2,FALSE),1)</f>
        <v>0</v>
      </c>
      <c r="T283" s="194">
        <f t="shared" si="95"/>
        <v>0</v>
      </c>
      <c r="U283" s="192">
        <f>O283*IFERROR(VLOOKUP(A283,[1]Tørstofindhold!A$2:B$25,2,FALSE),0)</f>
        <v>0</v>
      </c>
      <c r="V283" s="193">
        <f>IF(D283=År1,P283,SUM(O283,P283))*IFERROR(VLOOKUP(A283,[1]Tørstofindhold!A$2:B$25,2,FALSE),0)</f>
        <v>0</v>
      </c>
      <c r="W283" s="193">
        <f>J283*IFERROR(VLOOKUP(A283,[1]Tørstofindhold!A$2:B$25,2,FALSE),0)</f>
        <v>0</v>
      </c>
      <c r="X283" s="194">
        <f t="shared" si="96"/>
        <v>0</v>
      </c>
      <c r="Y283" s="172">
        <f t="shared" si="90"/>
        <v>0</v>
      </c>
      <c r="Z283" s="104">
        <f t="shared" si="91"/>
        <v>1</v>
      </c>
    </row>
    <row r="284" spans="1:26" hidden="1" x14ac:dyDescent="0.55000000000000004">
      <c r="A284" s="195" t="str">
        <f t="shared" si="87"/>
        <v>Spildevandsslam</v>
      </c>
      <c r="B284" s="195" t="str">
        <f t="shared" si="88"/>
        <v>Bionedbrydeligt affald</v>
      </c>
      <c r="C284" s="195">
        <f>IF(COUNTIFS('Resultater - Danmark'!$D$3:$D$482,'Resultat-Produktion &amp; forbrug'!A284,'Resultater - Danmark'!$A$3:$A$482,"Til energi")+COUNTIFS('Resultater - Danmark'!$D$3:$D$482,'Resultat-Produktion &amp; forbrug'!A284,'Resultater - Danmark'!$A$3:$A$482,"Biogasanlæg")&gt;0,1,0)</f>
        <v>1</v>
      </c>
      <c r="D284" s="195">
        <f t="shared" si="92"/>
        <v>2050</v>
      </c>
      <c r="E284" s="193" t="s">
        <v>24</v>
      </c>
      <c r="F284" s="196">
        <f>IF(E284="Vestdanmark",SUMIFS(IF(D284=År1,'Resultater - Vestdanmark'!H$3:H$482,IF(D284=År2,'Resultater - Vestdanmark'!I$3:I$482,'Resultater - Vestdanmark'!J$3:J$482)),'Resultater - Vestdanmark'!$F$3:$F$482,$A284,IF(D284=År1,'Resultater - Vestdanmark'!H$3:H$482,IF(D284=År2,'Resultater - Vestdanmark'!I$3:I$482,'Resultater - Vestdanmark'!J$3:J$482)),"&gt;0"),SUMIFS(IF(D284=År1,'Resultater - Østdanmark'!H$3:H$482,IF(D284=År2,'Resultater - Østdanmark'!I$3:I$482,'Resultater - Østdanmark'!J$3:J$482)),'Resultater - Østdanmark'!$F$3:$F$482,$A284,IF(D284=År1,'Resultater - Østdanmark'!H$3:H$482,IF(D284=År2,'Resultater - Østdanmark'!I$3:I$482,'Resultater - Østdanmark'!J$3:J$482)),"&gt;0"))</f>
        <v>3500281.4918378997</v>
      </c>
      <c r="G284" s="196">
        <f>SUMIFS('Forbrug af biomasse'!$E$2:$E$425,'Forbrug af biomasse'!$C$2:$C$425,'Resultat-Produktion &amp; forbrug'!$A284,'Forbrug af biomasse'!$D$2:$D$425,'Resultat-Produktion &amp; forbrug'!$D284,'Forbrug af biomasse'!$A$2:$A$425,'Resultat-Produktion &amp; forbrug'!G$2,'Forbrug af biomasse'!$B$2:$B$425,$E284)</f>
        <v>0</v>
      </c>
      <c r="H284" s="193">
        <f>IF(E284="Vestdanmark",-IF(A284="Halm",SUMIFS(IF(D284=År1,'Resultater - Vestdanmark'!H$3:H$482,IF(D284=År2,'Resultater - Vestdanmark'!I$3:I$482,'Resultater - Vestdanmark'!J$3:J$482)),'Resultater - Vestdanmark'!$F$3:$F$482,$A284,'Resultater - Vestdanmark'!H$3:H$482,"&lt;0"),0),-IF(A284="Halm",SUMIFS(IF(D284=År1,'Resultater - Østdanmark'!H$3:H$482,IF(D284=År2,'Resultater - Østdanmark'!I$3:I$482,'Resultater - Østdanmark'!J$3:J$482)),'Resultater - Østdanmark'!$F$3:$F$482,$A284,'Resultater - Østdanmark'!H$3:H$482,"&lt;0"),0))</f>
        <v>0</v>
      </c>
      <c r="I284" s="196">
        <f>SUMIFS('Forbrug af biomasse'!$E$2:$E$425,'Forbrug af biomasse'!$C$2:$C$425,'Resultat-Produktion &amp; forbrug'!$A284,'Forbrug af biomasse'!$D$2:$D$425,'Resultat-Produktion &amp; forbrug'!$D284,'Forbrug af biomasse'!$A$2:$A$425,'Resultat-Produktion &amp; forbrug'!I$2,'Forbrug af biomasse'!$B$2:$B$425,$E284)</f>
        <v>0</v>
      </c>
      <c r="J284" s="196">
        <f>SUMIFS('Forbrug af biomasse'!$E$2:$E$425,'Forbrug af biomasse'!$C$2:$C$425,'Resultat-Produktion &amp; forbrug'!$A284,'Forbrug af biomasse'!$D$2:$D$425,'Resultat-Produktion &amp; forbrug'!$D284,'Forbrug af biomasse'!$A$2:$A$425,'Resultat-Produktion &amp; forbrug'!J$2,'Forbrug af biomasse'!$B$2:$B$425,$E284)</f>
        <v>1327477.7098236387</v>
      </c>
      <c r="K284" s="196">
        <f>SUMIFS('Forbrug af biomasse'!$E$2:$E$425,'Forbrug af biomasse'!$C$2:$C$425,'Resultat-Produktion &amp; forbrug'!$A284,'Forbrug af biomasse'!$D$2:$D$425,'Resultat-Produktion &amp; forbrug'!$D284,'Forbrug af biomasse'!$A$2:$A$425,'Resultat-Produktion &amp; forbrug'!K$2,'Forbrug af biomasse'!$B$2:$B$425,$E284)</f>
        <v>0</v>
      </c>
      <c r="L284" s="196">
        <f>IF(A284&lt;&gt;"Biogas",SUMIFS('Forbrug af biomasse'!$E$2:$E$425,'Forbrug af biomasse'!$C$2:$C$425,'Resultat-Produktion &amp; forbrug'!$A284,'Forbrug af biomasse'!$D$2:$D$425,'Resultat-Produktion &amp; forbrug'!$D284,'Forbrug af biomasse'!$A$2:$A$425,'Resultat-Produktion &amp; forbrug'!L$2,'Forbrug af biomasse'!$B$2:$B$425,$E284),F284)</f>
        <v>0</v>
      </c>
      <c r="M284" s="158">
        <f>SUMIFS('Forbrug af biomasse'!E:E,'Forbrug af biomasse'!C:C,'Resultat-Produktion &amp; forbrug'!$A284,'Forbrug af biomasse'!D:D,'Resultat-Produktion &amp; forbrug'!$D284,'Forbrug af biomasse'!G:G,1,'Forbrug af biomasse'!B:B,$E284)</f>
        <v>0</v>
      </c>
      <c r="N284" s="205">
        <f t="shared" si="93"/>
        <v>2172803.782014261</v>
      </c>
      <c r="O284" s="196">
        <f t="shared" si="89"/>
        <v>2172803.782014261</v>
      </c>
      <c r="P284" s="206">
        <f t="shared" si="94"/>
        <v>1327477.7098236387</v>
      </c>
      <c r="Q284" s="193">
        <f>IFERROR(VLOOKUP(A284,[1]Energiindhold!$A$2:$C$11,3,FALSE),IFERROR(VLOOKUP(A284,[1]Biogasudbytte!$A$2:$B$18,2,FALSE)*[1]Energiindhold!$C$10,0))*O284</f>
        <v>1.0842508152629364</v>
      </c>
      <c r="R284" s="193">
        <f>IF(A284&lt;&gt;"Biogas",IFERROR(VLOOKUP(A284,[1]Biogasudbytte!$A$2:$B$18,2,FALSE)*[1]Energiindhold!$C$10,0)*J284*IFERROR(VLOOKUP(A284,Biogasanlæg!$F$3:$G$8,2,FALSE),1)+IFERROR(VLOOKUP(A284,[1]Energiindhold!$A$2:$C$11,3,FALSE),0)*L284+IF(D284&lt;&gt;År1,Q284,0),0)</f>
        <v>1.7466754672420306</v>
      </c>
      <c r="S284" s="193">
        <f>IFERROR(VLOOKUP(A284,[1]Biogasudbytte!$A$2:$B$18,2,FALSE)*[1]Energiindhold!$C$10,0)*J284*IFERROR(VLOOKUP(A284,Biogasanlæg!$F$3:$G$8,2,FALSE),1)</f>
        <v>0.66242465197909406</v>
      </c>
      <c r="T284" s="194">
        <f t="shared" si="95"/>
        <v>1.0842508152629367</v>
      </c>
      <c r="U284" s="192">
        <f>O284*IFERROR(VLOOKUP(A284,[1]Tørstofindhold!A$2:B$25,2,FALSE),0)</f>
        <v>130368.22692085565</v>
      </c>
      <c r="V284" s="193">
        <f>IF(D284=År1,P284,SUM(O284,P284))*IFERROR(VLOOKUP(A284,[1]Tørstofindhold!A$2:B$25,2,FALSE),0)</f>
        <v>210016.88951027396</v>
      </c>
      <c r="W284" s="193">
        <f>J284*IFERROR(VLOOKUP(A284,[1]Tørstofindhold!A$2:B$25,2,FALSE),0)</f>
        <v>79648.662589418323</v>
      </c>
      <c r="X284" s="194">
        <f t="shared" si="96"/>
        <v>130368.22692085564</v>
      </c>
      <c r="Y284" s="172">
        <f t="shared" si="90"/>
        <v>0</v>
      </c>
      <c r="Z284" s="104">
        <f t="shared" si="91"/>
        <v>1</v>
      </c>
    </row>
    <row r="285" spans="1:26" hidden="1" x14ac:dyDescent="0.55000000000000004">
      <c r="A285" s="195" t="str">
        <f t="shared" si="87"/>
        <v>Svinegylle</v>
      </c>
      <c r="B285" s="195" t="str">
        <f t="shared" si="88"/>
        <v>Husdyrgødning</v>
      </c>
      <c r="C285" s="195">
        <f>IF(COUNTIFS('Resultater - Danmark'!$D$3:$D$482,'Resultat-Produktion &amp; forbrug'!A285,'Resultater - Danmark'!$A$3:$A$482,"Til energi")+COUNTIFS('Resultater - Danmark'!$D$3:$D$482,'Resultat-Produktion &amp; forbrug'!A285,'Resultater - Danmark'!$A$3:$A$482,"Biogasanlæg")&gt;0,1,0)</f>
        <v>1</v>
      </c>
      <c r="D285" s="195">
        <f t="shared" si="92"/>
        <v>2050</v>
      </c>
      <c r="E285" s="193" t="s">
        <v>24</v>
      </c>
      <c r="F285" s="196">
        <f>IF(E285="Vestdanmark",SUMIFS(IF(D285=År1,'Resultater - Vestdanmark'!H$3:H$482,IF(D285=År2,'Resultater - Vestdanmark'!I$3:I$482,'Resultater - Vestdanmark'!J$3:J$482)),'Resultater - Vestdanmark'!$F$3:$F$482,$A285,IF(D285=År1,'Resultater - Vestdanmark'!H$3:H$482,IF(D285=År2,'Resultater - Vestdanmark'!I$3:I$482,'Resultater - Vestdanmark'!J$3:J$482)),"&gt;0"),SUMIFS(IF(D285=År1,'Resultater - Østdanmark'!H$3:H$482,IF(D285=År2,'Resultater - Østdanmark'!I$3:I$482,'Resultater - Østdanmark'!J$3:J$482)),'Resultater - Østdanmark'!$F$3:$F$482,$A285,IF(D285=År1,'Resultater - Østdanmark'!H$3:H$482,IF(D285=År2,'Resultater - Østdanmark'!I$3:I$482,'Resultater - Østdanmark'!J$3:J$482)),"&gt;0"))</f>
        <v>2091197.4416372697</v>
      </c>
      <c r="G285" s="196">
        <f>SUMIFS('Forbrug af biomasse'!$E$2:$E$425,'Forbrug af biomasse'!$C$2:$C$425,'Resultat-Produktion &amp; forbrug'!$A285,'Forbrug af biomasse'!$D$2:$D$425,'Resultat-Produktion &amp; forbrug'!$D285,'Forbrug af biomasse'!$A$2:$A$425,'Resultat-Produktion &amp; forbrug'!G$2,'Forbrug af biomasse'!$B$2:$B$425,$E285)</f>
        <v>0</v>
      </c>
      <c r="H285" s="193">
        <f>IF(E285="Vestdanmark",-IF(A285="Halm",SUMIFS(IF(D285=År1,'Resultater - Vestdanmark'!H$3:H$482,IF(D285=År2,'Resultater - Vestdanmark'!I$3:I$482,'Resultater - Vestdanmark'!J$3:J$482)),'Resultater - Vestdanmark'!$F$3:$F$482,$A285,'Resultater - Vestdanmark'!H$3:H$482,"&lt;0"),0),-IF(A285="Halm",SUMIFS(IF(D285=År1,'Resultater - Østdanmark'!H$3:H$482,IF(D285=År2,'Resultater - Østdanmark'!I$3:I$482,'Resultater - Østdanmark'!J$3:J$482)),'Resultater - Østdanmark'!$F$3:$F$482,$A285,'Resultater - Østdanmark'!H$3:H$482,"&lt;0"),0))</f>
        <v>0</v>
      </c>
      <c r="I285" s="196">
        <f>SUMIFS('Forbrug af biomasse'!$E$2:$E$425,'Forbrug af biomasse'!$C$2:$C$425,'Resultat-Produktion &amp; forbrug'!$A285,'Forbrug af biomasse'!$D$2:$D$425,'Resultat-Produktion &amp; forbrug'!$D285,'Forbrug af biomasse'!$A$2:$A$425,'Resultat-Produktion &amp; forbrug'!I$2,'Forbrug af biomasse'!$B$2:$B$425,$E285)</f>
        <v>0</v>
      </c>
      <c r="J285" s="196">
        <f>SUMIFS('Forbrug af biomasse'!$E$2:$E$425,'Forbrug af biomasse'!$C$2:$C$425,'Resultat-Produktion &amp; forbrug'!$A285,'Forbrug af biomasse'!$D$2:$D$425,'Resultat-Produktion &amp; forbrug'!$D285,'Forbrug af biomasse'!$A$2:$A$425,'Resultat-Produktion &amp; forbrug'!J$2,'Forbrug af biomasse'!$B$2:$B$425,$E285)</f>
        <v>1108334.6440677529</v>
      </c>
      <c r="K285" s="196">
        <f>SUMIFS('Forbrug af biomasse'!$E$2:$E$425,'Forbrug af biomasse'!$C$2:$C$425,'Resultat-Produktion &amp; forbrug'!$A285,'Forbrug af biomasse'!$D$2:$D$425,'Resultat-Produktion &amp; forbrug'!$D285,'Forbrug af biomasse'!$A$2:$A$425,'Resultat-Produktion &amp; forbrug'!K$2,'Forbrug af biomasse'!$B$2:$B$425,$E285)</f>
        <v>982862.79756951681</v>
      </c>
      <c r="L285" s="196">
        <f>IF(A285&lt;&gt;"Biogas",SUMIFS('Forbrug af biomasse'!$E$2:$E$425,'Forbrug af biomasse'!$C$2:$C$425,'Resultat-Produktion &amp; forbrug'!$A285,'Forbrug af biomasse'!$D$2:$D$425,'Resultat-Produktion &amp; forbrug'!$D285,'Forbrug af biomasse'!$A$2:$A$425,'Resultat-Produktion &amp; forbrug'!L$2,'Forbrug af biomasse'!$B$2:$B$425,$E285),F285)</f>
        <v>0</v>
      </c>
      <c r="M285" s="158">
        <f>SUMIFS('Forbrug af biomasse'!E:E,'Forbrug af biomasse'!C:C,'Resultat-Produktion &amp; forbrug'!$A285,'Forbrug af biomasse'!D:D,'Resultat-Produktion &amp; forbrug'!$D285,'Forbrug af biomasse'!G:G,1,'Forbrug af biomasse'!B:B,$E285)</f>
        <v>0</v>
      </c>
      <c r="N285" s="205">
        <f t="shared" si="93"/>
        <v>0</v>
      </c>
      <c r="O285" s="196">
        <f t="shared" si="89"/>
        <v>0</v>
      </c>
      <c r="P285" s="206">
        <f t="shared" si="94"/>
        <v>1108334.6440677529</v>
      </c>
      <c r="Q285" s="193">
        <f>IFERROR(VLOOKUP(A285,[1]Energiindhold!$A$2:$C$11,3,FALSE),IFERROR(VLOOKUP(A285,[1]Biogasudbytte!$A$2:$B$18,2,FALSE)*[1]Energiindhold!$C$10,0))*O285</f>
        <v>0</v>
      </c>
      <c r="R285" s="193">
        <f>IF(A285&lt;&gt;"Biogas",IFERROR(VLOOKUP(A285,[1]Biogasudbytte!$A$2:$B$18,2,FALSE)*[1]Energiindhold!$C$10,0)*J285*IFERROR(VLOOKUP(A285,Biogasanlæg!$F$3:$G$8,2,FALSE),1)+IFERROR(VLOOKUP(A285,[1]Energiindhold!$A$2:$C$11,3,FALSE),0)*L285+IF(D285&lt;&gt;År1,Q285,0),0)</f>
        <v>0.47747056466438803</v>
      </c>
      <c r="S285" s="193">
        <f>IFERROR(VLOOKUP(A285,[1]Biogasudbytte!$A$2:$B$18,2,FALSE)*[1]Energiindhold!$C$10,0)*J285*IFERROR(VLOOKUP(A285,Biogasanlæg!$F$3:$G$8,2,FALSE),1)</f>
        <v>0.47747056466438803</v>
      </c>
      <c r="T285" s="194">
        <f t="shared" si="95"/>
        <v>0</v>
      </c>
      <c r="U285" s="192">
        <f>O285*IFERROR(VLOOKUP(A285,[1]Tørstofindhold!A$2:B$25,2,FALSE),0)</f>
        <v>0</v>
      </c>
      <c r="V285" s="193">
        <f>IF(D285=År1,P285,SUM(O285,P285))*IFERROR(VLOOKUP(A285,[1]Tørstofindhold!A$2:B$25,2,FALSE),0)</f>
        <v>55416.732203387648</v>
      </c>
      <c r="W285" s="193">
        <f>J285*IFERROR(VLOOKUP(A285,[1]Tørstofindhold!A$2:B$25,2,FALSE),0)</f>
        <v>55416.732203387648</v>
      </c>
      <c r="X285" s="194">
        <f t="shared" si="96"/>
        <v>0</v>
      </c>
      <c r="Y285" s="172">
        <f t="shared" si="90"/>
        <v>0</v>
      </c>
      <c r="Z285" s="104">
        <f t="shared" si="91"/>
        <v>0</v>
      </c>
    </row>
    <row r="286" spans="1:26" hidden="1" x14ac:dyDescent="0.55000000000000004">
      <c r="A286" s="195" t="str">
        <f t="shared" si="87"/>
        <v>Svinekød</v>
      </c>
      <c r="B286" s="195" t="str">
        <f t="shared" si="88"/>
        <v/>
      </c>
      <c r="C286" s="195">
        <f>IF(COUNTIFS('Resultater - Danmark'!$D$3:$D$482,'Resultat-Produktion &amp; forbrug'!A286,'Resultater - Danmark'!$A$3:$A$482,"Til energi")+COUNTIFS('Resultater - Danmark'!$D$3:$D$482,'Resultat-Produktion &amp; forbrug'!A286,'Resultater - Danmark'!$A$3:$A$482,"Biogasanlæg")&gt;0,1,0)</f>
        <v>0</v>
      </c>
      <c r="D286" s="195">
        <f t="shared" si="92"/>
        <v>2050</v>
      </c>
      <c r="E286" s="193" t="s">
        <v>24</v>
      </c>
      <c r="F286" s="196">
        <f>IF(E286="Vestdanmark",SUMIFS(IF(D286=År1,'Resultater - Vestdanmark'!H$3:H$482,IF(D286=År2,'Resultater - Vestdanmark'!I$3:I$482,'Resultater - Vestdanmark'!J$3:J$482)),'Resultater - Vestdanmark'!$F$3:$F$482,$A286,IF(D286=År1,'Resultater - Vestdanmark'!H$3:H$482,IF(D286=År2,'Resultater - Vestdanmark'!I$3:I$482,'Resultater - Vestdanmark'!J$3:J$482)),"&gt;0"),SUMIFS(IF(D286=År1,'Resultater - Østdanmark'!H$3:H$482,IF(D286=År2,'Resultater - Østdanmark'!I$3:I$482,'Resultater - Østdanmark'!J$3:J$482)),'Resultater - Østdanmark'!$F$3:$F$482,$A286,IF(D286=År1,'Resultater - Østdanmark'!H$3:H$482,IF(D286=År2,'Resultater - Østdanmark'!I$3:I$482,'Resultater - Østdanmark'!J$3:J$482)),"&gt;0"))</f>
        <v>194183.99559105173</v>
      </c>
      <c r="G286" s="196">
        <f>SUMIFS('Forbrug af biomasse'!$E$2:$E$425,'Forbrug af biomasse'!$C$2:$C$425,'Resultat-Produktion &amp; forbrug'!$A286,'Forbrug af biomasse'!$D$2:$D$425,'Resultat-Produktion &amp; forbrug'!$D286,'Forbrug af biomasse'!$A$2:$A$425,'Resultat-Produktion &amp; forbrug'!G$2,'Forbrug af biomasse'!$B$2:$B$425,$E286)</f>
        <v>0</v>
      </c>
      <c r="H286" s="193">
        <f>IF(E286="Vestdanmark",-IF(A286="Halm",SUMIFS(IF(D286=År1,'Resultater - Vestdanmark'!H$3:H$482,IF(D286=År2,'Resultater - Vestdanmark'!I$3:I$482,'Resultater - Vestdanmark'!J$3:J$482)),'Resultater - Vestdanmark'!$F$3:$F$482,$A286,'Resultater - Vestdanmark'!H$3:H$482,"&lt;0"),0),-IF(A286="Halm",SUMIFS(IF(D286=År1,'Resultater - Østdanmark'!H$3:H$482,IF(D286=År2,'Resultater - Østdanmark'!I$3:I$482,'Resultater - Østdanmark'!J$3:J$482)),'Resultater - Østdanmark'!$F$3:$F$482,$A286,'Resultater - Østdanmark'!H$3:H$482,"&lt;0"),0))</f>
        <v>0</v>
      </c>
      <c r="I286" s="196">
        <f>SUMIFS('Forbrug af biomasse'!$E$2:$E$425,'Forbrug af biomasse'!$C$2:$C$425,'Resultat-Produktion &amp; forbrug'!$A286,'Forbrug af biomasse'!$D$2:$D$425,'Resultat-Produktion &amp; forbrug'!$D286,'Forbrug af biomasse'!$A$2:$A$425,'Resultat-Produktion &amp; forbrug'!I$2,'Forbrug af biomasse'!$B$2:$B$425,$E286)</f>
        <v>110474.29755686472</v>
      </c>
      <c r="J286" s="196">
        <f>SUMIFS('Forbrug af biomasse'!$E$2:$E$425,'Forbrug af biomasse'!$C$2:$C$425,'Resultat-Produktion &amp; forbrug'!$A286,'Forbrug af biomasse'!$D$2:$D$425,'Resultat-Produktion &amp; forbrug'!$D286,'Forbrug af biomasse'!$A$2:$A$425,'Resultat-Produktion &amp; forbrug'!J$2,'Forbrug af biomasse'!$B$2:$B$425,$E286)</f>
        <v>0</v>
      </c>
      <c r="K286" s="196">
        <f>SUMIFS('Forbrug af biomasse'!$E$2:$E$425,'Forbrug af biomasse'!$C$2:$C$425,'Resultat-Produktion &amp; forbrug'!$A286,'Forbrug af biomasse'!$D$2:$D$425,'Resultat-Produktion &amp; forbrug'!$D286,'Forbrug af biomasse'!$A$2:$A$425,'Resultat-Produktion &amp; forbrug'!K$2,'Forbrug af biomasse'!$B$2:$B$425,$E286)</f>
        <v>0</v>
      </c>
      <c r="L286" s="196">
        <f>IF(A286&lt;&gt;"Biogas",SUMIFS('Forbrug af biomasse'!$E$2:$E$425,'Forbrug af biomasse'!$C$2:$C$425,'Resultat-Produktion &amp; forbrug'!$A286,'Forbrug af biomasse'!$D$2:$D$425,'Resultat-Produktion &amp; forbrug'!$D286,'Forbrug af biomasse'!$A$2:$A$425,'Resultat-Produktion &amp; forbrug'!L$2,'Forbrug af biomasse'!$B$2:$B$425,$E286),F286)</f>
        <v>0</v>
      </c>
      <c r="M286" s="158">
        <f>SUMIFS('Forbrug af biomasse'!E:E,'Forbrug af biomasse'!C:C,'Resultat-Produktion &amp; forbrug'!$A286,'Forbrug af biomasse'!D:D,'Resultat-Produktion &amp; forbrug'!$D286,'Forbrug af biomasse'!G:G,1,'Forbrug af biomasse'!B:B,$E286)</f>
        <v>0</v>
      </c>
      <c r="N286" s="205">
        <f t="shared" si="93"/>
        <v>83709.698034187008</v>
      </c>
      <c r="O286" s="196">
        <f t="shared" si="89"/>
        <v>0</v>
      </c>
      <c r="P286" s="206">
        <f t="shared" si="94"/>
        <v>0</v>
      </c>
      <c r="Q286" s="193">
        <f>IFERROR(VLOOKUP(A286,[1]Energiindhold!$A$2:$C$11,3,FALSE),IFERROR(VLOOKUP(A286,[1]Biogasudbytte!$A$2:$B$18,2,FALSE)*[1]Energiindhold!$C$10,0))*O286</f>
        <v>0</v>
      </c>
      <c r="R286" s="193">
        <f>IF(A286&lt;&gt;"Biogas",IFERROR(VLOOKUP(A286,[1]Biogasudbytte!$A$2:$B$18,2,FALSE)*[1]Energiindhold!$C$10,0)*J286*IFERROR(VLOOKUP(A286,Biogasanlæg!$F$3:$G$8,2,FALSE),1)+IFERROR(VLOOKUP(A286,[1]Energiindhold!$A$2:$C$11,3,FALSE),0)*L286+IF(D286&lt;&gt;År1,Q286,0),0)</f>
        <v>0</v>
      </c>
      <c r="S286" s="193">
        <f>IFERROR(VLOOKUP(A286,[1]Biogasudbytte!$A$2:$B$18,2,FALSE)*[1]Energiindhold!$C$10,0)*J286*IFERROR(VLOOKUP(A286,Biogasanlæg!$F$3:$G$8,2,FALSE),1)</f>
        <v>0</v>
      </c>
      <c r="T286" s="194">
        <f t="shared" si="95"/>
        <v>0</v>
      </c>
      <c r="U286" s="192">
        <f>O286*IFERROR(VLOOKUP(A286,[1]Tørstofindhold!A$2:B$25,2,FALSE),0)</f>
        <v>0</v>
      </c>
      <c r="V286" s="193">
        <f>IF(D286=År1,P286,SUM(O286,P286))*IFERROR(VLOOKUP(A286,[1]Tørstofindhold!A$2:B$25,2,FALSE),0)</f>
        <v>0</v>
      </c>
      <c r="W286" s="193">
        <f>J286*IFERROR(VLOOKUP(A286,[1]Tørstofindhold!A$2:B$25,2,FALSE),0)</f>
        <v>0</v>
      </c>
      <c r="X286" s="194">
        <f t="shared" si="96"/>
        <v>0</v>
      </c>
      <c r="Y286" s="172">
        <f t="shared" si="90"/>
        <v>0</v>
      </c>
      <c r="Z286" s="104">
        <f t="shared" si="91"/>
        <v>1</v>
      </c>
    </row>
    <row r="287" spans="1:26" x14ac:dyDescent="0.55000000000000004">
      <c r="A287" s="195" t="str">
        <f t="shared" si="87"/>
        <v>Tang</v>
      </c>
      <c r="B287" s="195" t="str">
        <f t="shared" si="88"/>
        <v>Havbiomasse</v>
      </c>
      <c r="C287" s="195">
        <f>IF(COUNTIFS('Resultater - Danmark'!$D$3:$D$482,'Resultat-Produktion &amp; forbrug'!A287,'Resultater - Danmark'!$A$3:$A$482,"Til energi")+COUNTIFS('Resultater - Danmark'!$D$3:$D$482,'Resultat-Produktion &amp; forbrug'!A287,'Resultater - Danmark'!$A$3:$A$482,"Biogasanlæg")&gt;0,1,0)</f>
        <v>1</v>
      </c>
      <c r="D287" s="195">
        <f t="shared" si="92"/>
        <v>2050</v>
      </c>
      <c r="E287" s="193" t="s">
        <v>24</v>
      </c>
      <c r="F287" s="196">
        <f>IF(E287="Vestdanmark",SUMIFS(IF(D287=År1,'Resultater - Vestdanmark'!H$3:H$482,IF(D287=År2,'Resultater - Vestdanmark'!I$3:I$482,'Resultater - Vestdanmark'!J$3:J$482)),'Resultater - Vestdanmark'!$F$3:$F$482,$A287,IF(D287=År1,'Resultater - Vestdanmark'!H$3:H$482,IF(D287=År2,'Resultater - Vestdanmark'!I$3:I$482,'Resultater - Vestdanmark'!J$3:J$482)),"&gt;0"),SUMIFS(IF(D287=År1,'Resultater - Østdanmark'!H$3:H$482,IF(D287=År2,'Resultater - Østdanmark'!I$3:I$482,'Resultater - Østdanmark'!J$3:J$482)),'Resultater - Østdanmark'!$F$3:$F$482,$A287,IF(D287=År1,'Resultater - Østdanmark'!H$3:H$482,IF(D287=År2,'Resultater - Østdanmark'!I$3:I$482,'Resultater - Østdanmark'!J$3:J$482)),"&gt;0"))</f>
        <v>4500</v>
      </c>
      <c r="G287" s="196">
        <f>SUMIFS('Forbrug af biomasse'!$E$2:$E$425,'Forbrug af biomasse'!$C$2:$C$425,'Resultat-Produktion &amp; forbrug'!$A287,'Forbrug af biomasse'!$D$2:$D$425,'Resultat-Produktion &amp; forbrug'!$D287,'Forbrug af biomasse'!$A$2:$A$425,'Resultat-Produktion &amp; forbrug'!G$2,'Forbrug af biomasse'!$B$2:$B$425,$E287)</f>
        <v>0</v>
      </c>
      <c r="H287" s="193">
        <f>IF(E287="Vestdanmark",-IF(A287="Halm",SUMIFS(IF(D287=År1,'Resultater - Vestdanmark'!H$3:H$482,IF(D287=År2,'Resultater - Vestdanmark'!I$3:I$482,'Resultater - Vestdanmark'!J$3:J$482)),'Resultater - Vestdanmark'!$F$3:$F$482,$A287,'Resultater - Vestdanmark'!H$3:H$482,"&lt;0"),0),-IF(A287="Halm",SUMIFS(IF(D287=År1,'Resultater - Østdanmark'!H$3:H$482,IF(D287=År2,'Resultater - Østdanmark'!I$3:I$482,'Resultater - Østdanmark'!J$3:J$482)),'Resultater - Østdanmark'!$F$3:$F$482,$A287,'Resultater - Østdanmark'!H$3:H$482,"&lt;0"),0))</f>
        <v>0</v>
      </c>
      <c r="I287" s="196">
        <f>SUMIFS('Forbrug af biomasse'!$E$2:$E$425,'Forbrug af biomasse'!$C$2:$C$425,'Resultat-Produktion &amp; forbrug'!$A287,'Forbrug af biomasse'!$D$2:$D$425,'Resultat-Produktion &amp; forbrug'!$D287,'Forbrug af biomasse'!$A$2:$A$425,'Resultat-Produktion &amp; forbrug'!I$2,'Forbrug af biomasse'!$B$2:$B$425,$E287)</f>
        <v>0</v>
      </c>
      <c r="J287" s="196">
        <f>SUMIFS('Forbrug af biomasse'!$E$2:$E$425,'Forbrug af biomasse'!$C$2:$C$425,'Resultat-Produktion &amp; forbrug'!$A287,'Forbrug af biomasse'!$D$2:$D$425,'Resultat-Produktion &amp; forbrug'!$D287,'Forbrug af biomasse'!$A$2:$A$425,'Resultat-Produktion &amp; forbrug'!J$2,'Forbrug af biomasse'!$B$2:$B$425,$E287)</f>
        <v>0</v>
      </c>
      <c r="K287" s="196">
        <f>SUMIFS('Forbrug af biomasse'!$E$2:$E$425,'Forbrug af biomasse'!$C$2:$C$425,'Resultat-Produktion &amp; forbrug'!$A287,'Forbrug af biomasse'!$D$2:$D$425,'Resultat-Produktion &amp; forbrug'!$D287,'Forbrug af biomasse'!$A$2:$A$425,'Resultat-Produktion &amp; forbrug'!K$2,'Forbrug af biomasse'!$B$2:$B$425,$E287)</f>
        <v>0</v>
      </c>
      <c r="L287" s="196">
        <f>IF(A287&lt;&gt;"Biogas",SUMIFS('Forbrug af biomasse'!$E$2:$E$425,'Forbrug af biomasse'!$C$2:$C$425,'Resultat-Produktion &amp; forbrug'!$A287,'Forbrug af biomasse'!$D$2:$D$425,'Resultat-Produktion &amp; forbrug'!$D287,'Forbrug af biomasse'!$A$2:$A$425,'Resultat-Produktion &amp; forbrug'!L$2,'Forbrug af biomasse'!$B$2:$B$425,$E287),F287)</f>
        <v>0</v>
      </c>
      <c r="M287" s="158">
        <f>SUMIFS('Forbrug af biomasse'!E:E,'Forbrug af biomasse'!C:C,'Resultat-Produktion &amp; forbrug'!$A287,'Forbrug af biomasse'!D:D,'Resultat-Produktion &amp; forbrug'!$D287,'Forbrug af biomasse'!G:G,1,'Forbrug af biomasse'!B:B,$E287)</f>
        <v>0</v>
      </c>
      <c r="N287" s="205">
        <f t="shared" si="93"/>
        <v>4500</v>
      </c>
      <c r="O287" s="196">
        <f t="shared" si="89"/>
        <v>4500</v>
      </c>
      <c r="P287" s="206">
        <f t="shared" si="94"/>
        <v>0</v>
      </c>
      <c r="Q287" s="193">
        <f>IFERROR(VLOOKUP(A287,[1]Energiindhold!$A$2:$C$11,3,FALSE),IFERROR(VLOOKUP(A287,[1]Biogasudbytte!$A$2:$B$18,2,FALSE)*[1]Energiindhold!$C$10,0))*O287</f>
        <v>4.0387500000000007E-3</v>
      </c>
      <c r="R287" s="193">
        <f>IF(A287&lt;&gt;"Biogas",IFERROR(VLOOKUP(A287,[1]Biogasudbytte!$A$2:$B$18,2,FALSE)*[1]Energiindhold!$C$10,0)*J287*IFERROR(VLOOKUP(A287,Biogasanlæg!$F$3:$G$8,2,FALSE),1)+IFERROR(VLOOKUP(A287,[1]Energiindhold!$A$2:$C$11,3,FALSE),0)*L287+IF(D287&lt;&gt;År1,Q287,0),0)</f>
        <v>4.0387500000000007E-3</v>
      </c>
      <c r="S287" s="193">
        <f>IFERROR(VLOOKUP(A287,[1]Biogasudbytte!$A$2:$B$18,2,FALSE)*[1]Energiindhold!$C$10,0)*J287*IFERROR(VLOOKUP(A287,Biogasanlæg!$F$3:$G$8,2,FALSE),1)</f>
        <v>0</v>
      </c>
      <c r="T287" s="194">
        <f t="shared" si="95"/>
        <v>4.0387500000000007E-3</v>
      </c>
      <c r="U287" s="192">
        <f>O287*IFERROR(VLOOKUP(A287,[1]Tørstofindhold!A$2:B$25,2,FALSE),0)</f>
        <v>675</v>
      </c>
      <c r="V287" s="193">
        <f>IF(D287=År1,P287,SUM(O287,P287))*IFERROR(VLOOKUP(A287,[1]Tørstofindhold!A$2:B$25,2,FALSE),0)</f>
        <v>675</v>
      </c>
      <c r="W287" s="193">
        <f>J287*IFERROR(VLOOKUP(A287,[1]Tørstofindhold!A$2:B$25,2,FALSE),0)</f>
        <v>0</v>
      </c>
      <c r="X287" s="194">
        <f t="shared" si="96"/>
        <v>675</v>
      </c>
      <c r="Y287" s="172">
        <f t="shared" si="90"/>
        <v>0</v>
      </c>
      <c r="Z287" s="104">
        <f t="shared" si="91"/>
        <v>1</v>
      </c>
    </row>
    <row r="288" spans="1:26" hidden="1" x14ac:dyDescent="0.55000000000000004">
      <c r="A288" s="195" t="str">
        <f t="shared" si="87"/>
        <v>Total til biogas</v>
      </c>
      <c r="B288" s="195" t="str">
        <f t="shared" si="88"/>
        <v/>
      </c>
      <c r="C288" s="195">
        <f>IF(COUNTIFS('Resultater - Danmark'!$D$3:$D$482,'Resultat-Produktion &amp; forbrug'!A288,'Resultater - Danmark'!$A$3:$A$482,"Til energi")+COUNTIFS('Resultater - Danmark'!$D$3:$D$482,'Resultat-Produktion &amp; forbrug'!A288,'Resultater - Danmark'!$A$3:$A$482,"Biogasanlæg")&gt;0,1,0)</f>
        <v>1</v>
      </c>
      <c r="D288" s="195">
        <f t="shared" si="92"/>
        <v>2050</v>
      </c>
      <c r="E288" s="193" t="s">
        <v>24</v>
      </c>
      <c r="F288" s="196">
        <f>IF(E288="Vestdanmark",SUMIFS(IF(D288=År1,'Resultater - Vestdanmark'!H$3:H$482,IF(D288=År2,'Resultater - Vestdanmark'!I$3:I$482,'Resultater - Vestdanmark'!J$3:J$482)),'Resultater - Vestdanmark'!$F$3:$F$482,$A288,IF(D288=År1,'Resultater - Vestdanmark'!H$3:H$482,IF(D288=År2,'Resultater - Vestdanmark'!I$3:I$482,'Resultater - Vestdanmark'!J$3:J$482)),"&gt;0"),SUMIFS(IF(D288=År1,'Resultater - Østdanmark'!H$3:H$482,IF(D288=År2,'Resultater - Østdanmark'!I$3:I$482,'Resultater - Østdanmark'!J$3:J$482)),'Resultater - Østdanmark'!$F$3:$F$482,$A288,IF(D288=År1,'Resultater - Østdanmark'!H$3:H$482,IF(D288=År2,'Resultater - Østdanmark'!I$3:I$482,'Resultater - Østdanmark'!J$3:J$482)),"&gt;0"))</f>
        <v>0</v>
      </c>
      <c r="G288" s="196">
        <f>SUMIFS('Forbrug af biomasse'!$E$2:$E$425,'Forbrug af biomasse'!$C$2:$C$425,'Resultat-Produktion &amp; forbrug'!$A288,'Forbrug af biomasse'!$D$2:$D$425,'Resultat-Produktion &amp; forbrug'!$D288,'Forbrug af biomasse'!$A$2:$A$425,'Resultat-Produktion &amp; forbrug'!G$2,'Forbrug af biomasse'!$B$2:$B$425,$E288)</f>
        <v>0</v>
      </c>
      <c r="H288" s="193">
        <f>IF(E288="Vestdanmark",-IF(A288="Halm",SUMIFS(IF(D288=År1,'Resultater - Vestdanmark'!H$3:H$482,IF(D288=År2,'Resultater - Vestdanmark'!I$3:I$482,'Resultater - Vestdanmark'!J$3:J$482)),'Resultater - Vestdanmark'!$F$3:$F$482,$A288,'Resultater - Vestdanmark'!H$3:H$482,"&lt;0"),0),-IF(A288="Halm",SUMIFS(IF(D288=År1,'Resultater - Østdanmark'!H$3:H$482,IF(D288=År2,'Resultater - Østdanmark'!I$3:I$482,'Resultater - Østdanmark'!J$3:J$482)),'Resultater - Østdanmark'!$F$3:$F$482,$A288,'Resultater - Østdanmark'!H$3:H$482,"&lt;0"),0))</f>
        <v>0</v>
      </c>
      <c r="I288" s="196">
        <f>SUMIFS('Forbrug af biomasse'!$E$2:$E$425,'Forbrug af biomasse'!$C$2:$C$425,'Resultat-Produktion &amp; forbrug'!$A288,'Forbrug af biomasse'!$D$2:$D$425,'Resultat-Produktion &amp; forbrug'!$D288,'Forbrug af biomasse'!$A$2:$A$425,'Resultat-Produktion &amp; forbrug'!I$2,'Forbrug af biomasse'!$B$2:$B$425,$E288)</f>
        <v>0</v>
      </c>
      <c r="J288" s="196">
        <f>SUMIFS('Forbrug af biomasse'!$E$2:$E$425,'Forbrug af biomasse'!$C$2:$C$425,'Resultat-Produktion &amp; forbrug'!$A288,'Forbrug af biomasse'!$D$2:$D$425,'Resultat-Produktion &amp; forbrug'!$D288,'Forbrug af biomasse'!$A$2:$A$425,'Resultat-Produktion &amp; forbrug'!J$2,'Forbrug af biomasse'!$B$2:$B$425,$E288)</f>
        <v>0</v>
      </c>
      <c r="K288" s="196">
        <f>SUMIFS('Forbrug af biomasse'!$E$2:$E$425,'Forbrug af biomasse'!$C$2:$C$425,'Resultat-Produktion &amp; forbrug'!$A288,'Forbrug af biomasse'!$D$2:$D$425,'Resultat-Produktion &amp; forbrug'!$D288,'Forbrug af biomasse'!$A$2:$A$425,'Resultat-Produktion &amp; forbrug'!K$2,'Forbrug af biomasse'!$B$2:$B$425,$E288)</f>
        <v>0</v>
      </c>
      <c r="L288" s="196">
        <f>IF(A288&lt;&gt;"Biogas",SUMIFS('Forbrug af biomasse'!$E$2:$E$425,'Forbrug af biomasse'!$C$2:$C$425,'Resultat-Produktion &amp; forbrug'!$A288,'Forbrug af biomasse'!$D$2:$D$425,'Resultat-Produktion &amp; forbrug'!$D288,'Forbrug af biomasse'!$A$2:$A$425,'Resultat-Produktion &amp; forbrug'!L$2,'Forbrug af biomasse'!$B$2:$B$425,$E288),F288)</f>
        <v>0</v>
      </c>
      <c r="M288" s="158">
        <f>SUMIFS('Forbrug af biomasse'!E:E,'Forbrug af biomasse'!C:C,'Resultat-Produktion &amp; forbrug'!$A288,'Forbrug af biomasse'!D:D,'Resultat-Produktion &amp; forbrug'!$D288,'Forbrug af biomasse'!G:G,1,'Forbrug af biomasse'!B:B,$E288)</f>
        <v>0</v>
      </c>
      <c r="N288" s="205">
        <f t="shared" si="93"/>
        <v>0</v>
      </c>
      <c r="O288" s="196">
        <f t="shared" si="89"/>
        <v>0</v>
      </c>
      <c r="P288" s="206">
        <f t="shared" si="94"/>
        <v>0</v>
      </c>
      <c r="Q288" s="193">
        <f>IFERROR(VLOOKUP(A288,[1]Energiindhold!$A$2:$C$11,3,FALSE),IFERROR(VLOOKUP(A288,[1]Biogasudbytte!$A$2:$B$18,2,FALSE)*[1]Energiindhold!$C$10,0))*O288</f>
        <v>0</v>
      </c>
      <c r="R288" s="193">
        <f>IF(A288&lt;&gt;"Biogas",IFERROR(VLOOKUP(A288,[1]Biogasudbytte!$A$2:$B$18,2,FALSE)*[1]Energiindhold!$C$10,0)*J288*IFERROR(VLOOKUP(A288,Biogasanlæg!$F$3:$G$8,2,FALSE),1)+IFERROR(VLOOKUP(A288,[1]Energiindhold!$A$2:$C$11,3,FALSE),0)*L288+IF(D288&lt;&gt;År1,Q288,0),0)</f>
        <v>0</v>
      </c>
      <c r="S288" s="193">
        <f>IFERROR(VLOOKUP(A288,[1]Biogasudbytte!$A$2:$B$18,2,FALSE)*[1]Energiindhold!$C$10,0)*J288*IFERROR(VLOOKUP(A288,Biogasanlæg!$F$3:$G$8,2,FALSE),1)</f>
        <v>0</v>
      </c>
      <c r="T288" s="194">
        <f t="shared" si="95"/>
        <v>0</v>
      </c>
      <c r="U288" s="192">
        <f>O288*IFERROR(VLOOKUP(A288,[1]Tørstofindhold!A$2:B$25,2,FALSE),0)</f>
        <v>0</v>
      </c>
      <c r="V288" s="193">
        <f>IF(D288=År1,P288,SUM(O288,P288))*IFERROR(VLOOKUP(A288,[1]Tørstofindhold!A$2:B$25,2,FALSE),0)</f>
        <v>0</v>
      </c>
      <c r="W288" s="193">
        <f>J288*IFERROR(VLOOKUP(A288,[1]Tørstofindhold!A$2:B$25,2,FALSE),0)</f>
        <v>0</v>
      </c>
      <c r="X288" s="194">
        <f t="shared" si="96"/>
        <v>0</v>
      </c>
      <c r="Y288" s="172">
        <f t="shared" si="90"/>
        <v>0</v>
      </c>
      <c r="Z288" s="104">
        <f t="shared" si="91"/>
        <v>0</v>
      </c>
    </row>
    <row r="289" spans="1:26" hidden="1" x14ac:dyDescent="0.55000000000000004">
      <c r="A289" s="195" t="str">
        <f t="shared" si="87"/>
        <v>Træ til energi</v>
      </c>
      <c r="B289" s="195" t="str">
        <f t="shared" si="88"/>
        <v>Vedmasse</v>
      </c>
      <c r="C289" s="195">
        <f>IF(COUNTIFS('Resultater - Danmark'!$D$3:$D$482,'Resultat-Produktion &amp; forbrug'!A289,'Resultater - Danmark'!$A$3:$A$482,"Til energi")+COUNTIFS('Resultater - Danmark'!$D$3:$D$482,'Resultat-Produktion &amp; forbrug'!A289,'Resultater - Danmark'!$A$3:$A$482,"Biogasanlæg")&gt;0,1,0)</f>
        <v>1</v>
      </c>
      <c r="D289" s="195">
        <f t="shared" si="92"/>
        <v>2050</v>
      </c>
      <c r="E289" s="193" t="s">
        <v>24</v>
      </c>
      <c r="F289" s="196">
        <f>IF(E289="Vestdanmark",SUMIFS(IF(D289=År1,'Resultater - Vestdanmark'!H$3:H$482,IF(D289=År2,'Resultater - Vestdanmark'!I$3:I$482,'Resultater - Vestdanmark'!J$3:J$482)),'Resultater - Vestdanmark'!$F$3:$F$482,$A289,IF(D289=År1,'Resultater - Vestdanmark'!H$3:H$482,IF(D289=År2,'Resultater - Vestdanmark'!I$3:I$482,'Resultater - Vestdanmark'!J$3:J$482)),"&gt;0"),SUMIFS(IF(D289=År1,'Resultater - Østdanmark'!H$3:H$482,IF(D289=År2,'Resultater - Østdanmark'!I$3:I$482,'Resultater - Østdanmark'!J$3:J$482)),'Resultater - Østdanmark'!$F$3:$F$482,$A289,IF(D289=År1,'Resultater - Østdanmark'!H$3:H$482,IF(D289=År2,'Resultater - Østdanmark'!I$3:I$482,'Resultater - Østdanmark'!J$3:J$482)),"&gt;0"))</f>
        <v>585110.82295504375</v>
      </c>
      <c r="G289" s="196">
        <f>SUMIFS('Forbrug af biomasse'!$E$2:$E$425,'Forbrug af biomasse'!$C$2:$C$425,'Resultat-Produktion &amp; forbrug'!$A289,'Forbrug af biomasse'!$D$2:$D$425,'Resultat-Produktion &amp; forbrug'!$D289,'Forbrug af biomasse'!$A$2:$A$425,'Resultat-Produktion &amp; forbrug'!G$2,'Forbrug af biomasse'!$B$2:$B$425,$E289)</f>
        <v>0</v>
      </c>
      <c r="H289" s="193">
        <f>IF(E289="Vestdanmark",-IF(A289="Halm",SUMIFS(IF(D289=År1,'Resultater - Vestdanmark'!H$3:H$482,IF(D289=År2,'Resultater - Vestdanmark'!I$3:I$482,'Resultater - Vestdanmark'!J$3:J$482)),'Resultater - Vestdanmark'!$F$3:$F$482,$A289,'Resultater - Vestdanmark'!H$3:H$482,"&lt;0"),0),-IF(A289="Halm",SUMIFS(IF(D289=År1,'Resultater - Østdanmark'!H$3:H$482,IF(D289=År2,'Resultater - Østdanmark'!I$3:I$482,'Resultater - Østdanmark'!J$3:J$482)),'Resultater - Østdanmark'!$F$3:$F$482,$A289,'Resultater - Østdanmark'!H$3:H$482,"&lt;0"),0))</f>
        <v>0</v>
      </c>
      <c r="I289" s="196">
        <f>SUMIFS('Forbrug af biomasse'!$E$2:$E$425,'Forbrug af biomasse'!$C$2:$C$425,'Resultat-Produktion &amp; forbrug'!$A289,'Forbrug af biomasse'!$D$2:$D$425,'Resultat-Produktion &amp; forbrug'!$D289,'Forbrug af biomasse'!$A$2:$A$425,'Resultat-Produktion &amp; forbrug'!I$2,'Forbrug af biomasse'!$B$2:$B$425,$E289)</f>
        <v>0</v>
      </c>
      <c r="J289" s="196">
        <f>SUMIFS('Forbrug af biomasse'!$E$2:$E$425,'Forbrug af biomasse'!$C$2:$C$425,'Resultat-Produktion &amp; forbrug'!$A289,'Forbrug af biomasse'!$D$2:$D$425,'Resultat-Produktion &amp; forbrug'!$D289,'Forbrug af biomasse'!$A$2:$A$425,'Resultat-Produktion &amp; forbrug'!J$2,'Forbrug af biomasse'!$B$2:$B$425,$E289)</f>
        <v>0</v>
      </c>
      <c r="K289" s="196">
        <f>SUMIFS('Forbrug af biomasse'!$E$2:$E$425,'Forbrug af biomasse'!$C$2:$C$425,'Resultat-Produktion &amp; forbrug'!$A289,'Forbrug af biomasse'!$D$2:$D$425,'Resultat-Produktion &amp; forbrug'!$D289,'Forbrug af biomasse'!$A$2:$A$425,'Resultat-Produktion &amp; forbrug'!K$2,'Forbrug af biomasse'!$B$2:$B$425,$E289)</f>
        <v>0</v>
      </c>
      <c r="L289" s="196">
        <f>IF(A289&lt;&gt;"Biogas",SUMIFS('Forbrug af biomasse'!$E$2:$E$425,'Forbrug af biomasse'!$C$2:$C$425,'Resultat-Produktion &amp; forbrug'!$A289,'Forbrug af biomasse'!$D$2:$D$425,'Resultat-Produktion &amp; forbrug'!$D289,'Forbrug af biomasse'!$A$2:$A$425,'Resultat-Produktion &amp; forbrug'!L$2,'Forbrug af biomasse'!$B$2:$B$425,$E289),F289)</f>
        <v>585110.82295504375</v>
      </c>
      <c r="M289" s="158">
        <f>SUMIFS('Forbrug af biomasse'!E:E,'Forbrug af biomasse'!C:C,'Resultat-Produktion &amp; forbrug'!$A289,'Forbrug af biomasse'!D:D,'Resultat-Produktion &amp; forbrug'!$D289,'Forbrug af biomasse'!G:G,1,'Forbrug af biomasse'!B:B,$E289)</f>
        <v>0</v>
      </c>
      <c r="N289" s="205">
        <f t="shared" si="93"/>
        <v>0</v>
      </c>
      <c r="O289" s="196">
        <f t="shared" si="89"/>
        <v>0</v>
      </c>
      <c r="P289" s="206">
        <f t="shared" si="94"/>
        <v>585110.82295504375</v>
      </c>
      <c r="Q289" s="193">
        <f>IFERROR(VLOOKUP(A289,[1]Energiindhold!$A$2:$C$11,3,FALSE),IFERROR(VLOOKUP(A289,[1]Biogasudbytte!$A$2:$B$18,2,FALSE)*[1]Energiindhold!$C$10,0))*O289</f>
        <v>0</v>
      </c>
      <c r="R289" s="193">
        <f>IF(A289&lt;&gt;"Biogas",IFERROR(VLOOKUP(A289,[1]Biogasudbytte!$A$2:$B$18,2,FALSE)*[1]Energiindhold!$C$10,0)*J289*IFERROR(VLOOKUP(A289,Biogasanlæg!$F$3:$G$8,2,FALSE),1)+IFERROR(VLOOKUP(A289,[1]Energiindhold!$A$2:$C$11,3,FALSE),0)*L289+IF(D289&lt;&gt;År1,Q289,0),0)</f>
        <v>8.4803440270882753</v>
      </c>
      <c r="S289" s="193">
        <f>IFERROR(VLOOKUP(A289,[1]Biogasudbytte!$A$2:$B$18,2,FALSE)*[1]Energiindhold!$C$10,0)*J289*IFERROR(VLOOKUP(A289,Biogasanlæg!$F$3:$G$8,2,FALSE),1)</f>
        <v>0</v>
      </c>
      <c r="T289" s="194">
        <f t="shared" si="95"/>
        <v>8.4803440270882753</v>
      </c>
      <c r="U289" s="192">
        <f>O289*IFERROR(VLOOKUP(A289,[1]Tørstofindhold!A$2:B$25,2,FALSE),0)</f>
        <v>0</v>
      </c>
      <c r="V289" s="193">
        <f>IF(D289=År1,P289,SUM(O289,P289))*IFERROR(VLOOKUP(A289,[1]Tørstofindhold!A$2:B$25,2,FALSE),0)</f>
        <v>289386.06118651538</v>
      </c>
      <c r="W289" s="193">
        <f>J289*IFERROR(VLOOKUP(A289,[1]Tørstofindhold!A$2:B$25,2,FALSE),0)</f>
        <v>0</v>
      </c>
      <c r="X289" s="194">
        <f t="shared" si="96"/>
        <v>289386.06118651538</v>
      </c>
      <c r="Y289" s="172">
        <f t="shared" si="90"/>
        <v>0</v>
      </c>
      <c r="Z289" s="104">
        <f t="shared" si="91"/>
        <v>0</v>
      </c>
    </row>
    <row r="290" spans="1:26" ht="14.7" hidden="1" thickBot="1" x14ac:dyDescent="0.6">
      <c r="A290" s="195" t="str">
        <f t="shared" si="87"/>
        <v>Træmaterialer</v>
      </c>
      <c r="B290" s="195" t="str">
        <f t="shared" si="88"/>
        <v/>
      </c>
      <c r="C290" s="195">
        <f>IF(COUNTIFS('Resultater - Danmark'!$D$3:$D$482,'Resultat-Produktion &amp; forbrug'!A290,'Resultater - Danmark'!$A$3:$A$482,"Til energi")+COUNTIFS('Resultater - Danmark'!$D$3:$D$482,'Resultat-Produktion &amp; forbrug'!A290,'Resultater - Danmark'!$A$3:$A$482,"Biogasanlæg")&gt;0,1,0)</f>
        <v>0</v>
      </c>
      <c r="D290" s="195">
        <f t="shared" si="92"/>
        <v>2050</v>
      </c>
      <c r="E290" s="193" t="s">
        <v>24</v>
      </c>
      <c r="F290" s="196">
        <f>IF(E290="Vestdanmark",SUMIFS(IF(D290=År1,'Resultater - Vestdanmark'!H$3:H$482,IF(D290=År2,'Resultater - Vestdanmark'!I$3:I$482,'Resultater - Vestdanmark'!J$3:J$482)),'Resultater - Vestdanmark'!$F$3:$F$482,$A290,IF(D290=År1,'Resultater - Vestdanmark'!H$3:H$482,IF(D290=År2,'Resultater - Vestdanmark'!I$3:I$482,'Resultater - Vestdanmark'!J$3:J$482)),"&gt;0"),SUMIFS(IF(D290=År1,'Resultater - Østdanmark'!H$3:H$482,IF(D290=År2,'Resultater - Østdanmark'!I$3:I$482,'Resultater - Østdanmark'!J$3:J$482)),'Resultater - Østdanmark'!$F$3:$F$482,$A290,IF(D290=År1,'Resultater - Østdanmark'!H$3:H$482,IF(D290=År2,'Resultater - Østdanmark'!I$3:I$482,'Resultater - Østdanmark'!J$3:J$482)),"&gt;0"))</f>
        <v>161179.02528703219</v>
      </c>
      <c r="G290" s="196">
        <f>SUMIFS('Forbrug af biomasse'!$E$2:$E$425,'Forbrug af biomasse'!$C$2:$C$425,'Resultat-Produktion &amp; forbrug'!$A290,'Forbrug af biomasse'!$D$2:$D$425,'Resultat-Produktion &amp; forbrug'!$D290,'Forbrug af biomasse'!$A$2:$A$425,'Resultat-Produktion &amp; forbrug'!G$2,'Forbrug af biomasse'!$B$2:$B$425,$E290)</f>
        <v>0</v>
      </c>
      <c r="H290" s="193">
        <f>IF(E290="Vestdanmark",-IF(A290="Halm",SUMIFS(IF(D290=År1,'Resultater - Vestdanmark'!H$3:H$482,IF(D290=År2,'Resultater - Vestdanmark'!I$3:I$482,'Resultater - Vestdanmark'!J$3:J$482)),'Resultater - Vestdanmark'!$F$3:$F$482,$A290,'Resultater - Vestdanmark'!H$3:H$482,"&lt;0"),0),-IF(A290="Halm",SUMIFS(IF(D290=År1,'Resultater - Østdanmark'!H$3:H$482,IF(D290=År2,'Resultater - Østdanmark'!I$3:I$482,'Resultater - Østdanmark'!J$3:J$482)),'Resultater - Østdanmark'!$F$3:$F$482,$A290,'Resultater - Østdanmark'!H$3:H$482,"&lt;0"),0))</f>
        <v>0</v>
      </c>
      <c r="I290" s="196">
        <f>SUMIFS('Forbrug af biomasse'!$E$2:$E$425,'Forbrug af biomasse'!$C$2:$C$425,'Resultat-Produktion &amp; forbrug'!$A290,'Forbrug af biomasse'!$D$2:$D$425,'Resultat-Produktion &amp; forbrug'!$D290,'Forbrug af biomasse'!$A$2:$A$425,'Resultat-Produktion &amp; forbrug'!I$2,'Forbrug af biomasse'!$B$2:$B$425,$E290)</f>
        <v>0</v>
      </c>
      <c r="J290" s="196">
        <f>SUMIFS('Forbrug af biomasse'!$E$2:$E$425,'Forbrug af biomasse'!$C$2:$C$425,'Resultat-Produktion &amp; forbrug'!$A290,'Forbrug af biomasse'!$D$2:$D$425,'Resultat-Produktion &amp; forbrug'!$D290,'Forbrug af biomasse'!$A$2:$A$425,'Resultat-Produktion &amp; forbrug'!J$2,'Forbrug af biomasse'!$B$2:$B$425,$E290)</f>
        <v>0</v>
      </c>
      <c r="K290" s="196">
        <f>SUMIFS('Forbrug af biomasse'!$E$2:$E$425,'Forbrug af biomasse'!$C$2:$C$425,'Resultat-Produktion &amp; forbrug'!$A290,'Forbrug af biomasse'!$D$2:$D$425,'Resultat-Produktion &amp; forbrug'!$D290,'Forbrug af biomasse'!$A$2:$A$425,'Resultat-Produktion &amp; forbrug'!K$2,'Forbrug af biomasse'!$B$2:$B$425,$E290)</f>
        <v>0</v>
      </c>
      <c r="L290" s="196">
        <f>IF(A290&lt;&gt;"Biogas",SUMIFS('Forbrug af biomasse'!$E$2:$E$425,'Forbrug af biomasse'!$C$2:$C$425,'Resultat-Produktion &amp; forbrug'!$A290,'Forbrug af biomasse'!$D$2:$D$425,'Resultat-Produktion &amp; forbrug'!$D290,'Forbrug af biomasse'!$A$2:$A$425,'Resultat-Produktion &amp; forbrug'!L$2,'Forbrug af biomasse'!$B$2:$B$425,$E290),F290)</f>
        <v>0</v>
      </c>
      <c r="M290" s="158">
        <f>SUMIFS('Forbrug af biomasse'!E:E,'Forbrug af biomasse'!C:C,'Resultat-Produktion &amp; forbrug'!$A290,'Forbrug af biomasse'!D:D,'Resultat-Produktion &amp; forbrug'!$D290,'Forbrug af biomasse'!G:G,1,'Forbrug af biomasse'!B:B,$E290)</f>
        <v>0</v>
      </c>
      <c r="N290" s="207">
        <f t="shared" si="93"/>
        <v>161179.02528703219</v>
      </c>
      <c r="O290" s="208">
        <f t="shared" si="89"/>
        <v>0</v>
      </c>
      <c r="P290" s="209">
        <f t="shared" si="94"/>
        <v>0</v>
      </c>
      <c r="Q290" s="198">
        <f>IFERROR(VLOOKUP(A290,[1]Energiindhold!$A$2:$C$11,3,FALSE),IFERROR(VLOOKUP(A290,[1]Biogasudbytte!$A$2:$B$18,2,FALSE)*[1]Energiindhold!$C$10,0))*O290</f>
        <v>0</v>
      </c>
      <c r="R290" s="198">
        <f>IF(A290&lt;&gt;"Biogas",IFERROR(VLOOKUP(A290,[1]Biogasudbytte!$A$2:$B$18,2,FALSE)*[1]Energiindhold!$C$10,0)*J290*IFERROR(VLOOKUP(A290,Biogasanlæg!$F$3:$G$8,2,FALSE),1)+IFERROR(VLOOKUP(A290,[1]Energiindhold!$A$2:$C$11,3,FALSE),0)*L290+IF(D290&lt;&gt;År1,Q290,0),0)</f>
        <v>0</v>
      </c>
      <c r="S290" s="198">
        <f>IFERROR(VLOOKUP(A290,[1]Biogasudbytte!$A$2:$B$18,2,FALSE)*[1]Energiindhold!$C$10,0)*J290*IFERROR(VLOOKUP(A290,Biogasanlæg!$F$3:$G$8,2,FALSE),1)</f>
        <v>0</v>
      </c>
      <c r="T290" s="199">
        <f t="shared" si="95"/>
        <v>0</v>
      </c>
      <c r="U290" s="197">
        <f>O290*IFERROR(VLOOKUP(A290,[1]Tørstofindhold!A$2:B$25,2,FALSE),0)</f>
        <v>0</v>
      </c>
      <c r="V290" s="198">
        <f>IF(D290=År1,P290,SUM(O290,P290))*IFERROR(VLOOKUP(A290,[1]Tørstofindhold!A$2:B$25,2,FALSE),0)</f>
        <v>0</v>
      </c>
      <c r="W290" s="198">
        <f>J290*IFERROR(VLOOKUP(A290,[1]Tørstofindhold!A$2:B$25,2,FALSE),0)</f>
        <v>0</v>
      </c>
      <c r="X290" s="199">
        <f t="shared" si="96"/>
        <v>0</v>
      </c>
      <c r="Y290" s="172">
        <f t="shared" si="90"/>
        <v>0</v>
      </c>
      <c r="Z290" s="104">
        <f t="shared" si="91"/>
        <v>1</v>
      </c>
    </row>
  </sheetData>
  <autoFilter ref="A2:Z290" xr:uid="{E8FEB0F6-BC35-420D-A381-2F9B028DCC93}">
    <filterColumn colId="0">
      <filters>
        <filter val="Bælgsæd"/>
        <filter val="Muslinger"/>
        <filter val="Tang"/>
      </filters>
    </filterColumn>
  </autoFilter>
  <mergeCells count="5">
    <mergeCell ref="Q1:T1"/>
    <mergeCell ref="U1:X1"/>
    <mergeCell ref="A1:C1"/>
    <mergeCell ref="F1:M1"/>
    <mergeCell ref="N1:P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2245-9477-4B7B-B323-27D7FCEBA3A8}">
  <sheetPr codeName="Sheet20">
    <tabColor theme="2" tint="-9.9978637043366805E-2"/>
  </sheetPr>
  <dimension ref="A2"/>
  <sheetViews>
    <sheetView workbookViewId="0">
      <selection activeCell="E5" sqref="E5"/>
    </sheetView>
  </sheetViews>
  <sheetFormatPr defaultColWidth="9.15625" defaultRowHeight="14.4" x14ac:dyDescent="0.55000000000000004"/>
  <cols>
    <col min="1" max="16384" width="9.15625" style="1"/>
  </cols>
  <sheetData>
    <row r="2" spans="1:1" x14ac:dyDescent="0.55000000000000004">
      <c r="A2" s="6" t="s">
        <v>251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338C2-7F2F-4043-87A4-1E8BAC9AF0A1}">
  <sheetPr codeName="Sheet5">
    <tabColor theme="8" tint="0.79998168889431442"/>
  </sheetPr>
  <dimension ref="A3:AJ33"/>
  <sheetViews>
    <sheetView topLeftCell="A2" workbookViewId="0">
      <selection activeCell="B5" sqref="B5:AG23"/>
    </sheetView>
  </sheetViews>
  <sheetFormatPr defaultRowHeight="14.4" x14ac:dyDescent="0.55000000000000004"/>
  <cols>
    <col min="1" max="1" width="21.26171875" bestFit="1" customWidth="1"/>
    <col min="2" max="2" width="16.26171875" bestFit="1" customWidth="1"/>
    <col min="3" max="3" width="9.15625" bestFit="1" customWidth="1"/>
    <col min="4" max="4" width="9" bestFit="1" customWidth="1"/>
    <col min="5" max="5" width="11.578125" bestFit="1" customWidth="1"/>
    <col min="6" max="6" width="4.41796875" bestFit="1" customWidth="1"/>
    <col min="7" max="7" width="12.15625" bestFit="1" customWidth="1"/>
    <col min="8" max="8" width="11.15625" bestFit="1" customWidth="1"/>
    <col min="9" max="9" width="5.578125" bestFit="1" customWidth="1"/>
    <col min="10" max="10" width="8.41796875" bestFit="1" customWidth="1"/>
    <col min="11" max="11" width="5.68359375" bestFit="1" customWidth="1"/>
    <col min="12" max="12" width="10.83984375" bestFit="1" customWidth="1"/>
    <col min="13" max="13" width="5.578125" bestFit="1" customWidth="1"/>
    <col min="14" max="14" width="15.41796875" bestFit="1" customWidth="1"/>
    <col min="15" max="15" width="14.578125" bestFit="1" customWidth="1"/>
    <col min="16" max="16" width="13.15625" bestFit="1" customWidth="1"/>
    <col min="17" max="17" width="8.83984375" bestFit="1" customWidth="1"/>
    <col min="18" max="18" width="5.15625" bestFit="1" customWidth="1"/>
    <col min="19" max="19" width="10.15625" bestFit="1" customWidth="1"/>
    <col min="20" max="20" width="13.83984375" bestFit="1" customWidth="1"/>
    <col min="21" max="21" width="5.26171875" bestFit="1" customWidth="1"/>
    <col min="22" max="22" width="16" bestFit="1" customWidth="1"/>
    <col min="23" max="23" width="8.68359375" bestFit="1" customWidth="1"/>
    <col min="24" max="25" width="5.15625" bestFit="1" customWidth="1"/>
    <col min="26" max="26" width="20.68359375" bestFit="1" customWidth="1"/>
    <col min="27" max="27" width="16" bestFit="1" customWidth="1"/>
    <col min="28" max="28" width="10.15625" bestFit="1" customWidth="1"/>
    <col min="29" max="29" width="9.15625" bestFit="1" customWidth="1"/>
    <col min="30" max="30" width="12" bestFit="1" customWidth="1"/>
    <col min="31" max="31" width="12.83984375" bestFit="1" customWidth="1"/>
    <col min="32" max="32" width="9.26171875" bestFit="1" customWidth="1"/>
    <col min="33" max="33" width="8.578125" bestFit="1" customWidth="1"/>
    <col min="34" max="34" width="11" bestFit="1" customWidth="1"/>
    <col min="35" max="35" width="13.26171875" bestFit="1" customWidth="1"/>
    <col min="36" max="36" width="11.26171875" bestFit="1" customWidth="1"/>
    <col min="37" max="37" width="12" bestFit="1" customWidth="1"/>
    <col min="38" max="38" width="11.26171875" bestFit="1" customWidth="1"/>
    <col min="39" max="39" width="11.68359375" bestFit="1" customWidth="1"/>
    <col min="40" max="40" width="12" bestFit="1" customWidth="1"/>
    <col min="41" max="41" width="16" bestFit="1" customWidth="1"/>
    <col min="42" max="42" width="12" bestFit="1" customWidth="1"/>
    <col min="43" max="43" width="13.41796875" bestFit="1" customWidth="1"/>
    <col min="44" max="44" width="12" bestFit="1" customWidth="1"/>
    <col min="45" max="45" width="15" bestFit="1" customWidth="1"/>
    <col min="46" max="46" width="12" bestFit="1" customWidth="1"/>
  </cols>
  <sheetData>
    <row r="3" spans="1:36" x14ac:dyDescent="0.55000000000000004">
      <c r="A3" s="77" t="s">
        <v>175</v>
      </c>
      <c r="B3" s="77" t="s">
        <v>62</v>
      </c>
    </row>
    <row r="4" spans="1:36" x14ac:dyDescent="0.55000000000000004">
      <c r="A4" s="77" t="s">
        <v>60</v>
      </c>
      <c r="B4" s="172" t="s">
        <v>15</v>
      </c>
      <c r="C4" s="172" t="s">
        <v>49</v>
      </c>
      <c r="D4" s="172" t="s">
        <v>103</v>
      </c>
      <c r="E4" s="172" t="s">
        <v>102</v>
      </c>
      <c r="F4" s="172" t="s">
        <v>19</v>
      </c>
      <c r="G4" s="172" t="s">
        <v>138</v>
      </c>
      <c r="H4" s="172" t="s">
        <v>97</v>
      </c>
      <c r="I4" s="172" t="s">
        <v>54</v>
      </c>
      <c r="J4" s="172" t="s">
        <v>159</v>
      </c>
      <c r="K4" s="172" t="s">
        <v>51</v>
      </c>
      <c r="L4" s="172" t="s">
        <v>6</v>
      </c>
      <c r="M4" s="172" t="s">
        <v>68</v>
      </c>
      <c r="N4" s="172" t="s">
        <v>163</v>
      </c>
      <c r="O4" s="172" t="s">
        <v>160</v>
      </c>
      <c r="P4" s="172" t="s">
        <v>104</v>
      </c>
      <c r="Q4" s="172" t="s">
        <v>12</v>
      </c>
      <c r="R4" s="172" t="s">
        <v>48</v>
      </c>
      <c r="S4" s="172" t="s">
        <v>137</v>
      </c>
      <c r="T4" s="172" t="s">
        <v>109</v>
      </c>
      <c r="U4" s="172" t="s">
        <v>53</v>
      </c>
      <c r="V4" s="172" t="s">
        <v>117</v>
      </c>
      <c r="W4" s="172" t="s">
        <v>14</v>
      </c>
      <c r="X4" s="172" t="s">
        <v>50</v>
      </c>
      <c r="Y4" s="172" t="s">
        <v>52</v>
      </c>
      <c r="Z4" s="172" t="s">
        <v>108</v>
      </c>
      <c r="AA4" s="172" t="s">
        <v>141</v>
      </c>
      <c r="AB4" s="172" t="s">
        <v>136</v>
      </c>
      <c r="AC4" s="172" t="s">
        <v>13</v>
      </c>
      <c r="AD4" s="172" t="s">
        <v>96</v>
      </c>
      <c r="AE4" s="172" t="s">
        <v>120</v>
      </c>
      <c r="AF4" s="172" t="s">
        <v>241</v>
      </c>
      <c r="AG4" s="172" t="s">
        <v>234</v>
      </c>
      <c r="AH4" s="172" t="s">
        <v>111</v>
      </c>
      <c r="AI4" s="172" t="s">
        <v>116</v>
      </c>
      <c r="AJ4" s="172" t="s">
        <v>61</v>
      </c>
    </row>
    <row r="5" spans="1:36" x14ac:dyDescent="0.55000000000000004">
      <c r="A5" s="78" t="s">
        <v>110</v>
      </c>
      <c r="B5" s="248"/>
      <c r="C5" s="248"/>
      <c r="D5" s="248">
        <v>1462906</v>
      </c>
      <c r="E5" s="248">
        <v>3840095.3813778022</v>
      </c>
      <c r="F5" s="248"/>
      <c r="G5" s="248">
        <v>13632.279090274656</v>
      </c>
      <c r="H5" s="248"/>
      <c r="I5" s="248"/>
      <c r="J5" s="248">
        <v>428226</v>
      </c>
      <c r="K5" s="248">
        <v>257031</v>
      </c>
      <c r="L5" s="248"/>
      <c r="M5" s="248">
        <v>227802</v>
      </c>
      <c r="N5" s="248">
        <v>234</v>
      </c>
      <c r="O5" s="248"/>
      <c r="P5" s="248">
        <v>2444654</v>
      </c>
      <c r="Q5" s="248"/>
      <c r="R5" s="248">
        <v>11358</v>
      </c>
      <c r="S5" s="248">
        <v>25289114.74956274</v>
      </c>
      <c r="T5" s="248"/>
      <c r="U5" s="248">
        <v>990078</v>
      </c>
      <c r="V5" s="248"/>
      <c r="W5" s="248"/>
      <c r="X5" s="248"/>
      <c r="Y5" s="248">
        <v>85935</v>
      </c>
      <c r="Z5" s="248"/>
      <c r="AA5" s="248">
        <v>8334841.759060693</v>
      </c>
      <c r="AB5" s="248">
        <v>20819659.111597929</v>
      </c>
      <c r="AC5" s="248"/>
      <c r="AD5" s="248"/>
      <c r="AE5" s="248"/>
      <c r="AF5" s="248"/>
      <c r="AG5" s="248"/>
      <c r="AH5" s="248"/>
      <c r="AI5" s="248"/>
      <c r="AJ5" s="248">
        <v>64205567.280689433</v>
      </c>
    </row>
    <row r="6" spans="1:36" x14ac:dyDescent="0.55000000000000004">
      <c r="A6" s="79">
        <v>2019</v>
      </c>
      <c r="B6" s="248"/>
      <c r="C6" s="248"/>
      <c r="D6" s="248">
        <v>729134</v>
      </c>
      <c r="E6" s="248">
        <v>757087.00000000012</v>
      </c>
      <c r="F6" s="248"/>
      <c r="G6" s="248">
        <v>4441.5</v>
      </c>
      <c r="H6" s="248"/>
      <c r="I6" s="248"/>
      <c r="J6" s="248">
        <v>142742</v>
      </c>
      <c r="K6" s="248">
        <v>85676.999999999985</v>
      </c>
      <c r="L6" s="248"/>
      <c r="M6" s="248">
        <v>75934</v>
      </c>
      <c r="N6" s="248">
        <v>78</v>
      </c>
      <c r="O6" s="248"/>
      <c r="P6" s="248">
        <v>995654</v>
      </c>
      <c r="Q6" s="248"/>
      <c r="R6" s="248">
        <v>3785.9999999999991</v>
      </c>
      <c r="S6" s="248">
        <v>4353509.666666667</v>
      </c>
      <c r="T6" s="248"/>
      <c r="U6" s="248">
        <v>330026</v>
      </c>
      <c r="V6" s="248"/>
      <c r="W6" s="248"/>
      <c r="X6" s="248"/>
      <c r="Y6" s="248">
        <v>28645.000000000004</v>
      </c>
      <c r="Z6" s="248"/>
      <c r="AA6" s="248">
        <v>2668834</v>
      </c>
      <c r="AB6" s="248">
        <v>2914869.3333333335</v>
      </c>
      <c r="AC6" s="248"/>
      <c r="AD6" s="248"/>
      <c r="AE6" s="248"/>
      <c r="AF6" s="248"/>
      <c r="AG6" s="248"/>
      <c r="AH6" s="248"/>
      <c r="AI6" s="248"/>
      <c r="AJ6" s="248">
        <v>13090417.500000002</v>
      </c>
    </row>
    <row r="7" spans="1:36" x14ac:dyDescent="0.55000000000000004">
      <c r="A7" s="79">
        <v>2030</v>
      </c>
      <c r="B7" s="248"/>
      <c r="C7" s="248"/>
      <c r="D7" s="248">
        <v>363995</v>
      </c>
      <c r="E7" s="248">
        <v>1505490.464025514</v>
      </c>
      <c r="F7" s="248"/>
      <c r="G7" s="248">
        <v>4521.4640303491688</v>
      </c>
      <c r="H7" s="248"/>
      <c r="I7" s="248"/>
      <c r="J7" s="248">
        <v>142742</v>
      </c>
      <c r="K7" s="248">
        <v>85677.000000000029</v>
      </c>
      <c r="L7" s="248"/>
      <c r="M7" s="248">
        <v>75933.999999999985</v>
      </c>
      <c r="N7" s="248">
        <v>78</v>
      </c>
      <c r="O7" s="248"/>
      <c r="P7" s="248">
        <v>725967.99999999977</v>
      </c>
      <c r="Q7" s="248"/>
      <c r="R7" s="248">
        <v>3786.0000000000009</v>
      </c>
      <c r="S7" s="248">
        <v>10568777.271841513</v>
      </c>
      <c r="T7" s="248"/>
      <c r="U7" s="248">
        <v>330026</v>
      </c>
      <c r="V7" s="248"/>
      <c r="W7" s="248"/>
      <c r="X7" s="248"/>
      <c r="Y7" s="248">
        <v>28644.999999999996</v>
      </c>
      <c r="Z7" s="248"/>
      <c r="AA7" s="248">
        <v>2775329.8009308982</v>
      </c>
      <c r="AB7" s="248">
        <v>9147340.4973796755</v>
      </c>
      <c r="AC7" s="248"/>
      <c r="AD7" s="248"/>
      <c r="AE7" s="248"/>
      <c r="AF7" s="248"/>
      <c r="AG7" s="248"/>
      <c r="AH7" s="248"/>
      <c r="AI7" s="248"/>
      <c r="AJ7" s="248">
        <v>25758310.498207949</v>
      </c>
    </row>
    <row r="8" spans="1:36" x14ac:dyDescent="0.55000000000000004">
      <c r="A8" s="79">
        <v>2050</v>
      </c>
      <c r="B8" s="248"/>
      <c r="C8" s="248"/>
      <c r="D8" s="248">
        <v>369777</v>
      </c>
      <c r="E8" s="248">
        <v>1577517.9173522878</v>
      </c>
      <c r="F8" s="248"/>
      <c r="G8" s="248">
        <v>4669.3150599254868</v>
      </c>
      <c r="H8" s="248"/>
      <c r="I8" s="248"/>
      <c r="J8" s="248">
        <v>142742</v>
      </c>
      <c r="K8" s="248">
        <v>85677</v>
      </c>
      <c r="L8" s="248"/>
      <c r="M8" s="248">
        <v>75934</v>
      </c>
      <c r="N8" s="248">
        <v>78</v>
      </c>
      <c r="O8" s="248"/>
      <c r="P8" s="248">
        <v>723032.00000000023</v>
      </c>
      <c r="Q8" s="248"/>
      <c r="R8" s="248">
        <v>3786</v>
      </c>
      <c r="S8" s="248">
        <v>10366827.811054559</v>
      </c>
      <c r="T8" s="248"/>
      <c r="U8" s="248">
        <v>330026</v>
      </c>
      <c r="V8" s="248"/>
      <c r="W8" s="248"/>
      <c r="X8" s="248"/>
      <c r="Y8" s="248">
        <v>28644.999999999996</v>
      </c>
      <c r="Z8" s="248"/>
      <c r="AA8" s="248">
        <v>2890677.9581297943</v>
      </c>
      <c r="AB8" s="248">
        <v>8757449.2808849197</v>
      </c>
      <c r="AC8" s="248"/>
      <c r="AD8" s="248"/>
      <c r="AE8" s="248"/>
      <c r="AF8" s="248"/>
      <c r="AG8" s="248"/>
      <c r="AH8" s="248"/>
      <c r="AI8" s="248"/>
      <c r="AJ8" s="248">
        <v>25356839.282481484</v>
      </c>
    </row>
    <row r="9" spans="1:36" x14ac:dyDescent="0.55000000000000004">
      <c r="A9" s="78" t="s">
        <v>113</v>
      </c>
      <c r="B9" s="248"/>
      <c r="C9" s="248">
        <v>217245.27668679622</v>
      </c>
      <c r="D9" s="248"/>
      <c r="E9" s="248"/>
      <c r="F9" s="248"/>
      <c r="G9" s="248"/>
      <c r="H9" s="248"/>
      <c r="I9" s="248"/>
      <c r="J9" s="248"/>
      <c r="K9" s="248">
        <v>41219273.95581004</v>
      </c>
      <c r="L9" s="248"/>
      <c r="M9" s="248">
        <v>2603926.024732016</v>
      </c>
      <c r="N9" s="248"/>
      <c r="O9" s="248">
        <v>16263222.796414331</v>
      </c>
      <c r="P9" s="248"/>
      <c r="Q9" s="248">
        <v>0</v>
      </c>
      <c r="R9" s="248">
        <v>19802510.429103382</v>
      </c>
      <c r="S9" s="248"/>
      <c r="T9" s="248">
        <v>5105264.0021397118</v>
      </c>
      <c r="U9" s="248">
        <v>19054221.142737754</v>
      </c>
      <c r="V9" s="248"/>
      <c r="W9" s="248"/>
      <c r="X9" s="248"/>
      <c r="Y9" s="248">
        <v>2833240.4834569679</v>
      </c>
      <c r="Z9" s="248">
        <v>132761.00241970882</v>
      </c>
      <c r="AA9" s="248"/>
      <c r="AB9" s="248"/>
      <c r="AC9" s="248"/>
      <c r="AD9" s="248"/>
      <c r="AE9" s="248"/>
      <c r="AF9" s="248">
        <v>721133.62677978189</v>
      </c>
      <c r="AG9" s="248"/>
      <c r="AH9" s="248"/>
      <c r="AI9" s="248"/>
      <c r="AJ9" s="248">
        <v>107952798.74028048</v>
      </c>
    </row>
    <row r="10" spans="1:36" x14ac:dyDescent="0.55000000000000004">
      <c r="A10" s="79">
        <v>2019</v>
      </c>
      <c r="B10" s="248"/>
      <c r="C10" s="248">
        <v>72415.092228932088</v>
      </c>
      <c r="D10" s="248"/>
      <c r="E10" s="248"/>
      <c r="F10" s="248"/>
      <c r="G10" s="248"/>
      <c r="H10" s="248"/>
      <c r="I10" s="248"/>
      <c r="J10" s="248"/>
      <c r="K10" s="248">
        <v>13739757.985270014</v>
      </c>
      <c r="L10" s="248"/>
      <c r="M10" s="248">
        <v>867975.34157733875</v>
      </c>
      <c r="N10" s="248"/>
      <c r="O10" s="248">
        <v>5421074.2654714445</v>
      </c>
      <c r="P10" s="248"/>
      <c r="Q10" s="248">
        <v>0</v>
      </c>
      <c r="R10" s="248">
        <v>6600836.8097011279</v>
      </c>
      <c r="S10" s="248"/>
      <c r="T10" s="248">
        <v>1701754.6673799041</v>
      </c>
      <c r="U10" s="248">
        <v>6351407.0475792512</v>
      </c>
      <c r="V10" s="248"/>
      <c r="W10" s="248"/>
      <c r="X10" s="248"/>
      <c r="Y10" s="248">
        <v>944413.49448565592</v>
      </c>
      <c r="Z10" s="248">
        <v>44253.667473236274</v>
      </c>
      <c r="AA10" s="248"/>
      <c r="AB10" s="248"/>
      <c r="AC10" s="248"/>
      <c r="AD10" s="248"/>
      <c r="AE10" s="248"/>
      <c r="AF10" s="248">
        <v>240377.87559326066</v>
      </c>
      <c r="AG10" s="248"/>
      <c r="AH10" s="248"/>
      <c r="AI10" s="248"/>
      <c r="AJ10" s="248">
        <v>35984266.24676016</v>
      </c>
    </row>
    <row r="11" spans="1:36" x14ac:dyDescent="0.55000000000000004">
      <c r="A11" s="79">
        <v>2030</v>
      </c>
      <c r="B11" s="248"/>
      <c r="C11" s="248">
        <v>72415.092228932073</v>
      </c>
      <c r="D11" s="248"/>
      <c r="E11" s="248"/>
      <c r="F11" s="248"/>
      <c r="G11" s="248"/>
      <c r="H11" s="248"/>
      <c r="I11" s="248"/>
      <c r="J11" s="248"/>
      <c r="K11" s="248">
        <v>13739757.985270012</v>
      </c>
      <c r="L11" s="248"/>
      <c r="M11" s="248">
        <v>867975.34157733864</v>
      </c>
      <c r="N11" s="248"/>
      <c r="O11" s="248">
        <v>5421074.2654714435</v>
      </c>
      <c r="P11" s="248"/>
      <c r="Q11" s="248">
        <v>0</v>
      </c>
      <c r="R11" s="248">
        <v>6600836.809701127</v>
      </c>
      <c r="S11" s="248"/>
      <c r="T11" s="248">
        <v>1701754.6673799036</v>
      </c>
      <c r="U11" s="248">
        <v>6351407.0475792503</v>
      </c>
      <c r="V11" s="248"/>
      <c r="W11" s="248"/>
      <c r="X11" s="248"/>
      <c r="Y11" s="248">
        <v>944413.49448565592</v>
      </c>
      <c r="Z11" s="248">
        <v>44253.667473236274</v>
      </c>
      <c r="AA11" s="248"/>
      <c r="AB11" s="248"/>
      <c r="AC11" s="248"/>
      <c r="AD11" s="248"/>
      <c r="AE11" s="248"/>
      <c r="AF11" s="248">
        <v>240377.87559326063</v>
      </c>
      <c r="AG11" s="248"/>
      <c r="AH11" s="248"/>
      <c r="AI11" s="248"/>
      <c r="AJ11" s="248">
        <v>35984266.246760152</v>
      </c>
    </row>
    <row r="12" spans="1:36" x14ac:dyDescent="0.55000000000000004">
      <c r="A12" s="79">
        <v>2050</v>
      </c>
      <c r="B12" s="248"/>
      <c r="C12" s="248">
        <v>72415.092228932073</v>
      </c>
      <c r="D12" s="248"/>
      <c r="E12" s="248"/>
      <c r="F12" s="248"/>
      <c r="G12" s="248"/>
      <c r="H12" s="248"/>
      <c r="I12" s="248"/>
      <c r="J12" s="248"/>
      <c r="K12" s="248">
        <v>13739757.985270012</v>
      </c>
      <c r="L12" s="248"/>
      <c r="M12" s="248">
        <v>867975.34157733864</v>
      </c>
      <c r="N12" s="248"/>
      <c r="O12" s="248">
        <v>5421074.2654714435</v>
      </c>
      <c r="P12" s="248"/>
      <c r="Q12" s="248">
        <v>0</v>
      </c>
      <c r="R12" s="248">
        <v>6600836.809701127</v>
      </c>
      <c r="S12" s="248"/>
      <c r="T12" s="248">
        <v>1701754.6673799036</v>
      </c>
      <c r="U12" s="248">
        <v>6351407.0475792503</v>
      </c>
      <c r="V12" s="248"/>
      <c r="W12" s="248"/>
      <c r="X12" s="248"/>
      <c r="Y12" s="248">
        <v>944413.49448565592</v>
      </c>
      <c r="Z12" s="248">
        <v>44253.667473236274</v>
      </c>
      <c r="AA12" s="248"/>
      <c r="AB12" s="248"/>
      <c r="AC12" s="248"/>
      <c r="AD12" s="248"/>
      <c r="AE12" s="248"/>
      <c r="AF12" s="248">
        <v>240377.87559326063</v>
      </c>
      <c r="AG12" s="248"/>
      <c r="AH12" s="248"/>
      <c r="AI12" s="248"/>
      <c r="AJ12" s="248">
        <v>35984266.246760152</v>
      </c>
    </row>
    <row r="13" spans="1:36" x14ac:dyDescent="0.55000000000000004">
      <c r="A13" s="78" t="s">
        <v>128</v>
      </c>
      <c r="B13" s="248">
        <v>182574.19618217932</v>
      </c>
      <c r="C13" s="248">
        <v>0</v>
      </c>
      <c r="D13" s="248"/>
      <c r="E13" s="248"/>
      <c r="F13" s="248">
        <v>281468.55244752642</v>
      </c>
      <c r="G13" s="248"/>
      <c r="H13" s="248">
        <v>197788.71253069426</v>
      </c>
      <c r="I13" s="248">
        <v>1445379.0531089196</v>
      </c>
      <c r="J13" s="248"/>
      <c r="K13" s="248"/>
      <c r="L13" s="248">
        <v>1513844.376677237</v>
      </c>
      <c r="M13" s="248"/>
      <c r="N13" s="248"/>
      <c r="O13" s="248"/>
      <c r="P13" s="248"/>
      <c r="Q13" s="248">
        <v>692260.49385742994</v>
      </c>
      <c r="R13" s="248">
        <v>1658382.281988129</v>
      </c>
      <c r="S13" s="248"/>
      <c r="T13" s="248"/>
      <c r="U13" s="248"/>
      <c r="V13" s="248">
        <v>2647325.8446415998</v>
      </c>
      <c r="W13" s="248">
        <v>336392.95646566537</v>
      </c>
      <c r="X13" s="248"/>
      <c r="Y13" s="248"/>
      <c r="Z13" s="248"/>
      <c r="AA13" s="248"/>
      <c r="AB13" s="248"/>
      <c r="AC13" s="248">
        <v>682979.63888483576</v>
      </c>
      <c r="AD13" s="248"/>
      <c r="AE13" s="248"/>
      <c r="AF13" s="248"/>
      <c r="AG13" s="248"/>
      <c r="AH13" s="248"/>
      <c r="AI13" s="248"/>
      <c r="AJ13" s="248">
        <v>9638396.1067842171</v>
      </c>
    </row>
    <row r="14" spans="1:36" x14ac:dyDescent="0.55000000000000004">
      <c r="A14" s="79">
        <v>2019</v>
      </c>
      <c r="B14" s="248">
        <v>58403.100598004137</v>
      </c>
      <c r="C14" s="248">
        <v>0</v>
      </c>
      <c r="D14" s="248"/>
      <c r="E14" s="248"/>
      <c r="F14" s="248">
        <v>90038.113421923044</v>
      </c>
      <c r="G14" s="248"/>
      <c r="H14" s="248">
        <v>63270.025647837821</v>
      </c>
      <c r="I14" s="248">
        <v>462357.87973419944</v>
      </c>
      <c r="J14" s="248"/>
      <c r="K14" s="248"/>
      <c r="L14" s="248">
        <v>484259.042458451</v>
      </c>
      <c r="M14" s="248"/>
      <c r="N14" s="248"/>
      <c r="O14" s="248"/>
      <c r="P14" s="248"/>
      <c r="Q14" s="248">
        <v>221445.08976743236</v>
      </c>
      <c r="R14" s="248">
        <v>530494.83043187088</v>
      </c>
      <c r="S14" s="248"/>
      <c r="T14" s="248"/>
      <c r="U14" s="248"/>
      <c r="V14" s="248">
        <v>846844.95867106004</v>
      </c>
      <c r="W14" s="248">
        <v>107607.71285182264</v>
      </c>
      <c r="X14" s="248"/>
      <c r="Y14" s="248"/>
      <c r="Z14" s="248"/>
      <c r="AA14" s="248"/>
      <c r="AB14" s="248"/>
      <c r="AC14" s="248">
        <v>218476.26548703379</v>
      </c>
      <c r="AD14" s="248"/>
      <c r="AE14" s="248"/>
      <c r="AF14" s="248"/>
      <c r="AG14" s="248"/>
      <c r="AH14" s="248"/>
      <c r="AI14" s="248"/>
      <c r="AJ14" s="248">
        <v>3083197.0190696353</v>
      </c>
    </row>
    <row r="15" spans="1:36" x14ac:dyDescent="0.55000000000000004">
      <c r="A15" s="79">
        <v>2030</v>
      </c>
      <c r="B15" s="248">
        <v>60789.12467762841</v>
      </c>
      <c r="C15" s="248">
        <v>0</v>
      </c>
      <c r="D15" s="248"/>
      <c r="E15" s="248"/>
      <c r="F15" s="248">
        <v>93716.56721134379</v>
      </c>
      <c r="G15" s="248"/>
      <c r="H15" s="248">
        <v>65854.885067430776</v>
      </c>
      <c r="I15" s="248">
        <v>481247.23703122488</v>
      </c>
      <c r="J15" s="248"/>
      <c r="K15" s="248"/>
      <c r="L15" s="248">
        <v>504043.1587853356</v>
      </c>
      <c r="M15" s="248"/>
      <c r="N15" s="248"/>
      <c r="O15" s="248"/>
      <c r="P15" s="248"/>
      <c r="Q15" s="248">
        <v>230492.09773600774</v>
      </c>
      <c r="R15" s="248">
        <v>552167.88248845807</v>
      </c>
      <c r="S15" s="248"/>
      <c r="T15" s="248"/>
      <c r="U15" s="248"/>
      <c r="V15" s="248">
        <v>881442.3078256119</v>
      </c>
      <c r="W15" s="248">
        <v>112003.96221853035</v>
      </c>
      <c r="X15" s="248"/>
      <c r="Y15" s="248"/>
      <c r="Z15" s="248"/>
      <c r="AA15" s="248"/>
      <c r="AB15" s="248"/>
      <c r="AC15" s="248">
        <v>227401.98389822827</v>
      </c>
      <c r="AD15" s="248"/>
      <c r="AE15" s="248"/>
      <c r="AF15" s="248"/>
      <c r="AG15" s="248"/>
      <c r="AH15" s="248"/>
      <c r="AI15" s="248"/>
      <c r="AJ15" s="248">
        <v>3209159.2069397997</v>
      </c>
    </row>
    <row r="16" spans="1:36" x14ac:dyDescent="0.55000000000000004">
      <c r="A16" s="79">
        <v>2050</v>
      </c>
      <c r="B16" s="248">
        <v>63381.970906546776</v>
      </c>
      <c r="C16" s="248">
        <v>0</v>
      </c>
      <c r="D16" s="248"/>
      <c r="E16" s="248"/>
      <c r="F16" s="248">
        <v>97713.871814259604</v>
      </c>
      <c r="G16" s="248"/>
      <c r="H16" s="248">
        <v>68663.801815425672</v>
      </c>
      <c r="I16" s="248">
        <v>501773.93634349527</v>
      </c>
      <c r="J16" s="248"/>
      <c r="K16" s="248"/>
      <c r="L16" s="248">
        <v>525542.17543345026</v>
      </c>
      <c r="M16" s="248"/>
      <c r="N16" s="248"/>
      <c r="O16" s="248"/>
      <c r="P16" s="248"/>
      <c r="Q16" s="248">
        <v>240323.30635398987</v>
      </c>
      <c r="R16" s="248">
        <v>575719.56906779984</v>
      </c>
      <c r="S16" s="248"/>
      <c r="T16" s="248"/>
      <c r="U16" s="248"/>
      <c r="V16" s="248">
        <v>919038.57814492821</v>
      </c>
      <c r="W16" s="248">
        <v>116781.28139531243</v>
      </c>
      <c r="X16" s="248"/>
      <c r="Y16" s="248"/>
      <c r="Z16" s="248"/>
      <c r="AA16" s="248"/>
      <c r="AB16" s="248"/>
      <c r="AC16" s="248">
        <v>237101.38949957371</v>
      </c>
      <c r="AD16" s="248"/>
      <c r="AE16" s="248"/>
      <c r="AF16" s="248"/>
      <c r="AG16" s="248"/>
      <c r="AH16" s="248"/>
      <c r="AI16" s="248"/>
      <c r="AJ16" s="248">
        <v>3346039.8807747816</v>
      </c>
    </row>
    <row r="17" spans="1:36" x14ac:dyDescent="0.55000000000000004">
      <c r="A17" s="78" t="s">
        <v>121</v>
      </c>
      <c r="B17" s="248"/>
      <c r="C17" s="248"/>
      <c r="D17" s="248">
        <v>0</v>
      </c>
      <c r="E17" s="248"/>
      <c r="F17" s="248"/>
      <c r="G17" s="248"/>
      <c r="H17" s="248"/>
      <c r="I17" s="248"/>
      <c r="J17" s="248"/>
      <c r="K17" s="248"/>
      <c r="L17" s="248"/>
      <c r="M17" s="248">
        <v>5397115.7608660124</v>
      </c>
      <c r="N17" s="248">
        <v>2948193</v>
      </c>
      <c r="O17" s="248"/>
      <c r="P17" s="248"/>
      <c r="Q17" s="248"/>
      <c r="R17" s="248"/>
      <c r="S17" s="248"/>
      <c r="T17" s="248"/>
      <c r="U17" s="248"/>
      <c r="V17" s="248"/>
      <c r="W17" s="248"/>
      <c r="X17" s="248"/>
      <c r="Y17" s="248"/>
      <c r="Z17" s="248"/>
      <c r="AA17" s="248"/>
      <c r="AB17" s="248"/>
      <c r="AC17" s="248"/>
      <c r="AD17" s="248">
        <v>636963.68412800436</v>
      </c>
      <c r="AE17" s="248">
        <v>8445237.9421698824</v>
      </c>
      <c r="AF17" s="248"/>
      <c r="AG17" s="248">
        <v>452470.33227796666</v>
      </c>
      <c r="AH17" s="248"/>
      <c r="AI17" s="248"/>
      <c r="AJ17" s="248">
        <v>17879980.719441865</v>
      </c>
    </row>
    <row r="18" spans="1:36" x14ac:dyDescent="0.55000000000000004">
      <c r="A18" s="79">
        <v>2019</v>
      </c>
      <c r="B18" s="248"/>
      <c r="C18" s="248"/>
      <c r="D18" s="248">
        <v>0</v>
      </c>
      <c r="E18" s="248"/>
      <c r="F18" s="248"/>
      <c r="G18" s="248"/>
      <c r="H18" s="248"/>
      <c r="I18" s="248"/>
      <c r="J18" s="248"/>
      <c r="K18" s="248"/>
      <c r="L18" s="248"/>
      <c r="M18" s="248">
        <v>1893765.2125355615</v>
      </c>
      <c r="N18" s="248">
        <v>982731</v>
      </c>
      <c r="O18" s="248"/>
      <c r="P18" s="248"/>
      <c r="Q18" s="248"/>
      <c r="R18" s="248"/>
      <c r="S18" s="248"/>
      <c r="T18" s="248"/>
      <c r="U18" s="248"/>
      <c r="V18" s="248"/>
      <c r="W18" s="248"/>
      <c r="X18" s="248"/>
      <c r="Y18" s="248"/>
      <c r="Z18" s="248"/>
      <c r="AA18" s="248"/>
      <c r="AB18" s="248"/>
      <c r="AC18" s="248"/>
      <c r="AD18" s="248">
        <v>209782.38739500003</v>
      </c>
      <c r="AE18" s="248">
        <v>3010238.4923246857</v>
      </c>
      <c r="AF18" s="248"/>
      <c r="AG18" s="248">
        <v>4341.810030581958</v>
      </c>
      <c r="AH18" s="248"/>
      <c r="AI18" s="248"/>
      <c r="AJ18" s="248">
        <v>6100858.9022858301</v>
      </c>
    </row>
    <row r="19" spans="1:36" x14ac:dyDescent="0.55000000000000004">
      <c r="A19" s="79">
        <v>2030</v>
      </c>
      <c r="B19" s="248"/>
      <c r="C19" s="248"/>
      <c r="D19" s="248">
        <v>0</v>
      </c>
      <c r="E19" s="248"/>
      <c r="F19" s="248"/>
      <c r="G19" s="248"/>
      <c r="H19" s="248"/>
      <c r="I19" s="248"/>
      <c r="J19" s="248"/>
      <c r="K19" s="248"/>
      <c r="L19" s="248"/>
      <c r="M19" s="248">
        <v>1802534.1213624873</v>
      </c>
      <c r="N19" s="248">
        <v>982731</v>
      </c>
      <c r="O19" s="248"/>
      <c r="P19" s="248"/>
      <c r="Q19" s="248"/>
      <c r="R19" s="248"/>
      <c r="S19" s="248"/>
      <c r="T19" s="248"/>
      <c r="U19" s="248"/>
      <c r="V19" s="248"/>
      <c r="W19" s="248"/>
      <c r="X19" s="248"/>
      <c r="Y19" s="248"/>
      <c r="Z19" s="248"/>
      <c r="AA19" s="248"/>
      <c r="AB19" s="248"/>
      <c r="AC19" s="248"/>
      <c r="AD19" s="248">
        <v>216936.14364827855</v>
      </c>
      <c r="AE19" s="248">
        <v>2848752.9835421797</v>
      </c>
      <c r="AF19" s="248"/>
      <c r="AG19" s="248">
        <v>227903.51886082417</v>
      </c>
      <c r="AH19" s="248"/>
      <c r="AI19" s="248"/>
      <c r="AJ19" s="248">
        <v>6078857.7674137698</v>
      </c>
    </row>
    <row r="20" spans="1:36" x14ac:dyDescent="0.55000000000000004">
      <c r="A20" s="79">
        <v>2050</v>
      </c>
      <c r="B20" s="248"/>
      <c r="C20" s="248"/>
      <c r="D20" s="248">
        <v>0</v>
      </c>
      <c r="E20" s="248"/>
      <c r="F20" s="248"/>
      <c r="G20" s="248"/>
      <c r="H20" s="248"/>
      <c r="I20" s="248"/>
      <c r="J20" s="248"/>
      <c r="K20" s="248"/>
      <c r="L20" s="248"/>
      <c r="M20" s="248">
        <v>1700816.4269679631</v>
      </c>
      <c r="N20" s="248">
        <v>982731</v>
      </c>
      <c r="O20" s="248"/>
      <c r="P20" s="248"/>
      <c r="Q20" s="248"/>
      <c r="R20" s="248"/>
      <c r="S20" s="248"/>
      <c r="T20" s="248"/>
      <c r="U20" s="248"/>
      <c r="V20" s="248"/>
      <c r="W20" s="248"/>
      <c r="X20" s="248"/>
      <c r="Y20" s="248"/>
      <c r="Z20" s="248"/>
      <c r="AA20" s="248"/>
      <c r="AB20" s="248"/>
      <c r="AC20" s="248"/>
      <c r="AD20" s="248">
        <v>210245.15308472581</v>
      </c>
      <c r="AE20" s="248">
        <v>2586246.4663030161</v>
      </c>
      <c r="AF20" s="248"/>
      <c r="AG20" s="248">
        <v>220225.00338656051</v>
      </c>
      <c r="AH20" s="248"/>
      <c r="AI20" s="248"/>
      <c r="AJ20" s="248">
        <v>5700264.0497422656</v>
      </c>
    </row>
    <row r="21" spans="1:36" x14ac:dyDescent="0.55000000000000004">
      <c r="A21" s="78" t="s">
        <v>165</v>
      </c>
      <c r="B21" s="248"/>
      <c r="C21" s="248"/>
      <c r="D21" s="248">
        <v>0</v>
      </c>
      <c r="E21" s="248"/>
      <c r="F21" s="248"/>
      <c r="G21" s="248"/>
      <c r="H21" s="248"/>
      <c r="I21" s="248"/>
      <c r="J21" s="248"/>
      <c r="K21" s="248"/>
      <c r="L21" s="248"/>
      <c r="M21" s="248">
        <v>0</v>
      </c>
      <c r="N21" s="248">
        <v>0</v>
      </c>
      <c r="O21" s="248"/>
      <c r="P21" s="248"/>
      <c r="Q21" s="248"/>
      <c r="R21" s="248"/>
      <c r="S21" s="248"/>
      <c r="T21" s="248"/>
      <c r="U21" s="248"/>
      <c r="V21" s="248"/>
      <c r="W21" s="248"/>
      <c r="X21" s="248"/>
      <c r="Y21" s="248"/>
      <c r="Z21" s="248"/>
      <c r="AA21" s="248"/>
      <c r="AB21" s="248"/>
      <c r="AC21" s="248"/>
      <c r="AD21" s="248">
        <v>0</v>
      </c>
      <c r="AE21" s="248">
        <v>0</v>
      </c>
      <c r="AF21" s="248"/>
      <c r="AG21" s="248">
        <v>212748.69149851578</v>
      </c>
      <c r="AH21" s="248"/>
      <c r="AI21" s="248"/>
      <c r="AJ21" s="248">
        <v>212748.69149851578</v>
      </c>
    </row>
    <row r="22" spans="1:36" x14ac:dyDescent="0.55000000000000004">
      <c r="A22" s="79">
        <v>2019</v>
      </c>
      <c r="B22" s="248"/>
      <c r="C22" s="248"/>
      <c r="D22" s="248">
        <v>0</v>
      </c>
      <c r="E22" s="248"/>
      <c r="F22" s="248"/>
      <c r="G22" s="248"/>
      <c r="H22" s="248"/>
      <c r="I22" s="248"/>
      <c r="J22" s="248"/>
      <c r="K22" s="248"/>
      <c r="L22" s="248"/>
      <c r="M22" s="248">
        <v>0</v>
      </c>
      <c r="N22" s="248">
        <v>0</v>
      </c>
      <c r="O22" s="248"/>
      <c r="P22" s="248"/>
      <c r="Q22" s="248"/>
      <c r="R22" s="248"/>
      <c r="S22" s="248"/>
      <c r="T22" s="248"/>
      <c r="U22" s="248"/>
      <c r="V22" s="248"/>
      <c r="W22" s="248"/>
      <c r="X22" s="248"/>
      <c r="Y22" s="248"/>
      <c r="Z22" s="248"/>
      <c r="AA22" s="248"/>
      <c r="AB22" s="248"/>
      <c r="AC22" s="248"/>
      <c r="AD22" s="248">
        <v>0</v>
      </c>
      <c r="AE22" s="248">
        <v>0</v>
      </c>
      <c r="AF22" s="248"/>
      <c r="AG22" s="248">
        <v>212748.69149851578</v>
      </c>
      <c r="AH22" s="248"/>
      <c r="AI22" s="248"/>
      <c r="AJ22" s="248">
        <v>212748.69149851578</v>
      </c>
    </row>
    <row r="23" spans="1:36" x14ac:dyDescent="0.55000000000000004">
      <c r="A23" s="79">
        <v>2030</v>
      </c>
      <c r="B23" s="248"/>
      <c r="C23" s="248"/>
      <c r="D23" s="248">
        <v>0</v>
      </c>
      <c r="E23" s="248"/>
      <c r="F23" s="248"/>
      <c r="G23" s="248"/>
      <c r="H23" s="248"/>
      <c r="I23" s="248"/>
      <c r="J23" s="248"/>
      <c r="K23" s="248"/>
      <c r="L23" s="248"/>
      <c r="M23" s="248">
        <v>0</v>
      </c>
      <c r="N23" s="248">
        <v>0</v>
      </c>
      <c r="O23" s="248"/>
      <c r="P23" s="248"/>
      <c r="Q23" s="248"/>
      <c r="R23" s="248"/>
      <c r="S23" s="248"/>
      <c r="T23" s="248"/>
      <c r="U23" s="248"/>
      <c r="V23" s="248"/>
      <c r="W23" s="248"/>
      <c r="X23" s="248"/>
      <c r="Y23" s="248"/>
      <c r="Z23" s="248"/>
      <c r="AA23" s="248"/>
      <c r="AB23" s="248"/>
      <c r="AC23" s="248"/>
      <c r="AD23" s="248">
        <v>0</v>
      </c>
      <c r="AE23" s="248">
        <v>0</v>
      </c>
      <c r="AF23" s="248"/>
      <c r="AG23" s="248">
        <v>0</v>
      </c>
      <c r="AH23" s="248"/>
      <c r="AI23" s="248"/>
      <c r="AJ23" s="248">
        <v>0</v>
      </c>
    </row>
    <row r="24" spans="1:36" x14ac:dyDescent="0.55000000000000004">
      <c r="A24" s="79">
        <v>2050</v>
      </c>
      <c r="B24" s="248"/>
      <c r="C24" s="248"/>
      <c r="D24" s="248">
        <v>0</v>
      </c>
      <c r="E24" s="248"/>
      <c r="F24" s="248"/>
      <c r="G24" s="248"/>
      <c r="H24" s="248"/>
      <c r="I24" s="248"/>
      <c r="J24" s="248"/>
      <c r="K24" s="248"/>
      <c r="L24" s="248"/>
      <c r="M24" s="248">
        <v>0</v>
      </c>
      <c r="N24" s="248">
        <v>0</v>
      </c>
      <c r="O24" s="248"/>
      <c r="P24" s="248"/>
      <c r="Q24" s="248"/>
      <c r="R24" s="248"/>
      <c r="S24" s="248"/>
      <c r="T24" s="248"/>
      <c r="U24" s="248"/>
      <c r="V24" s="248"/>
      <c r="W24" s="248"/>
      <c r="X24" s="248"/>
      <c r="Y24" s="248"/>
      <c r="Z24" s="248"/>
      <c r="AA24" s="248"/>
      <c r="AB24" s="248"/>
      <c r="AC24" s="248"/>
      <c r="AD24" s="248">
        <v>0</v>
      </c>
      <c r="AE24" s="248">
        <v>0</v>
      </c>
      <c r="AF24" s="248"/>
      <c r="AG24" s="248">
        <v>0</v>
      </c>
      <c r="AH24" s="248"/>
      <c r="AI24" s="248"/>
      <c r="AJ24" s="248">
        <v>0</v>
      </c>
    </row>
    <row r="25" spans="1:36" x14ac:dyDescent="0.55000000000000004">
      <c r="A25" s="78" t="s">
        <v>115</v>
      </c>
      <c r="B25" s="248"/>
      <c r="C25" s="248"/>
      <c r="D25" s="248"/>
      <c r="E25" s="248">
        <v>1990903.880093025</v>
      </c>
      <c r="F25" s="248"/>
      <c r="G25" s="248">
        <v>10321.582739779382</v>
      </c>
      <c r="H25" s="248"/>
      <c r="I25" s="248"/>
      <c r="J25" s="248"/>
      <c r="K25" s="248"/>
      <c r="L25" s="248"/>
      <c r="M25" s="248"/>
      <c r="N25" s="248"/>
      <c r="O25" s="248"/>
      <c r="P25" s="248"/>
      <c r="Q25" s="248"/>
      <c r="R25" s="248"/>
      <c r="S25" s="248">
        <v>10803873.803965537</v>
      </c>
      <c r="T25" s="248"/>
      <c r="U25" s="248"/>
      <c r="V25" s="248"/>
      <c r="W25" s="248"/>
      <c r="X25" s="248"/>
      <c r="Y25" s="248"/>
      <c r="Z25" s="248"/>
      <c r="AA25" s="248"/>
      <c r="AB25" s="248">
        <v>30619963.111542813</v>
      </c>
      <c r="AC25" s="248"/>
      <c r="AD25" s="248"/>
      <c r="AE25" s="248"/>
      <c r="AF25" s="248"/>
      <c r="AG25" s="248"/>
      <c r="AH25" s="248">
        <v>49812146.382281654</v>
      </c>
      <c r="AI25" s="248">
        <v>3060289.8289715229</v>
      </c>
      <c r="AJ25" s="248">
        <v>96297498.589594334</v>
      </c>
    </row>
    <row r="26" spans="1:36" x14ac:dyDescent="0.55000000000000004">
      <c r="A26" s="79">
        <v>2019</v>
      </c>
      <c r="B26" s="248"/>
      <c r="C26" s="248"/>
      <c r="D26" s="248"/>
      <c r="E26" s="248">
        <v>823764.99285714305</v>
      </c>
      <c r="F26" s="248"/>
      <c r="G26" s="248">
        <v>3362.8500000000004</v>
      </c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>
        <v>6423924.8458333323</v>
      </c>
      <c r="T26" s="248"/>
      <c r="U26" s="248"/>
      <c r="V26" s="248"/>
      <c r="W26" s="248"/>
      <c r="X26" s="248"/>
      <c r="Y26" s="248"/>
      <c r="Z26" s="248"/>
      <c r="AA26" s="248"/>
      <c r="AB26" s="248">
        <v>14742130.666666664</v>
      </c>
      <c r="AC26" s="248"/>
      <c r="AD26" s="248"/>
      <c r="AE26" s="248"/>
      <c r="AF26" s="248"/>
      <c r="AG26" s="248"/>
      <c r="AH26" s="248">
        <v>8803491.7355084848</v>
      </c>
      <c r="AI26" s="248">
        <v>1108490.5539925825</v>
      </c>
      <c r="AJ26" s="248">
        <v>31905165.644858211</v>
      </c>
    </row>
    <row r="27" spans="1:36" x14ac:dyDescent="0.55000000000000004">
      <c r="A27" s="79">
        <v>2030</v>
      </c>
      <c r="B27" s="248"/>
      <c r="C27" s="248"/>
      <c r="D27" s="248"/>
      <c r="E27" s="248">
        <v>569935.67566680163</v>
      </c>
      <c r="F27" s="248"/>
      <c r="G27" s="248">
        <v>3423.3941944072276</v>
      </c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248"/>
      <c r="S27" s="248">
        <v>2211099.4555563163</v>
      </c>
      <c r="T27" s="248"/>
      <c r="U27" s="248"/>
      <c r="V27" s="248"/>
      <c r="W27" s="248"/>
      <c r="X27" s="248"/>
      <c r="Y27" s="248"/>
      <c r="Z27" s="248"/>
      <c r="AA27" s="248"/>
      <c r="AB27" s="248">
        <v>8111792.5165442396</v>
      </c>
      <c r="AC27" s="248"/>
      <c r="AD27" s="248"/>
      <c r="AE27" s="248"/>
      <c r="AF27" s="248"/>
      <c r="AG27" s="248"/>
      <c r="AH27" s="248">
        <v>20758258.546328586</v>
      </c>
      <c r="AI27" s="248">
        <v>992426.54344299308</v>
      </c>
      <c r="AJ27" s="248">
        <v>32646936.131733343</v>
      </c>
    </row>
    <row r="28" spans="1:36" x14ac:dyDescent="0.55000000000000004">
      <c r="A28" s="79">
        <v>2050</v>
      </c>
      <c r="B28" s="248"/>
      <c r="C28" s="248"/>
      <c r="D28" s="248"/>
      <c r="E28" s="248">
        <v>597203.21156908036</v>
      </c>
      <c r="F28" s="248"/>
      <c r="G28" s="248">
        <v>3535.3385453721544</v>
      </c>
      <c r="H28" s="248"/>
      <c r="I28" s="248"/>
      <c r="J28" s="248"/>
      <c r="K28" s="248"/>
      <c r="L28" s="248"/>
      <c r="M28" s="248"/>
      <c r="N28" s="248"/>
      <c r="O28" s="248"/>
      <c r="P28" s="248"/>
      <c r="Q28" s="248"/>
      <c r="R28" s="248"/>
      <c r="S28" s="248">
        <v>2168849.5025758878</v>
      </c>
      <c r="T28" s="248"/>
      <c r="U28" s="248"/>
      <c r="V28" s="248"/>
      <c r="W28" s="248"/>
      <c r="X28" s="248"/>
      <c r="Y28" s="248"/>
      <c r="Z28" s="248"/>
      <c r="AA28" s="248"/>
      <c r="AB28" s="248">
        <v>7766039.9283319106</v>
      </c>
      <c r="AC28" s="248"/>
      <c r="AD28" s="248"/>
      <c r="AE28" s="248"/>
      <c r="AF28" s="248"/>
      <c r="AG28" s="248"/>
      <c r="AH28" s="248">
        <v>20250396.100444585</v>
      </c>
      <c r="AI28" s="248">
        <v>959372.73153594765</v>
      </c>
      <c r="AJ28" s="248">
        <v>31745396.813002784</v>
      </c>
    </row>
    <row r="29" spans="1:36" x14ac:dyDescent="0.55000000000000004">
      <c r="A29" s="78" t="s">
        <v>240</v>
      </c>
      <c r="B29" s="248"/>
      <c r="C29" s="248"/>
      <c r="D29" s="248"/>
      <c r="E29" s="248"/>
      <c r="F29" s="248"/>
      <c r="G29" s="248"/>
      <c r="H29" s="248"/>
      <c r="I29" s="248"/>
      <c r="J29" s="248"/>
      <c r="K29" s="248"/>
      <c r="L29" s="248"/>
      <c r="M29" s="248"/>
      <c r="N29" s="248"/>
      <c r="O29" s="248"/>
      <c r="P29" s="248"/>
      <c r="Q29" s="248"/>
      <c r="R29" s="248"/>
      <c r="S29" s="248"/>
      <c r="T29" s="248"/>
      <c r="U29" s="248"/>
      <c r="V29" s="248"/>
      <c r="W29" s="248"/>
      <c r="X29" s="248">
        <v>2078809.4493015073</v>
      </c>
      <c r="Y29" s="248"/>
      <c r="Z29" s="248"/>
      <c r="AA29" s="248"/>
      <c r="AB29" s="248"/>
      <c r="AC29" s="248"/>
      <c r="AD29" s="248"/>
      <c r="AE29" s="248"/>
      <c r="AF29" s="248"/>
      <c r="AG29" s="248"/>
      <c r="AH29" s="248"/>
      <c r="AI29" s="248"/>
      <c r="AJ29" s="248">
        <v>2078809.4493015073</v>
      </c>
    </row>
    <row r="30" spans="1:36" x14ac:dyDescent="0.55000000000000004">
      <c r="A30" s="79">
        <v>2019</v>
      </c>
      <c r="B30" s="248"/>
      <c r="C30" s="248"/>
      <c r="D30" s="248"/>
      <c r="E30" s="248"/>
      <c r="F30" s="248"/>
      <c r="G30" s="248"/>
      <c r="H30" s="248"/>
      <c r="I30" s="248"/>
      <c r="J30" s="248"/>
      <c r="K30" s="248"/>
      <c r="L30" s="248"/>
      <c r="M30" s="248"/>
      <c r="N30" s="248"/>
      <c r="O30" s="248"/>
      <c r="P30" s="248"/>
      <c r="Q30" s="248"/>
      <c r="R30" s="248"/>
      <c r="S30" s="248"/>
      <c r="T30" s="248"/>
      <c r="U30" s="248"/>
      <c r="V30" s="248"/>
      <c r="W30" s="248"/>
      <c r="X30" s="248">
        <v>678407.81727843033</v>
      </c>
      <c r="Y30" s="248"/>
      <c r="Z30" s="248"/>
      <c r="AA30" s="248"/>
      <c r="AB30" s="248"/>
      <c r="AC30" s="248"/>
      <c r="AD30" s="248"/>
      <c r="AE30" s="248"/>
      <c r="AF30" s="248"/>
      <c r="AG30" s="248"/>
      <c r="AH30" s="248"/>
      <c r="AI30" s="248"/>
      <c r="AJ30" s="248">
        <v>678407.81727843033</v>
      </c>
    </row>
    <row r="31" spans="1:36" x14ac:dyDescent="0.55000000000000004">
      <c r="A31" s="79">
        <v>2030</v>
      </c>
      <c r="B31" s="248"/>
      <c r="C31" s="248"/>
      <c r="D31" s="248"/>
      <c r="E31" s="248"/>
      <c r="F31" s="248"/>
      <c r="G31" s="248"/>
      <c r="H31" s="248"/>
      <c r="I31" s="248"/>
      <c r="J31" s="248"/>
      <c r="K31" s="248"/>
      <c r="L31" s="248"/>
      <c r="M31" s="248"/>
      <c r="N31" s="248"/>
      <c r="O31" s="248"/>
      <c r="P31" s="248"/>
      <c r="Q31" s="248"/>
      <c r="R31" s="248"/>
      <c r="S31" s="248"/>
      <c r="T31" s="248"/>
      <c r="U31" s="248"/>
      <c r="V31" s="248"/>
      <c r="W31" s="248"/>
      <c r="X31" s="248">
        <v>712198.49644007557</v>
      </c>
      <c r="Y31" s="248"/>
      <c r="Z31" s="248"/>
      <c r="AA31" s="248"/>
      <c r="AB31" s="248"/>
      <c r="AC31" s="248"/>
      <c r="AD31" s="248"/>
      <c r="AE31" s="248"/>
      <c r="AF31" s="248"/>
      <c r="AG31" s="248"/>
      <c r="AH31" s="248"/>
      <c r="AI31" s="248"/>
      <c r="AJ31" s="248">
        <v>712198.49644007557</v>
      </c>
    </row>
    <row r="32" spans="1:36" x14ac:dyDescent="0.55000000000000004">
      <c r="A32" s="79">
        <v>2050</v>
      </c>
      <c r="B32" s="248"/>
      <c r="C32" s="248"/>
      <c r="D32" s="248"/>
      <c r="E32" s="248"/>
      <c r="F32" s="248"/>
      <c r="G32" s="248"/>
      <c r="H32" s="248"/>
      <c r="I32" s="248"/>
      <c r="J32" s="248"/>
      <c r="K32" s="248"/>
      <c r="L32" s="248"/>
      <c r="M32" s="248"/>
      <c r="N32" s="248"/>
      <c r="O32" s="248"/>
      <c r="P32" s="248"/>
      <c r="Q32" s="248"/>
      <c r="R32" s="248"/>
      <c r="S32" s="248"/>
      <c r="T32" s="248"/>
      <c r="U32" s="248"/>
      <c r="V32" s="248"/>
      <c r="W32" s="248"/>
      <c r="X32" s="248">
        <v>688203.13558300154</v>
      </c>
      <c r="Y32" s="248"/>
      <c r="Z32" s="248"/>
      <c r="AA32" s="248"/>
      <c r="AB32" s="248"/>
      <c r="AC32" s="248"/>
      <c r="AD32" s="248"/>
      <c r="AE32" s="248"/>
      <c r="AF32" s="248"/>
      <c r="AG32" s="248"/>
      <c r="AH32" s="248"/>
      <c r="AI32" s="248"/>
      <c r="AJ32" s="248">
        <v>688203.13558300154</v>
      </c>
    </row>
    <row r="33" spans="1:36" x14ac:dyDescent="0.55000000000000004">
      <c r="A33" s="78" t="s">
        <v>61</v>
      </c>
      <c r="B33" s="248">
        <v>182574.19618217932</v>
      </c>
      <c r="C33" s="248">
        <v>217245.27668679622</v>
      </c>
      <c r="D33" s="248">
        <v>1462906</v>
      </c>
      <c r="E33" s="248">
        <v>5830999.2614708273</v>
      </c>
      <c r="F33" s="248">
        <v>281468.55244752642</v>
      </c>
      <c r="G33" s="248">
        <v>23953.861830054037</v>
      </c>
      <c r="H33" s="248">
        <v>197788.71253069426</v>
      </c>
      <c r="I33" s="248">
        <v>1445379.0531089196</v>
      </c>
      <c r="J33" s="248">
        <v>428226</v>
      </c>
      <c r="K33" s="248">
        <v>41476304.95581004</v>
      </c>
      <c r="L33" s="248">
        <v>1513844.376677237</v>
      </c>
      <c r="M33" s="248">
        <v>8228843.7855980285</v>
      </c>
      <c r="N33" s="248">
        <v>2948427</v>
      </c>
      <c r="O33" s="248">
        <v>16263222.796414331</v>
      </c>
      <c r="P33" s="248">
        <v>2444654</v>
      </c>
      <c r="Q33" s="248">
        <v>692260.49385742994</v>
      </c>
      <c r="R33" s="248">
        <v>21472250.711091511</v>
      </c>
      <c r="S33" s="248">
        <v>36092988.553528279</v>
      </c>
      <c r="T33" s="248">
        <v>5105264.0021397118</v>
      </c>
      <c r="U33" s="248">
        <v>20044299.142737754</v>
      </c>
      <c r="V33" s="248">
        <v>2647325.8446415998</v>
      </c>
      <c r="W33" s="248">
        <v>336392.95646566537</v>
      </c>
      <c r="X33" s="248">
        <v>2078809.4493015073</v>
      </c>
      <c r="Y33" s="248">
        <v>2919175.4834569679</v>
      </c>
      <c r="Z33" s="248">
        <v>132761.00241970882</v>
      </c>
      <c r="AA33" s="248">
        <v>8334841.759060693</v>
      </c>
      <c r="AB33" s="248">
        <v>51439622.223140746</v>
      </c>
      <c r="AC33" s="248">
        <v>682979.63888483576</v>
      </c>
      <c r="AD33" s="248">
        <v>636963.68412800436</v>
      </c>
      <c r="AE33" s="248">
        <v>8445237.9421698824</v>
      </c>
      <c r="AF33" s="248">
        <v>721133.62677978189</v>
      </c>
      <c r="AG33" s="248">
        <v>665219.02377648244</v>
      </c>
      <c r="AH33" s="248">
        <v>49812146.382281654</v>
      </c>
      <c r="AI33" s="248">
        <v>3060289.8289715229</v>
      </c>
      <c r="AJ33" s="248">
        <v>298265799.57759029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0B3D-C3B8-43D6-85D0-79668C65AC28}">
  <sheetPr codeName="Sheet34">
    <tabColor theme="8" tint="0.79998168889431442"/>
  </sheetPr>
  <dimension ref="A2:K32"/>
  <sheetViews>
    <sheetView zoomScale="90" zoomScaleNormal="90" workbookViewId="0">
      <selection activeCell="B6" sqref="B6:I8"/>
    </sheetView>
  </sheetViews>
  <sheetFormatPr defaultRowHeight="14.4" x14ac:dyDescent="0.55000000000000004"/>
  <cols>
    <col min="1" max="1" width="22.41796875" bestFit="1" customWidth="1"/>
    <col min="2" max="2" width="16.26171875" bestFit="1" customWidth="1"/>
    <col min="3" max="3" width="10.83984375" bestFit="1" customWidth="1"/>
    <col min="4" max="4" width="13.15625" bestFit="1" customWidth="1"/>
    <col min="5" max="5" width="13.26171875" bestFit="1" customWidth="1"/>
    <col min="6" max="6" width="8.68359375" bestFit="1" customWidth="1"/>
    <col min="7" max="7" width="8.41796875" bestFit="1" customWidth="1"/>
    <col min="8" max="8" width="8.83984375" bestFit="1" customWidth="1"/>
    <col min="9" max="9" width="14.578125" bestFit="1" customWidth="1"/>
    <col min="10" max="10" width="11.26171875" bestFit="1" customWidth="1"/>
    <col min="11" max="11" width="9.26171875" bestFit="1" customWidth="1"/>
    <col min="12" max="13" width="11.578125" bestFit="1" customWidth="1"/>
    <col min="14" max="14" width="5.26171875" bestFit="1" customWidth="1"/>
    <col min="15" max="15" width="13.26171875" bestFit="1" customWidth="1"/>
    <col min="16" max="16" width="13.83984375" bestFit="1" customWidth="1"/>
    <col min="17" max="17" width="5.26171875" bestFit="1" customWidth="1"/>
    <col min="18" max="18" width="16" bestFit="1" customWidth="1"/>
    <col min="19" max="19" width="10" bestFit="1" customWidth="1"/>
    <col min="20" max="20" width="8.68359375" bestFit="1" customWidth="1"/>
    <col min="21" max="21" width="12" bestFit="1" customWidth="1"/>
    <col min="22" max="22" width="8.15625" bestFit="1" customWidth="1"/>
    <col min="23" max="23" width="5.15625" bestFit="1" customWidth="1"/>
    <col min="24" max="24" width="5.26171875" bestFit="1" customWidth="1"/>
    <col min="25" max="25" width="21" bestFit="1" customWidth="1"/>
    <col min="26" max="26" width="20.68359375" bestFit="1" customWidth="1"/>
    <col min="27" max="27" width="9.15625" bestFit="1" customWidth="1"/>
    <col min="28" max="28" width="5.15625" bestFit="1" customWidth="1"/>
    <col min="29" max="29" width="12.83984375" bestFit="1" customWidth="1"/>
    <col min="30" max="30" width="13.83984375" bestFit="1" customWidth="1"/>
    <col min="31" max="32" width="10.15625" bestFit="1" customWidth="1"/>
    <col min="33" max="33" width="12.15625" bestFit="1" customWidth="1"/>
    <col min="34" max="34" width="8.41796875" bestFit="1" customWidth="1"/>
    <col min="35" max="35" width="15.41796875" bestFit="1" customWidth="1"/>
    <col min="36" max="36" width="16" bestFit="1" customWidth="1"/>
    <col min="37" max="37" width="8.83984375" bestFit="1" customWidth="1"/>
    <col min="38" max="38" width="12.578125" bestFit="1" customWidth="1"/>
    <col min="39" max="39" width="5.68359375" bestFit="1" customWidth="1"/>
    <col min="40" max="40" width="12.26171875" bestFit="1" customWidth="1"/>
    <col min="41" max="41" width="14.578125" bestFit="1" customWidth="1"/>
    <col min="42" max="42" width="9.578125" bestFit="1" customWidth="1"/>
    <col min="43" max="43" width="6.83984375" bestFit="1" customWidth="1"/>
    <col min="44" max="44" width="14" bestFit="1" customWidth="1"/>
    <col min="45" max="45" width="6.68359375" bestFit="1" customWidth="1"/>
    <col min="46" max="46" width="9.26171875" bestFit="1" customWidth="1"/>
    <col min="47" max="47" width="8.578125" bestFit="1" customWidth="1"/>
    <col min="48" max="48" width="11.26171875" bestFit="1" customWidth="1"/>
    <col min="49" max="49" width="12.26171875" bestFit="1" customWidth="1"/>
    <col min="50" max="50" width="13.26171875" bestFit="1" customWidth="1"/>
    <col min="51" max="51" width="13.41796875" bestFit="1" customWidth="1"/>
    <col min="52" max="52" width="20.83984375" bestFit="1" customWidth="1"/>
    <col min="53" max="54" width="12.26171875" bestFit="1" customWidth="1"/>
    <col min="55" max="55" width="13.26171875" bestFit="1" customWidth="1"/>
    <col min="56" max="59" width="12.26171875" bestFit="1" customWidth="1"/>
    <col min="60" max="60" width="13.26171875" bestFit="1" customWidth="1"/>
    <col min="61" max="61" width="13.41796875" bestFit="1" customWidth="1"/>
    <col min="62" max="62" width="20.83984375" bestFit="1" customWidth="1"/>
    <col min="63" max="64" width="12.26171875" bestFit="1" customWidth="1"/>
    <col min="65" max="65" width="13.26171875" bestFit="1" customWidth="1"/>
    <col min="66" max="66" width="13.41796875" bestFit="1" customWidth="1"/>
    <col min="67" max="67" width="20.83984375" bestFit="1" customWidth="1"/>
    <col min="68" max="69" width="11.26171875" bestFit="1" customWidth="1"/>
    <col min="70" max="70" width="13.26171875" bestFit="1" customWidth="1"/>
    <col min="71" max="71" width="13.41796875" bestFit="1" customWidth="1"/>
    <col min="72" max="72" width="12.26171875" bestFit="1" customWidth="1"/>
    <col min="73" max="73" width="16.83984375" bestFit="1" customWidth="1"/>
    <col min="74" max="74" width="12.26171875" bestFit="1" customWidth="1"/>
    <col min="75" max="75" width="13.26171875" bestFit="1" customWidth="1"/>
    <col min="76" max="76" width="13.41796875" bestFit="1" customWidth="1"/>
    <col min="77" max="77" width="12.26171875" bestFit="1" customWidth="1"/>
    <col min="78" max="78" width="16.83984375" bestFit="1" customWidth="1"/>
    <col min="79" max="79" width="12.26171875" bestFit="1" customWidth="1"/>
    <col min="80" max="80" width="13.26171875" bestFit="1" customWidth="1"/>
    <col min="81" max="81" width="13.41796875" bestFit="1" customWidth="1"/>
    <col min="82" max="82" width="12.26171875" bestFit="1" customWidth="1"/>
    <col min="83" max="83" width="15.83984375" bestFit="1" customWidth="1"/>
    <col min="84" max="84" width="12.26171875" bestFit="1" customWidth="1"/>
    <col min="85" max="85" width="13.26171875" bestFit="1" customWidth="1"/>
    <col min="86" max="89" width="11.68359375" bestFit="1" customWidth="1"/>
    <col min="90" max="90" width="14.26171875" bestFit="1" customWidth="1"/>
    <col min="91" max="91" width="13.41796875" bestFit="1" customWidth="1"/>
    <col min="92" max="92" width="20.83984375" bestFit="1" customWidth="1"/>
    <col min="93" max="94" width="11.68359375" bestFit="1" customWidth="1"/>
    <col min="95" max="95" width="14.26171875" bestFit="1" customWidth="1"/>
    <col min="96" max="96" width="13.41796875" bestFit="1" customWidth="1"/>
    <col min="97" max="97" width="20.83984375" bestFit="1" customWidth="1"/>
    <col min="98" max="99" width="12.26171875" bestFit="1" customWidth="1"/>
    <col min="100" max="100" width="14.26171875" bestFit="1" customWidth="1"/>
    <col min="101" max="101" width="12.26171875" bestFit="1" customWidth="1"/>
    <col min="102" max="103" width="13.26171875" bestFit="1" customWidth="1"/>
    <col min="104" max="104" width="13.41796875" bestFit="1" customWidth="1"/>
    <col min="105" max="105" width="20.83984375" bestFit="1" customWidth="1"/>
    <col min="106" max="107" width="12.26171875" bestFit="1" customWidth="1"/>
    <col min="108" max="109" width="13.26171875" bestFit="1" customWidth="1"/>
    <col min="110" max="113" width="11.68359375" bestFit="1" customWidth="1"/>
    <col min="114" max="115" width="13.26171875" bestFit="1" customWidth="1"/>
    <col min="116" max="116" width="13.41796875" bestFit="1" customWidth="1"/>
    <col min="117" max="117" width="20.83984375" bestFit="1" customWidth="1"/>
    <col min="118" max="120" width="11.68359375" bestFit="1" customWidth="1"/>
    <col min="121" max="121" width="13.26171875" bestFit="1" customWidth="1"/>
    <col min="122" max="122" width="13.41796875" bestFit="1" customWidth="1"/>
    <col min="123" max="123" width="12.26171875" bestFit="1" customWidth="1"/>
    <col min="124" max="124" width="15.83984375" bestFit="1" customWidth="1"/>
    <col min="125" max="125" width="12.26171875" bestFit="1" customWidth="1"/>
    <col min="126" max="127" width="13.26171875" bestFit="1" customWidth="1"/>
    <col min="128" max="128" width="13.41796875" bestFit="1" customWidth="1"/>
    <col min="129" max="129" width="20.83984375" bestFit="1" customWidth="1"/>
    <col min="130" max="131" width="11.26171875" bestFit="1" customWidth="1"/>
    <col min="132" max="133" width="13.26171875" bestFit="1" customWidth="1"/>
    <col min="134" max="134" width="13.41796875" bestFit="1" customWidth="1"/>
    <col min="135" max="135" width="20.83984375" bestFit="1" customWidth="1"/>
    <col min="136" max="137" width="12.26171875" bestFit="1" customWidth="1"/>
    <col min="138" max="139" width="13.26171875" bestFit="1" customWidth="1"/>
    <col min="140" max="143" width="12.26171875" bestFit="1" customWidth="1"/>
    <col min="144" max="145" width="13.26171875" bestFit="1" customWidth="1"/>
    <col min="146" max="146" width="13.41796875" bestFit="1" customWidth="1"/>
    <col min="147" max="147" width="12.26171875" bestFit="1" customWidth="1"/>
    <col min="148" max="148" width="16.83984375" bestFit="1" customWidth="1"/>
    <col min="149" max="149" width="12.26171875" bestFit="1" customWidth="1"/>
    <col min="150" max="151" width="13.26171875" bestFit="1" customWidth="1"/>
    <col min="152" max="152" width="13.41796875" bestFit="1" customWidth="1"/>
    <col min="153" max="153" width="12.26171875" bestFit="1" customWidth="1"/>
    <col min="154" max="154" width="16.83984375" bestFit="1" customWidth="1"/>
    <col min="155" max="155" width="12.26171875" bestFit="1" customWidth="1"/>
    <col min="156" max="157" width="13.26171875" bestFit="1" customWidth="1"/>
    <col min="158" max="158" width="13.41796875" bestFit="1" customWidth="1"/>
    <col min="159" max="159" width="20.83984375" bestFit="1" customWidth="1"/>
    <col min="160" max="161" width="12.26171875" bestFit="1" customWidth="1"/>
    <col min="162" max="163" width="14.26171875" bestFit="1" customWidth="1"/>
    <col min="164" max="164" width="13.41796875" bestFit="1" customWidth="1"/>
    <col min="165" max="165" width="20.83984375" bestFit="1" customWidth="1"/>
    <col min="166" max="167" width="11.68359375" bestFit="1" customWidth="1"/>
    <col min="168" max="169" width="14.26171875" bestFit="1" customWidth="1"/>
    <col min="170" max="173" width="11.68359375" bestFit="1" customWidth="1"/>
    <col min="174" max="175" width="14.26171875" bestFit="1" customWidth="1"/>
    <col min="176" max="176" width="12.26171875" bestFit="1" customWidth="1"/>
  </cols>
  <sheetData>
    <row r="2" spans="1:10" x14ac:dyDescent="0.55000000000000004">
      <c r="A2" s="77" t="s">
        <v>292</v>
      </c>
      <c r="B2" s="78">
        <v>1</v>
      </c>
    </row>
    <row r="4" spans="1:10" x14ac:dyDescent="0.55000000000000004">
      <c r="A4" s="77" t="s">
        <v>322</v>
      </c>
      <c r="B4" s="77" t="s">
        <v>62</v>
      </c>
    </row>
    <row r="5" spans="1:10" x14ac:dyDescent="0.55000000000000004">
      <c r="A5" s="77" t="s">
        <v>60</v>
      </c>
      <c r="B5" s="172" t="s">
        <v>103</v>
      </c>
      <c r="C5" s="172" t="s">
        <v>6</v>
      </c>
      <c r="D5" s="172" t="s">
        <v>104</v>
      </c>
      <c r="E5" s="172" t="s">
        <v>116</v>
      </c>
      <c r="F5" s="172" t="s">
        <v>14</v>
      </c>
      <c r="G5" s="172" t="s">
        <v>159</v>
      </c>
      <c r="H5" s="172" t="s">
        <v>54</v>
      </c>
      <c r="I5" s="172" t="s">
        <v>160</v>
      </c>
      <c r="J5" s="172" t="s">
        <v>61</v>
      </c>
    </row>
    <row r="6" spans="1:10" x14ac:dyDescent="0.55000000000000004">
      <c r="A6" s="78">
        <v>2019</v>
      </c>
      <c r="B6" s="76">
        <v>370459.67448149773</v>
      </c>
      <c r="C6" s="76">
        <v>203649.62100550608</v>
      </c>
      <c r="D6" s="76">
        <v>282332.03034110228</v>
      </c>
      <c r="E6" s="76">
        <v>1108490.5539925825</v>
      </c>
      <c r="F6" s="76">
        <v>0</v>
      </c>
      <c r="G6" s="76">
        <v>142742</v>
      </c>
      <c r="H6" s="76">
        <v>420629.98984142789</v>
      </c>
      <c r="I6" s="76">
        <v>5421074.2654714445</v>
      </c>
      <c r="J6" s="76">
        <v>7949378.1351335607</v>
      </c>
    </row>
    <row r="7" spans="1:10" x14ac:dyDescent="0.55000000000000004">
      <c r="A7" s="78">
        <v>2030</v>
      </c>
      <c r="B7" s="76">
        <v>2.825725611182861E-2</v>
      </c>
      <c r="C7" s="76">
        <v>210965.35838487741</v>
      </c>
      <c r="D7" s="76">
        <v>0</v>
      </c>
      <c r="E7" s="76">
        <v>992426.54344299308</v>
      </c>
      <c r="F7" s="76">
        <v>0</v>
      </c>
      <c r="G7" s="76">
        <v>142742</v>
      </c>
      <c r="H7" s="76">
        <v>437443.77822737186</v>
      </c>
      <c r="I7" s="76">
        <v>5421074.2654714435</v>
      </c>
      <c r="J7" s="76">
        <v>7204651.9737839419</v>
      </c>
    </row>
    <row r="8" spans="1:10" x14ac:dyDescent="0.55000000000000004">
      <c r="A8" s="78">
        <v>2050</v>
      </c>
      <c r="B8" s="76">
        <v>0.18489040050189942</v>
      </c>
      <c r="C8" s="76">
        <v>241953.74133540038</v>
      </c>
      <c r="D8" s="76">
        <v>0.11492812394862995</v>
      </c>
      <c r="E8" s="76">
        <v>959372.73153594765</v>
      </c>
      <c r="F8" s="76">
        <v>6687.6021110492293</v>
      </c>
      <c r="G8" s="76">
        <v>142742</v>
      </c>
      <c r="H8" s="76">
        <v>459349.41813660081</v>
      </c>
      <c r="I8" s="76">
        <v>5421074.2654714435</v>
      </c>
      <c r="J8" s="76">
        <v>7231180.0584089663</v>
      </c>
    </row>
    <row r="9" spans="1:10" x14ac:dyDescent="0.55000000000000004">
      <c r="A9" s="78" t="s">
        <v>61</v>
      </c>
      <c r="B9" s="76">
        <v>370459.88762915425</v>
      </c>
      <c r="C9" s="76">
        <v>656568.72072578385</v>
      </c>
      <c r="D9" s="76">
        <v>282332.14526922622</v>
      </c>
      <c r="E9" s="76">
        <v>3060289.8289715229</v>
      </c>
      <c r="F9" s="76">
        <v>6687.6021110492293</v>
      </c>
      <c r="G9" s="76">
        <v>428226</v>
      </c>
      <c r="H9" s="76">
        <v>1317423.1862054006</v>
      </c>
      <c r="I9" s="76">
        <v>16263222.796414331</v>
      </c>
      <c r="J9" s="76">
        <v>22385210.167326469</v>
      </c>
    </row>
    <row r="32" spans="11:11" x14ac:dyDescent="0.55000000000000004"/>
  </sheetData>
  <pageMargins left="0.7" right="0.7" top="0.75" bottom="0.75" header="0.3" footer="0.3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15DE-4EE5-480B-98A6-71A3D12CF8E2}">
  <sheetPr>
    <tabColor theme="8" tint="0.79998168889431442"/>
  </sheetPr>
  <dimension ref="A2:AV32"/>
  <sheetViews>
    <sheetView zoomScale="90" zoomScaleNormal="90" workbookViewId="0">
      <selection activeCell="H12" sqref="H12"/>
    </sheetView>
  </sheetViews>
  <sheetFormatPr defaultColWidth="9.15625" defaultRowHeight="14.4" x14ac:dyDescent="0.55000000000000004"/>
  <cols>
    <col min="1" max="1" width="36" style="172" bestFit="1" customWidth="1"/>
    <col min="2" max="2" width="16.26171875" style="172" bestFit="1" customWidth="1"/>
    <col min="3" max="3" width="9.15625" style="172" bestFit="1" customWidth="1"/>
    <col min="4" max="4" width="11" style="172" bestFit="1" customWidth="1"/>
    <col min="5" max="5" width="11.578125" style="172" bestFit="1" customWidth="1"/>
    <col min="6" max="6" width="11.15625" style="172" bestFit="1" customWidth="1"/>
    <col min="7" max="7" width="9.83984375" style="172" bestFit="1" customWidth="1"/>
    <col min="8" max="8" width="11" style="172" bestFit="1" customWidth="1"/>
    <col min="9" max="9" width="13.15625" style="172" bestFit="1" customWidth="1"/>
    <col min="10" max="11" width="9.83984375" style="172" bestFit="1" customWidth="1"/>
    <col min="12" max="12" width="13.83984375" style="172" bestFit="1" customWidth="1"/>
    <col min="13" max="13" width="9.83984375" style="172" bestFit="1" customWidth="1"/>
    <col min="14" max="14" width="16" style="172" bestFit="1" customWidth="1"/>
    <col min="15" max="15" width="10" style="172" bestFit="1" customWidth="1"/>
    <col min="16" max="16" width="8.68359375" style="172" bestFit="1" customWidth="1"/>
    <col min="17" max="17" width="11" style="172" bestFit="1" customWidth="1"/>
    <col min="18" max="18" width="9.83984375" style="172" bestFit="1" customWidth="1"/>
    <col min="19" max="19" width="21" style="172" bestFit="1" customWidth="1"/>
    <col min="20" max="20" width="20.68359375" style="172" bestFit="1" customWidth="1"/>
    <col min="21" max="21" width="9.83984375" style="172" bestFit="1" customWidth="1"/>
    <col min="22" max="22" width="7.15625" style="172" bestFit="1" customWidth="1"/>
    <col min="23" max="23" width="13.83984375" style="172" bestFit="1" customWidth="1"/>
    <col min="24" max="24" width="10.15625" style="172" bestFit="1" customWidth="1"/>
    <col min="25" max="25" width="12.15625" style="172" bestFit="1" customWidth="1"/>
    <col min="26" max="26" width="16" style="172" bestFit="1" customWidth="1"/>
    <col min="27" max="28" width="9.83984375" style="172" bestFit="1" customWidth="1"/>
    <col min="29" max="29" width="9.26171875" style="172" bestFit="1" customWidth="1"/>
    <col min="30" max="30" width="12" style="172" bestFit="1" customWidth="1"/>
    <col min="31" max="32" width="10.15625" style="172" bestFit="1" customWidth="1"/>
    <col min="33" max="33" width="12.15625" style="172" bestFit="1" customWidth="1"/>
    <col min="34" max="34" width="8.83984375" style="172" bestFit="1" customWidth="1"/>
    <col min="35" max="35" width="15.41796875" style="172" bestFit="1" customWidth="1"/>
    <col min="36" max="36" width="16" style="172" bestFit="1" customWidth="1"/>
    <col min="37" max="37" width="8.83984375" style="172" bestFit="1" customWidth="1"/>
    <col min="38" max="38" width="12.578125" style="172" bestFit="1" customWidth="1"/>
    <col min="39" max="39" width="10.41796875" style="172" bestFit="1" customWidth="1"/>
    <col min="40" max="40" width="12.26171875" style="172" bestFit="1" customWidth="1"/>
    <col min="41" max="41" width="14.578125" style="172" bestFit="1" customWidth="1"/>
    <col min="42" max="43" width="9.83984375" style="172" bestFit="1" customWidth="1"/>
    <col min="44" max="44" width="14" style="172" bestFit="1" customWidth="1"/>
    <col min="45" max="45" width="6.68359375" style="172" bestFit="1" customWidth="1"/>
    <col min="46" max="46" width="9.26171875" style="172" bestFit="1" customWidth="1"/>
    <col min="47" max="47" width="8.578125" style="172" bestFit="1" customWidth="1"/>
    <col min="48" max="48" width="12" style="172" bestFit="1" customWidth="1"/>
    <col min="49" max="49" width="12.26171875" style="172" bestFit="1" customWidth="1"/>
    <col min="50" max="50" width="13.26171875" style="172" bestFit="1" customWidth="1"/>
    <col min="51" max="51" width="13.41796875" style="172" bestFit="1" customWidth="1"/>
    <col min="52" max="52" width="20.83984375" style="172" bestFit="1" customWidth="1"/>
    <col min="53" max="54" width="12.26171875" style="172" bestFit="1" customWidth="1"/>
    <col min="55" max="55" width="13.26171875" style="172" bestFit="1" customWidth="1"/>
    <col min="56" max="59" width="12.26171875" style="172" bestFit="1" customWidth="1"/>
    <col min="60" max="60" width="13.26171875" style="172" bestFit="1" customWidth="1"/>
    <col min="61" max="61" width="13.41796875" style="172" bestFit="1" customWidth="1"/>
    <col min="62" max="62" width="20.83984375" style="172" bestFit="1" customWidth="1"/>
    <col min="63" max="64" width="12.26171875" style="172" bestFit="1" customWidth="1"/>
    <col min="65" max="65" width="13.26171875" style="172" bestFit="1" customWidth="1"/>
    <col min="66" max="66" width="13.41796875" style="172" bestFit="1" customWidth="1"/>
    <col min="67" max="67" width="20.83984375" style="172" bestFit="1" customWidth="1"/>
    <col min="68" max="69" width="11.26171875" style="172" bestFit="1" customWidth="1"/>
    <col min="70" max="70" width="13.26171875" style="172" bestFit="1" customWidth="1"/>
    <col min="71" max="71" width="13.41796875" style="172" bestFit="1" customWidth="1"/>
    <col min="72" max="72" width="12.26171875" style="172" bestFit="1" customWidth="1"/>
    <col min="73" max="73" width="16.83984375" style="172" bestFit="1" customWidth="1"/>
    <col min="74" max="74" width="12.26171875" style="172" bestFit="1" customWidth="1"/>
    <col min="75" max="75" width="13.26171875" style="172" bestFit="1" customWidth="1"/>
    <col min="76" max="76" width="13.41796875" style="172" bestFit="1" customWidth="1"/>
    <col min="77" max="77" width="12.26171875" style="172" bestFit="1" customWidth="1"/>
    <col min="78" max="78" width="16.83984375" style="172" bestFit="1" customWidth="1"/>
    <col min="79" max="79" width="12.26171875" style="172" bestFit="1" customWidth="1"/>
    <col min="80" max="80" width="13.26171875" style="172" bestFit="1" customWidth="1"/>
    <col min="81" max="81" width="13.41796875" style="172" bestFit="1" customWidth="1"/>
    <col min="82" max="82" width="12.26171875" style="172" bestFit="1" customWidth="1"/>
    <col min="83" max="83" width="15.83984375" style="172" bestFit="1" customWidth="1"/>
    <col min="84" max="84" width="12.26171875" style="172" bestFit="1" customWidth="1"/>
    <col min="85" max="85" width="13.26171875" style="172" bestFit="1" customWidth="1"/>
    <col min="86" max="89" width="11.68359375" style="172" bestFit="1" customWidth="1"/>
    <col min="90" max="90" width="14.26171875" style="172" bestFit="1" customWidth="1"/>
    <col min="91" max="91" width="13.41796875" style="172" bestFit="1" customWidth="1"/>
    <col min="92" max="92" width="20.83984375" style="172" bestFit="1" customWidth="1"/>
    <col min="93" max="94" width="11.68359375" style="172" bestFit="1" customWidth="1"/>
    <col min="95" max="95" width="14.26171875" style="172" bestFit="1" customWidth="1"/>
    <col min="96" max="96" width="13.41796875" style="172" bestFit="1" customWidth="1"/>
    <col min="97" max="97" width="20.83984375" style="172" bestFit="1" customWidth="1"/>
    <col min="98" max="99" width="12.26171875" style="172" bestFit="1" customWidth="1"/>
    <col min="100" max="100" width="14.26171875" style="172" bestFit="1" customWidth="1"/>
    <col min="101" max="101" width="12.26171875" style="172" bestFit="1" customWidth="1"/>
    <col min="102" max="103" width="13.26171875" style="172" bestFit="1" customWidth="1"/>
    <col min="104" max="104" width="13.41796875" style="172" bestFit="1" customWidth="1"/>
    <col min="105" max="105" width="20.83984375" style="172" bestFit="1" customWidth="1"/>
    <col min="106" max="107" width="12.26171875" style="172" bestFit="1" customWidth="1"/>
    <col min="108" max="109" width="13.26171875" style="172" bestFit="1" customWidth="1"/>
    <col min="110" max="113" width="11.68359375" style="172" bestFit="1" customWidth="1"/>
    <col min="114" max="115" width="13.26171875" style="172" bestFit="1" customWidth="1"/>
    <col min="116" max="116" width="13.41796875" style="172" bestFit="1" customWidth="1"/>
    <col min="117" max="117" width="20.83984375" style="172" bestFit="1" customWidth="1"/>
    <col min="118" max="120" width="11.68359375" style="172" bestFit="1" customWidth="1"/>
    <col min="121" max="121" width="13.26171875" style="172" bestFit="1" customWidth="1"/>
    <col min="122" max="122" width="13.41796875" style="172" bestFit="1" customWidth="1"/>
    <col min="123" max="123" width="12.26171875" style="172" bestFit="1" customWidth="1"/>
    <col min="124" max="124" width="15.83984375" style="172" bestFit="1" customWidth="1"/>
    <col min="125" max="125" width="12.26171875" style="172" bestFit="1" customWidth="1"/>
    <col min="126" max="127" width="13.26171875" style="172" bestFit="1" customWidth="1"/>
    <col min="128" max="128" width="13.41796875" style="172" bestFit="1" customWidth="1"/>
    <col min="129" max="129" width="20.83984375" style="172" bestFit="1" customWidth="1"/>
    <col min="130" max="131" width="11.26171875" style="172" bestFit="1" customWidth="1"/>
    <col min="132" max="133" width="13.26171875" style="172" bestFit="1" customWidth="1"/>
    <col min="134" max="134" width="13.41796875" style="172" bestFit="1" customWidth="1"/>
    <col min="135" max="135" width="20.83984375" style="172" bestFit="1" customWidth="1"/>
    <col min="136" max="137" width="12.26171875" style="172" bestFit="1" customWidth="1"/>
    <col min="138" max="139" width="13.26171875" style="172" bestFit="1" customWidth="1"/>
    <col min="140" max="143" width="12.26171875" style="172" bestFit="1" customWidth="1"/>
    <col min="144" max="145" width="13.26171875" style="172" bestFit="1" customWidth="1"/>
    <col min="146" max="146" width="13.41796875" style="172" bestFit="1" customWidth="1"/>
    <col min="147" max="147" width="12.26171875" style="172" bestFit="1" customWidth="1"/>
    <col min="148" max="148" width="16.83984375" style="172" bestFit="1" customWidth="1"/>
    <col min="149" max="149" width="12.26171875" style="172" bestFit="1" customWidth="1"/>
    <col min="150" max="151" width="13.26171875" style="172" bestFit="1" customWidth="1"/>
    <col min="152" max="152" width="13.41796875" style="172" bestFit="1" customWidth="1"/>
    <col min="153" max="153" width="12.26171875" style="172" bestFit="1" customWidth="1"/>
    <col min="154" max="154" width="16.83984375" style="172" bestFit="1" customWidth="1"/>
    <col min="155" max="155" width="12.26171875" style="172" bestFit="1" customWidth="1"/>
    <col min="156" max="157" width="13.26171875" style="172" bestFit="1" customWidth="1"/>
    <col min="158" max="158" width="13.41796875" style="172" bestFit="1" customWidth="1"/>
    <col min="159" max="159" width="20.83984375" style="172" bestFit="1" customWidth="1"/>
    <col min="160" max="161" width="12.26171875" style="172" bestFit="1" customWidth="1"/>
    <col min="162" max="163" width="14.26171875" style="172" bestFit="1" customWidth="1"/>
    <col min="164" max="164" width="13.41796875" style="172" bestFit="1" customWidth="1"/>
    <col min="165" max="165" width="20.83984375" style="172" bestFit="1" customWidth="1"/>
    <col min="166" max="167" width="11.68359375" style="172" bestFit="1" customWidth="1"/>
    <col min="168" max="169" width="14.26171875" style="172" bestFit="1" customWidth="1"/>
    <col min="170" max="173" width="11.68359375" style="172" bestFit="1" customWidth="1"/>
    <col min="174" max="175" width="14.26171875" style="172" bestFit="1" customWidth="1"/>
    <col min="176" max="176" width="12.26171875" style="172" bestFit="1" customWidth="1"/>
    <col min="177" max="16384" width="9.15625" style="172"/>
  </cols>
  <sheetData>
    <row r="2" spans="1:48" x14ac:dyDescent="0.55000000000000004">
      <c r="A2" s="77" t="s">
        <v>316</v>
      </c>
      <c r="B2" s="78">
        <v>1</v>
      </c>
    </row>
    <row r="4" spans="1:48" x14ac:dyDescent="0.55000000000000004">
      <c r="A4" s="77" t="s">
        <v>260</v>
      </c>
      <c r="B4" s="77" t="s">
        <v>62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</row>
    <row r="5" spans="1:48" x14ac:dyDescent="0.55000000000000004">
      <c r="A5" s="77" t="s">
        <v>60</v>
      </c>
      <c r="B5" s="172" t="s">
        <v>15</v>
      </c>
      <c r="C5" s="172" t="s">
        <v>49</v>
      </c>
      <c r="D5" s="172" t="s">
        <v>111</v>
      </c>
      <c r="E5" s="172" t="s">
        <v>102</v>
      </c>
      <c r="F5" s="172" t="s">
        <v>97</v>
      </c>
      <c r="G5" s="172" t="s">
        <v>114</v>
      </c>
      <c r="H5" s="172" t="s">
        <v>51</v>
      </c>
      <c r="I5" s="172" t="s">
        <v>104</v>
      </c>
      <c r="J5" s="172" t="s">
        <v>12</v>
      </c>
      <c r="K5" s="172" t="s">
        <v>48</v>
      </c>
      <c r="L5" s="172" t="s">
        <v>109</v>
      </c>
      <c r="M5" s="172" t="s">
        <v>53</v>
      </c>
      <c r="N5" s="172" t="s">
        <v>117</v>
      </c>
      <c r="O5" s="172" t="s">
        <v>107</v>
      </c>
      <c r="P5" s="172" t="s">
        <v>14</v>
      </c>
      <c r="Q5" s="172" t="s">
        <v>118</v>
      </c>
      <c r="R5" s="172" t="s">
        <v>52</v>
      </c>
      <c r="S5" s="172" t="s">
        <v>122</v>
      </c>
      <c r="T5" s="172" t="s">
        <v>108</v>
      </c>
      <c r="U5" s="172" t="s">
        <v>13</v>
      </c>
      <c r="V5" s="172" t="s">
        <v>100</v>
      </c>
      <c r="W5" s="172" t="s">
        <v>119</v>
      </c>
      <c r="X5" s="172" t="s">
        <v>137</v>
      </c>
      <c r="Y5" s="172" t="s">
        <v>138</v>
      </c>
      <c r="Z5" s="172" t="s">
        <v>141</v>
      </c>
      <c r="AA5" s="172" t="s">
        <v>56</v>
      </c>
      <c r="AB5" s="172" t="s">
        <v>55</v>
      </c>
      <c r="AC5" s="172" t="s">
        <v>241</v>
      </c>
      <c r="AD5" s="172" t="s">
        <v>61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48" x14ac:dyDescent="0.55000000000000004">
      <c r="A6" s="78">
        <v>2019</v>
      </c>
      <c r="B6" s="99">
        <v>176596.89940199585</v>
      </c>
      <c r="C6" s="99">
        <v>212711.00975574681</v>
      </c>
      <c r="D6" s="99">
        <v>3230529.0722415121</v>
      </c>
      <c r="E6" s="99">
        <v>1352218.0071428574</v>
      </c>
      <c r="F6" s="99">
        <v>138275.28002889914</v>
      </c>
      <c r="G6" s="99">
        <v>1502558.0356082148</v>
      </c>
      <c r="H6" s="99">
        <v>4118003.7103001666</v>
      </c>
      <c r="I6" s="99"/>
      <c r="J6" s="99">
        <v>2040873.7508661344</v>
      </c>
      <c r="K6" s="99">
        <v>1974670.329311419</v>
      </c>
      <c r="L6" s="99">
        <v>51892.132620096323</v>
      </c>
      <c r="M6" s="99">
        <v>1266262.2462674922</v>
      </c>
      <c r="N6" s="99">
        <v>2536783.2413289398</v>
      </c>
      <c r="O6" s="99">
        <v>880.1</v>
      </c>
      <c r="P6" s="99">
        <v>8064.2063400965635</v>
      </c>
      <c r="Q6" s="99">
        <v>5269000</v>
      </c>
      <c r="R6" s="99">
        <v>1656364.6415009145</v>
      </c>
      <c r="S6" s="99">
        <v>217010.36743552322</v>
      </c>
      <c r="T6" s="99">
        <v>105946.31157195524</v>
      </c>
      <c r="U6" s="99">
        <v>1382651.4311789067</v>
      </c>
      <c r="V6" s="99">
        <v>76.5</v>
      </c>
      <c r="W6" s="99">
        <v>827693.20492220437</v>
      </c>
      <c r="X6" s="99">
        <v>3272565.4875000007</v>
      </c>
      <c r="Y6" s="99">
        <v>1078.6499999999999</v>
      </c>
      <c r="Z6" s="99">
        <v>4368323.901678659</v>
      </c>
      <c r="AA6" s="99">
        <v>911574.64248506655</v>
      </c>
      <c r="AB6" s="99">
        <v>2005102.1714007764</v>
      </c>
      <c r="AC6" s="99">
        <v>98826.033045954537</v>
      </c>
      <c r="AD6" s="99">
        <v>38726531.363933533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48" x14ac:dyDescent="0.55000000000000004">
      <c r="A7" s="78">
        <v>2030</v>
      </c>
      <c r="B7" s="99">
        <v>170946.30461315686</v>
      </c>
      <c r="C7" s="99">
        <v>226255.77627432195</v>
      </c>
      <c r="D7" s="99">
        <v>2921356.2946739867</v>
      </c>
      <c r="E7" s="99">
        <v>935554.7883587121</v>
      </c>
      <c r="F7" s="99">
        <v>131018.05015567706</v>
      </c>
      <c r="G7" s="99">
        <v>1570157.2016349281</v>
      </c>
      <c r="H7" s="99">
        <v>4828921.2485613981</v>
      </c>
      <c r="I7" s="99">
        <v>0.40288562423666008</v>
      </c>
      <c r="J7" s="99">
        <v>2134206.5118205468</v>
      </c>
      <c r="K7" s="99">
        <v>2423533.1724211206</v>
      </c>
      <c r="L7" s="99">
        <v>34449.731880352119</v>
      </c>
      <c r="M7" s="99">
        <v>1690869.0750561175</v>
      </c>
      <c r="N7" s="99">
        <v>2468531.1111667752</v>
      </c>
      <c r="O7" s="99">
        <v>148073.98049444324</v>
      </c>
      <c r="P7" s="99">
        <v>1709.9716434609509</v>
      </c>
      <c r="Q7" s="99">
        <v>5216592.6341052745</v>
      </c>
      <c r="R7" s="99">
        <v>1803779.2618535154</v>
      </c>
      <c r="S7" s="99">
        <v>213658.900448664</v>
      </c>
      <c r="T7" s="99">
        <v>103730.08649485061</v>
      </c>
      <c r="U7" s="99">
        <v>1350281.1539118693</v>
      </c>
      <c r="V7" s="99">
        <v>18000</v>
      </c>
      <c r="W7" s="99">
        <v>783291.25515859458</v>
      </c>
      <c r="X7" s="99">
        <v>1126409.156604161</v>
      </c>
      <c r="Y7" s="99">
        <v>1098.0698359419412</v>
      </c>
      <c r="Z7" s="99">
        <v>4542635.2873380352</v>
      </c>
      <c r="AA7" s="99">
        <v>954977.96501922607</v>
      </c>
      <c r="AB7" s="99">
        <v>2101303.8465657956</v>
      </c>
      <c r="AC7" s="99">
        <v>115721.37262677713</v>
      </c>
      <c r="AD7" s="99">
        <v>38017062.611603335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</row>
    <row r="8" spans="1:48" x14ac:dyDescent="0.55000000000000004">
      <c r="A8" s="78">
        <v>2050</v>
      </c>
      <c r="B8" s="99">
        <v>162317.36767727343</v>
      </c>
      <c r="C8" s="99">
        <v>215894.74074247692</v>
      </c>
      <c r="D8" s="99">
        <v>3060146.2519406481</v>
      </c>
      <c r="E8" s="99">
        <v>980314.70578320744</v>
      </c>
      <c r="F8" s="99">
        <v>119570.06432731522</v>
      </c>
      <c r="G8" s="99">
        <v>1522723.6559768345</v>
      </c>
      <c r="H8" s="99">
        <v>4438214.8515691292</v>
      </c>
      <c r="I8" s="99"/>
      <c r="J8" s="99">
        <v>2041999.0273120813</v>
      </c>
      <c r="K8" s="99">
        <v>2125486.6888101231</v>
      </c>
      <c r="L8" s="99">
        <v>2199.2700615431677</v>
      </c>
      <c r="M8" s="99">
        <v>1488865.2333387681</v>
      </c>
      <c r="N8" s="99">
        <v>2368708.1871831375</v>
      </c>
      <c r="O8" s="99">
        <v>270457.58448627812</v>
      </c>
      <c r="P8" s="99"/>
      <c r="Q8" s="99">
        <v>5119693.0284815514</v>
      </c>
      <c r="R8" s="99">
        <v>1730280.0978252576</v>
      </c>
      <c r="S8" s="99">
        <v>207462.14120035616</v>
      </c>
      <c r="T8" s="99">
        <v>99632.354577237478</v>
      </c>
      <c r="U8" s="99">
        <v>1297233.4809750344</v>
      </c>
      <c r="V8" s="99">
        <v>18000</v>
      </c>
      <c r="W8" s="99">
        <v>712825.86568798381</v>
      </c>
      <c r="X8" s="99">
        <v>1104885.5956518676</v>
      </c>
      <c r="Y8" s="99">
        <v>1133.9765145533327</v>
      </c>
      <c r="Z8" s="99">
        <v>4731436.1314918958</v>
      </c>
      <c r="AA8" s="99">
        <v>922616.4144434646</v>
      </c>
      <c r="AB8" s="99">
        <v>2030965.6070747143</v>
      </c>
      <c r="AC8" s="99">
        <v>103723.69219824017</v>
      </c>
      <c r="AD8" s="99">
        <v>36876786.01533097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48" x14ac:dyDescent="0.55000000000000004">
      <c r="A9" s="78" t="s">
        <v>61</v>
      </c>
      <c r="B9" s="99">
        <v>509860.57169242611</v>
      </c>
      <c r="C9" s="99">
        <v>654861.52677254565</v>
      </c>
      <c r="D9" s="99">
        <v>9212031.6188561469</v>
      </c>
      <c r="E9" s="99">
        <v>3268087.5012847767</v>
      </c>
      <c r="F9" s="99">
        <v>388863.39451189141</v>
      </c>
      <c r="G9" s="99">
        <v>4595438.8932199776</v>
      </c>
      <c r="H9" s="99">
        <v>13385139.810430694</v>
      </c>
      <c r="I9" s="99">
        <v>0.40288562423666008</v>
      </c>
      <c r="J9" s="99">
        <v>6217079.2899987623</v>
      </c>
      <c r="K9" s="99">
        <v>6523690.1905426625</v>
      </c>
      <c r="L9" s="99">
        <v>88541.13456199161</v>
      </c>
      <c r="M9" s="99">
        <v>4445996.5546623785</v>
      </c>
      <c r="N9" s="99">
        <v>7374022.539678853</v>
      </c>
      <c r="O9" s="99">
        <v>419411.66498072137</v>
      </c>
      <c r="P9" s="99">
        <v>9774.1779835575144</v>
      </c>
      <c r="Q9" s="99">
        <v>15605285.662586827</v>
      </c>
      <c r="R9" s="99">
        <v>5190424.0011796877</v>
      </c>
      <c r="S9" s="99">
        <v>638131.40908454335</v>
      </c>
      <c r="T9" s="99">
        <v>309308.7526440433</v>
      </c>
      <c r="U9" s="99">
        <v>4030166.0660658106</v>
      </c>
      <c r="V9" s="99">
        <v>36076.5</v>
      </c>
      <c r="W9" s="99">
        <v>2323810.3257687828</v>
      </c>
      <c r="X9" s="99">
        <v>5503860.23975603</v>
      </c>
      <c r="Y9" s="99">
        <v>3310.6963504952737</v>
      </c>
      <c r="Z9" s="99">
        <v>13642395.32050859</v>
      </c>
      <c r="AA9" s="99">
        <v>2789169.0219477573</v>
      </c>
      <c r="AB9" s="99">
        <v>6137371.6250412865</v>
      </c>
      <c r="AC9" s="99">
        <v>318271.09787097183</v>
      </c>
      <c r="AD9" s="99">
        <v>113620379.99086784</v>
      </c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48" x14ac:dyDescent="0.55000000000000004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48" x14ac:dyDescent="0.55000000000000004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</row>
    <row r="12" spans="1:48" x14ac:dyDescent="0.55000000000000004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</row>
    <row r="13" spans="1:48" x14ac:dyDescent="0.5500000000000000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48" x14ac:dyDescent="0.5500000000000000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48" x14ac:dyDescent="0.55000000000000004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48" x14ac:dyDescent="0.55000000000000004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32" spans="11:11" x14ac:dyDescent="0.55000000000000004"/>
  </sheetData>
  <pageMargins left="0.7" right="0.7" top="0.75" bottom="0.75" header="0.3" footer="0.3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D5E2B-C286-4DB6-83B9-128AA7052141}">
  <sheetPr codeName="Sheet11">
    <tabColor theme="2" tint="-9.9978637043366805E-2"/>
  </sheetPr>
  <dimension ref="A1:Z53"/>
  <sheetViews>
    <sheetView topLeftCell="A27" workbookViewId="0">
      <selection activeCell="R33" sqref="R33"/>
    </sheetView>
  </sheetViews>
  <sheetFormatPr defaultColWidth="8.83984375" defaultRowHeight="14.4" x14ac:dyDescent="0.55000000000000004"/>
  <cols>
    <col min="1" max="16384" width="8.83984375" style="1"/>
  </cols>
  <sheetData>
    <row r="1" spans="1:26" ht="20.7" thickBot="1" x14ac:dyDescent="0.8">
      <c r="A1" s="348" t="s">
        <v>23</v>
      </c>
      <c r="B1" s="349"/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50"/>
      <c r="W1" s="32"/>
      <c r="X1" s="29">
        <f>År1</f>
        <v>2019</v>
      </c>
      <c r="Y1" s="25">
        <f>År2</f>
        <v>2030</v>
      </c>
      <c r="Z1" s="30">
        <f>År3</f>
        <v>2050</v>
      </c>
    </row>
    <row r="2" spans="1:26" x14ac:dyDescent="0.55000000000000004">
      <c r="A2" s="61"/>
      <c r="B2" s="62"/>
      <c r="C2" s="344" t="s">
        <v>7</v>
      </c>
      <c r="D2" s="345"/>
      <c r="E2" s="345"/>
      <c r="F2" s="345"/>
      <c r="G2" s="345"/>
      <c r="H2" s="345"/>
      <c r="I2" s="345"/>
      <c r="J2" s="345"/>
      <c r="K2" s="346"/>
      <c r="L2" s="344" t="s">
        <v>8</v>
      </c>
      <c r="M2" s="345"/>
      <c r="N2" s="345"/>
      <c r="O2" s="345"/>
      <c r="P2" s="345"/>
      <c r="Q2" s="345"/>
      <c r="R2" s="345"/>
      <c r="S2" s="345"/>
      <c r="T2" s="346"/>
      <c r="U2" s="71"/>
      <c r="W2" s="31" t="s">
        <v>286</v>
      </c>
      <c r="X2" s="35">
        <f>C23+C50</f>
        <v>11808068</v>
      </c>
      <c r="Y2" s="11">
        <f>D23+D50</f>
        <v>11613981.348523566</v>
      </c>
      <c r="Z2" s="23">
        <f>E23+E50</f>
        <v>11168804.040691316</v>
      </c>
    </row>
    <row r="3" spans="1:26" ht="14.7" thickBot="1" x14ac:dyDescent="0.6">
      <c r="A3" s="61"/>
      <c r="B3" s="63"/>
      <c r="C3" s="173">
        <f>År1</f>
        <v>2019</v>
      </c>
      <c r="D3" s="173">
        <f>År1</f>
        <v>2019</v>
      </c>
      <c r="E3" s="173">
        <f>År1</f>
        <v>2019</v>
      </c>
      <c r="F3" s="174">
        <f>År2</f>
        <v>2030</v>
      </c>
      <c r="G3" s="174">
        <f>År2</f>
        <v>2030</v>
      </c>
      <c r="H3" s="174">
        <f>År2</f>
        <v>2030</v>
      </c>
      <c r="I3" s="174">
        <f>År3</f>
        <v>2050</v>
      </c>
      <c r="J3" s="174">
        <f>År3</f>
        <v>2050</v>
      </c>
      <c r="K3" s="174">
        <f>År3</f>
        <v>2050</v>
      </c>
      <c r="L3" s="173">
        <f>År1</f>
        <v>2019</v>
      </c>
      <c r="M3" s="173">
        <f>År1</f>
        <v>2019</v>
      </c>
      <c r="N3" s="173">
        <f>År1</f>
        <v>2019</v>
      </c>
      <c r="O3" s="174">
        <f>År2</f>
        <v>2030</v>
      </c>
      <c r="P3" s="174">
        <f>År2</f>
        <v>2030</v>
      </c>
      <c r="Q3" s="174">
        <f>År2</f>
        <v>2030</v>
      </c>
      <c r="R3" s="174">
        <f>År3</f>
        <v>2050</v>
      </c>
      <c r="S3" s="174">
        <f>År3</f>
        <v>2050</v>
      </c>
      <c r="T3" s="174">
        <f>År3</f>
        <v>2050</v>
      </c>
      <c r="U3" s="71"/>
      <c r="W3" s="31" t="s">
        <v>287</v>
      </c>
      <c r="X3" s="35">
        <f t="shared" ref="X3:Z4" si="0">C24+C51</f>
        <v>1267084</v>
      </c>
      <c r="Y3" s="11">
        <f t="shared" si="0"/>
        <v>1232959.2457426467</v>
      </c>
      <c r="Z3" s="23">
        <f t="shared" si="0"/>
        <v>1172869.6474243198</v>
      </c>
    </row>
    <row r="4" spans="1:26" ht="14.7" thickBot="1" x14ac:dyDescent="0.6">
      <c r="A4" s="61"/>
      <c r="B4" s="40" t="s">
        <v>29</v>
      </c>
      <c r="C4" s="29" t="str">
        <f>Jordbund1</f>
        <v>JB1-10</v>
      </c>
      <c r="D4" s="25" t="str">
        <f>Organ6</f>
        <v>OC6</v>
      </c>
      <c r="E4" s="25" t="str">
        <f>Organ12</f>
        <v>OC12</v>
      </c>
      <c r="F4" s="25" t="str">
        <f>Jordbund1</f>
        <v>JB1-10</v>
      </c>
      <c r="G4" s="25" t="str">
        <f>Organ6</f>
        <v>OC6</v>
      </c>
      <c r="H4" s="25" t="str">
        <f>Organ12</f>
        <v>OC12</v>
      </c>
      <c r="I4" s="25" t="str">
        <f>Jordbund1</f>
        <v>JB1-10</v>
      </c>
      <c r="J4" s="25" t="str">
        <f>Organ6</f>
        <v>OC6</v>
      </c>
      <c r="K4" s="30" t="str">
        <f>Organ12</f>
        <v>OC12</v>
      </c>
      <c r="L4" s="29" t="str">
        <f>Jordbund1</f>
        <v>JB1-10</v>
      </c>
      <c r="M4" s="25" t="str">
        <f>Organ6</f>
        <v>OC6</v>
      </c>
      <c r="N4" s="25" t="str">
        <f>Organ12</f>
        <v>OC12</v>
      </c>
      <c r="O4" s="25" t="str">
        <f>Jordbund1</f>
        <v>JB1-10</v>
      </c>
      <c r="P4" s="25" t="str">
        <f>Organ6</f>
        <v>OC6</v>
      </c>
      <c r="Q4" s="25" t="str">
        <f>Organ12</f>
        <v>OC12</v>
      </c>
      <c r="R4" s="25" t="str">
        <f>Jordbund1</f>
        <v>JB1-10</v>
      </c>
      <c r="S4" s="25" t="str">
        <f>Organ6</f>
        <v>OC6</v>
      </c>
      <c r="T4" s="30" t="str">
        <f>Organ12</f>
        <v>OC12</v>
      </c>
      <c r="U4" s="71"/>
      <c r="W4" s="46" t="s">
        <v>288</v>
      </c>
      <c r="X4" s="48">
        <f t="shared" si="0"/>
        <v>19782594</v>
      </c>
      <c r="Y4" s="16">
        <f t="shared" si="0"/>
        <v>19328402.782654595</v>
      </c>
      <c r="Z4" s="24">
        <f t="shared" si="0"/>
        <v>18416921.146918636</v>
      </c>
    </row>
    <row r="5" spans="1:26" x14ac:dyDescent="0.55000000000000004">
      <c r="A5" s="61"/>
      <c r="B5" s="41" t="str">
        <f>[1]Afgrødefordeling!C2</f>
        <v>Korn</v>
      </c>
      <c r="C5" s="35">
        <f>VLOOKUP($B5,'[1]Afgrødefordeling - jordtype'!$F$4:$I$17,MATCH(C$4,'[1]Afgrødefordeling - jordtype'!$F$3:$I$3,0),FALSE)*(1-Landbrug!$C$5)*Arealanvendelse!J$26</f>
        <v>853064.00210361299</v>
      </c>
      <c r="D5" s="35">
        <f>VLOOKUP($B5,'[1]Afgrødefordeling - jordtype'!$F$4:$I$17,MATCH(D$4,'[1]Afgrødefordeling - jordtype'!$F$3:$I$3,0),FALSE)*(1-Landbrug!$C$5)*Arealanvendelse!K$26</f>
        <v>23536.994348302134</v>
      </c>
      <c r="E5" s="35">
        <f>VLOOKUP($B5,'[1]Afgrødefordeling - jordtype'!$F$4:$I$17,MATCH(E$4,'[1]Afgrødefordeling - jordtype'!$F$3:$I$3,0),FALSE)*(1-Landbrug!$C$5)*Arealanvendelse!L$26</f>
        <v>11897.853201235472</v>
      </c>
      <c r="F5" s="11">
        <f>(VLOOKUP($B5,'[1]Afgrødefordeling - jordtype'!$F$4:$I$17,MATCH(F$4,'[1]Afgrødefordeling - jordtype'!$F$3:$I$3,0),FALSE)+SUMIF(Landbrug!$B$32:$B$45,$B5,Landbrug!$D$32:$D$45))*(1-Landbrug!$D$5)*Arealanvendelse!M$26</f>
        <v>887019.9002401476</v>
      </c>
      <c r="G5" s="11">
        <f>IF($B5&lt;&gt;"Permanent græs",(1-VLOOKUP('Landbrugsareal - resultat'!G$4,Landbrug!$B$22:$E$23,MATCH('Landbrugsareal - resultat'!G$3,Landbrug!$B$21:$E$21,0),FALSE))*(VLOOKUP($B5,'[1]Afgrødefordeling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21249.096650527637</v>
      </c>
      <c r="H5" s="11">
        <f>IF($B5&lt;&gt;"Permanent græs",(1-VLOOKUP('Landbrugsareal - resultat'!H$4,Landbrug!$B$22:$E$23,MATCH('Landbrugsareal - resultat'!H$3,Landbrug!$B$21:$E$21,0),FALSE))*(VLOOKUP($B5,'[1]Afgrødefordeling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10494.747555877077</v>
      </c>
      <c r="I5" s="11">
        <f>(VLOOKUP($B5,'[1]Afgrødefordeling - jordtype'!$F$4:$I$17,MATCH(I$4,'[1]Afgrødefordeling - jordtype'!$F$3:$I$3,0),FALSE)+SUMIF(Landbrug!$B$32:$B$45,$B5,Landbrug!$E$32:$E$45))*(1-Landbrug!$E$5)*Arealanvendelse!P$26</f>
        <v>770919.64193441265</v>
      </c>
      <c r="J5" s="11">
        <f>IF($B5&lt;&gt;"Permanent græs",(1-VLOOKUP(J$4,Landbrug!$B$22:$E$23,MATCH(J$3,Landbrug!$B$21:$E$21,0),FALSE))*(VLOOKUP($B5,'[1]Afgrødefordeling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20266.479464376069</v>
      </c>
      <c r="K5" s="11">
        <f>IF($B5&lt;&gt;"Permanent græs",(1-VLOOKUP(K$4,Landbrug!$B$22:$E$23,MATCH(K$3,Landbrug!$B$21:$E$21,0),FALSE))*(VLOOKUP($B5,'[1]Afgrødefordeling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10009.441310518599</v>
      </c>
      <c r="L5" s="35">
        <f>VLOOKUP($B5,'[1]Afgrødefordeling - jordtype'!$F$4:$I$17,MATCH(C$4,'[1]Afgrødefordeling - jordtype'!$F$3:$I$3,0),FALSE)*(Landbrug!$C$5)*Arealanvendelse!J$26</f>
        <v>109074.05508995618</v>
      </c>
      <c r="M5" s="35">
        <f>VLOOKUP($B5,'[1]Afgrødefordeling - jordtype'!$F$4:$I$17,MATCH(D$4,'[1]Afgrødefordeling - jordtype'!$F$3:$I$3,0),FALSE)*(Landbrug!$C$5)*Arealanvendelse!K$26</f>
        <v>3009.4757390628633</v>
      </c>
      <c r="N5" s="35">
        <f>VLOOKUP($B5,'[1]Afgrødefordeling - jordtype'!$F$4:$I$17,MATCH(E$4,'[1]Afgrødefordeling - jordtype'!$F$3:$I$3,0),FALSE)*(Landbrug!$C$5)*Arealanvendelse!L$26</f>
        <v>1521.2775270361781</v>
      </c>
      <c r="O5" s="11">
        <f>(VLOOKUP($B5,'[1]Afgrødefordeling - jordtype'!$F$4:$I$17,MATCH(O$4,'[1]Afgrødefordeling - jordtype'!$F$3:$I$3,0),FALSE)+SUMIF(Landbrug!$B$32:$B$45,$B5,Landbrug!$D$32:$D$45))*(Landbrug!$D$5)*Arealanvendelse!M$26</f>
        <v>138436.63182938722</v>
      </c>
      <c r="P5" s="11">
        <f>IF($B5&lt;&gt;"Permanent græs",(1-VLOOKUP('Landbrugsareal - resultat'!P$4,Landbrug!$B$22:$E$23,MATCH('Landbrugsareal - resultat'!P$3,Landbrug!$B$21:$E$21,0),FALSE))*(VLOOKUP($B5,'[1]Afgrødefordeling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3316.333003261539</v>
      </c>
      <c r="Q5" s="11">
        <f>IF($B5&lt;&gt;"Permanent græs",(1-VLOOKUP('Landbrugsareal - resultat'!Q$4,Landbrug!$B$22:$E$23,MATCH('Landbrugsareal - resultat'!Q$3,Landbrug!$B$21:$E$21,0),FALSE))*(VLOOKUP($B5,'[1]Afgrødefordeling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1637.9085780848618</v>
      </c>
      <c r="R5" s="11">
        <f>(VLOOKUP($B5,'[1]Afgrødefordeling - jordtype'!$F$4:$I$17,MATCH(R$4,'[1]Afgrødefordeling - jordtype'!$F$3:$I$3,0),FALSE)+SUMIF(Landbrug!$B$32:$B$45,$B5,Landbrug!$E$32:$E$45))*(Landbrug!$E$5)*Arealanvendelse!P$26</f>
        <v>163528.40889517844</v>
      </c>
      <c r="S5" s="11">
        <f>IF($B5&lt;&gt;"Permanent græs",(1-VLOOKUP(S$4,Landbrug!$B$22:$E$23,MATCH(S$3,Landbrug!$B$21:$E$21,0),FALSE))*(VLOOKUP($B5,'[1]Afgrødefordeling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4298.9501894131054</v>
      </c>
      <c r="T5" s="11">
        <f>IF($B5&lt;&gt;"Permanent græs",(1-VLOOKUP(T$4,Landbrug!$B$22:$E$23,MATCH(T$3,Landbrug!$B$21:$E$21,0),FALSE))*(VLOOKUP($B5,'[1]Afgrødefordeling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2123.2148234433389</v>
      </c>
      <c r="U5" s="95"/>
      <c r="W5" s="31" t="s">
        <v>289</v>
      </c>
      <c r="X5" s="34">
        <f t="shared" ref="X5:Z7" si="1">F23+F50</f>
        <v>490924</v>
      </c>
      <c r="Y5" s="11">
        <f t="shared" si="1"/>
        <v>685010.65147643292</v>
      </c>
      <c r="Z5" s="23">
        <f t="shared" si="1"/>
        <v>1130187.9593086836</v>
      </c>
    </row>
    <row r="6" spans="1:26" x14ac:dyDescent="0.55000000000000004">
      <c r="A6" s="61"/>
      <c r="B6" s="41" t="str">
        <f>[1]Afgrødefordeling!C3</f>
        <v>Bælgsæd</v>
      </c>
      <c r="C6" s="35">
        <f>VLOOKUP($B6,'[1]Afgrødefordeling - jordtype'!$F$4:$I$17,MATCH(C$4,'[1]Afgrødefordeling - jordtype'!$F$3:$I$3,0),FALSE)*(1-Landbrug!$C$5)*Arealanvendelse!J$26</f>
        <v>58939.484550716581</v>
      </c>
      <c r="D6" s="35">
        <f>VLOOKUP($B6,'[1]Afgrødefordeling - jordtype'!$F$4:$I$17,MATCH(D$4,'[1]Afgrødefordeling - jordtype'!$F$3:$I$3,0),FALSE)*(1-Landbrug!$C$5)*Arealanvendelse!K$26</f>
        <v>2017.6900814622547</v>
      </c>
      <c r="E6" s="35">
        <f>VLOOKUP($B6,'[1]Afgrødefordeling - jordtype'!$F$4:$I$17,MATCH(E$4,'[1]Afgrødefordeling - jordtype'!$F$3:$I$3,0),FALSE)*(1-Landbrug!$C$5)*Arealanvendelse!L$26</f>
        <v>685.06913436036109</v>
      </c>
      <c r="F6" s="11">
        <f>(VLOOKUP($B6,'[1]Afgrødefordeling - jordtype'!$F$4:$I$17,MATCH(F$4,'[1]Afgrødefordeling - jordtype'!$F$3:$I$3,0),FALSE)+SUMIF(Landbrug!$B$32:$B$45,$B6,Landbrug!$D$32:$D$45))*(1-Landbrug!$D$5)*Arealanvendelse!M$26</f>
        <v>56914.161564160306</v>
      </c>
      <c r="G6" s="11">
        <f>IF($B6&lt;&gt;"Permanent græs",(1-VLOOKUP('Landbrugsareal - resultat'!G$4,Landbrug!$B$22:$E$23,MATCH('Landbrugsareal - resultat'!G$3,Landbrug!$B$21:$E$21,0),FALSE))*(VLOOKUP($B6,'[1]Afgrødefordeling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1821.561874780974</v>
      </c>
      <c r="H6" s="11">
        <f>IF($B6&lt;&gt;"Permanent græs",(1-VLOOKUP('Landbrugsareal - resultat'!H$4,Landbrug!$B$22:$E$23,MATCH('Landbrugsareal - resultat'!H$3,Landbrug!$B$21:$E$21,0),FALSE))*(VLOOKUP($B6,'[1]Afgrødefordeling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604.279402496633</v>
      </c>
      <c r="I6" s="11">
        <f>(VLOOKUP($B6,'[1]Afgrødefordeling - jordtype'!$F$4:$I$17,MATCH(I$4,'[1]Afgrødefordeling - jordtype'!$F$3:$I$3,0),FALSE)+SUMIF(Landbrug!$B$32:$B$45,$B6,Landbrug!$E$32:$E$45))*(1-Landbrug!$E$5)*Arealanvendelse!P$26</f>
        <v>53264.00623351871</v>
      </c>
      <c r="J6" s="11">
        <f>IF($B6&lt;&gt;"Permanent græs",(1-VLOOKUP(J$4,Landbrug!$B$22:$E$23,MATCH(J$3,Landbrug!$B$21:$E$21,0),FALSE))*(VLOOKUP($B6,'[1]Afgrødefordeling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1737.3277996465938</v>
      </c>
      <c r="K6" s="11">
        <f>IF($B6&lt;&gt;"Permanent græs",(1-VLOOKUP(K$4,Landbrug!$B$22:$E$23,MATCH(K$3,Landbrug!$B$21:$E$21,0),FALSE))*(VLOOKUP($B6,'[1]Afgrødefordeling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576.33584631181759</v>
      </c>
      <c r="L6" s="35">
        <f>VLOOKUP($B6,'[1]Afgrødefordeling - jordtype'!$F$4:$I$17,MATCH(C$4,'[1]Afgrødefordeling - jordtype'!$F$3:$I$3,0),FALSE)*(Landbrug!$C$5)*Arealanvendelse!J$26</f>
        <v>7536.0917457605292</v>
      </c>
      <c r="M6" s="35">
        <f>VLOOKUP($B6,'[1]Afgrødefordeling - jordtype'!$F$4:$I$17,MATCH(D$4,'[1]Afgrødefordeling - jordtype'!$F$3:$I$3,0),FALSE)*(Landbrug!$C$5)*Arealanvendelse!K$26</f>
        <v>257.98490917114276</v>
      </c>
      <c r="N6" s="35">
        <f>VLOOKUP($B6,'[1]Afgrødefordeling - jordtype'!$F$4:$I$17,MATCH(E$4,'[1]Afgrødefordeling - jordtype'!$F$3:$I$3,0),FALSE)*(Landbrug!$C$5)*Arealanvendelse!L$26</f>
        <v>87.593976908399355</v>
      </c>
      <c r="O6" s="11">
        <f>(VLOOKUP($B6,'[1]Afgrødefordeling - jordtype'!$F$4:$I$17,MATCH(O$4,'[1]Afgrødefordeling - jordtype'!$F$3:$I$3,0),FALSE)+SUMIF(Landbrug!$B$32:$B$45,$B6,Landbrug!$D$32:$D$45))*(Landbrug!$D$5)*Arealanvendelse!M$26</f>
        <v>8882.5570071232869</v>
      </c>
      <c r="P6" s="11">
        <f>IF($B6&lt;&gt;"Permanent græs",(1-VLOOKUP('Landbrugsareal - resultat'!P$4,Landbrug!$B$22:$E$23,MATCH('Landbrugsareal - resultat'!P$3,Landbrug!$B$21:$E$21,0),FALSE))*(VLOOKUP($B6,'[1]Afgrødefordeling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284.29000357853357</v>
      </c>
      <c r="Q6" s="11">
        <f>IF($B6&lt;&gt;"Permanent græs",(1-VLOOKUP('Landbrugsareal - resultat'!Q$4,Landbrug!$B$22:$E$23,MATCH('Landbrugsareal - resultat'!Q$3,Landbrug!$B$21:$E$21,0),FALSE))*(VLOOKUP($B6,'[1]Afgrødefordeling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94.309502123751969</v>
      </c>
      <c r="R6" s="11">
        <f>(VLOOKUP($B6,'[1]Afgrødefordeling - jordtype'!$F$4:$I$17,MATCH(R$4,'[1]Afgrødefordeling - jordtype'!$F$3:$I$3,0),FALSE)+SUMIF(Landbrug!$B$32:$B$45,$B6,Landbrug!$E$32:$E$45))*(Landbrug!$E$5)*Arealanvendelse!P$26</f>
        <v>11298.425564685787</v>
      </c>
      <c r="S6" s="11">
        <f>IF($B6&lt;&gt;"Permanent græs",(1-VLOOKUP(S$4,Landbrug!$B$22:$E$23,MATCH(S$3,Landbrug!$B$21:$E$21,0),FALSE))*(VLOOKUP($B6,'[1]Afgrødefordeling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368.52407871291382</v>
      </c>
      <c r="T6" s="11">
        <f>IF($B6&lt;&gt;"Permanent græs",(1-VLOOKUP(T$4,Landbrug!$B$22:$E$23,MATCH(T$3,Landbrug!$B$21:$E$21,0),FALSE))*(VLOOKUP($B6,'[1]Afgrødefordeling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122.25305830856736</v>
      </c>
      <c r="U6" s="95"/>
      <c r="W6" s="31" t="s">
        <v>290</v>
      </c>
      <c r="X6" s="34">
        <f t="shared" si="1"/>
        <v>224348</v>
      </c>
      <c r="Y6" s="11">
        <f t="shared" si="1"/>
        <v>258472.75425735323</v>
      </c>
      <c r="Z6" s="23">
        <f t="shared" si="1"/>
        <v>318562.35257568007</v>
      </c>
    </row>
    <row r="7" spans="1:26" ht="14.7" thickBot="1" x14ac:dyDescent="0.6">
      <c r="A7" s="61"/>
      <c r="B7" s="41" t="str">
        <f>[1]Afgrødefordeling!C4</f>
        <v>Raps</v>
      </c>
      <c r="C7" s="35">
        <f>VLOOKUP($B7,'[1]Afgrødefordeling - jordtype'!$F$4:$I$17,MATCH(C$4,'[1]Afgrødefordeling - jordtype'!$F$3:$I$3,0),FALSE)*(1-Landbrug!$C$5)*Arealanvendelse!J$26</f>
        <v>99115.06241944003</v>
      </c>
      <c r="D7" s="35">
        <f>VLOOKUP($B7,'[1]Afgrødefordeling - jordtype'!$F$4:$I$17,MATCH(D$4,'[1]Afgrødefordeling - jordtype'!$F$3:$I$3,0),FALSE)*(1-Landbrug!$C$5)*Arealanvendelse!K$26</f>
        <v>2160.5082355894242</v>
      </c>
      <c r="E7" s="35">
        <f>VLOOKUP($B7,'[1]Afgrødefordeling - jordtype'!$F$4:$I$17,MATCH(E$4,'[1]Afgrødefordeling - jordtype'!$F$3:$I$3,0),FALSE)*(1-Landbrug!$C$5)*Arealanvendelse!L$26</f>
        <v>887.13350750082327</v>
      </c>
      <c r="F7" s="11">
        <f>(VLOOKUP($B7,'[1]Afgrødefordeling - jordtype'!$F$4:$I$17,MATCH(F$4,'[1]Afgrødefordeling - jordtype'!$F$3:$I$3,0),FALSE)+SUMIF(Landbrug!$B$32:$B$45,$B7,Landbrug!$D$32:$D$45))*(1-Landbrug!$D$5)*Arealanvendelse!M$26</f>
        <v>95709.195948732828</v>
      </c>
      <c r="G7" s="11">
        <f>IF($B7&lt;&gt;"Permanent græs",(1-VLOOKUP('Landbrugsareal - resultat'!G$4,Landbrug!$B$22:$E$23,MATCH('Landbrugsareal - resultat'!G$3,Landbrug!$B$21:$E$21,0),FALSE))*(VLOOKUP($B7,'[1]Afgrødefordeling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1950.4974863373875</v>
      </c>
      <c r="H7" s="11">
        <f>IF($B7&lt;&gt;"Permanent græs",(1-VLOOKUP('Landbrugsareal - resultat'!H$4,Landbrug!$B$22:$E$23,MATCH('Landbrugsareal - resultat'!H$3,Landbrug!$B$21:$E$21,0),FALSE))*(VLOOKUP($B7,'[1]Afgrødefordeling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782.5144630809657</v>
      </c>
      <c r="I7" s="11">
        <f>(VLOOKUP($B7,'[1]Afgrødefordeling - jordtype'!$F$4:$I$17,MATCH(I$4,'[1]Afgrødefordeling - jordtype'!$F$3:$I$3,0),FALSE)+SUMIF(Landbrug!$B$32:$B$45,$B7,Landbrug!$E$32:$E$45))*(1-Landbrug!$E$5)*Arealanvendelse!P$26</f>
        <v>89570.944550794622</v>
      </c>
      <c r="J7" s="11">
        <f>IF($B7&lt;&gt;"Permanent græs",(1-VLOOKUP(J$4,Landbrug!$B$22:$E$23,MATCH(J$3,Landbrug!$B$21:$E$21,0),FALSE))*(VLOOKUP($B7,'[1]Afgrødefordeling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1860.3010707842134</v>
      </c>
      <c r="K7" s="11">
        <f>IF($B7&lt;&gt;"Permanent græs",(1-VLOOKUP(K$4,Landbrug!$B$22:$E$23,MATCH(K$3,Landbrug!$B$21:$E$21,0),FALSE))*(VLOOKUP($B7,'[1]Afgrødefordeling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746.32882316970711</v>
      </c>
      <c r="L7" s="35">
        <f>VLOOKUP($B7,'[1]Afgrødefordeling - jordtype'!$F$4:$I$17,MATCH(C$4,'[1]Afgrødefordeling - jordtype'!$F$3:$I$3,0),FALSE)*(Landbrug!$C$5)*Arealanvendelse!J$26</f>
        <v>12673.001969281737</v>
      </c>
      <c r="M7" s="35">
        <f>VLOOKUP($B7,'[1]Afgrødefordeling - jordtype'!$F$4:$I$17,MATCH(D$4,'[1]Afgrødefordeling - jordtype'!$F$3:$I$3,0),FALSE)*(Landbrug!$C$5)*Arealanvendelse!K$26</f>
        <v>276.24585462505803</v>
      </c>
      <c r="N7" s="35">
        <f>VLOOKUP($B7,'[1]Afgrødefordeling - jordtype'!$F$4:$I$17,MATCH(E$4,'[1]Afgrødefordeling - jordtype'!$F$3:$I$3,0),FALSE)*(Landbrug!$C$5)*Arealanvendelse!L$26</f>
        <v>113.43023364094317</v>
      </c>
      <c r="O7" s="11">
        <f>(VLOOKUP($B7,'[1]Afgrødefordeling - jordtype'!$F$4:$I$17,MATCH(O$4,'[1]Afgrødefordeling - jordtype'!$F$3:$I$3,0),FALSE)+SUMIF(Landbrug!$B$32:$B$45,$B7,Landbrug!$D$32:$D$45))*(Landbrug!$D$5)*Arealanvendelse!M$26</f>
        <v>14937.273356160618</v>
      </c>
      <c r="P7" s="11">
        <f>IF($B7&lt;&gt;"Permanent græs",(1-VLOOKUP('Landbrugsareal - resultat'!P$4,Landbrug!$B$22:$E$23,MATCH('Landbrugsareal - resultat'!P$3,Landbrug!$B$21:$E$21,0),FALSE))*(VLOOKUP($B7,'[1]Afgrødefordeling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304.4129024919622</v>
      </c>
      <c r="Q7" s="11">
        <f>IF($B7&lt;&gt;"Permanent græs",(1-VLOOKUP('Landbrugsareal - resultat'!Q$4,Landbrug!$B$22:$E$23,MATCH('Landbrugsareal - resultat'!Q$3,Landbrug!$B$21:$E$21,0),FALSE))*(VLOOKUP($B7,'[1]Afgrødefordeling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122.12653470049754</v>
      </c>
      <c r="R7" s="11">
        <f>(VLOOKUP($B7,'[1]Afgrødefordeling - jordtype'!$F$4:$I$17,MATCH(R$4,'[1]Afgrødefordeling - jordtype'!$F$3:$I$3,0),FALSE)+SUMIF(Landbrug!$B$32:$B$45,$B7,Landbrug!$E$32:$E$45))*(Landbrug!$E$5)*Arealanvendelse!P$26</f>
        <v>18999.897328956435</v>
      </c>
      <c r="S7" s="11">
        <f>IF($B7&lt;&gt;"Permanent græs",(1-VLOOKUP(S$4,Landbrug!$B$22:$E$23,MATCH(S$3,Landbrug!$B$21:$E$21,0),FALSE))*(VLOOKUP($B7,'[1]Afgrødefordeling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394.60931804513621</v>
      </c>
      <c r="T7" s="11">
        <f>IF($B7&lt;&gt;"Permanent græs",(1-VLOOKUP(T$4,Landbrug!$B$22:$E$23,MATCH(T$3,Landbrug!$B$21:$E$21,0),FALSE))*(VLOOKUP($B7,'[1]Afgrødefordeling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158.31217461175603</v>
      </c>
      <c r="U7" s="95"/>
      <c r="W7" s="46" t="s">
        <v>291</v>
      </c>
      <c r="X7" s="47">
        <f t="shared" si="1"/>
        <v>3277287</v>
      </c>
      <c r="Y7" s="16">
        <f t="shared" si="1"/>
        <v>3731478.2173454049</v>
      </c>
      <c r="Z7" s="24">
        <f t="shared" si="1"/>
        <v>4642959.853081366</v>
      </c>
    </row>
    <row r="8" spans="1:26" x14ac:dyDescent="0.55000000000000004">
      <c r="A8" s="61"/>
      <c r="B8" s="41" t="str">
        <f>[1]Afgrødefordeling!C5</f>
        <v>Græs</v>
      </c>
      <c r="C8" s="35">
        <f>VLOOKUP($B8,'[1]Afgrødefordeling - jordtype'!$F$4:$I$17,MATCH(C$4,'[1]Afgrødefordeling - jordtype'!$F$3:$I$3,0),FALSE)*(1-Landbrug!$C$5)*Arealanvendelse!J$26</f>
        <v>188981.25083524975</v>
      </c>
      <c r="D8" s="35">
        <f>VLOOKUP($B8,'[1]Afgrødefordeling - jordtype'!$F$4:$I$17,MATCH(D$4,'[1]Afgrødefordeling - jordtype'!$F$3:$I$3,0),FALSE)*(1-Landbrug!$C$5)*Arealanvendelse!K$26</f>
        <v>19937.932611161701</v>
      </c>
      <c r="E8" s="35">
        <f>VLOOKUP($B8,'[1]Afgrødefordeling - jordtype'!$F$4:$I$17,MATCH(E$4,'[1]Afgrødefordeling - jordtype'!$F$3:$I$3,0),FALSE)*(1-Landbrug!$C$5)*Arealanvendelse!L$26</f>
        <v>20460.09912171523</v>
      </c>
      <c r="F8" s="11">
        <f>(VLOOKUP($B8,'[1]Afgrødefordeling - jordtype'!$F$4:$I$17,MATCH(F$4,'[1]Afgrødefordeling - jordtype'!$F$3:$I$3,0),FALSE)+SUMIF(Landbrug!$B$32:$B$45,$B8,Landbrug!$D$32:$D$45))*(1-Landbrug!$D$5)*Arealanvendelse!M$26</f>
        <v>182487.33467255518</v>
      </c>
      <c r="G8" s="11">
        <f>IF($B8&lt;&gt;"Permanent græs",(1-VLOOKUP('Landbrugsareal - resultat'!G$4,Landbrug!$B$22:$E$23,MATCH('Landbrugsareal - resultat'!G$3,Landbrug!$B$21:$E$21,0),FALSE))*(VLOOKUP($B8,'[1]Afgrødefordeling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17999.879287766547</v>
      </c>
      <c r="H8" s="11">
        <f>IF($B8&lt;&gt;"Permanent græs",(1-VLOOKUP('Landbrugsareal - resultat'!H$4,Landbrug!$B$22:$E$23,MATCH('Landbrugsareal - resultat'!H$3,Landbrug!$B$21:$E$21,0),FALSE))*(VLOOKUP($B8,'[1]Afgrødefordeling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18047.25370357795</v>
      </c>
      <c r="I8" s="11">
        <f>(VLOOKUP($B8,'[1]Afgrødefordeling - jordtype'!$F$4:$I$17,MATCH(I$4,'[1]Afgrødefordeling - jordtype'!$F$3:$I$3,0),FALSE)+SUMIF(Landbrug!$B$32:$B$45,$B8,Landbrug!$E$32:$E$45))*(1-Landbrug!$E$5)*Arealanvendelse!P$26</f>
        <v>170783.61983035918</v>
      </c>
      <c r="J8" s="11">
        <f>IF($B8&lt;&gt;"Permanent græs",(1-VLOOKUP(J$4,Landbrug!$B$22:$E$23,MATCH(J$3,Landbrug!$B$21:$E$21,0),FALSE))*(VLOOKUP($B8,'[1]Afgrødefordeling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17167.514927638611</v>
      </c>
      <c r="K8" s="11">
        <f>IF($B8&lt;&gt;"Permanent græs",(1-VLOOKUP(K$4,Landbrug!$B$22:$E$23,MATCH(K$3,Landbrug!$B$21:$E$21,0),FALSE))*(VLOOKUP($B8,'[1]Afgrødefordeling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17212.698619019429</v>
      </c>
      <c r="L8" s="35">
        <f>VLOOKUP($B8,'[1]Afgrødefordeling - jordtype'!$F$4:$I$17,MATCH(C$4,'[1]Afgrødefordeling - jordtype'!$F$3:$I$3,0),FALSE)*(Landbrug!$C$5)*Arealanvendelse!J$26</f>
        <v>24163.428903039348</v>
      </c>
      <c r="M8" s="35">
        <f>VLOOKUP($B8,'[1]Afgrødefordeling - jordtype'!$F$4:$I$17,MATCH(D$4,'[1]Afgrødefordeling - jordtype'!$F$3:$I$3,0),FALSE)*(Landbrug!$C$5)*Arealanvendelse!K$26</f>
        <v>2549.2942553512476</v>
      </c>
      <c r="N8" s="35">
        <f>VLOOKUP($B8,'[1]Afgrødefordeling - jordtype'!$F$4:$I$17,MATCH(E$4,'[1]Afgrødefordeling - jordtype'!$F$3:$I$3,0),FALSE)*(Landbrug!$C$5)*Arealanvendelse!L$26</f>
        <v>2616.0592560989035</v>
      </c>
      <c r="O8" s="11">
        <f>(VLOOKUP($B8,'[1]Afgrødefordeling - jordtype'!$F$4:$I$17,MATCH(O$4,'[1]Afgrødefordeling - jordtype'!$F$3:$I$3,0),FALSE)+SUMIF(Landbrug!$B$32:$B$45,$B8,Landbrug!$D$32:$D$45))*(Landbrug!$D$5)*Arealanvendelse!M$26</f>
        <v>28480.682289936361</v>
      </c>
      <c r="P8" s="11">
        <f>IF($B8&lt;&gt;"Permanent græs",(1-VLOOKUP('Landbrugsareal - resultat'!P$4,Landbrug!$B$22:$E$23,MATCH('Landbrugsareal - resultat'!P$3,Landbrug!$B$21:$E$21,0),FALSE))*(VLOOKUP($B8,'[1]Afgrødefordeling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2809.229715431773</v>
      </c>
      <c r="Q8" s="11">
        <f>IF($B8&lt;&gt;"Permanent græs",(1-VLOOKUP('Landbrugsareal - resultat'!Q$4,Landbrug!$B$22:$E$23,MATCH('Landbrugsareal - resultat'!Q$3,Landbrug!$B$21:$E$21,0),FALSE))*(VLOOKUP($B8,'[1]Afgrødefordeling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2816.6234103849979</v>
      </c>
      <c r="R8" s="11">
        <f>(VLOOKUP($B8,'[1]Afgrødefordeling - jordtype'!$F$4:$I$17,MATCH(R$4,'[1]Afgrødefordeling - jordtype'!$F$3:$I$3,0),FALSE)+SUMIF(Landbrug!$B$32:$B$45,$B8,Landbrug!$E$32:$E$45))*(Landbrug!$E$5)*Arealanvendelse!P$26</f>
        <v>36226.828448864071</v>
      </c>
      <c r="S8" s="11">
        <f>IF($B8&lt;&gt;"Permanent græs",(1-VLOOKUP(S$4,Landbrug!$B$22:$E$23,MATCH(S$3,Landbrug!$B$21:$E$21,0),FALSE))*(VLOOKUP($B8,'[1]Afgrødefordeling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3641.5940755597057</v>
      </c>
      <c r="T8" s="11">
        <f>IF($B8&lt;&gt;"Permanent græs",(1-VLOOKUP(T$4,Landbrug!$B$22:$E$23,MATCH(T$3,Landbrug!$B$21:$E$21,0),FALSE))*(VLOOKUP($B8,'[1]Afgrødefordeling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3651.178494943515</v>
      </c>
      <c r="U8" s="95"/>
    </row>
    <row r="9" spans="1:26" x14ac:dyDescent="0.55000000000000004">
      <c r="A9" s="61"/>
      <c r="B9" s="41" t="str">
        <f>[1]Afgrødefordeling!C6</f>
        <v>Grøntsager</v>
      </c>
      <c r="C9" s="35">
        <f>VLOOKUP($B9,'[1]Afgrødefordeling - jordtype'!$F$4:$I$17,MATCH(C$4,'[1]Afgrødefordeling - jordtype'!$F$3:$I$3,0),FALSE)*(1-Landbrug!$C$5)*Arealanvendelse!J$26</f>
        <v>7313.1446192208541</v>
      </c>
      <c r="D9" s="35">
        <f>VLOOKUP($B9,'[1]Afgrødefordeling - jordtype'!$F$4:$I$17,MATCH(D$4,'[1]Afgrødefordeling - jordtype'!$F$3:$I$3,0),FALSE)*(1-Landbrug!$C$5)*Arealanvendelse!K$26</f>
        <v>93.250460767730289</v>
      </c>
      <c r="E9" s="35">
        <f>VLOOKUP($B9,'[1]Afgrødefordeling - jordtype'!$F$4:$I$17,MATCH(E$4,'[1]Afgrødefordeling - jordtype'!$F$3:$I$3,0),FALSE)*(1-Landbrug!$C$5)*Arealanvendelse!L$26</f>
        <v>23.781029114723999</v>
      </c>
      <c r="F9" s="11">
        <f>(VLOOKUP($B9,'[1]Afgrødefordeling - jordtype'!$F$4:$I$17,MATCH(F$4,'[1]Afgrødefordeling - jordtype'!$F$3:$I$3,0),FALSE)+SUMIF(Landbrug!$B$32:$B$45,$B9,Landbrug!$D$32:$D$45))*(1-Landbrug!$D$5)*Arealanvendelse!M$26</f>
        <v>7061.8448324272804</v>
      </c>
      <c r="G9" s="11">
        <f>IF($B9&lt;&gt;"Permanent græs",(1-VLOOKUP('Landbrugsareal - resultat'!G$4,Landbrug!$B$22:$E$23,MATCH('Landbrugsareal - resultat'!G$3,Landbrug!$B$21:$E$21,0),FALSE))*(VLOOKUP($B9,'[1]Afgrødefordeling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84.186112476280258</v>
      </c>
      <c r="H9" s="11">
        <f>IF($B9&lt;&gt;"Permanent græs",(1-VLOOKUP('Landbrugsareal - resultat'!H$4,Landbrug!$B$22:$E$23,MATCH('Landbrugsareal - resultat'!H$3,Landbrug!$B$21:$E$21,0),FALSE))*(VLOOKUP($B9,'[1]Afgrødefordeling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20.976548706457006</v>
      </c>
      <c r="I9" s="11">
        <f>(VLOOKUP($B9,'[1]Afgrødefordeling - jordtype'!$F$4:$I$17,MATCH(I$4,'[1]Afgrødefordeling - jordtype'!$F$3:$I$3,0),FALSE)+SUMIF(Landbrug!$B$32:$B$45,$B9,Landbrug!$E$32:$E$45))*(1-Landbrug!$E$5)*Arealanvendelse!P$26</f>
        <v>6608.9376850525514</v>
      </c>
      <c r="J9" s="11">
        <f>IF($B9&lt;&gt;"Permanent græs",(1-VLOOKUP(J$4,Landbrug!$B$22:$E$23,MATCH(J$3,Landbrug!$B$21:$E$21,0),FALSE))*(VLOOKUP($B9,'[1]Afgrødefordeling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80.293113055411794</v>
      </c>
      <c r="K9" s="11">
        <f>IF($B9&lt;&gt;"Permanent græs",(1-VLOOKUP(K$4,Landbrug!$B$22:$E$23,MATCH(K$3,Landbrug!$B$21:$E$21,0),FALSE))*(VLOOKUP($B9,'[1]Afgrødefordeling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20.00653489344165</v>
      </c>
      <c r="L9" s="35">
        <f>VLOOKUP($B9,'[1]Afgrødefordeling - jordtype'!$F$4:$I$17,MATCH(C$4,'[1]Afgrødefordeling - jordtype'!$F$3:$I$3,0),FALSE)*(Landbrug!$C$5)*Arealanvendelse!J$26</f>
        <v>935.06974518991217</v>
      </c>
      <c r="M9" s="35">
        <f>VLOOKUP($B9,'[1]Afgrødefordeling - jordtype'!$F$4:$I$17,MATCH(D$4,'[1]Afgrødefordeling - jordtype'!$F$3:$I$3,0),FALSE)*(Landbrug!$C$5)*Arealanvendelse!K$26</f>
        <v>11.923145121422927</v>
      </c>
      <c r="N9" s="35">
        <f>VLOOKUP($B9,'[1]Afgrødefordeling - jordtype'!$F$4:$I$17,MATCH(E$4,'[1]Afgrødefordeling - jordtype'!$F$3:$I$3,0),FALSE)*(Landbrug!$C$5)*Arealanvendelse!L$26</f>
        <v>3.0406783938354529</v>
      </c>
      <c r="O9" s="11">
        <f>(VLOOKUP($B9,'[1]Afgrødefordeling - jordtype'!$F$4:$I$17,MATCH(O$4,'[1]Afgrødefordeling - jordtype'!$F$3:$I$3,0),FALSE)+SUMIF(Landbrug!$B$32:$B$45,$B9,Landbrug!$D$32:$D$45))*(Landbrug!$D$5)*Arealanvendelse!M$26</f>
        <v>1102.1376328065699</v>
      </c>
      <c r="P9" s="11">
        <f>IF($B9&lt;&gt;"Permanent græs",(1-VLOOKUP('Landbrugsareal - resultat'!P$4,Landbrug!$B$22:$E$23,MATCH('Landbrugsareal - resultat'!P$3,Landbrug!$B$21:$E$21,0),FALSE))*(VLOOKUP($B9,'[1]Afgrødefordeling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13.138873045431023</v>
      </c>
      <c r="Q9" s="11">
        <f>IF($B9&lt;&gt;"Permanent græs",(1-VLOOKUP('Landbrugsareal - resultat'!Q$4,Landbrug!$B$22:$E$23,MATCH('Landbrugsareal - resultat'!Q$3,Landbrug!$B$21:$E$21,0),FALSE))*(VLOOKUP($B9,'[1]Afgrødefordeling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3.2737966189268159</v>
      </c>
      <c r="R9" s="11">
        <f>(VLOOKUP($B9,'[1]Afgrødefordeling - jordtype'!$F$4:$I$17,MATCH(R$4,'[1]Afgrødefordeling - jordtype'!$F$3:$I$3,0),FALSE)+SUMIF(Landbrug!$B$32:$B$45,$B9,Landbrug!$E$32:$E$45))*(Landbrug!$E$5)*Arealanvendelse!P$26</f>
        <v>1401.8958725869049</v>
      </c>
      <c r="S9" s="11">
        <f>IF($B9&lt;&gt;"Permanent græs",(1-VLOOKUP(S$4,Landbrug!$B$22:$E$23,MATCH(S$3,Landbrug!$B$21:$E$21,0),FALSE))*(VLOOKUP($B9,'[1]Afgrødefordeling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17.031872466299472</v>
      </c>
      <c r="T9" s="11">
        <f>IF($B9&lt;&gt;"Permanent græs",(1-VLOOKUP(T$4,Landbrug!$B$22:$E$23,MATCH(T$3,Landbrug!$B$21:$E$21,0),FALSE))*(VLOOKUP($B9,'[1]Afgrødefordeling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4.2438104319421681</v>
      </c>
      <c r="U9" s="95"/>
    </row>
    <row r="10" spans="1:26" x14ac:dyDescent="0.55000000000000004">
      <c r="A10" s="61"/>
      <c r="B10" s="41" t="str">
        <f>[1]Afgrødefordeling!C7</f>
        <v>Kartofler</v>
      </c>
      <c r="C10" s="35">
        <f>VLOOKUP($B10,'[1]Afgrødefordeling - jordtype'!$F$4:$I$17,MATCH(C$4,'[1]Afgrødefordeling - jordtype'!$F$3:$I$3,0),FALSE)*(1-Landbrug!$C$5)*Arealanvendelse!J$26</f>
        <v>43565.33101601588</v>
      </c>
      <c r="D10" s="35">
        <f>VLOOKUP($B10,'[1]Afgrødefordeling - jordtype'!$F$4:$I$17,MATCH(D$4,'[1]Afgrødefordeling - jordtype'!$F$3:$I$3,0),FALSE)*(1-Landbrug!$C$5)*Arealanvendelse!K$26</f>
        <v>1472.183079133998</v>
      </c>
      <c r="E10" s="35">
        <f>VLOOKUP($B10,'[1]Afgrødefordeling - jordtype'!$F$4:$I$17,MATCH(E$4,'[1]Afgrødefordeling - jordtype'!$F$3:$I$3,0),FALSE)*(1-Landbrug!$C$5)*Arealanvendelse!L$26</f>
        <v>1258.7368446928817</v>
      </c>
      <c r="F10" s="11">
        <f>(VLOOKUP($B10,'[1]Afgrødefordeling - jordtype'!$F$4:$I$17,MATCH(F$4,'[1]Afgrødefordeling - jordtype'!$F$3:$I$3,0),FALSE)+SUMIF(Landbrug!$B$32:$B$45,$B10,Landbrug!$D$32:$D$45))*(1-Landbrug!$D$5)*Arealanvendelse!M$26</f>
        <v>42068.306279606026</v>
      </c>
      <c r="G10" s="11">
        <f>IF($B10&lt;&gt;"Permanent græs",(1-VLOOKUP('Landbrugsareal - resultat'!G$4,Landbrug!$B$22:$E$23,MATCH('Landbrugsareal - resultat'!G$3,Landbrug!$B$21:$E$21,0),FALSE))*(VLOOKUP($B10,'[1]Afgrødefordeling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1329.0805135468072</v>
      </c>
      <c r="H10" s="11">
        <f>IF($B10&lt;&gt;"Permanent græs",(1-VLOOKUP('Landbrugsareal - resultat'!H$4,Landbrug!$B$22:$E$23,MATCH('Landbrugsareal - resultat'!H$3,Landbrug!$B$21:$E$21,0),FALSE))*(VLOOKUP($B10,'[1]Afgrødefordeling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1110.2948742854976</v>
      </c>
      <c r="I10" s="11">
        <f>(VLOOKUP($B10,'[1]Afgrødefordeling - jordtype'!$F$4:$I$17,MATCH(I$4,'[1]Afgrødefordeling - jordtype'!$F$3:$I$3,0),FALSE)+SUMIF(Landbrug!$B$32:$B$45,$B10,Landbrug!$E$32:$E$45))*(1-Landbrug!$E$5)*Arealanvendelse!P$26</f>
        <v>39370.280898972756</v>
      </c>
      <c r="J10" s="11">
        <f>IF($B10&lt;&gt;"Permanent græs",(1-VLOOKUP(J$4,Landbrug!$B$22:$E$23,MATCH(J$3,Landbrug!$B$21:$E$21,0),FALSE))*(VLOOKUP($B10,'[1]Afgrødefordeling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1267.6201429781686</v>
      </c>
      <c r="K10" s="11">
        <f>IF($B10&lt;&gt;"Permanent græs",(1-VLOOKUP(K$4,Landbrug!$B$22:$E$23,MATCH(K$3,Landbrug!$B$21:$E$21,0),FALSE))*(VLOOKUP($B10,'[1]Afgrødefordeling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1058.9517587116018</v>
      </c>
      <c r="L10" s="35">
        <f>VLOOKUP($B10,'[1]Afgrødefordeling - jordtype'!$F$4:$I$17,MATCH(C$4,'[1]Afgrødefordeling - jordtype'!$F$3:$I$3,0),FALSE)*(Landbrug!$C$5)*Arealanvendelse!J$26</f>
        <v>5570.3291939822529</v>
      </c>
      <c r="M10" s="35">
        <f>VLOOKUP($B10,'[1]Afgrødefordeling - jordtype'!$F$4:$I$17,MATCH(D$4,'[1]Afgrødefordeling - jordtype'!$F$3:$I$3,0),FALSE)*(Landbrug!$C$5)*Arealanvendelse!K$26</f>
        <v>188.23555780104221</v>
      </c>
      <c r="N10" s="35">
        <f>VLOOKUP($B10,'[1]Afgrødefordeling - jordtype'!$F$4:$I$17,MATCH(E$4,'[1]Afgrødefordeling - jordtype'!$F$3:$I$3,0),FALSE)*(Landbrug!$C$5)*Arealanvendelse!L$26</f>
        <v>160.94399904722869</v>
      </c>
      <c r="O10" s="11">
        <f>(VLOOKUP($B10,'[1]Afgrødefordeling - jordtype'!$F$4:$I$17,MATCH(O$4,'[1]Afgrødefordeling - jordtype'!$F$3:$I$3,0),FALSE)+SUMIF(Landbrug!$B$32:$B$45,$B10,Landbrug!$D$32:$D$45))*(Landbrug!$D$5)*Arealanvendelse!M$26</f>
        <v>6565.5738124240625</v>
      </c>
      <c r="P10" s="11">
        <f>IF($B10&lt;&gt;"Permanent græs",(1-VLOOKUP('Landbrugsareal - resultat'!P$4,Landbrug!$B$22:$E$23,MATCH('Landbrugsareal - resultat'!P$3,Landbrug!$B$21:$E$21,0),FALSE))*(VLOOKUP($B10,'[1]Afgrødefordeling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207.42875066915491</v>
      </c>
      <c r="Q10" s="11">
        <f>IF($B10&lt;&gt;"Permanent græs",(1-VLOOKUP('Landbrugsareal - resultat'!Q$4,Landbrug!$B$22:$E$23,MATCH('Landbrugsareal - resultat'!Q$3,Landbrug!$B$21:$E$21,0),FALSE))*(VLOOKUP($B10,'[1]Afgrødefordeling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173.28301506189848</v>
      </c>
      <c r="R10" s="11">
        <f>(VLOOKUP($B10,'[1]Afgrødefordeling - jordtype'!$F$4:$I$17,MATCH(R$4,'[1]Afgrødefordeling - jordtype'!$F$3:$I$3,0),FALSE)+SUMIF(Landbrug!$B$32:$B$45,$B10,Landbrug!$E$32:$E$45))*(Landbrug!$E$5)*Arealanvendelse!P$26</f>
        <v>8351.2717058427061</v>
      </c>
      <c r="S10" s="11">
        <f>IF($B10&lt;&gt;"Permanent græs",(1-VLOOKUP(S$4,Landbrug!$B$22:$E$23,MATCH(S$3,Landbrug!$B$21:$E$21,0),FALSE))*(VLOOKUP($B10,'[1]Afgrødefordeling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268.88912123779335</v>
      </c>
      <c r="T10" s="11">
        <f>IF($B10&lt;&gt;"Permanent græs",(1-VLOOKUP(T$4,Landbrug!$B$22:$E$23,MATCH(T$3,Landbrug!$B$21:$E$21,0),FALSE))*(VLOOKUP($B10,'[1]Afgrødefordeling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224.62613063579431</v>
      </c>
      <c r="U10" s="95"/>
    </row>
    <row r="11" spans="1:26" x14ac:dyDescent="0.55000000000000004">
      <c r="A11" s="61"/>
      <c r="B11" s="41" t="str">
        <f>[1]Afgrødefordeling!C8</f>
        <v>Roer</v>
      </c>
      <c r="C11" s="35">
        <f>VLOOKUP($B11,'[1]Afgrødefordeling - jordtype'!$F$4:$I$17,MATCH(C$4,'[1]Afgrødefordeling - jordtype'!$F$3:$I$3,0),FALSE)*(1-Landbrug!$C$5)*Arealanvendelse!J$26</f>
        <v>4252.8843446697592</v>
      </c>
      <c r="D11" s="35">
        <f>VLOOKUP($B11,'[1]Afgrødefordeling - jordtype'!$F$4:$I$17,MATCH(D$4,'[1]Afgrødefordeling - jordtype'!$F$3:$I$3,0),FALSE)*(1-Landbrug!$C$5)*Arealanvendelse!K$26</f>
        <v>38.623193326213141</v>
      </c>
      <c r="E11" s="35">
        <f>VLOOKUP($B11,'[1]Afgrødefordeling - jordtype'!$F$4:$I$17,MATCH(E$4,'[1]Afgrødefordeling - jordtype'!$F$3:$I$3,0),FALSE)*(1-Landbrug!$C$5)*Arealanvendelse!L$26</f>
        <v>13.612059153984784</v>
      </c>
      <c r="F11" s="11">
        <f>(VLOOKUP($B11,'[1]Afgrødefordeling - jordtype'!$F$4:$I$17,MATCH(F$4,'[1]Afgrødefordeling - jordtype'!$F$3:$I$3,0),FALSE)+SUMIF(Landbrug!$B$32:$B$45,$B11,Landbrug!$D$32:$D$45))*(1-Landbrug!$D$5)*Arealanvendelse!M$26</f>
        <v>4106.7435277270333</v>
      </c>
      <c r="G11" s="11">
        <f>IF($B11&lt;&gt;"Permanent græs",(1-VLOOKUP('Landbrugsareal - resultat'!G$4,Landbrug!$B$22:$E$23,MATCH('Landbrugsareal - resultat'!G$3,Landbrug!$B$21:$E$21,0),FALSE))*(VLOOKUP($B11,'[1]Afgrødefordeling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34.868851808171492</v>
      </c>
      <c r="H11" s="11">
        <f>IF($B11&lt;&gt;"Permanent græs",(1-VLOOKUP('Landbrugsareal - resultat'!H$4,Landbrug!$B$22:$E$23,MATCH('Landbrugsareal - resultat'!H$3,Landbrug!$B$21:$E$21,0),FALSE))*(VLOOKUP($B11,'[1]Afgrødefordeling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12.006798379551526</v>
      </c>
      <c r="I11" s="11">
        <f>(VLOOKUP($B11,'[1]Afgrødefordeling - jordtype'!$F$4:$I$17,MATCH(I$4,'[1]Afgrødefordeling - jordtype'!$F$3:$I$3,0),FALSE)+SUMIF(Landbrug!$B$32:$B$45,$B11,Landbrug!$E$32:$E$45))*(1-Landbrug!$E$5)*Arealanvendelse!P$26</f>
        <v>3843.3600153052266</v>
      </c>
      <c r="J11" s="11">
        <f>IF($B11&lt;&gt;"Permanent græs",(1-VLOOKUP(J$4,Landbrug!$B$22:$E$23,MATCH(J$3,Landbrug!$B$21:$E$21,0),FALSE))*(VLOOKUP($B11,'[1]Afgrødefordeling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33.25641935461443</v>
      </c>
      <c r="K11" s="11">
        <f>IF($B11&lt;&gt;"Permanent græs",(1-VLOOKUP(K$4,Landbrug!$B$22:$E$23,MATCH(K$3,Landbrug!$B$21:$E$21,0),FALSE))*(VLOOKUP($B11,'[1]Afgrødefordeling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11.451570708820819</v>
      </c>
      <c r="L11" s="35">
        <f>VLOOKUP($B11,'[1]Afgrødefordeling - jordtype'!$F$4:$I$17,MATCH(C$4,'[1]Afgrødefordeling - jordtype'!$F$3:$I$3,0),FALSE)*(Landbrug!$C$5)*Arealanvendelse!J$26</f>
        <v>543.78023238328944</v>
      </c>
      <c r="M11" s="35">
        <f>VLOOKUP($B11,'[1]Afgrødefordeling - jordtype'!$F$4:$I$17,MATCH(D$4,'[1]Afgrødefordeling - jordtype'!$F$3:$I$3,0),FALSE)*(Landbrug!$C$5)*Arealanvendelse!K$26</f>
        <v>4.9384199851650941</v>
      </c>
      <c r="N11" s="35">
        <f>VLOOKUP($B11,'[1]Afgrødefordeling - jordtype'!$F$4:$I$17,MATCH(E$4,'[1]Afgrødefordeling - jordtype'!$F$3:$I$3,0),FALSE)*(Landbrug!$C$5)*Arealanvendelse!L$26</f>
        <v>1.7404584959489884</v>
      </c>
      <c r="O11" s="11">
        <f>(VLOOKUP($B11,'[1]Afgrødefordeling - jordtype'!$F$4:$I$17,MATCH(O$4,'[1]Afgrødefordeling - jordtype'!$F$3:$I$3,0),FALSE)+SUMIF(Landbrug!$B$32:$B$45,$B11,Landbrug!$D$32:$D$45))*(Landbrug!$D$5)*Arealanvendelse!M$26</f>
        <v>640.93685114814969</v>
      </c>
      <c r="P11" s="11">
        <f>IF($B11&lt;&gt;"Permanent græs",(1-VLOOKUP('Landbrugsareal - resultat'!P$4,Landbrug!$B$22:$E$23,MATCH('Landbrugsareal - resultat'!P$3,Landbrug!$B$21:$E$21,0),FALSE))*(VLOOKUP($B11,'[1]Afgrødefordeling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5.4419595307550885</v>
      </c>
      <c r="Q11" s="11">
        <f>IF($B11&lt;&gt;"Permanent græs",(1-VLOOKUP('Landbrugsareal - resultat'!Q$4,Landbrug!$B$22:$E$23,MATCH('Landbrugsareal - resultat'!Q$3,Landbrug!$B$21:$E$21,0),FALSE))*(VLOOKUP($B11,'[1]Afgrødefordeling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1.8738933887161342</v>
      </c>
      <c r="R11" s="11">
        <f>(VLOOKUP($B11,'[1]Afgrødefordeling - jordtype'!$F$4:$I$17,MATCH(R$4,'[1]Afgrødefordeling - jordtype'!$F$3:$I$3,0),FALSE)+SUMIF(Landbrug!$B$32:$B$45,$B11,Landbrug!$E$32:$E$45))*(Landbrug!$E$5)*Arealanvendelse!P$26</f>
        <v>815.25818506474513</v>
      </c>
      <c r="S11" s="11">
        <f>IF($B11&lt;&gt;"Permanent græs",(1-VLOOKUP(S$4,Landbrug!$B$22:$E$23,MATCH(S$3,Landbrug!$B$21:$E$21,0),FALSE))*(VLOOKUP($B11,'[1]Afgrødefordeling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7.0543919843121516</v>
      </c>
      <c r="T11" s="11">
        <f>IF($B11&lt;&gt;"Permanent græs",(1-VLOOKUP(T$4,Landbrug!$B$22:$E$23,MATCH(T$3,Landbrug!$B$21:$E$21,0),FALSE))*(VLOOKUP($B11,'[1]Afgrødefordeling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2.4291210594468406</v>
      </c>
      <c r="U11" s="95"/>
    </row>
    <row r="12" spans="1:26" x14ac:dyDescent="0.55000000000000004">
      <c r="A12" s="61"/>
      <c r="B12" s="41" t="str">
        <f>[1]Afgrødefordeling!C9</f>
        <v>Majs</v>
      </c>
      <c r="C12" s="35">
        <f>VLOOKUP($B12,'[1]Afgrødefordeling - jordtype'!$F$4:$I$17,MATCH(C$4,'[1]Afgrødefordeling - jordtype'!$F$3:$I$3,0),FALSE)*(1-Landbrug!$C$5)*Arealanvendelse!J$26</f>
        <v>145638.34626271055</v>
      </c>
      <c r="D12" s="35">
        <f>VLOOKUP($B12,'[1]Afgrødefordeling - jordtype'!$F$4:$I$17,MATCH(D$4,'[1]Afgrødefordeling - jordtype'!$F$3:$I$3,0),FALSE)*(1-Landbrug!$C$5)*Arealanvendelse!K$26</f>
        <v>4985.6738479275327</v>
      </c>
      <c r="E12" s="35">
        <f>VLOOKUP($B12,'[1]Afgrødefordeling - jordtype'!$F$4:$I$17,MATCH(E$4,'[1]Afgrødefordeling - jordtype'!$F$3:$I$3,0),FALSE)*(1-Landbrug!$C$5)*Arealanvendelse!L$26</f>
        <v>1692.7928122278877</v>
      </c>
      <c r="F12" s="11">
        <f>(VLOOKUP($B12,'[1]Afgrødefordeling - jordtype'!$F$4:$I$17,MATCH(F$4,'[1]Afgrødefordeling - jordtype'!$F$3:$I$3,0),FALSE)+SUMIF(Landbrug!$B$32:$B$45,$B12,Landbrug!$D$32:$D$45))*(1-Landbrug!$D$5)*Arealanvendelse!M$26</f>
        <v>140633.81165134837</v>
      </c>
      <c r="G12" s="11">
        <f>IF($B12&lt;&gt;"Permanent græs",(1-VLOOKUP('Landbrugsareal - resultat'!G$4,Landbrug!$B$22:$E$23,MATCH('Landbrugsareal - resultat'!G$3,Landbrug!$B$21:$E$21,0),FALSE))*(VLOOKUP($B12,'[1]Afgrødefordeling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4501.0447763591501</v>
      </c>
      <c r="H12" s="11">
        <f>IF($B12&lt;&gt;"Permanent græs",(1-VLOOKUP('Landbrugsareal - resultat'!H$4,Landbrug!$B$22:$E$23,MATCH('Landbrugsareal - resultat'!H$3,Landbrug!$B$21:$E$21,0),FALSE))*(VLOOKUP($B12,'[1]Afgrødefordeling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1493.1629200879825</v>
      </c>
      <c r="I12" s="11">
        <f>(VLOOKUP($B12,'[1]Afgrødefordeling - jordtype'!$F$4:$I$17,MATCH(I$4,'[1]Afgrødefordeling - jordtype'!$F$3:$I$3,0),FALSE)+SUMIF(Landbrug!$B$32:$B$45,$B12,Landbrug!$E$32:$E$45))*(1-Landbrug!$E$5)*Arealanvendelse!P$26</f>
        <v>131614.34719540758</v>
      </c>
      <c r="J12" s="11">
        <f>IF($B12&lt;&gt;"Permanent græs",(1-VLOOKUP(J$4,Landbrug!$B$22:$E$23,MATCH(J$3,Landbrug!$B$21:$E$21,0),FALSE))*(VLOOKUP($B12,'[1]Afgrødefordeling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4292.903977452369</v>
      </c>
      <c r="K12" s="11">
        <f>IF($B12&lt;&gt;"Permanent græs",(1-VLOOKUP(K$4,Landbrug!$B$22:$E$23,MATCH(K$3,Landbrug!$B$21:$E$21,0),FALSE))*(VLOOKUP($B12,'[1]Afgrødefordeling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1424.1149237833358</v>
      </c>
      <c r="L12" s="35">
        <f>VLOOKUP($B12,'[1]Afgrødefordeling - jordtype'!$F$4:$I$17,MATCH(C$4,'[1]Afgrødefordeling - jordtype'!$F$3:$I$3,0),FALSE)*(Landbrug!$C$5)*Arealanvendelse!J$26</f>
        <v>18621.539490936779</v>
      </c>
      <c r="M12" s="35">
        <f>VLOOKUP($B12,'[1]Afgrødefordeling - jordtype'!$F$4:$I$17,MATCH(D$4,'[1]Afgrødefordeling - jordtype'!$F$3:$I$3,0),FALSE)*(Landbrug!$C$5)*Arealanvendelse!K$26</f>
        <v>637.47580792109272</v>
      </c>
      <c r="N12" s="35">
        <f>VLOOKUP($B12,'[1]Afgrødefordeling - jordtype'!$F$4:$I$17,MATCH(E$4,'[1]Afgrødefordeling - jordtype'!$F$3:$I$3,0),FALSE)*(Landbrug!$C$5)*Arealanvendelse!L$26</f>
        <v>216.44305234016915</v>
      </c>
      <c r="O12" s="11">
        <f>(VLOOKUP($B12,'[1]Afgrødefordeling - jordtype'!$F$4:$I$17,MATCH(O$4,'[1]Afgrødefordeling - jordtype'!$F$3:$I$3,0),FALSE)+SUMIF(Landbrug!$B$32:$B$45,$B12,Landbrug!$D$32:$D$45))*(Landbrug!$D$5)*Arealanvendelse!M$26</f>
        <v>21948.629564083272</v>
      </c>
      <c r="P12" s="11">
        <f>IF($B12&lt;&gt;"Permanent græs",(1-VLOOKUP('Landbrugsareal - resultat'!P$4,Landbrug!$B$22:$E$23,MATCH('Landbrugsareal - resultat'!P$3,Landbrug!$B$21:$E$21,0),FALSE))*(VLOOKUP($B12,'[1]Afgrødefordeling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702.47519631038767</v>
      </c>
      <c r="Q12" s="11">
        <f>IF($B12&lt;&gt;"Permanent græs",(1-VLOOKUP('Landbrugsareal - resultat'!Q$4,Landbrug!$B$22:$E$23,MATCH('Landbrugsareal - resultat'!Q$3,Landbrug!$B$21:$E$21,0),FALSE))*(VLOOKUP($B12,'[1]Afgrødefordeling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233.03698752818224</v>
      </c>
      <c r="R12" s="11">
        <f>(VLOOKUP($B12,'[1]Afgrødefordeling - jordtype'!$F$4:$I$17,MATCH(R$4,'[1]Afgrødefordeling - jordtype'!$F$3:$I$3,0),FALSE)+SUMIF(Landbrug!$B$32:$B$45,$B12,Landbrug!$E$32:$E$45))*(Landbrug!$E$5)*Arealanvendelse!P$26</f>
        <v>27918.194859631913</v>
      </c>
      <c r="S12" s="11">
        <f>IF($B12&lt;&gt;"Permanent græs",(1-VLOOKUP(S$4,Landbrug!$B$22:$E$23,MATCH(S$3,Landbrug!$B$21:$E$21,0),FALSE))*(VLOOKUP($B12,'[1]Afgrødefordeling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910.61599521716903</v>
      </c>
      <c r="T12" s="11">
        <f>IF($B12&lt;&gt;"Permanent græs",(1-VLOOKUP(T$4,Landbrug!$B$22:$E$23,MATCH(T$3,Landbrug!$B$21:$E$21,0),FALSE))*(VLOOKUP($B12,'[1]Afgrødefordeling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302.08498383282881</v>
      </c>
      <c r="U12" s="95"/>
    </row>
    <row r="13" spans="1:26" x14ac:dyDescent="0.55000000000000004">
      <c r="A13" s="61"/>
      <c r="B13" s="41" t="str">
        <f>[1]Afgrødefordeling!C10</f>
        <v>Frugt</v>
      </c>
      <c r="C13" s="35">
        <f>VLOOKUP($B13,'[1]Afgrødefordeling - jordtype'!$F$4:$I$17,MATCH(C$4,'[1]Afgrødefordeling - jordtype'!$F$3:$I$3,0),FALSE)*(1-Landbrug!$C$5)*Arealanvendelse!J$26</f>
        <v>2676.1448409922077</v>
      </c>
      <c r="D13" s="35">
        <f>VLOOKUP($B13,'[1]Afgrødefordeling - jordtype'!$F$4:$I$17,MATCH(D$4,'[1]Afgrødefordeling - jordtype'!$F$3:$I$3,0),FALSE)*(1-Landbrug!$C$5)*Arealanvendelse!K$26</f>
        <v>84.935239958799571</v>
      </c>
      <c r="E13" s="35">
        <f>VLOOKUP($B13,'[1]Afgrødefordeling - jordtype'!$F$4:$I$17,MATCH(E$4,'[1]Afgrødefordeling - jordtype'!$F$3:$I$3,0),FALSE)*(1-Landbrug!$C$5)*Arealanvendelse!L$26</f>
        <v>48.510297939945318</v>
      </c>
      <c r="F13" s="11">
        <f>(VLOOKUP($B13,'[1]Afgrødefordeling - jordtype'!$F$4:$I$17,MATCH(F$4,'[1]Afgrødefordeling - jordtype'!$F$3:$I$3,0),FALSE)+SUMIF(Landbrug!$B$32:$B$45,$B13,Landbrug!$D$32:$D$45))*(1-Landbrug!$D$5)*Arealanvendelse!M$26</f>
        <v>2584.1851351493174</v>
      </c>
      <c r="G13" s="11">
        <f>IF($B13&lt;&gt;"Permanent græs",(1-VLOOKUP('Landbrugsareal - resultat'!G$4,Landbrug!$B$22:$E$23,MATCH('Landbrugsareal - resultat'!G$3,Landbrug!$B$21:$E$21,0),FALSE))*(VLOOKUP($B13,'[1]Afgrødefordeling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76.679167110837156</v>
      </c>
      <c r="H13" s="11">
        <f>IF($B13&lt;&gt;"Permanent græs",(1-VLOOKUP('Landbrugsareal - resultat'!H$4,Landbrug!$B$22:$E$23,MATCH('Landbrugsareal - resultat'!H$3,Landbrug!$B$21:$E$21,0),FALSE))*(VLOOKUP($B13,'[1]Afgrødefordeling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42.789511866497449</v>
      </c>
      <c r="I13" s="11">
        <f>(VLOOKUP($B13,'[1]Afgrødefordeling - jordtype'!$F$4:$I$17,MATCH(I$4,'[1]Afgrødefordeling - jordtype'!$F$3:$I$3,0),FALSE)+SUMIF(Landbrug!$B$32:$B$45,$B13,Landbrug!$E$32:$E$45))*(1-Landbrug!$E$5)*Arealanvendelse!P$26</f>
        <v>2418.4499844031116</v>
      </c>
      <c r="J13" s="11">
        <f>IF($B13&lt;&gt;"Permanent græs",(1-VLOOKUP(J$4,Landbrug!$B$22:$E$23,MATCH(J$3,Landbrug!$B$21:$E$21,0),FALSE))*(VLOOKUP($B13,'[1]Afgrødefordeling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73.133309672185732</v>
      </c>
      <c r="K13" s="11">
        <f>IF($B13&lt;&gt;"Permanent græs",(1-VLOOKUP(K$4,Landbrug!$B$22:$E$23,MATCH(K$3,Landbrug!$B$21:$E$21,0),FALSE))*(VLOOKUP($B13,'[1]Afgrødefordeling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40.810806115445544</v>
      </c>
      <c r="L13" s="35">
        <f>VLOOKUP($B13,'[1]Afgrødefordeling - jordtype'!$F$4:$I$17,MATCH(C$4,'[1]Afgrødefordeling - jordtype'!$F$3:$I$3,0),FALSE)*(Landbrug!$C$5)*Arealanvendelse!J$26</f>
        <v>342.17593181200988</v>
      </c>
      <c r="M13" s="35">
        <f>VLOOKUP($B13,'[1]Afgrødefordeling - jordtype'!$F$4:$I$17,MATCH(D$4,'[1]Afgrødefordeling - jordtype'!$F$3:$I$3,0),FALSE)*(Landbrug!$C$5)*Arealanvendelse!K$26</f>
        <v>10.859948397188985</v>
      </c>
      <c r="N13" s="35">
        <f>VLOOKUP($B13,'[1]Afgrødefordeling - jordtype'!$F$4:$I$17,MATCH(E$4,'[1]Afgrødefordeling - jordtype'!$F$3:$I$3,0),FALSE)*(Landbrug!$C$5)*Arealanvendelse!L$26</f>
        <v>6.2026001529591133</v>
      </c>
      <c r="O13" s="11">
        <f>(VLOOKUP($B13,'[1]Afgrødefordeling - jordtype'!$F$4:$I$17,MATCH(O$4,'[1]Afgrødefordeling - jordtype'!$F$3:$I$3,0),FALSE)+SUMIF(Landbrug!$B$32:$B$45,$B13,Landbrug!$D$32:$D$45))*(Landbrug!$D$5)*Arealanvendelse!M$26</f>
        <v>403.3121309192577</v>
      </c>
      <c r="P13" s="11">
        <f>IF($B13&lt;&gt;"Permanent græs",(1-VLOOKUP('Landbrugsareal - resultat'!P$4,Landbrug!$B$22:$E$23,MATCH('Landbrugsareal - resultat'!P$3,Landbrug!$B$21:$E$21,0),FALSE))*(VLOOKUP($B13,'[1]Afgrødefordeling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11.967268855448575</v>
      </c>
      <c r="Q13" s="11">
        <f>IF($B13&lt;&gt;"Permanent græs",(1-VLOOKUP('Landbrugsareal - resultat'!Q$4,Landbrug!$B$22:$E$23,MATCH('Landbrugsareal - resultat'!Q$3,Landbrug!$B$21:$E$21,0),FALSE))*(VLOOKUP($B13,'[1]Afgrødefordeling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6.6781319098001797</v>
      </c>
      <c r="R13" s="11">
        <f>(VLOOKUP($B13,'[1]Afgrødefordeling - jordtype'!$F$4:$I$17,MATCH(R$4,'[1]Afgrødefordeling - jordtype'!$F$3:$I$3,0),FALSE)+SUMIF(Landbrug!$B$32:$B$45,$B13,Landbrug!$E$32:$E$45))*(Landbrug!$E$5)*Arealanvendelse!P$26</f>
        <v>513.00454214611455</v>
      </c>
      <c r="S13" s="11">
        <f>IF($B13&lt;&gt;"Permanent græs",(1-VLOOKUP(S$4,Landbrug!$B$22:$E$23,MATCH(S$3,Landbrug!$B$21:$E$21,0),FALSE))*(VLOOKUP($B13,'[1]Afgrødefordeling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15.513126294100001</v>
      </c>
      <c r="T13" s="11">
        <f>IF($B13&lt;&gt;"Permanent græs",(1-VLOOKUP(T$4,Landbrug!$B$22:$E$23,MATCH(T$3,Landbrug!$B$21:$E$21,0),FALSE))*(VLOOKUP($B13,'[1]Afgrødefordeling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8.6568376608520836</v>
      </c>
      <c r="U13" s="95"/>
    </row>
    <row r="14" spans="1:26" x14ac:dyDescent="0.55000000000000004">
      <c r="A14" s="61"/>
      <c r="B14" s="41" t="str">
        <f>[1]Afgrødefordeling!C11</f>
        <v>Øvrige</v>
      </c>
      <c r="C14" s="35">
        <f>VLOOKUP($B14,'[1]Afgrødefordeling - jordtype'!$F$4:$I$17,MATCH(C$4,'[1]Afgrødefordeling - jordtype'!$F$3:$I$3,0),FALSE)*(1-Landbrug!$C$5)*Arealanvendelse!J$26</f>
        <v>47330.033772765404</v>
      </c>
      <c r="D14" s="35">
        <f>VLOOKUP($B14,'[1]Afgrødefordeling - jordtype'!$F$4:$I$17,MATCH(D$4,'[1]Afgrødefordeling - jordtype'!$F$3:$I$3,0),FALSE)*(1-Landbrug!$C$5)*Arealanvendelse!K$26</f>
        <v>1502.156278752635</v>
      </c>
      <c r="E14" s="35">
        <f>VLOOKUP($B14,'[1]Afgrødefordeling - jordtype'!$F$4:$I$17,MATCH(E$4,'[1]Afgrødefordeling - jordtype'!$F$3:$I$3,0),FALSE)*(1-Landbrug!$C$5)*Arealanvendelse!L$26</f>
        <v>857.94834593977373</v>
      </c>
      <c r="F14" s="11">
        <f>(VLOOKUP($B14,'[1]Afgrødefordeling - jordtype'!$F$4:$I$17,MATCH(F$4,'[1]Afgrødefordeling - jordtype'!$F$3:$I$3,0),FALSE)+SUMIF(Landbrug!$B$32:$B$45,$B14,Landbrug!$D$32:$D$45))*(1-Landbrug!$D$5)*Arealanvendelse!M$26</f>
        <v>45703.64348304407</v>
      </c>
      <c r="G14" s="11">
        <f>IF($B14&lt;&gt;"Permanent græs",(1-VLOOKUP('Landbrugsareal - resultat'!G$4,Landbrug!$B$22:$E$23,MATCH('Landbrugsareal - resultat'!G$3,Landbrug!$B$21:$E$21,0),FALSE))*(VLOOKUP($B14,'[1]Afgrødefordeling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1356.1401884652369</v>
      </c>
      <c r="H14" s="11">
        <f>IF($B14&lt;&gt;"Permanent græs",(1-VLOOKUP('Landbrugsareal - resultat'!H$4,Landbrug!$B$22:$E$23,MATCH('Landbrugsareal - resultat'!H$3,Landbrug!$B$21:$E$21,0),FALSE))*(VLOOKUP($B14,'[1]Afgrødefordeling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756.77108755092502</v>
      </c>
      <c r="I14" s="11">
        <f>(VLOOKUP($B14,'[1]Afgrødefordeling - jordtype'!$F$4:$I$17,MATCH(I$4,'[1]Afgrødefordeling - jordtype'!$F$3:$I$3,0),FALSE)+SUMIF(Landbrug!$B$32:$B$45,$B14,Landbrug!$E$32:$E$45))*(1-Landbrug!$E$5)*Arealanvendelse!P$26</f>
        <v>42772.467949494108</v>
      </c>
      <c r="J14" s="11">
        <f>IF($B14&lt;&gt;"Permanent græs",(1-VLOOKUP(J$4,Landbrug!$B$22:$E$23,MATCH(J$3,Landbrug!$B$21:$E$21,0),FALSE))*(VLOOKUP($B14,'[1]Afgrødefordeling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1293.4285034495033</v>
      </c>
      <c r="K14" s="11">
        <f>IF($B14&lt;&gt;"Permanent græs",(1-VLOOKUP(K$4,Landbrug!$B$22:$E$23,MATCH(K$3,Landbrug!$B$21:$E$21,0),FALSE))*(VLOOKUP($B14,'[1]Afgrødefordeling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721.77589275088224</v>
      </c>
      <c r="L14" s="35">
        <f>VLOOKUP($B14,'[1]Afgrødefordeling - jordtype'!$F$4:$I$17,MATCH(C$4,'[1]Afgrødefordeling - jordtype'!$F$3:$I$3,0),FALSE)*(Landbrug!$C$5)*Arealanvendelse!J$26</f>
        <v>6051.6897892885954</v>
      </c>
      <c r="M14" s="35">
        <f>VLOOKUP($B14,'[1]Afgrødefordeling - jordtype'!$F$4:$I$17,MATCH(D$4,'[1]Afgrødefordeling - jordtype'!$F$3:$I$3,0),FALSE)*(Landbrug!$C$5)*Arealanvendelse!K$26</f>
        <v>192.06797649221136</v>
      </c>
      <c r="N14" s="35">
        <f>VLOOKUP($B14,'[1]Afgrødefordeling - jordtype'!$F$4:$I$17,MATCH(E$4,'[1]Afgrødefordeling - jordtype'!$F$3:$I$3,0),FALSE)*(Landbrug!$C$5)*Arealanvendelse!L$26</f>
        <v>109.69857468913038</v>
      </c>
      <c r="O14" s="11">
        <f>(VLOOKUP($B14,'[1]Afgrødefordeling - jordtype'!$F$4:$I$17,MATCH(O$4,'[1]Afgrødefordeling - jordtype'!$F$3:$I$3,0),FALSE)+SUMIF(Landbrug!$B$32:$B$45,$B14,Landbrug!$D$32:$D$45))*(Landbrug!$D$5)*Arealanvendelse!M$26</f>
        <v>7132.9385782785548</v>
      </c>
      <c r="P14" s="11">
        <f>IF($B14&lt;&gt;"Permanent græs",(1-VLOOKUP('Landbrugsareal - resultat'!P$4,Landbrug!$B$22:$E$23,MATCH('Landbrugsareal - resultat'!P$3,Landbrug!$B$21:$E$21,0),FALSE))*(VLOOKUP($B14,'[1]Afgrødefordeling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211.65193692810058</v>
      </c>
      <c r="Q14" s="11">
        <f>IF($B14&lt;&gt;"Permanent græs",(1-VLOOKUP('Landbrugsareal - resultat'!Q$4,Landbrug!$B$22:$E$23,MATCH('Landbrugsareal - resultat'!Q$3,Landbrug!$B$21:$E$21,0),FALSE))*(VLOOKUP($B14,'[1]Afgrødefordeling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118.10878245014437</v>
      </c>
      <c r="R14" s="11">
        <f>(VLOOKUP($B14,'[1]Afgrødefordeling - jordtype'!$F$4:$I$17,MATCH(R$4,'[1]Afgrødefordeling - jordtype'!$F$3:$I$3,0),FALSE)+SUMIF(Landbrug!$B$32:$B$45,$B14,Landbrug!$E$32:$E$45))*(Landbrug!$E$5)*Arealanvendelse!P$26</f>
        <v>9072.9477468623863</v>
      </c>
      <c r="S14" s="11">
        <f>IF($B14&lt;&gt;"Permanent græs",(1-VLOOKUP(S$4,Landbrug!$B$22:$E$23,MATCH(S$3,Landbrug!$B$21:$E$21,0),FALSE))*(VLOOKUP($B14,'[1]Afgrødefordeling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274.36362194383406</v>
      </c>
      <c r="T14" s="11">
        <f>IF($B14&lt;&gt;"Permanent græs",(1-VLOOKUP(T$4,Landbrug!$B$22:$E$23,MATCH(T$3,Landbrug!$B$21:$E$21,0),FALSE))*(VLOOKUP($B14,'[1]Afgrødefordeling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153.10397725018711</v>
      </c>
      <c r="U14" s="95"/>
    </row>
    <row r="15" spans="1:26" x14ac:dyDescent="0.55000000000000004">
      <c r="A15" s="61"/>
      <c r="B15" s="41" t="str">
        <f>[1]Afgrødefordeling!C12</f>
        <v>Frø</v>
      </c>
      <c r="C15" s="35">
        <f>VLOOKUP($B15,'[1]Afgrødefordeling - jordtype'!$F$4:$I$17,MATCH(C$4,'[1]Afgrødefordeling - jordtype'!$F$3:$I$3,0),FALSE)*(1-Landbrug!$C$5)*Arealanvendelse!J$26</f>
        <v>49787.032963432102</v>
      </c>
      <c r="D15" s="35">
        <f>VLOOKUP($B15,'[1]Afgrødefordeling - jordtype'!$F$4:$I$17,MATCH(D$4,'[1]Afgrødefordeling - jordtype'!$F$3:$I$3,0),FALSE)*(1-Landbrug!$C$5)*Arealanvendelse!K$26</f>
        <v>3707.7646805966074</v>
      </c>
      <c r="E15" s="35">
        <f>VLOOKUP($B15,'[1]Afgrødefordeling - jordtype'!$F$4:$I$17,MATCH(E$4,'[1]Afgrødefordeling - jordtype'!$F$3:$I$3,0),FALSE)*(1-Landbrug!$C$5)*Arealanvendelse!L$26</f>
        <v>2729.7047934959128</v>
      </c>
      <c r="F15" s="11">
        <f>(VLOOKUP($B15,'[1]Afgrødefordeling - jordtype'!$F$4:$I$17,MATCH(F$4,'[1]Afgrødefordeling - jordtype'!$F$3:$I$3,0),FALSE)+SUMIF(Landbrug!$B$32:$B$45,$B15,Landbrug!$D$32:$D$45))*(1-Landbrug!$D$5)*Arealanvendelse!M$26</f>
        <v>48076.213415858583</v>
      </c>
      <c r="G15" s="11">
        <f>IF($B15&lt;&gt;"Permanent græs",(1-VLOOKUP('Landbrugsareal - resultat'!G$4,Landbrug!$B$22:$E$23,MATCH('Landbrugsareal - resultat'!G$3,Landbrug!$B$21:$E$21,0),FALSE))*(VLOOKUP($B15,'[1]Afgrødefordeling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3347.3539097439348</v>
      </c>
      <c r="H15" s="11">
        <f>IF($B15&lt;&gt;"Permanent græs",(1-VLOOKUP('Landbrugsareal - resultat'!H$4,Landbrug!$B$22:$E$23,MATCH('Landbrugsareal - resultat'!H$3,Landbrug!$B$21:$E$21,0),FALSE))*(VLOOKUP($B15,'[1]Afgrødefordeling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2407.7925845338555</v>
      </c>
      <c r="I15" s="11">
        <f>(VLOOKUP($B15,'[1]Afgrødefordeling - jordtype'!$F$4:$I$17,MATCH(I$4,'[1]Afgrødefordeling - jordtype'!$F$3:$I$3,0),FALSE)+SUMIF(Landbrug!$B$32:$B$45,$B15,Landbrug!$E$32:$E$45))*(1-Landbrug!$E$5)*Arealanvendelse!P$26</f>
        <v>44992.874544580809</v>
      </c>
      <c r="J15" s="11">
        <f>IF($B15&lt;&gt;"Permanent græs",(1-VLOOKUP(J$4,Landbrug!$B$22:$E$23,MATCH(J$3,Landbrug!$B$21:$E$21,0),FALSE))*(VLOOKUP($B15,'[1]Afgrødefordeling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3192.5629775014409</v>
      </c>
      <c r="K15" s="11">
        <f>IF($B15&lt;&gt;"Permanent græs",(1-VLOOKUP(K$4,Landbrug!$B$22:$E$23,MATCH(K$3,Landbrug!$B$21:$E$21,0),FALSE))*(VLOOKUP($B15,'[1]Afgrødefordeling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2296.4495748444288</v>
      </c>
      <c r="L15" s="35">
        <f>VLOOKUP($B15,'[1]Afgrødefordeling - jordtype'!$F$4:$I$17,MATCH(C$4,'[1]Afgrødefordeling - jordtype'!$F$3:$I$3,0),FALSE)*(Landbrug!$C$5)*Arealanvendelse!J$26</f>
        <v>6365.8454264012817</v>
      </c>
      <c r="M15" s="35">
        <f>VLOOKUP($B15,'[1]Afgrødefordeling - jordtype'!$F$4:$I$17,MATCH(D$4,'[1]Afgrødefordeling - jordtype'!$F$3:$I$3,0),FALSE)*(Landbrug!$C$5)*Arealanvendelse!K$26</f>
        <v>474.0804066690265</v>
      </c>
      <c r="N15" s="35">
        <f>VLOOKUP($B15,'[1]Afgrødefordeling - jordtype'!$F$4:$I$17,MATCH(E$4,'[1]Afgrødefordeling - jordtype'!$F$3:$I$3,0),FALSE)*(Landbrug!$C$5)*Arealanvendelse!L$26</f>
        <v>349.0241884441013</v>
      </c>
      <c r="O15" s="11">
        <f>(VLOOKUP($B15,'[1]Afgrødefordeling - jordtype'!$F$4:$I$17,MATCH(O$4,'[1]Afgrødefordeling - jordtype'!$F$3:$I$3,0),FALSE)+SUMIF(Landbrug!$B$32:$B$45,$B15,Landbrug!$D$32:$D$45))*(Landbrug!$D$5)*Arealanvendelse!M$26</f>
        <v>7503.2240591224381</v>
      </c>
      <c r="P15" s="11">
        <f>IF($B15&lt;&gt;"Permanent græs",(1-VLOOKUP('Landbrugsareal - resultat'!P$4,Landbrug!$B$22:$E$23,MATCH('Landbrugsareal - resultat'!P$3,Landbrug!$B$21:$E$21,0),FALSE))*(VLOOKUP($B15,'[1]Afgrødefordeling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522.41939631841763</v>
      </c>
      <c r="Q15" s="11">
        <f>IF($B15&lt;&gt;"Permanent græs",(1-VLOOKUP('Landbrugsareal - resultat'!Q$4,Landbrug!$B$22:$E$23,MATCH('Landbrugsareal - resultat'!Q$3,Landbrug!$B$21:$E$21,0),FALSE))*(VLOOKUP($B15,'[1]Afgrødefordeling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375.78265770181565</v>
      </c>
      <c r="R15" s="11">
        <f>(VLOOKUP($B15,'[1]Afgrødefordeling - jordtype'!$F$4:$I$17,MATCH(R$4,'[1]Afgrødefordeling - jordtype'!$F$3:$I$3,0),FALSE)+SUMIF(Landbrug!$B$32:$B$45,$B15,Landbrug!$E$32:$E$45))*(Landbrug!$E$5)*Arealanvendelse!P$26</f>
        <v>9543.9430852141104</v>
      </c>
      <c r="S15" s="11">
        <f>IF($B15&lt;&gt;"Permanent græs",(1-VLOOKUP(S$4,Landbrug!$B$22:$E$23,MATCH(S$3,Landbrug!$B$21:$E$21,0),FALSE))*(VLOOKUP($B15,'[1]Afgrødefordeling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677.21032856091165</v>
      </c>
      <c r="T15" s="11">
        <f>IF($B15&lt;&gt;"Permanent græs",(1-VLOOKUP(T$4,Landbrug!$B$22:$E$23,MATCH(T$3,Landbrug!$B$21:$E$21,0),FALSE))*(VLOOKUP($B15,'[1]Afgrødefordeling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487.12566739124247</v>
      </c>
      <c r="U15" s="95"/>
    </row>
    <row r="16" spans="1:26" x14ac:dyDescent="0.55000000000000004">
      <c r="A16" s="61"/>
      <c r="B16" s="42" t="str">
        <f>[1]Afgrødefordeling!C13</f>
        <v>Juletræer</v>
      </c>
      <c r="C16" s="35">
        <f>VLOOKUP($B16,'[1]Afgrødefordeling - jordtype'!$F$4:$I$17,MATCH(C$4,'[1]Afgrødefordeling - jordtype'!$F$3:$I$3,0),FALSE)*(1-Landbrug!$C$5)*Arealanvendelse!J$26</f>
        <v>13422.322311297707</v>
      </c>
      <c r="D16" s="35">
        <f>VLOOKUP($B16,'[1]Afgrødefordeling - jordtype'!$F$4:$I$17,MATCH(D$4,'[1]Afgrødefordeling - jordtype'!$F$3:$I$3,0),FALSE)*(1-Landbrug!$C$5)*Arealanvendelse!K$26</f>
        <v>425.99643668454917</v>
      </c>
      <c r="E16" s="35">
        <f>VLOOKUP($B16,'[1]Afgrødefordeling - jordtype'!$F$4:$I$17,MATCH(E$4,'[1]Afgrødefordeling - jordtype'!$F$3:$I$3,0),FALSE)*(1-Landbrug!$C$5)*Arealanvendelse!L$26</f>
        <v>243.3055357816946</v>
      </c>
      <c r="F16" s="11">
        <f>(VLOOKUP($B16,'[1]Afgrødefordeling - jordtype'!$F$4:$I$17,MATCH(F$4,'[1]Afgrødefordeling - jordtype'!$F$3:$I$3,0),FALSE)+SUMIF(Landbrug!$B$32:$B$45,$B16,Landbrug!$D$32:$D$45))*(1-Landbrug!$D$5)*Arealanvendelse!M$26</f>
        <v>12961.094356603833</v>
      </c>
      <c r="G16" s="11">
        <f>IF($B16&lt;&gt;"Permanent græs",(1-VLOOKUP('Landbrugsareal - resultat'!G$4,Landbrug!$B$22:$E$23,MATCH('Landbrugsareal - resultat'!G$3,Landbrug!$B$21:$E$21,0),FALSE))*(VLOOKUP($B16,'[1]Afgrødefordeling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384.58773970616767</v>
      </c>
      <c r="H16" s="11">
        <f>IF($B16&lt;&gt;"Permanent græs",(1-VLOOKUP('Landbrugsareal - resultat'!H$4,Landbrug!$B$22:$E$23,MATCH('Landbrugsareal - resultat'!H$3,Landbrug!$B$21:$E$21,0),FALSE))*(VLOOKUP($B16,'[1]Afgrødefordeling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214.61268127859856</v>
      </c>
      <c r="I16" s="11">
        <f>(VLOOKUP($B16,'[1]Afgrødefordeling - jordtype'!$F$4:$I$17,MATCH(I$4,'[1]Afgrødefordeling - jordtype'!$F$3:$I$3,0),FALSE)+SUMIF(Landbrug!$B$32:$B$45,$B16,Landbrug!$E$32:$E$45))*(1-Landbrug!$E$5)*Arealanvendelse!P$26</f>
        <v>12129.842408819752</v>
      </c>
      <c r="J16" s="11">
        <f>IF($B16&lt;&gt;"Permanent græs",(1-VLOOKUP(J$4,Landbrug!$B$22:$E$23,MATCH(J$3,Landbrug!$B$21:$E$21,0),FALSE))*(VLOOKUP($B16,'[1]Afgrødefordeling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366.8033355579056</v>
      </c>
      <c r="K16" s="11">
        <f>IF($B16&lt;&gt;"Permanent græs",(1-VLOOKUP(K$4,Landbrug!$B$22:$E$23,MATCH(K$3,Landbrug!$B$21:$E$21,0),FALSE))*(VLOOKUP($B16,'[1]Afgrødefordeling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204.6883954391258</v>
      </c>
      <c r="L16" s="35">
        <f>VLOOKUP($B16,'[1]Afgrødefordeling - jordtype'!$F$4:$I$17,MATCH(C$4,'[1]Afgrødefordeling - jordtype'!$F$3:$I$3,0),FALSE)*(Landbrug!$C$5)*Arealanvendelse!J$26</f>
        <v>1716.1984559275936</v>
      </c>
      <c r="M16" s="35">
        <f>VLOOKUP($B16,'[1]Afgrødefordeling - jordtype'!$F$4:$I$17,MATCH(D$4,'[1]Afgrødefordeling - jordtype'!$F$3:$I$3,0),FALSE)*(Landbrug!$C$5)*Arealanvendelse!K$26</f>
        <v>54.468549473984133</v>
      </c>
      <c r="N16" s="35">
        <f>VLOOKUP($B16,'[1]Afgrødefordeling - jordtype'!$F$4:$I$17,MATCH(E$4,'[1]Afgrødefordeling - jordtype'!$F$3:$I$3,0),FALSE)*(Landbrug!$C$5)*Arealanvendelse!L$26</f>
        <v>31.109414238675758</v>
      </c>
      <c r="O16" s="11">
        <f>(VLOOKUP($B16,'[1]Afgrødefordeling - jordtype'!$F$4:$I$17,MATCH(O$4,'[1]Afgrødefordeling - jordtype'!$F$3:$I$3,0),FALSE)+SUMIF(Landbrug!$B$32:$B$45,$B16,Landbrug!$D$32:$D$45))*(Landbrug!$D$5)*Arealanvendelse!M$26</f>
        <v>2022.8297550768989</v>
      </c>
      <c r="P16" s="11">
        <f>IF($B16&lt;&gt;"Permanent græs",(1-VLOOKUP('Landbrugsareal - resultat'!P$4,Landbrug!$B$22:$E$23,MATCH('Landbrugsareal - resultat'!P$3,Landbrug!$B$21:$E$21,0),FALSE))*(VLOOKUP($B16,'[1]Afgrødefordeling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60.022364000384563</v>
      </c>
      <c r="Q16" s="11">
        <f>IF($B16&lt;&gt;"Permanent græs",(1-VLOOKUP('Landbrugsareal - resultat'!Q$4,Landbrug!$B$22:$E$23,MATCH('Landbrugsareal - resultat'!Q$3,Landbrug!$B$21:$E$21,0),FALSE))*(VLOOKUP($B16,'[1]Afgrødefordeling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33.494464708220583</v>
      </c>
      <c r="R16" s="11">
        <f>(VLOOKUP($B16,'[1]Afgrødefordeling - jordtype'!$F$4:$I$17,MATCH(R$4,'[1]Afgrødefordeling - jordtype'!$F$3:$I$3,0),FALSE)+SUMIF(Landbrug!$B$32:$B$45,$B16,Landbrug!$E$32:$E$45))*(Landbrug!$E$5)*Arealanvendelse!P$26</f>
        <v>2572.9968745981287</v>
      </c>
      <c r="S16" s="11">
        <f>IF($B16&lt;&gt;"Permanent græs",(1-VLOOKUP(S$4,Landbrug!$B$22:$E$23,MATCH(S$3,Landbrug!$B$21:$E$21,0),FALSE))*(VLOOKUP($B16,'[1]Afgrødefordeling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77.80676814864664</v>
      </c>
      <c r="T16" s="11">
        <f>IF($B16&lt;&gt;"Permanent græs",(1-VLOOKUP(T$4,Landbrug!$B$22:$E$23,MATCH(T$3,Landbrug!$B$21:$E$21,0),FALSE))*(VLOOKUP($B16,'[1]Afgrødefordeling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43.41875054769335</v>
      </c>
      <c r="U16" s="95"/>
    </row>
    <row r="17" spans="1:21" x14ac:dyDescent="0.55000000000000004">
      <c r="A17" s="61"/>
      <c r="B17" s="42" t="str">
        <f>[1]Afgrødefordeling!C14</f>
        <v>Pil &amp; poppel</v>
      </c>
      <c r="C17" s="35">
        <f>VLOOKUP($B17,'[1]Afgrødefordeling - jordtype'!$F$4:$I$17,MATCH(C$4,'[1]Afgrødefordeling - jordtype'!$F$3:$I$3,0),FALSE)*(1-Landbrug!$C$5)*Arealanvendelse!J$26</f>
        <v>4937.1607996010098</v>
      </c>
      <c r="D17" s="35">
        <f>VLOOKUP($B17,'[1]Afgrødefordeling - jordtype'!$F$4:$I$17,MATCH(D$4,'[1]Afgrødefordeling - jordtype'!$F$3:$I$3,0),FALSE)*(1-Landbrug!$C$5)*Arealanvendelse!K$26</f>
        <v>699.64323170301793</v>
      </c>
      <c r="E17" s="35">
        <f>VLOOKUP($B17,'[1]Afgrødefordeling - jordtype'!$F$4:$I$17,MATCH(E$4,'[1]Afgrødefordeling - jordtype'!$F$3:$I$3,0),FALSE)*(1-Landbrug!$C$5)*Arealanvendelse!L$26</f>
        <v>574.32851892788028</v>
      </c>
      <c r="F17" s="11">
        <f>(VLOOKUP($B17,'[1]Afgrødefordeling - jordtype'!$F$4:$I$17,MATCH(F$4,'[1]Afgrødefordeling - jordtype'!$F$3:$I$3,0),FALSE)+SUMIF(Landbrug!$B$32:$B$45,$B17,Landbrug!$D$32:$D$45))*(1-Landbrug!$D$5)*Arealanvendelse!M$26</f>
        <v>4767.5063594242874</v>
      </c>
      <c r="G17" s="11">
        <f>IF($B17&lt;&gt;"Permanent græs",(1-VLOOKUP('Landbrugsareal - resultat'!G$4,Landbrug!$B$22:$E$23,MATCH('Landbrugsareal - resultat'!G$3,Landbrug!$B$21:$E$21,0),FALSE))*(VLOOKUP($B17,'[1]Afgrødefordeling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631.63488214957056</v>
      </c>
      <c r="H17" s="11">
        <f>IF($B17&lt;&gt;"Permanent græs",(1-VLOOKUP('Landbrugsareal - resultat'!H$4,Landbrug!$B$22:$E$23,MATCH('Landbrugsareal - resultat'!H$3,Landbrug!$B$21:$E$21,0),FALSE))*(VLOOKUP($B17,'[1]Afgrødefordeling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506.59835168103979</v>
      </c>
      <c r="I17" s="11">
        <f>(VLOOKUP($B17,'[1]Afgrødefordeling - jordtype'!$F$4:$I$17,MATCH(I$4,'[1]Afgrødefordeling - jordtype'!$F$3:$I$3,0),FALSE)+SUMIF(Landbrug!$B$32:$B$45,$B17,Landbrug!$E$32:$E$45))*(1-Landbrug!$E$5)*Arealanvendelse!P$26</f>
        <v>4461.7452224161889</v>
      </c>
      <c r="J17" s="11">
        <f>IF($B17&lt;&gt;"Permanent græs",(1-VLOOKUP(J$4,Landbrug!$B$22:$E$23,MATCH(J$3,Landbrug!$B$21:$E$21,0),FALSE))*(VLOOKUP($B17,'[1]Afgrødefordeling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602.42633268600662</v>
      </c>
      <c r="K17" s="11">
        <f>IF($B17&lt;&gt;"Permanent græs",(1-VLOOKUP(K$4,Landbrug!$B$22:$E$23,MATCH(K$3,Landbrug!$B$21:$E$21,0),FALSE))*(VLOOKUP($B17,'[1]Afgrødefordeling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483.1718383085061</v>
      </c>
      <c r="L17" s="35">
        <f>VLOOKUP($B17,'[1]Afgrødefordeling - jordtype'!$F$4:$I$17,MATCH(C$4,'[1]Afgrødefordeling - jordtype'!$F$3:$I$3,0),FALSE)*(Landbrug!$C$5)*Arealanvendelse!J$26</f>
        <v>631.27285609954106</v>
      </c>
      <c r="M17" s="35">
        <f>VLOOKUP($B17,'[1]Afgrødefordeling - jordtype'!$F$4:$I$17,MATCH(D$4,'[1]Afgrødefordeling - jordtype'!$F$3:$I$3,0),FALSE)*(Landbrug!$C$5)*Arealanvendelse!K$26</f>
        <v>89.457443063950791</v>
      </c>
      <c r="N17" s="35">
        <f>VLOOKUP($B17,'[1]Afgrødefordeling - jordtype'!$F$4:$I$17,MATCH(E$4,'[1]Afgrødefordeling - jordtype'!$F$3:$I$3,0),FALSE)*(Landbrug!$C$5)*Arealanvendelse!L$26</f>
        <v>73.434514126483776</v>
      </c>
      <c r="O17" s="11">
        <f>(VLOOKUP($B17,'[1]Afgrødefordeling - jordtype'!$F$4:$I$17,MATCH(O$4,'[1]Afgrødefordeling - jordtype'!$F$3:$I$3,0),FALSE)+SUMIF(Landbrug!$B$32:$B$45,$B17,Landbrug!$D$32:$D$45))*(Landbrug!$D$5)*Arealanvendelse!M$26</f>
        <v>744.06168615292358</v>
      </c>
      <c r="P17" s="11">
        <f>IF($B17&lt;&gt;"Permanent græs",(1-VLOOKUP('Landbrugsareal - resultat'!P$4,Landbrug!$B$22:$E$23,MATCH('Landbrugsareal - resultat'!P$3,Landbrug!$B$21:$E$21,0),FALSE))*(VLOOKUP($B17,'[1]Afgrødefordeling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98.578854439528371</v>
      </c>
      <c r="Q17" s="11">
        <f>IF($B17&lt;&gt;"Permanent græs",(1-VLOOKUP('Landbrugsareal - resultat'!Q$4,Landbrug!$B$22:$E$23,MATCH('Landbrugsareal - resultat'!Q$3,Landbrug!$B$21:$E$21,0),FALSE))*(VLOOKUP($B17,'[1]Afgrødefordeling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79.064482632301008</v>
      </c>
      <c r="R17" s="11">
        <f>(VLOOKUP($B17,'[1]Afgrødefordeling - jordtype'!$F$4:$I$17,MATCH(R$4,'[1]Afgrødefordeling - jordtype'!$F$3:$I$3,0),FALSE)+SUMIF(Landbrug!$B$32:$B$45,$B17,Landbrug!$E$32:$E$45))*(Landbrug!$E$5)*Arealanvendelse!P$26</f>
        <v>946.43080475494912</v>
      </c>
      <c r="S17" s="11">
        <f>IF($B17&lt;&gt;"Permanent græs",(1-VLOOKUP(S$4,Landbrug!$B$22:$E$23,MATCH(S$3,Landbrug!$B$21:$E$21,0),FALSE))*(VLOOKUP($B17,'[1]Afgrødefordeling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127.78740390309231</v>
      </c>
      <c r="T17" s="11">
        <f>IF($B17&lt;&gt;"Permanent græs",(1-VLOOKUP(T$4,Landbrug!$B$22:$E$23,MATCH(T$3,Landbrug!$B$21:$E$21,0),FALSE))*(VLOOKUP($B17,'[1]Afgrødefordeling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102.49099600483463</v>
      </c>
      <c r="U17" s="95"/>
    </row>
    <row r="18" spans="1:21" x14ac:dyDescent="0.55000000000000004">
      <c r="A18" s="61"/>
      <c r="B18" s="42" t="str">
        <f>[1]Afgrødefordeling!C15</f>
        <v>Permanent græs</v>
      </c>
      <c r="C18" s="35">
        <f>VLOOKUP($B18,'[1]Afgrødefordeling - jordtype'!$F$4:$I$17,MATCH(C$4,'[1]Afgrødefordeling - jordtype'!$F$3:$I$3,0),FALSE)*(1-Landbrug!$C$5)*Arealanvendelse!J$26</f>
        <v>119003.01274629038</v>
      </c>
      <c r="D18" s="35">
        <f>VLOOKUP($B18,'[1]Afgrødefordeling - jordtype'!$F$4:$I$17,MATCH(D$4,'[1]Afgrødefordeling - jordtype'!$F$3:$I$3,0),FALSE)*(1-Landbrug!$C$5)*Arealanvendelse!K$26</f>
        <v>19775.461430434403</v>
      </c>
      <c r="E18" s="35">
        <f>VLOOKUP($B18,'[1]Afgrødefordeling - jordtype'!$F$4:$I$17,MATCH(E$4,'[1]Afgrødefordeling - jordtype'!$F$3:$I$3,0),FALSE)*(1-Landbrug!$C$5)*Arealanvendelse!L$26</f>
        <v>21241.691978712064</v>
      </c>
      <c r="F18" s="11">
        <f>(VLOOKUP($B18,'[1]Afgrødefordeling - jordtype'!$F$4:$I$17,MATCH(F$4,'[1]Afgrødefordeling - jordtype'!$F$3:$I$3,0),FALSE)+SUMIF(Landbrug!$B$32:$B$45,$B18,Landbrug!$D$32:$D$45))*(1-Landbrug!$D$5)*Arealanvendelse!M$26</f>
        <v>114913.74153834289</v>
      </c>
      <c r="G18" s="11">
        <f>IF($B18&lt;&gt;"Permanent græs",(1-VLOOKUP('Landbrugsareal - resultat'!G$4,Landbrug!$B$22:$E$23,MATCH('Landbrugsareal - resultat'!G$3,Landbrug!$B$21:$E$21,0),FALSE))*(VLOOKUP($B18,'[1]Afgrødefordeling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17853.201008836309</v>
      </c>
      <c r="H18" s="11">
        <f>IF($B18&lt;&gt;"Permanent græs",(1-VLOOKUP('Landbrugsareal - resultat'!H$4,Landbrug!$B$22:$E$23,MATCH('Landbrugsareal - resultat'!H$3,Landbrug!$B$21:$E$21,0),FALSE))*(VLOOKUP($B18,'[1]Afgrødefordeling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18736.673852484033</v>
      </c>
      <c r="I18" s="11">
        <f>(VLOOKUP($B18,'[1]Afgrødefordeling - jordtype'!$F$4:$I$17,MATCH(I$4,'[1]Afgrødefordeling - jordtype'!$F$3:$I$3,0),FALSE)+SUMIF(Landbrug!$B$32:$B$45,$B18,Landbrug!$E$32:$E$45))*(1-Landbrug!$E$5)*Arealanvendelse!P$26</f>
        <v>107543.81822378619</v>
      </c>
      <c r="J18" s="11">
        <f>IF($B18&lt;&gt;"Permanent græs",(1-VLOOKUP(J$4,Landbrug!$B$22:$E$23,MATCH(J$3,Landbrug!$B$21:$E$21,0),FALSE))*(VLOOKUP($B18,'[1]Afgrødefordeling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17027.619459294743</v>
      </c>
      <c r="K18" s="11">
        <f>IF($B18&lt;&gt;"Permanent græs",(1-VLOOKUP(K$4,Landbrug!$B$22:$E$23,MATCH(K$3,Landbrug!$B$21:$E$21,0),FALSE))*(VLOOKUP($B18,'[1]Afgrødefordeling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17870.23806739807</v>
      </c>
      <c r="L18" s="35">
        <f>VLOOKUP($B18,'[1]Afgrødefordeling - jordtype'!$F$4:$I$17,MATCH(C$4,'[1]Afgrødefordeling - jordtype'!$F$3:$I$3,0),FALSE)*(Landbrug!$C$5)*Arealanvendelse!J$26</f>
        <v>15215.905414073572</v>
      </c>
      <c r="M18" s="35">
        <f>VLOOKUP($B18,'[1]Afgrødefordeling - jordtype'!$F$4:$I$17,MATCH(D$4,'[1]Afgrødefordeling - jordtype'!$F$3:$I$3,0),FALSE)*(Landbrug!$C$5)*Arealanvendelse!K$26</f>
        <v>2528.5204441559808</v>
      </c>
      <c r="N18" s="35">
        <f>VLOOKUP($B18,'[1]Afgrødefordeling - jordtype'!$F$4:$I$17,MATCH(E$4,'[1]Afgrødefordeling - jordtype'!$F$3:$I$3,0),FALSE)*(Landbrug!$C$5)*Arealanvendelse!L$26</f>
        <v>2715.9949023479103</v>
      </c>
      <c r="O18" s="11">
        <f>(VLOOKUP($B18,'[1]Afgrødefordeling - jordtype'!$F$4:$I$17,MATCH(O$4,'[1]Afgrødefordeling - jordtype'!$F$3:$I$3,0),FALSE)+SUMIF(Landbrug!$B$32:$B$45,$B18,Landbrug!$D$32:$D$45))*(Landbrug!$D$5)*Arealanvendelse!M$26</f>
        <v>17934.514575348316</v>
      </c>
      <c r="P18" s="11">
        <f>IF($B18&lt;&gt;"Permanent græs",(1-VLOOKUP('Landbrugsareal - resultat'!P$4,Landbrug!$B$22:$E$23,MATCH('Landbrugsareal - resultat'!P$3,Landbrug!$B$21:$E$21,0),FALSE))*(VLOOKUP($B18,'[1]Afgrødefordeling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2786.3377297027769</v>
      </c>
      <c r="Q18" s="11">
        <f>IF($B18&lt;&gt;"Permanent græs",(1-VLOOKUP('Landbrugsareal - resultat'!Q$4,Landbrug!$B$22:$E$23,MATCH('Landbrugsareal - resultat'!Q$3,Landbrug!$B$21:$E$21,0),FALSE))*(VLOOKUP($B18,'[1]Afgrødefordeling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2924.2207746651384</v>
      </c>
      <c r="R18" s="11">
        <f>(VLOOKUP($B18,'[1]Afgrødefordeling - jordtype'!$F$4:$I$17,MATCH(R$4,'[1]Afgrødefordeling - jordtype'!$F$3:$I$3,0),FALSE)+SUMIF(Landbrug!$B$32:$B$45,$B18,Landbrug!$E$32:$E$45))*(Landbrug!$E$5)*Arealanvendelse!P$26</f>
        <v>22812.325077772828</v>
      </c>
      <c r="S18" s="11">
        <f>IF($B18&lt;&gt;"Permanent græs",(1-VLOOKUP(S$4,Landbrug!$B$22:$E$23,MATCH(S$3,Landbrug!$B$21:$E$21,0),FALSE))*(VLOOKUP($B18,'[1]Afgrødefordeling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3611.9192792443396</v>
      </c>
      <c r="T18" s="11">
        <f>IF($B18&lt;&gt;"Permanent græs",(1-VLOOKUP(T$4,Landbrug!$B$22:$E$23,MATCH(T$3,Landbrug!$B$21:$E$21,0),FALSE))*(VLOOKUP($B18,'[1]Afgrødefordeling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3790.6565597511053</v>
      </c>
      <c r="U18" s="95"/>
    </row>
    <row r="19" spans="1:21" ht="14.7" thickBot="1" x14ac:dyDescent="0.6">
      <c r="A19" s="61"/>
      <c r="B19" s="43" t="s">
        <v>30</v>
      </c>
      <c r="C19" s="36">
        <f t="shared" ref="C19:T19" si="2">SUM(C5:C18)</f>
        <v>1638025.2135860156</v>
      </c>
      <c r="D19" s="37">
        <f t="shared" si="2"/>
        <v>80438.813155800992</v>
      </c>
      <c r="E19" s="37">
        <f t="shared" si="2"/>
        <v>62614.567180798636</v>
      </c>
      <c r="F19" s="38">
        <f t="shared" si="2"/>
        <v>1645007.6830051274</v>
      </c>
      <c r="G19" s="38">
        <f t="shared" si="2"/>
        <v>72619.812449615012</v>
      </c>
      <c r="H19" s="38">
        <f t="shared" si="2"/>
        <v>55230.474335887055</v>
      </c>
      <c r="I19" s="38">
        <f t="shared" si="2"/>
        <v>1480294.3366773236</v>
      </c>
      <c r="J19" s="38">
        <f t="shared" si="2"/>
        <v>69261.670833447832</v>
      </c>
      <c r="K19" s="39">
        <f t="shared" si="2"/>
        <v>52676.463961973204</v>
      </c>
      <c r="L19" s="36">
        <f t="shared" si="2"/>
        <v>209440.38424413261</v>
      </c>
      <c r="M19" s="37">
        <f t="shared" si="2"/>
        <v>10285.028457291377</v>
      </c>
      <c r="N19" s="37">
        <f t="shared" si="2"/>
        <v>8005.9933759608657</v>
      </c>
      <c r="O19" s="38">
        <f t="shared" si="2"/>
        <v>256735.30312796793</v>
      </c>
      <c r="P19" s="38">
        <f t="shared" si="2"/>
        <v>11333.727954564192</v>
      </c>
      <c r="Q19" s="38">
        <f t="shared" si="2"/>
        <v>8619.7850119592531</v>
      </c>
      <c r="R19" s="38">
        <f t="shared" si="2"/>
        <v>314001.82899215951</v>
      </c>
      <c r="S19" s="38">
        <f t="shared" si="2"/>
        <v>14691.869570731358</v>
      </c>
      <c r="T19" s="39">
        <f t="shared" si="2"/>
        <v>11173.795385873103</v>
      </c>
      <c r="U19" s="95"/>
    </row>
    <row r="20" spans="1:21" ht="14.7" thickBot="1" x14ac:dyDescent="0.6">
      <c r="A20" s="61"/>
      <c r="B20" s="68"/>
      <c r="C20" s="69"/>
      <c r="D20" s="69"/>
      <c r="E20" s="69"/>
      <c r="F20" s="69"/>
      <c r="G20" s="69"/>
      <c r="H20" s="69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1"/>
    </row>
    <row r="21" spans="1:21" x14ac:dyDescent="0.55000000000000004">
      <c r="A21" s="61"/>
      <c r="B21" s="45"/>
      <c r="C21" s="344" t="s">
        <v>7</v>
      </c>
      <c r="D21" s="345"/>
      <c r="E21" s="346"/>
      <c r="F21" s="347" t="s">
        <v>8</v>
      </c>
      <c r="G21" s="345"/>
      <c r="H21" s="346"/>
      <c r="I21" s="72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71"/>
    </row>
    <row r="22" spans="1:21" x14ac:dyDescent="0.55000000000000004">
      <c r="A22" s="61"/>
      <c r="B22" s="32" t="s">
        <v>26</v>
      </c>
      <c r="C22" s="29">
        <f>År1</f>
        <v>2019</v>
      </c>
      <c r="D22" s="25">
        <f>År2</f>
        <v>2030</v>
      </c>
      <c r="E22" s="30">
        <f>År3</f>
        <v>2050</v>
      </c>
      <c r="F22" s="33">
        <f>År1</f>
        <v>2019</v>
      </c>
      <c r="G22" s="25">
        <f>År2</f>
        <v>2030</v>
      </c>
      <c r="H22" s="30">
        <f>År3</f>
        <v>2050</v>
      </c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71"/>
    </row>
    <row r="23" spans="1:21" x14ac:dyDescent="0.55000000000000004">
      <c r="A23" s="61"/>
      <c r="B23" s="31" t="s">
        <v>22</v>
      </c>
      <c r="C23" s="35">
        <f>SUM([1]Dyrehold!$E24:$E26)-F23</f>
        <v>10266966</v>
      </c>
      <c r="D23" s="11">
        <f>($F23+$C23)*Landbrug!D11*(1-Landbrug!D6)</f>
        <v>10081251.358070999</v>
      </c>
      <c r="E23" s="23">
        <f>($F23+$C23)*Landbrug!E11*(1-Landbrug!E6)</f>
        <v>9651553.6380710006</v>
      </c>
      <c r="F23" s="34">
        <f>SUM([1]Dyrehold!E58:G61)</f>
        <v>475477</v>
      </c>
      <c r="G23" s="11">
        <f>($F23+$C23)*Landbrug!D11*Landbrug!D6</f>
        <v>661191.6419289998</v>
      </c>
      <c r="H23" s="23">
        <f>($F23+$C23)*Landbrug!E11*Landbrug!E6</f>
        <v>1090889.3619289997</v>
      </c>
      <c r="I23" s="73"/>
      <c r="J23" s="69"/>
      <c r="K23" s="69"/>
      <c r="L23" s="94"/>
      <c r="M23" s="69"/>
      <c r="N23" s="69"/>
      <c r="O23" s="69"/>
      <c r="P23" s="69"/>
      <c r="Q23" s="69"/>
      <c r="R23" s="69"/>
      <c r="S23" s="69"/>
      <c r="T23" s="69"/>
      <c r="U23" s="71"/>
    </row>
    <row r="24" spans="1:21" x14ac:dyDescent="0.55000000000000004">
      <c r="A24" s="61"/>
      <c r="B24" s="31" t="s">
        <v>3</v>
      </c>
      <c r="C24" s="35">
        <f>SUM([1]Dyrehold!$D24:$D26)-F24</f>
        <v>1184629</v>
      </c>
      <c r="D24" s="11">
        <f>($F24+$C24)*Landbrug!D12*(1-Landbrug!D7)</f>
        <v>1152879.1032080106</v>
      </c>
      <c r="E24" s="23">
        <f>($F24+$C24)*Landbrug!E12*(1-Landbrug!E7)</f>
        <v>1097180.5432080105</v>
      </c>
      <c r="F24" s="34">
        <f>SUM([1]Dyrehold!E36:G51)</f>
        <v>207835</v>
      </c>
      <c r="G24" s="11">
        <f>($F24+$C24)*Landbrug!D12*Landbrug!D7</f>
        <v>239584.89679198936</v>
      </c>
      <c r="H24" s="23">
        <f>($F24+$C24)*Landbrug!E12*Landbrug!E7</f>
        <v>295283.45679198933</v>
      </c>
      <c r="I24" s="73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71"/>
    </row>
    <row r="25" spans="1:21" ht="14.7" thickBot="1" x14ac:dyDescent="0.6">
      <c r="A25" s="61"/>
      <c r="B25" s="46" t="s">
        <v>4</v>
      </c>
      <c r="C25" s="48">
        <f>SUM([1]Dyrehold!$F24:$F26)-F25</f>
        <v>18212034</v>
      </c>
      <c r="D25" s="16">
        <f>($F25+$C25)*Landbrug!D13*(1-Landbrug!D8)</f>
        <v>17790568.192894831</v>
      </c>
      <c r="E25" s="24">
        <f>($F25+$C25)*Landbrug!E13*(1-Landbrug!E8)</f>
        <v>16939594.832894832</v>
      </c>
      <c r="F25" s="47">
        <f>SUM([1]Dyrehold!E65:G78)</f>
        <v>3062300</v>
      </c>
      <c r="G25" s="16">
        <f>($F25+$C25)*Landbrug!D13*Landbrug!D8</f>
        <v>3483765.8071051692</v>
      </c>
      <c r="H25" s="24">
        <f>($F25+$C25)*Landbrug!E13*Landbrug!E8</f>
        <v>4334739.167105169</v>
      </c>
      <c r="I25" s="73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71"/>
    </row>
    <row r="26" spans="1:21" ht="14.7" thickBot="1" x14ac:dyDescent="0.6">
      <c r="A26" s="64"/>
      <c r="B26" s="65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7"/>
    </row>
    <row r="27" spans="1:21" ht="14.7" thickBot="1" x14ac:dyDescent="0.6">
      <c r="B27" s="6"/>
      <c r="F27" s="85"/>
      <c r="G27" s="85"/>
      <c r="H27" s="85"/>
      <c r="I27" s="12"/>
    </row>
    <row r="28" spans="1:21" ht="20.7" thickBot="1" x14ac:dyDescent="0.8">
      <c r="A28" s="351" t="s">
        <v>24</v>
      </c>
      <c r="B28" s="352"/>
      <c r="C28" s="352"/>
      <c r="D28" s="352"/>
      <c r="E28" s="352"/>
      <c r="F28" s="352"/>
      <c r="G28" s="352"/>
      <c r="H28" s="352"/>
      <c r="I28" s="352"/>
      <c r="J28" s="352"/>
      <c r="K28" s="352"/>
      <c r="L28" s="352"/>
      <c r="M28" s="352"/>
      <c r="N28" s="352"/>
      <c r="O28" s="352"/>
      <c r="P28" s="352"/>
      <c r="Q28" s="352"/>
      <c r="R28" s="352"/>
      <c r="S28" s="352"/>
      <c r="T28" s="352"/>
      <c r="U28" s="353"/>
    </row>
    <row r="29" spans="1:21" x14ac:dyDescent="0.55000000000000004">
      <c r="A29" s="56"/>
      <c r="B29" s="53"/>
      <c r="C29" s="354" t="s">
        <v>7</v>
      </c>
      <c r="D29" s="355"/>
      <c r="E29" s="355"/>
      <c r="F29" s="355"/>
      <c r="G29" s="355"/>
      <c r="H29" s="355"/>
      <c r="I29" s="355"/>
      <c r="J29" s="355"/>
      <c r="K29" s="356"/>
      <c r="L29" s="354" t="s">
        <v>8</v>
      </c>
      <c r="M29" s="355"/>
      <c r="N29" s="355"/>
      <c r="O29" s="355"/>
      <c r="P29" s="355"/>
      <c r="Q29" s="355"/>
      <c r="R29" s="355"/>
      <c r="S29" s="355"/>
      <c r="T29" s="356"/>
      <c r="U29" s="53"/>
    </row>
    <row r="30" spans="1:21" ht="14.7" thickBot="1" x14ac:dyDescent="0.6">
      <c r="A30" s="56"/>
      <c r="B30" s="55"/>
      <c r="C30" s="173">
        <f>År1</f>
        <v>2019</v>
      </c>
      <c r="D30" s="173">
        <f>År1</f>
        <v>2019</v>
      </c>
      <c r="E30" s="173">
        <f>År1</f>
        <v>2019</v>
      </c>
      <c r="F30" s="174">
        <f>År2</f>
        <v>2030</v>
      </c>
      <c r="G30" s="174">
        <f>År2</f>
        <v>2030</v>
      </c>
      <c r="H30" s="174">
        <f>År2</f>
        <v>2030</v>
      </c>
      <c r="I30" s="174">
        <f>År3</f>
        <v>2050</v>
      </c>
      <c r="J30" s="174">
        <f>År3</f>
        <v>2050</v>
      </c>
      <c r="K30" s="174">
        <f>År3</f>
        <v>2050</v>
      </c>
      <c r="L30" s="173">
        <f>År1</f>
        <v>2019</v>
      </c>
      <c r="M30" s="173">
        <f>År1</f>
        <v>2019</v>
      </c>
      <c r="N30" s="173">
        <f>År1</f>
        <v>2019</v>
      </c>
      <c r="O30" s="174">
        <f>År2</f>
        <v>2030</v>
      </c>
      <c r="P30" s="174">
        <f>År2</f>
        <v>2030</v>
      </c>
      <c r="Q30" s="174">
        <f>År2</f>
        <v>2030</v>
      </c>
      <c r="R30" s="174">
        <f>År3</f>
        <v>2050</v>
      </c>
      <c r="S30" s="174">
        <f>År3</f>
        <v>2050</v>
      </c>
      <c r="T30" s="174">
        <f>År3</f>
        <v>2050</v>
      </c>
      <c r="U30" s="53"/>
    </row>
    <row r="31" spans="1:21" x14ac:dyDescent="0.55000000000000004">
      <c r="A31" s="56"/>
      <c r="B31" s="60" t="s">
        <v>29</v>
      </c>
      <c r="C31" s="29" t="str">
        <f>Jordbund1</f>
        <v>JB1-10</v>
      </c>
      <c r="D31" s="25" t="str">
        <f>Organ6</f>
        <v>OC6</v>
      </c>
      <c r="E31" s="25" t="str">
        <f>Organ12</f>
        <v>OC12</v>
      </c>
      <c r="F31" s="25" t="str">
        <f>Jordbund1</f>
        <v>JB1-10</v>
      </c>
      <c r="G31" s="25" t="str">
        <f>Organ6</f>
        <v>OC6</v>
      </c>
      <c r="H31" s="25" t="str">
        <f>Organ12</f>
        <v>OC12</v>
      </c>
      <c r="I31" s="25" t="str">
        <f>Jordbund1</f>
        <v>JB1-10</v>
      </c>
      <c r="J31" s="25" t="str">
        <f>Organ6</f>
        <v>OC6</v>
      </c>
      <c r="K31" s="30" t="str">
        <f>Organ12</f>
        <v>OC12</v>
      </c>
      <c r="L31" s="29" t="str">
        <f>Jordbund1</f>
        <v>JB1-10</v>
      </c>
      <c r="M31" s="25" t="str">
        <f>Organ6</f>
        <v>OC6</v>
      </c>
      <c r="N31" s="25" t="str">
        <f>Organ12</f>
        <v>OC12</v>
      </c>
      <c r="O31" s="25" t="str">
        <f>Jordbund1</f>
        <v>JB1-10</v>
      </c>
      <c r="P31" s="25" t="str">
        <f>Organ6</f>
        <v>OC6</v>
      </c>
      <c r="Q31" s="25" t="str">
        <f>Organ12</f>
        <v>OC12</v>
      </c>
      <c r="R31" s="25" t="str">
        <f>Jordbund1</f>
        <v>JB1-10</v>
      </c>
      <c r="S31" s="25" t="str">
        <f>Organ6</f>
        <v>OC6</v>
      </c>
      <c r="T31" s="30" t="str">
        <f>Organ12</f>
        <v>OC12</v>
      </c>
      <c r="U31" s="53"/>
    </row>
    <row r="32" spans="1:21" x14ac:dyDescent="0.55000000000000004">
      <c r="A32" s="56"/>
      <c r="B32" s="41" t="str">
        <f>[1]Afgrødefordeling!C2</f>
        <v>Korn</v>
      </c>
      <c r="C32" s="35">
        <f>VLOOKUP($B32,'[1]Afgrødefordeling - jordtype'!$O$4:$R$17,MATCH(C$4,'[1]Afgrødefordeling - jordtype'!$O$3:$R$3,0),FALSE)*(1-Landbrug!$C$5)*Arealanvendelse!J$36</f>
        <v>292562.01681062597</v>
      </c>
      <c r="D32" s="35">
        <f>VLOOKUP($B32,'[1]Afgrødefordeling - jordtype'!$O$4:$R$17,MATCH(D$4,'[1]Afgrødefordeling - jordtype'!$O$3:$R$3,0),FALSE)*(1-Landbrug!$C$5)*Arealanvendelse!K$36</f>
        <v>3321.6653666372972</v>
      </c>
      <c r="E32" s="35">
        <f>VLOOKUP($B32,'[1]Afgrødefordeling - jordtype'!$O$4:$R$17,MATCH(E$4,'[1]Afgrødefordeling - jordtype'!$O$3:$R$3,0),FALSE)*(1-Landbrug!$C$5)*Arealanvendelse!L$36</f>
        <v>1774.9136894308049</v>
      </c>
      <c r="F32" s="11">
        <f>(VLOOKUP($B32,'[1]Afgrødefordeling - jordtype'!$O$4:$R$17,MATCH(F$4,'[1]Afgrødefordeling - jordtype'!$O$3:$R$3,0),FALSE)+SUMIF(Landbrug!$B$32:$B$45,$B32,Landbrug!$G$32:$G$45))*(1-Landbrug!$D$5)*Arealanvendelse!M$36</f>
        <v>284372.46181096468</v>
      </c>
      <c r="G32" s="11">
        <f>IF($B32&lt;&gt;"Permanent græs",(1-VLOOKUP('Landbrugsareal - resultat'!G$4,Landbrug!$B$22:$E$23,MATCH('Landbrugsareal - resultat'!G$3,Landbrug!$B$21:$E$21,0),FALSE))*(VLOOKUP($B32,'[1]Afgrødefordeling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3004.5351617033111</v>
      </c>
      <c r="H32" s="11">
        <f>IF($B32&lt;&gt;"Permanent græs",(1-VLOOKUP('Landbrugsareal - resultat'!H$4,Landbrug!$B$22:$E$23,MATCH('Landbrugsareal - resultat'!H$3,Landbrug!$B$21:$E$21,0),FALSE))*(VLOOKUP($B32,'[1]Afgrødefordeling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1618.1689827208891</v>
      </c>
      <c r="I32" s="11">
        <f>(VLOOKUP($B32,'[1]Afgrødefordeling - jordtype'!$O$4:$R$17,MATCH(I$4,'[1]Afgrødefordeling - jordtype'!$O$3:$R$3,0),FALSE)+SUMIF(Landbrug!$B$32:$B$45,$B32,Landbrug!$H$32:$H$45))*(1-Landbrug!$E$5)*Arealanvendelse!P$36</f>
        <v>269399.56788001256</v>
      </c>
      <c r="J32" s="11">
        <f>IF($B32&lt;&gt;"Permanent græs",(1-VLOOKUP(J$4,Landbrug!$B$22:$E$23,MATCH(J$3,Landbrug!$B$21:$E$21,0),FALSE))*(VLOOKUP($B32,'[1]Afgrødefordeling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2865.5971195436209</v>
      </c>
      <c r="K32" s="11">
        <f>IF($B32&lt;&gt;"Permanent græs",(1-VLOOKUP(K$4,Landbrug!$B$22:$E$23,MATCH(K$3,Landbrug!$B$21:$E$21,0),FALSE))*(VLOOKUP($B32,'[1]Afgrødefordeling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1543.3403592424663</v>
      </c>
      <c r="L32" s="35">
        <f>VLOOKUP($B32,'[1]Afgrødefordeling - jordtype'!$O$4:$R$17,MATCH(C$4,'[1]Afgrødefordeling - jordtype'!$O$3:$R$3,0),FALSE)*(Landbrug!$C$5)*Arealanvendelse!J$36</f>
        <v>37407.422491325582</v>
      </c>
      <c r="M32" s="35">
        <f>VLOOKUP($B32,'[1]Afgrødefordeling - jordtype'!$O$4:$R$17,MATCH(D$4,'[1]Afgrødefordeling - jordtype'!$O$3:$R$3,0),FALSE)*(Landbrug!$C$5)*Arealanvendelse!K$36</f>
        <v>424.7131637222576</v>
      </c>
      <c r="N32" s="35">
        <f>VLOOKUP($B32,'[1]Afgrødefordeling - jordtype'!$O$4:$R$17,MATCH(E$4,'[1]Afgrødefordeling - jordtype'!$O$3:$R$3,0),FALSE)*(Landbrug!$C$5)*Arealanvendelse!L$36</f>
        <v>226.94315205364711</v>
      </c>
      <c r="O32" s="11">
        <f>(VLOOKUP($B32,'[1]Afgrødefordeling - jordtype'!$O$4:$R$17,MATCH(O$4,'[1]Afgrødefordeling - jordtype'!$O$3:$R$3,0),FALSE)+SUMIF(Landbrug!$B$32:$B$45,$B32,Landbrug!$G$32:$G$45))*(Landbrug!$D$5)*Arealanvendelse!M$36</f>
        <v>44381.829299977158</v>
      </c>
      <c r="P32" s="11">
        <f>IF($B32&lt;&gt;"Permanent græs",(1-VLOOKUP('Landbrugsareal - resultat'!P$4,Landbrug!$B$22:$E$23,MATCH('Landbrugsareal - resultat'!P$3,Landbrug!$B$21:$E$21,0),FALSE))*(VLOOKUP($B32,'[1]Afgrødefordeling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468.91589228895612</v>
      </c>
      <c r="Q32" s="11">
        <f>IF($B32&lt;&gt;"Permanent græs",(1-VLOOKUP('Landbrugsareal - resultat'!Q$4,Landbrug!$B$22:$E$23,MATCH('Landbrugsareal - resultat'!Q$3,Landbrug!$B$21:$E$21,0),FALSE))*(VLOOKUP($B32,'[1]Afgrødefordeling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252.54660423967633</v>
      </c>
      <c r="R32" s="11">
        <f>(VLOOKUP($B32,'[1]Afgrødefordeling - jordtype'!$O$4:$R$17,MATCH(R$4,'[1]Afgrødefordeling - jordtype'!$O$3:$R$3,0),FALSE)+SUMIF(Landbrug!$B$32:$B$45,$B32,Landbrug!$H$32:$H$45))*(Landbrug!$E$5)*Arealanvendelse!P$36</f>
        <v>57145.362883639027</v>
      </c>
      <c r="S32" s="11">
        <f>IF($B32&lt;&gt;"Permanent græs",(1-VLOOKUP(S$4,Landbrug!$B$22:$E$23,MATCH(S$3,Landbrug!$B$21:$E$21,0),FALSE))*(VLOOKUP($B32,'[1]Afgrødefordeling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607.85393444864678</v>
      </c>
      <c r="T32" s="11">
        <f>IF($B32&lt;&gt;"Permanent græs",(1-VLOOKUP(T$4,Landbrug!$B$22:$E$23,MATCH(T$3,Landbrug!$B$21:$E$21,0),FALSE))*(VLOOKUP($B32,'[1]Afgrødefordeling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327.37522771809893</v>
      </c>
      <c r="U32" s="53"/>
    </row>
    <row r="33" spans="1:21" x14ac:dyDescent="0.55000000000000004">
      <c r="A33" s="56"/>
      <c r="B33" s="41" t="str">
        <f>[1]Afgrødefordeling!C3</f>
        <v>Bælgsæd</v>
      </c>
      <c r="C33" s="35">
        <f>VLOOKUP($B33,'[1]Afgrødefordeling - jordtype'!$O$4:$R$17,MATCH(C$4,'[1]Afgrødefordeling - jordtype'!$O$3:$R$3,0),FALSE)*(1-Landbrug!$C$5)*Arealanvendelse!J$36</f>
        <v>6376.3414137528825</v>
      </c>
      <c r="D33" s="35">
        <f>VLOOKUP($B33,'[1]Afgrødefordeling - jordtype'!$O$4:$R$17,MATCH(D$4,'[1]Afgrødefordeling - jordtype'!$O$3:$R$3,0),FALSE)*(1-Landbrug!$C$5)*Arealanvendelse!K$36</f>
        <v>89.823141135380936</v>
      </c>
      <c r="E33" s="35">
        <f>VLOOKUP($B33,'[1]Afgrødefordeling - jordtype'!$O$4:$R$17,MATCH(E$4,'[1]Afgrødefordeling - jordtype'!$O$3:$R$3,0),FALSE)*(1-Landbrug!$C$5)*Arealanvendelse!L$36</f>
        <v>32.238285550267712</v>
      </c>
      <c r="F33" s="11">
        <f>(VLOOKUP($B33,'[1]Afgrødefordeling - jordtype'!$O$4:$R$17,MATCH(F$4,'[1]Afgrødefordeling - jordtype'!$O$3:$R$3,0),FALSE)+SUMIF(Landbrug!$B$32:$B$45,$B33,Landbrug!$G$32:$G$45))*(1-Landbrug!$D$5)*Arealanvendelse!M$36</f>
        <v>6197.8513989730473</v>
      </c>
      <c r="G33" s="11">
        <f>IF($B33&lt;&gt;"Permanent græs",(1-VLOOKUP('Landbrugsareal - resultat'!G$4,Landbrug!$B$22:$E$23,MATCH('Landbrugsareal - resultat'!G$3,Landbrug!$B$21:$E$21,0),FALSE))*(VLOOKUP($B33,'[1]Afgrødefordeling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81.247433467117162</v>
      </c>
      <c r="H33" s="11">
        <f>IF($B33&lt;&gt;"Permanent græs",(1-VLOOKUP('Landbrugsareal - resultat'!H$4,Landbrug!$B$22:$E$23,MATCH('Landbrugsareal - resultat'!H$3,Landbrug!$B$21:$E$21,0),FALSE))*(VLOOKUP($B33,'[1]Afgrødefordeling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29.391284795528069</v>
      </c>
      <c r="I33" s="11">
        <f>(VLOOKUP($B33,'[1]Afgrødefordeling - jordtype'!$O$4:$R$17,MATCH(I$4,'[1]Afgrødefordeling - jordtype'!$O$3:$R$3,0),FALSE)+SUMIF(Landbrug!$B$32:$B$45,$B33,Landbrug!$H$32:$H$45))*(1-Landbrug!$E$5)*Arealanvendelse!P$36</f>
        <v>5871.5196191458026</v>
      </c>
      <c r="J33" s="11">
        <f>IF($B33&lt;&gt;"Permanent græs",(1-VLOOKUP(J$4,Landbrug!$B$22:$E$23,MATCH(J$3,Landbrug!$B$21:$E$21,0),FALSE))*(VLOOKUP($B33,'[1]Afgrødefordeling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77.490326717192659</v>
      </c>
      <c r="K33" s="11">
        <f>IF($B33&lt;&gt;"Permanent græs",(1-VLOOKUP(K$4,Landbrug!$B$22:$E$23,MATCH(K$3,Landbrug!$B$21:$E$21,0),FALSE))*(VLOOKUP($B33,'[1]Afgrødefordeling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28.032150238509427</v>
      </c>
      <c r="L33" s="35">
        <f>VLOOKUP($B33,'[1]Afgrødefordeling - jordtype'!$O$4:$R$17,MATCH(C$4,'[1]Afgrødefordeling - jordtype'!$O$3:$R$3,0),FALSE)*(Landbrug!$C$5)*Arealanvendelse!J$36</f>
        <v>815.28866875287099</v>
      </c>
      <c r="M33" s="35">
        <f>VLOOKUP($B33,'[1]Afgrødefordeling - jordtype'!$O$4:$R$17,MATCH(D$4,'[1]Afgrødefordeling - jordtype'!$O$3:$R$3,0),FALSE)*(Landbrug!$C$5)*Arealanvendelse!K$36</f>
        <v>11.484922843296186</v>
      </c>
      <c r="N33" s="35">
        <f>VLOOKUP($B33,'[1]Afgrødefordeling - jordtype'!$O$4:$R$17,MATCH(E$4,'[1]Afgrødefordeling - jordtype'!$O$3:$R$3,0),FALSE)*(Landbrug!$C$5)*Arealanvendelse!L$36</f>
        <v>4.1220360083703804</v>
      </c>
      <c r="O33" s="11">
        <f>(VLOOKUP($B33,'[1]Afgrødefordeling - jordtype'!$O$4:$R$17,MATCH(O$4,'[1]Afgrødefordeling - jordtype'!$O$3:$R$3,0),FALSE)+SUMIF(Landbrug!$B$32:$B$45,$B33,Landbrug!$G$32:$G$45))*(Landbrug!$D$5)*Arealanvendelse!M$36</f>
        <v>967.29472700735414</v>
      </c>
      <c r="P33" s="11">
        <f>IF($B33&lt;&gt;"Permanent græs",(1-VLOOKUP('Landbrugsareal - resultat'!P$4,Landbrug!$B$22:$E$23,MATCH('Landbrugsareal - resultat'!P$3,Landbrug!$B$21:$E$21,0),FALSE))*(VLOOKUP($B33,'[1]Afgrødefordeling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12.680235280995165</v>
      </c>
      <c r="Q33" s="11">
        <f>IF($B33&lt;&gt;"Permanent græs",(1-VLOOKUP('Landbrugsareal - resultat'!Q$4,Landbrug!$B$22:$E$23,MATCH('Landbrugsareal - resultat'!Q$3,Landbrug!$B$21:$E$21,0),FALSE))*(VLOOKUP($B33,'[1]Afgrødefordeling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4.5870791299379068</v>
      </c>
      <c r="R33" s="11">
        <f>(VLOOKUP($B33,'[1]Afgrødefordeling - jordtype'!$O$4:$R$17,MATCH(R$4,'[1]Afgrødefordeling - jordtype'!$O$3:$R$3,0),FALSE)+SUMIF(Landbrug!$B$32:$B$45,$B33,Landbrug!$H$32:$H$45))*(Landbrug!$E$5)*Arealanvendelse!P$36</f>
        <v>1245.4738586066856</v>
      </c>
      <c r="S33" s="11">
        <f>IF($B33&lt;&gt;"Permanent græs",(1-VLOOKUP(S$4,Landbrug!$B$22:$E$23,MATCH(S$3,Landbrug!$B$21:$E$21,0),FALSE))*(VLOOKUP($B33,'[1]Afgrødefordeling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16.437342030919655</v>
      </c>
      <c r="T33" s="11">
        <f>IF($B33&lt;&gt;"Permanent græs",(1-VLOOKUP(T$4,Landbrug!$B$22:$E$23,MATCH(T$3,Landbrug!$B$21:$E$21,0),FALSE))*(VLOOKUP($B33,'[1]Afgrødefordeling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5.9462136869565443</v>
      </c>
      <c r="U33" s="53"/>
    </row>
    <row r="34" spans="1:21" x14ac:dyDescent="0.55000000000000004">
      <c r="A34" s="56"/>
      <c r="B34" s="41" t="str">
        <f>[1]Afgrødefordeling!C4</f>
        <v>Raps</v>
      </c>
      <c r="C34" s="35">
        <f>VLOOKUP($B34,'[1]Afgrødefordeling - jordtype'!$O$4:$R$17,MATCH(C$4,'[1]Afgrødefordeling - jordtype'!$O$3:$R$3,0),FALSE)*(1-Landbrug!$C$5)*Arealanvendelse!J$36</f>
        <v>40447.722327584328</v>
      </c>
      <c r="D34" s="35">
        <f>VLOOKUP($B34,'[1]Afgrødefordeling - jordtype'!$O$4:$R$17,MATCH(D$4,'[1]Afgrødefordeling - jordtype'!$O$3:$R$3,0),FALSE)*(1-Landbrug!$C$5)*Arealanvendelse!K$36</f>
        <v>362.80969861856295</v>
      </c>
      <c r="E34" s="35">
        <f>VLOOKUP($B34,'[1]Afgrødefordeling - jordtype'!$O$4:$R$17,MATCH(E$4,'[1]Afgrødefordeling - jordtype'!$O$3:$R$3,0),FALSE)*(1-Landbrug!$C$5)*Arealanvendelse!L$36</f>
        <v>157.47648143468331</v>
      </c>
      <c r="F34" s="11">
        <f>(VLOOKUP($B34,'[1]Afgrødefordeling - jordtype'!$O$4:$R$17,MATCH(F$4,'[1]Afgrødefordeling - jordtype'!$O$3:$R$3,0),FALSE)+SUMIF(Landbrug!$B$32:$B$45,$B34,Landbrug!$G$32:$G$45))*(1-Landbrug!$D$5)*Arealanvendelse!M$36</f>
        <v>39315.487698414414</v>
      </c>
      <c r="G34" s="11">
        <f>IF($B34&lt;&gt;"Permanent græs",(1-VLOOKUP('Landbrugsareal - resultat'!G$4,Landbrug!$B$22:$E$23,MATCH('Landbrugsareal - resultat'!G$3,Landbrug!$B$21:$E$21,0),FALSE))*(VLOOKUP($B34,'[1]Afgrødefordeling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328.17107570651984</v>
      </c>
      <c r="H34" s="11">
        <f>IF($B34&lt;&gt;"Permanent græs",(1-VLOOKUP('Landbrugsareal - resultat'!H$4,Landbrug!$B$22:$E$23,MATCH('Landbrugsareal - resultat'!H$3,Landbrug!$B$21:$E$21,0),FALSE))*(VLOOKUP($B34,'[1]Afgrødefordeling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143.56954892119037</v>
      </c>
      <c r="I34" s="11">
        <f>(VLOOKUP($B34,'[1]Afgrødefordeling - jordtype'!$O$4:$R$17,MATCH(I$4,'[1]Afgrødefordeling - jordtype'!$O$3:$R$3,0),FALSE)+SUMIF(Landbrug!$B$32:$B$45,$B34,Landbrug!$H$32:$H$45))*(1-Landbrug!$E$5)*Arealanvendelse!P$36</f>
        <v>37245.432731055007</v>
      </c>
      <c r="J34" s="11">
        <f>IF($B34&lt;&gt;"Permanent græs",(1-VLOOKUP(J$4,Landbrug!$B$22:$E$23,MATCH(J$3,Landbrug!$B$21:$E$21,0),FALSE))*(VLOOKUP($B34,'[1]Afgrødefordeling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312.99553463338594</v>
      </c>
      <c r="K34" s="11">
        <f>IF($B34&lt;&gt;"Permanent græs",(1-VLOOKUP(K$4,Landbrug!$B$22:$E$23,MATCH(K$3,Landbrug!$B$21:$E$21,0),FALSE))*(VLOOKUP($B34,'[1]Afgrødefordeling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136.93049463581738</v>
      </c>
      <c r="L34" s="35">
        <f>VLOOKUP($B34,'[1]Afgrødefordeling - jordtype'!$O$4:$R$17,MATCH(C$4,'[1]Afgrødefordeling - jordtype'!$O$3:$R$3,0),FALSE)*(Landbrug!$C$5)*Arealanvendelse!J$36</f>
        <v>5171.7070261351</v>
      </c>
      <c r="M34" s="35">
        <f>VLOOKUP($B34,'[1]Afgrødefordeling - jordtype'!$O$4:$R$17,MATCH(D$4,'[1]Afgrødefordeling - jordtype'!$O$3:$R$3,0),FALSE)*(Landbrug!$C$5)*Arealanvendelse!K$36</f>
        <v>46.389397462214085</v>
      </c>
      <c r="N34" s="35">
        <f>VLOOKUP($B34,'[1]Afgrødefordeling - jordtype'!$O$4:$R$17,MATCH(E$4,'[1]Afgrødefordeling - jordtype'!$O$3:$R$3,0),FALSE)*(Landbrug!$C$5)*Arealanvendelse!L$36</f>
        <v>20.135181380321381</v>
      </c>
      <c r="O34" s="11">
        <f>(VLOOKUP($B34,'[1]Afgrødefordeling - jordtype'!$O$4:$R$17,MATCH(O$4,'[1]Afgrødefordeling - jordtype'!$O$3:$R$3,0),FALSE)+SUMIF(Landbrug!$B$32:$B$45,$B34,Landbrug!$G$32:$G$45))*(Landbrug!$D$5)*Arealanvendelse!M$36</f>
        <v>6135.9431668045636</v>
      </c>
      <c r="P34" s="11">
        <f>IF($B34&lt;&gt;"Permanent græs",(1-VLOOKUP('Landbrugsareal - resultat'!P$4,Landbrug!$B$22:$E$23,MATCH('Landbrugsareal - resultat'!P$3,Landbrug!$B$21:$E$21,0),FALSE))*(VLOOKUP($B34,'[1]Afgrødefordeling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51.217451121826805</v>
      </c>
      <c r="Q34" s="11">
        <f>IF($B34&lt;&gt;"Permanent græs",(1-VLOOKUP('Landbrugsareal - resultat'!Q$4,Landbrug!$B$22:$E$23,MATCH('Landbrugsareal - resultat'!Q$3,Landbrug!$B$21:$E$21,0),FALSE))*(VLOOKUP($B34,'[1]Afgrødefordeling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22.406808213133761</v>
      </c>
      <c r="R34" s="11">
        <f>(VLOOKUP($B34,'[1]Afgrødefordeling - jordtype'!$O$4:$R$17,MATCH(R$4,'[1]Afgrødefordeling - jordtype'!$O$3:$R$3,0),FALSE)+SUMIF(Landbrug!$B$32:$B$45,$B34,Landbrug!$H$32:$H$45))*(Landbrug!$E$5)*Arealanvendelse!P$36</f>
        <v>7900.5463368904539</v>
      </c>
      <c r="S34" s="11">
        <f>IF($B34&lt;&gt;"Permanent græs",(1-VLOOKUP(S$4,Landbrug!$B$22:$E$23,MATCH(S$3,Landbrug!$B$21:$E$21,0),FALSE))*(VLOOKUP($B34,'[1]Afgrødefordeling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66.392992194960655</v>
      </c>
      <c r="T34" s="11">
        <f>IF($B34&lt;&gt;"Permanent græs",(1-VLOOKUP(T$4,Landbrug!$B$22:$E$23,MATCH(T$3,Landbrug!$B$21:$E$21,0),FALSE))*(VLOOKUP($B34,'[1]Afgrødefordeling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29.045862498506725</v>
      </c>
      <c r="U34" s="53"/>
    </row>
    <row r="35" spans="1:21" x14ac:dyDescent="0.55000000000000004">
      <c r="A35" s="56"/>
      <c r="B35" s="41" t="str">
        <f>[1]Afgrødefordeling!C5</f>
        <v>Græs</v>
      </c>
      <c r="C35" s="35">
        <f>VLOOKUP($B35,'[1]Afgrødefordeling - jordtype'!$O$4:$R$17,MATCH(C$4,'[1]Afgrødefordeling - jordtype'!$O$3:$R$3,0),FALSE)*(1-Landbrug!$C$5)*Arealanvendelse!J$36</f>
        <v>24572.998517620537</v>
      </c>
      <c r="D35" s="35">
        <f>VLOOKUP($B35,'[1]Afgrødefordeling - jordtype'!$O$4:$R$17,MATCH(D$4,'[1]Afgrødefordeling - jordtype'!$O$3:$R$3,0),FALSE)*(1-Landbrug!$C$5)*Arealanvendelse!K$36</f>
        <v>1066.8125324809869</v>
      </c>
      <c r="E35" s="35">
        <f>VLOOKUP($B35,'[1]Afgrødefordeling - jordtype'!$O$4:$R$17,MATCH(E$4,'[1]Afgrødefordeling - jordtype'!$O$3:$R$3,0),FALSE)*(1-Landbrug!$C$5)*Arealanvendelse!L$36</f>
        <v>1157.2294466868368</v>
      </c>
      <c r="F35" s="11">
        <f>(VLOOKUP($B35,'[1]Afgrødefordeling - jordtype'!$O$4:$R$17,MATCH(F$4,'[1]Afgrødefordeling - jordtype'!$O$3:$R$3,0),FALSE)+SUMIF(Landbrug!$B$32:$B$45,$B35,Landbrug!$G$32:$G$45))*(1-Landbrug!$D$5)*Arealanvendelse!M$36</f>
        <v>23885.137786208805</v>
      </c>
      <c r="G35" s="11">
        <f>IF($B35&lt;&gt;"Permanent græs",(1-VLOOKUP('Landbrugsareal - resultat'!G$4,Landbrug!$B$22:$E$23,MATCH('Landbrugsareal - resultat'!G$3,Landbrug!$B$21:$E$21,0),FALSE))*(VLOOKUP($B35,'[1]Afgrødefordeling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964.96046741449936</v>
      </c>
      <c r="H35" s="11">
        <f>IF($B35&lt;&gt;"Permanent græs",(1-VLOOKUP('Landbrugsareal - resultat'!H$4,Landbrug!$B$22:$E$23,MATCH('Landbrugsareal - resultat'!H$3,Landbrug!$B$21:$E$21,0),FALSE))*(VLOOKUP($B35,'[1]Afgrødefordeling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1055.0331588914703</v>
      </c>
      <c r="I35" s="11">
        <f>(VLOOKUP($B35,'[1]Afgrødefordeling - jordtype'!$O$4:$R$17,MATCH(I$4,'[1]Afgrødefordeling - jordtype'!$O$3:$R$3,0),FALSE)+SUMIF(Landbrug!$B$32:$B$45,$B35,Landbrug!$H$32:$H$45))*(1-Landbrug!$E$5)*Arealanvendelse!P$36</f>
        <v>22627.527846337711</v>
      </c>
      <c r="J35" s="11">
        <f>IF($B35&lt;&gt;"Permanent græs",(1-VLOOKUP(J$4,Landbrug!$B$22:$E$23,MATCH(J$3,Landbrug!$B$21:$E$21,0),FALSE))*(VLOOKUP($B35,'[1]Afgrødefordeling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920.3380180542913</v>
      </c>
      <c r="K35" s="11">
        <f>IF($B35&lt;&gt;"Permanent græs",(1-VLOOKUP(K$4,Landbrug!$B$22:$E$23,MATCH(K$3,Landbrug!$B$21:$E$21,0),FALSE))*(VLOOKUP($B35,'[1]Afgrødefordeling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1006.2454983646971</v>
      </c>
      <c r="L35" s="35">
        <f>VLOOKUP($B35,'[1]Afgrødefordeling - jordtype'!$O$4:$R$17,MATCH(C$4,'[1]Afgrødefordeling - jordtype'!$O$3:$R$3,0),FALSE)*(Landbrug!$C$5)*Arealanvendelse!J$36</f>
        <v>3141.9408009562312</v>
      </c>
      <c r="M35" s="35">
        <f>VLOOKUP($B35,'[1]Afgrødefordeling - jordtype'!$O$4:$R$17,MATCH(D$4,'[1]Afgrødefordeling - jordtype'!$O$3:$R$3,0),FALSE)*(Landbrug!$C$5)*Arealanvendelse!K$36</f>
        <v>136.4042658599414</v>
      </c>
      <c r="N35" s="35">
        <f>VLOOKUP($B35,'[1]Afgrødefordeling - jordtype'!$O$4:$R$17,MATCH(E$4,'[1]Afgrødefordeling - jordtype'!$O$3:$R$3,0),FALSE)*(Landbrug!$C$5)*Arealanvendelse!L$36</f>
        <v>147.96510942716867</v>
      </c>
      <c r="O35" s="11">
        <f>(VLOOKUP($B35,'[1]Afgrødefordeling - jordtype'!$O$4:$R$17,MATCH(O$4,'[1]Afgrødefordeling - jordtype'!$O$3:$R$3,0),FALSE)+SUMIF(Landbrug!$B$32:$B$45,$B35,Landbrug!$G$32:$G$45))*(Landbrug!$D$5)*Arealanvendelse!M$36</f>
        <v>3727.7382672117792</v>
      </c>
      <c r="P35" s="11">
        <f>IF($B35&lt;&gt;"Permanent græs",(1-VLOOKUP('Landbrugsareal - resultat'!P$4,Landbrug!$B$22:$E$23,MATCH('Landbrugsareal - resultat'!P$3,Landbrug!$B$21:$E$21,0),FALSE))*(VLOOKUP($B35,'[1]Afgrødefordeling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150.60076659070219</v>
      </c>
      <c r="Q35" s="11">
        <f>IF($B35&lt;&gt;"Permanent græs",(1-VLOOKUP('Landbrugsareal - resultat'!Q$4,Landbrug!$B$22:$E$23,MATCH('Landbrugsareal - resultat'!Q$3,Landbrug!$B$21:$E$21,0),FALSE))*(VLOOKUP($B35,'[1]Afgrødefordeling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164.65835427785956</v>
      </c>
      <c r="R35" s="11">
        <f>(VLOOKUP($B35,'[1]Afgrødefordeling - jordtype'!$O$4:$R$17,MATCH(R$4,'[1]Afgrødefordeling - jordtype'!$O$3:$R$3,0),FALSE)+SUMIF(Landbrug!$B$32:$B$45,$B35,Landbrug!$H$32:$H$45))*(Landbrug!$E$5)*Arealanvendelse!P$36</f>
        <v>4799.7786340716357</v>
      </c>
      <c r="S35" s="11">
        <f>IF($B35&lt;&gt;"Permanent græs",(1-VLOOKUP(S$4,Landbrug!$B$22:$E$23,MATCH(S$3,Landbrug!$B$21:$E$21,0),FALSE))*(VLOOKUP($B35,'[1]Afgrødefordeling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195.22321595091026</v>
      </c>
      <c r="T35" s="11">
        <f>IF($B35&lt;&gt;"Permanent græs",(1-VLOOKUP(T$4,Landbrug!$B$22:$E$23,MATCH(T$3,Landbrug!$B$21:$E$21,0),FALSE))*(VLOOKUP($B35,'[1]Afgrødefordeling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213.44601480463271</v>
      </c>
      <c r="U35" s="53"/>
    </row>
    <row r="36" spans="1:21" x14ac:dyDescent="0.55000000000000004">
      <c r="A36" s="56"/>
      <c r="B36" s="41" t="str">
        <f>[1]Afgrødefordeling!C6</f>
        <v>Grøntsager</v>
      </c>
      <c r="C36" s="35">
        <f>VLOOKUP($B36,'[1]Afgrødefordeling - jordtype'!$O$4:$R$17,MATCH(C$4,'[1]Afgrødefordeling - jordtype'!$O$3:$R$3,0),FALSE)*(1-Landbrug!$C$5)*Arealanvendelse!J$36</f>
        <v>3850.5952952805674</v>
      </c>
      <c r="D36" s="35">
        <f>VLOOKUP($B36,'[1]Afgrødefordeling - jordtype'!$O$4:$R$17,MATCH(D$4,'[1]Afgrødefordeling - jordtype'!$O$3:$R$3,0),FALSE)*(1-Landbrug!$C$5)*Arealanvendelse!K$36</f>
        <v>20.204274039436456</v>
      </c>
      <c r="E36" s="35">
        <f>VLOOKUP($B36,'[1]Afgrødefordeling - jordtype'!$O$4:$R$17,MATCH(E$4,'[1]Afgrødefordeling - jordtype'!$O$3:$R$3,0),FALSE)*(1-Landbrug!$C$5)*Arealanvendelse!L$36</f>
        <v>5.4466148542378683</v>
      </c>
      <c r="F36" s="11">
        <f>(VLOOKUP($B36,'[1]Afgrødefordeling - jordtype'!$O$4:$R$17,MATCH(F$4,'[1]Afgrødefordeling - jordtype'!$O$3:$R$3,0),FALSE)+SUMIF(Landbrug!$B$32:$B$45,$B36,Landbrug!$G$32:$G$45))*(1-Landbrug!$D$5)*Arealanvendelse!M$36</f>
        <v>3742.8073387443319</v>
      </c>
      <c r="G36" s="11">
        <f>IF($B36&lt;&gt;"Permanent græs",(1-VLOOKUP('Landbrugsareal - resultat'!G$4,Landbrug!$B$22:$E$23,MATCH('Landbrugsareal - resultat'!G$3,Landbrug!$B$21:$E$21,0),FALSE))*(VLOOKUP($B36,'[1]Afgrødefordeling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18.275306229787574</v>
      </c>
      <c r="H36" s="11">
        <f>IF($B36&lt;&gt;"Permanent græs",(1-VLOOKUP('Landbrugsareal - resultat'!H$4,Landbrug!$B$22:$E$23,MATCH('Landbrugsareal - resultat'!H$3,Landbrug!$B$21:$E$21,0),FALSE))*(VLOOKUP($B36,'[1]Afgrødefordeling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4.9656179173315067</v>
      </c>
      <c r="I36" s="11">
        <f>(VLOOKUP($B36,'[1]Afgrødefordeling - jordtype'!$O$4:$R$17,MATCH(I$4,'[1]Afgrødefordeling - jordtype'!$O$3:$R$3,0),FALSE)+SUMIF(Landbrug!$B$32:$B$45,$B36,Landbrug!$H$32:$H$45))*(1-Landbrug!$E$5)*Arealanvendelse!P$36</f>
        <v>3545.7395322129769</v>
      </c>
      <c r="J36" s="11">
        <f>IF($B36&lt;&gt;"Permanent græs",(1-VLOOKUP(J$4,Landbrug!$B$22:$E$23,MATCH(J$3,Landbrug!$B$21:$E$21,0),FALSE))*(VLOOKUP($B36,'[1]Afgrødefordeling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17.430205363670229</v>
      </c>
      <c r="K36" s="11">
        <f>IF($B36&lt;&gt;"Permanent græs",(1-VLOOKUP(K$4,Landbrug!$B$22:$E$23,MATCH(K$3,Landbrug!$B$21:$E$21,0),FALSE))*(VLOOKUP($B36,'[1]Afgrødefordeling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4.7359939673971017</v>
      </c>
      <c r="L36" s="35">
        <f>VLOOKUP($B36,'[1]Afgrødefordeling - jordtype'!$O$4:$R$17,MATCH(C$4,'[1]Afgrødefordeling - jordtype'!$O$3:$R$3,0),FALSE)*(Landbrug!$C$5)*Arealanvendelse!J$36</f>
        <v>492.34294534860186</v>
      </c>
      <c r="M36" s="35">
        <f>VLOOKUP($B36,'[1]Afgrødefordeling - jordtype'!$O$4:$R$17,MATCH(D$4,'[1]Afgrødefordeling - jordtype'!$O$3:$R$3,0),FALSE)*(Landbrug!$C$5)*Arealanvendelse!K$36</f>
        <v>2.5833490736869646</v>
      </c>
      <c r="N36" s="35">
        <f>VLOOKUP($B36,'[1]Afgrødefordeling - jordtype'!$O$4:$R$17,MATCH(E$4,'[1]Afgrødefordeling - jordtype'!$O$3:$R$3,0),FALSE)*(Landbrug!$C$5)*Arealanvendelse!L$36</f>
        <v>0.69641242298342532</v>
      </c>
      <c r="O36" s="11">
        <f>(VLOOKUP($B36,'[1]Afgrødefordeling - jordtype'!$O$4:$R$17,MATCH(O$4,'[1]Afgrødefordeling - jordtype'!$O$3:$R$3,0),FALSE)+SUMIF(Landbrug!$B$32:$B$45,$B36,Landbrug!$G$32:$G$45))*(Landbrug!$D$5)*Arealanvendelse!M$36</f>
        <v>584.13756153813279</v>
      </c>
      <c r="P36" s="11">
        <f>IF($B36&lt;&gt;"Permanent græs",(1-VLOOKUP('Landbrugsareal - resultat'!P$4,Landbrug!$B$22:$E$23,MATCH('Landbrugsareal - resultat'!P$3,Landbrug!$B$21:$E$21,0),FALSE))*(VLOOKUP($B36,'[1]Afgrødefordeling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2.8522154231460375</v>
      </c>
      <c r="Q36" s="11">
        <f>IF($B36&lt;&gt;"Permanent græs",(1-VLOOKUP('Landbrugsareal - resultat'!Q$4,Landbrug!$B$22:$E$23,MATCH('Landbrugsareal - resultat'!Q$3,Landbrug!$B$21:$E$21,0),FALSE))*(VLOOKUP($B36,'[1]Afgrødefordeling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0.7749808310286167</v>
      </c>
      <c r="R36" s="11">
        <f>(VLOOKUP($B36,'[1]Afgrødefordeling - jordtype'!$O$4:$R$17,MATCH(R$4,'[1]Afgrødefordeling - jordtype'!$O$3:$R$3,0),FALSE)+SUMIF(Landbrug!$B$32:$B$45,$B36,Landbrug!$H$32:$H$45))*(Landbrug!$E$5)*Arealanvendelse!P$36</f>
        <v>752.12656743911634</v>
      </c>
      <c r="S36" s="11">
        <f>IF($B36&lt;&gt;"Permanent græs",(1-VLOOKUP(S$4,Landbrug!$B$22:$E$23,MATCH(S$3,Landbrug!$B$21:$E$21,0),FALSE))*(VLOOKUP($B36,'[1]Afgrødefordeling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3.697316289263382</v>
      </c>
      <c r="T36" s="11">
        <f>IF($B36&lt;&gt;"Permanent græs",(1-VLOOKUP(T$4,Landbrug!$B$22:$E$23,MATCH(T$3,Landbrug!$B$21:$E$21,0),FALSE))*(VLOOKUP($B36,'[1]Afgrødefordeling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1.0046047809630216</v>
      </c>
      <c r="U36" s="53"/>
    </row>
    <row r="37" spans="1:21" x14ac:dyDescent="0.55000000000000004">
      <c r="A37" s="56"/>
      <c r="B37" s="41" t="str">
        <f>[1]Afgrødefordeling!C7</f>
        <v>Kartofler</v>
      </c>
      <c r="C37" s="35">
        <f>VLOOKUP($B37,'[1]Afgrødefordeling - jordtype'!$O$4:$R$17,MATCH(C$4,'[1]Afgrødefordeling - jordtype'!$O$3:$R$3,0),FALSE)*(1-Landbrug!$C$5)*Arealanvendelse!J$36</f>
        <v>2470.1663355738019</v>
      </c>
      <c r="D37" s="35">
        <f>VLOOKUP($B37,'[1]Afgrødefordeling - jordtype'!$O$4:$R$17,MATCH(D$4,'[1]Afgrødefordeling - jordtype'!$O$3:$R$3,0),FALSE)*(1-Landbrug!$C$5)*Arealanvendelse!K$36</f>
        <v>34.349115010819808</v>
      </c>
      <c r="E37" s="35">
        <f>VLOOKUP($B37,'[1]Afgrødefordeling - jordtype'!$O$4:$R$17,MATCH(E$4,'[1]Afgrødefordeling - jordtype'!$O$3:$R$3,0),FALSE)*(1-Landbrug!$C$5)*Arealanvendelse!L$36</f>
        <v>31.045054930295858</v>
      </c>
      <c r="F37" s="11">
        <f>(VLOOKUP($B37,'[1]Afgrødefordeling - jordtype'!$O$4:$R$17,MATCH(F$4,'[1]Afgrødefordeling - jordtype'!$O$3:$R$3,0),FALSE)+SUMIF(Landbrug!$B$32:$B$45,$B37,Landbrug!$G$32:$G$45))*(1-Landbrug!$D$5)*Arealanvendelse!M$36</f>
        <v>2401.0200968240606</v>
      </c>
      <c r="G37" s="11">
        <f>IF($B37&lt;&gt;"Permanent græs",(1-VLOOKUP('Landbrugsareal - resultat'!G$4,Landbrug!$B$22:$E$23,MATCH('Landbrugsareal - resultat'!G$3,Landbrug!$B$21:$E$21,0),FALSE))*(VLOOKUP($B37,'[1]Afgrødefordeling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31.069693190641079</v>
      </c>
      <c r="H37" s="11">
        <f>IF($B37&lt;&gt;"Permanent græs",(1-VLOOKUP('Landbrugsareal - resultat'!H$4,Landbrug!$B$22:$E$23,MATCH('Landbrugsareal - resultat'!H$3,Landbrug!$B$21:$E$21,0),FALSE))*(VLOOKUP($B37,'[1]Afgrødefordeling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28.303429769129298</v>
      </c>
      <c r="I37" s="11">
        <f>(VLOOKUP($B37,'[1]Afgrødefordeling - jordtype'!$O$4:$R$17,MATCH(I$4,'[1]Afgrødefordeling - jordtype'!$O$3:$R$3,0),FALSE)+SUMIF(Landbrug!$B$32:$B$45,$B37,Landbrug!$H$32:$H$45))*(1-Landbrug!$E$5)*Arealanvendelse!P$36</f>
        <v>2274.6006151102201</v>
      </c>
      <c r="J37" s="11">
        <f>IF($B37&lt;&gt;"Permanent græs",(1-VLOOKUP(J$4,Landbrug!$B$22:$E$23,MATCH(J$3,Landbrug!$B$21:$E$21,0),FALSE))*(VLOOKUP($B37,'[1]Afgrødefordeling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29.632944372576752</v>
      </c>
      <c r="K37" s="11">
        <f>IF($B37&lt;&gt;"Permanent græs",(1-VLOOKUP(K$4,Landbrug!$B$22:$E$23,MATCH(K$3,Landbrug!$B$21:$E$21,0),FALSE))*(VLOOKUP($B37,'[1]Afgrødefordeling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26.994600646857421</v>
      </c>
      <c r="L37" s="35">
        <f>VLOOKUP($B37,'[1]Afgrødefordeling - jordtype'!$O$4:$R$17,MATCH(C$4,'[1]Afgrødefordeling - jordtype'!$O$3:$R$3,0),FALSE)*(Landbrug!$C$5)*Arealanvendelse!J$36</f>
        <v>315.83920819930114</v>
      </c>
      <c r="M37" s="35">
        <f>VLOOKUP($B37,'[1]Afgrødefordeling - jordtype'!$O$4:$R$17,MATCH(D$4,'[1]Afgrødefordeling - jordtype'!$O$3:$R$3,0),FALSE)*(Landbrug!$C$5)*Arealanvendelse!K$36</f>
        <v>4.3919298595914027</v>
      </c>
      <c r="N37" s="35">
        <f>VLOOKUP($B37,'[1]Afgrødefordeling - jordtype'!$O$4:$R$17,MATCH(E$4,'[1]Afgrødefordeling - jordtype'!$O$3:$R$3,0),FALSE)*(Landbrug!$C$5)*Arealanvendelse!L$36</f>
        <v>3.9694677344109963</v>
      </c>
      <c r="O37" s="11">
        <f>(VLOOKUP($B37,'[1]Afgrødefordeling - jordtype'!$O$4:$R$17,MATCH(O$4,'[1]Afgrødefordeling - jordtype'!$O$3:$R$3,0),FALSE)+SUMIF(Landbrug!$B$32:$B$45,$B37,Landbrug!$G$32:$G$45))*(Landbrug!$D$5)*Arealanvendelse!M$36</f>
        <v>374.72567985115398</v>
      </c>
      <c r="P37" s="11">
        <f>IF($B37&lt;&gt;"Permanent græs",(1-VLOOKUP('Landbrugsareal - resultat'!P$4,Landbrug!$B$22:$E$23,MATCH('Landbrugsareal - resultat'!P$3,Landbrug!$B$21:$E$21,0),FALSE))*(VLOOKUP($B37,'[1]Afgrødefordeling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4.8490272609671052</v>
      </c>
      <c r="Q37" s="11">
        <f>IF($B37&lt;&gt;"Permanent græs",(1-VLOOKUP('Landbrugsareal - resultat'!Q$4,Landbrug!$B$22:$E$23,MATCH('Landbrugsareal - resultat'!Q$3,Landbrug!$B$21:$E$21,0),FALSE))*(VLOOKUP($B37,'[1]Afgrødefordeling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4.4172982876675793</v>
      </c>
      <c r="R37" s="11">
        <f>(VLOOKUP($B37,'[1]Afgrødefordeling - jordtype'!$O$4:$R$17,MATCH(R$4,'[1]Afgrødefordeling - jordtype'!$O$3:$R$3,0),FALSE)+SUMIF(Landbrug!$B$32:$B$45,$B37,Landbrug!$H$32:$H$45))*(Landbrug!$E$5)*Arealanvendelse!P$36</f>
        <v>482.49103956883454</v>
      </c>
      <c r="S37" s="11">
        <f>IF($B37&lt;&gt;"Permanent græs",(1-VLOOKUP(S$4,Landbrug!$B$22:$E$23,MATCH(S$3,Landbrug!$B$21:$E$21,0),FALSE))*(VLOOKUP($B37,'[1]Afgrødefordeling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6.2857760790314314</v>
      </c>
      <c r="T37" s="11">
        <f>IF($B37&lt;&gt;"Permanent græs",(1-VLOOKUP(T$4,Landbrug!$B$22:$E$23,MATCH(T$3,Landbrug!$B$21:$E$21,0),FALSE))*(VLOOKUP($B37,'[1]Afgrødefordeling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5.7261274099394539</v>
      </c>
      <c r="U37" s="53"/>
    </row>
    <row r="38" spans="1:21" x14ac:dyDescent="0.55000000000000004">
      <c r="A38" s="56"/>
      <c r="B38" s="41" t="str">
        <f>[1]Afgrødefordeling!C8</f>
        <v>Roer</v>
      </c>
      <c r="C38" s="35">
        <f>VLOOKUP($B38,'[1]Afgrødefordeling - jordtype'!$O$4:$R$17,MATCH(C$4,'[1]Afgrødefordeling - jordtype'!$O$3:$R$3,0),FALSE)*(1-Landbrug!$C$5)*Arealanvendelse!J$36</f>
        <v>25678.880997566026</v>
      </c>
      <c r="D38" s="35">
        <f>VLOOKUP($B38,'[1]Afgrødefordeling - jordtype'!$O$4:$R$17,MATCH(D$4,'[1]Afgrødefordeling - jordtype'!$O$3:$R$3,0),FALSE)*(1-Landbrug!$C$5)*Arealanvendelse!K$36</f>
        <v>95.964200645574223</v>
      </c>
      <c r="E38" s="35">
        <f>VLOOKUP($B38,'[1]Afgrødefordeling - jordtype'!$O$4:$R$17,MATCH(E$4,'[1]Afgrødefordeling - jordtype'!$O$3:$R$3,0),FALSE)*(1-Landbrug!$C$5)*Arealanvendelse!L$36</f>
        <v>35.751038145066026</v>
      </c>
      <c r="F38" s="11">
        <f>(VLOOKUP($B38,'[1]Afgrødefordeling - jordtype'!$O$4:$R$17,MATCH(F$4,'[1]Afgrødefordeling - jordtype'!$O$3:$R$3,0),FALSE)+SUMIF(Landbrug!$B$32:$B$45,$B38,Landbrug!$G$32:$G$45))*(1-Landbrug!$D$5)*Arealanvendelse!M$36</f>
        <v>24960.063802661847</v>
      </c>
      <c r="G38" s="11">
        <f>IF($B38&lt;&gt;"Permanent græs",(1-VLOOKUP('Landbrugsareal - resultat'!G$4,Landbrug!$B$22:$E$23,MATCH('Landbrugsareal - resultat'!G$3,Landbrug!$B$21:$E$21,0),FALSE))*(VLOOKUP($B38,'[1]Afgrødefordeling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86.80218603605735</v>
      </c>
      <c r="H38" s="11">
        <f>IF($B38&lt;&gt;"Permanent græs",(1-VLOOKUP('Landbrugsareal - resultat'!H$4,Landbrug!$B$22:$E$23,MATCH('Landbrugsareal - resultat'!H$3,Landbrug!$B$21:$E$21,0),FALSE))*(VLOOKUP($B38,'[1]Afgrødefordeling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32.593822094509534</v>
      </c>
      <c r="I38" s="11">
        <f>(VLOOKUP($B38,'[1]Afgrødefordeling - jordtype'!$O$4:$R$17,MATCH(I$4,'[1]Afgrødefordeling - jordtype'!$O$3:$R$3,0),FALSE)+SUMIF(Landbrug!$B$32:$B$45,$B38,Landbrug!$H$32:$H$45))*(1-Landbrug!$E$5)*Arealanvendelse!P$36</f>
        <v>23645.856423202276</v>
      </c>
      <c r="J38" s="11">
        <f>IF($B38&lt;&gt;"Permanent græs",(1-VLOOKUP(J$4,Landbrug!$B$22:$E$23,MATCH(J$3,Landbrug!$B$21:$E$21,0),FALSE))*(VLOOKUP($B38,'[1]Afgrødefordeling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82.788212115314806</v>
      </c>
      <c r="K38" s="11">
        <f>IF($B38&lt;&gt;"Permanent græs",(1-VLOOKUP(K$4,Landbrug!$B$22:$E$23,MATCH(K$3,Landbrug!$B$21:$E$21,0),FALSE))*(VLOOKUP($B38,'[1]Afgrødefordeling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31.086593327133372</v>
      </c>
      <c r="L38" s="35">
        <f>VLOOKUP($B38,'[1]Afgrødefordeling - jordtype'!$O$4:$R$17,MATCH(C$4,'[1]Afgrødefordeling - jordtype'!$O$3:$R$3,0),FALSE)*(Landbrug!$C$5)*Arealanvendelse!J$36</f>
        <v>3283.3406094619722</v>
      </c>
      <c r="M38" s="35">
        <f>VLOOKUP($B38,'[1]Afgrødefordeling - jordtype'!$O$4:$R$17,MATCH(D$4,'[1]Afgrødefordeling - jordtype'!$O$3:$R$3,0),FALSE)*(Landbrug!$C$5)*Arealanvendelse!K$36</f>
        <v>12.270128011576354</v>
      </c>
      <c r="N38" s="35">
        <f>VLOOKUP($B38,'[1]Afgrødefordeling - jordtype'!$O$4:$R$17,MATCH(E$4,'[1]Afgrødefordeling - jordtype'!$O$3:$R$3,0),FALSE)*(Landbrug!$C$5)*Arealanvendelse!L$36</f>
        <v>4.5711818744455988</v>
      </c>
      <c r="O38" s="11">
        <f>(VLOOKUP($B38,'[1]Afgrødefordeling - jordtype'!$O$4:$R$17,MATCH(O$4,'[1]Afgrødefordeling - jordtype'!$O$3:$R$3,0),FALSE)+SUMIF(Landbrug!$B$32:$B$45,$B38,Landbrug!$G$32:$G$45))*(Landbrug!$D$5)*Arealanvendelse!M$36</f>
        <v>3895.5012871206354</v>
      </c>
      <c r="P38" s="11">
        <f>IF($B38&lt;&gt;"Permanent græs",(1-VLOOKUP('Landbrugsareal - resultat'!P$4,Landbrug!$B$22:$E$23,MATCH('Landbrugsareal - resultat'!P$3,Landbrug!$B$21:$E$21,0),FALSE))*(VLOOKUP($B38,'[1]Afgrødefordeling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13.547161982506061</v>
      </c>
      <c r="Q38" s="11">
        <f>IF($B38&lt;&gt;"Permanent græs",(1-VLOOKUP('Landbrugsareal - resultat'!Q$4,Landbrug!$B$22:$E$23,MATCH('Landbrugsareal - resultat'!Q$3,Landbrug!$B$21:$E$21,0),FALSE))*(VLOOKUP($B38,'[1]Afgrødefordeling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5.0868970898945518</v>
      </c>
      <c r="R38" s="11">
        <f>(VLOOKUP($B38,'[1]Afgrødefordeling - jordtype'!$O$4:$R$17,MATCH(R$4,'[1]Afgrødefordeling - jordtype'!$O$3:$R$3,0),FALSE)+SUMIF(Landbrug!$B$32:$B$45,$B38,Landbrug!$H$32:$H$45))*(Landbrug!$E$5)*Arealanvendelse!P$36</f>
        <v>5015.7877261338162</v>
      </c>
      <c r="S38" s="11">
        <f>IF($B38&lt;&gt;"Permanent græs",(1-VLOOKUP(S$4,Landbrug!$B$22:$E$23,MATCH(S$3,Landbrug!$B$21:$E$21,0),FALSE))*(VLOOKUP($B38,'[1]Afgrødefordeling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17.561135903248598</v>
      </c>
      <c r="T38" s="11">
        <f>IF($B38&lt;&gt;"Permanent græs",(1-VLOOKUP(T$4,Landbrug!$B$22:$E$23,MATCH(T$3,Landbrug!$B$21:$E$21,0),FALSE))*(VLOOKUP($B38,'[1]Afgrødefordeling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6.594125857270714</v>
      </c>
      <c r="U38" s="53"/>
    </row>
    <row r="39" spans="1:21" x14ac:dyDescent="0.55000000000000004">
      <c r="A39" s="56"/>
      <c r="B39" s="41" t="str">
        <f>[1]Afgrødefordeling!C9</f>
        <v>Majs</v>
      </c>
      <c r="C39" s="35">
        <f>VLOOKUP($B39,'[1]Afgrødefordeling - jordtype'!$O$4:$R$17,MATCH(C$4,'[1]Afgrødefordeling - jordtype'!$O$3:$R$3,0),FALSE)*(1-Landbrug!$C$5)*Arealanvendelse!J$36</f>
        <v>7262.9431424427694</v>
      </c>
      <c r="D39" s="35">
        <f>VLOOKUP($B39,'[1]Afgrødefordeling - jordtype'!$O$4:$R$17,MATCH(D$4,'[1]Afgrødefordeling - jordtype'!$O$3:$R$3,0),FALSE)*(1-Landbrug!$C$5)*Arealanvendelse!K$36</f>
        <v>102.31264680005847</v>
      </c>
      <c r="E39" s="35">
        <f>VLOOKUP($B39,'[1]Afgrødefordeling - jordtype'!$O$4:$R$17,MATCH(E$4,'[1]Afgrødefordeling - jordtype'!$O$3:$R$3,0),FALSE)*(1-Landbrug!$C$5)*Arealanvendelse!L$36</f>
        <v>36.720874835279488</v>
      </c>
      <c r="F39" s="11">
        <f>(VLOOKUP($B39,'[1]Afgrødefordeling - jordtype'!$O$4:$R$17,MATCH(F$4,'[1]Afgrødefordeling - jordtype'!$O$3:$R$3,0),FALSE)+SUMIF(Landbrug!$B$32:$B$45,$B39,Landbrug!$G$32:$G$45))*(1-Landbrug!$D$5)*Arealanvendelse!M$36</f>
        <v>7059.6348901519423</v>
      </c>
      <c r="G39" s="11">
        <f>IF($B39&lt;&gt;"Permanent græs",(1-VLOOKUP('Landbrugsareal - resultat'!G$4,Landbrug!$B$22:$E$23,MATCH('Landbrugsareal - resultat'!G$3,Landbrug!$B$21:$E$21,0),FALSE))*(VLOOKUP($B39,'[1]Afgrødefordeling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92.544525371292039</v>
      </c>
      <c r="H39" s="11">
        <f>IF($B39&lt;&gt;"Permanent græs",(1-VLOOKUP('Landbrugsareal - resultat'!H$4,Landbrug!$B$22:$E$23,MATCH('Landbrugsareal - resultat'!H$3,Landbrug!$B$21:$E$21,0),FALSE))*(VLOOKUP($B39,'[1]Afgrødefordeling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33.478011370728012</v>
      </c>
      <c r="I39" s="11">
        <f>(VLOOKUP($B39,'[1]Afgrødefordeling - jordtype'!$O$4:$R$17,MATCH(I$4,'[1]Afgrødefordeling - jordtype'!$O$3:$R$3,0),FALSE)+SUMIF(Landbrug!$B$32:$B$45,$B39,Landbrug!$H$32:$H$45))*(1-Landbrug!$E$5)*Arealanvendelse!P$36</f>
        <v>6687.9281372253527</v>
      </c>
      <c r="J39" s="11">
        <f>IF($B39&lt;&gt;"Permanent græs",(1-VLOOKUP(J$4,Landbrug!$B$22:$E$23,MATCH(J$3,Landbrug!$B$21:$E$21,0),FALSE))*(VLOOKUP($B39,'[1]Afgrødefordeling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88.265009747186056</v>
      </c>
      <c r="K39" s="11">
        <f>IF($B39&lt;&gt;"Permanent græs",(1-VLOOKUP(K$4,Landbrug!$B$22:$E$23,MATCH(K$3,Landbrug!$B$21:$E$21,0),FALSE))*(VLOOKUP($B39,'[1]Afgrødefordeling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31.92989523797759</v>
      </c>
      <c r="L39" s="35">
        <f>VLOOKUP($B39,'[1]Afgrødefordeling - jordtype'!$O$4:$R$17,MATCH(C$4,'[1]Afgrødefordeling - jordtype'!$O$3:$R$3,0),FALSE)*(Landbrug!$C$5)*Arealanvendelse!J$36</f>
        <v>928.65090834978378</v>
      </c>
      <c r="M39" s="35">
        <f>VLOOKUP($B39,'[1]Afgrødefordeling - jordtype'!$O$4:$R$17,MATCH(D$4,'[1]Afgrødefordeling - jordtype'!$O$3:$R$3,0),FALSE)*(Landbrug!$C$5)*Arealanvendelse!K$36</f>
        <v>13.0818499502378</v>
      </c>
      <c r="N39" s="35">
        <f>VLOOKUP($B39,'[1]Afgrødefordeling - jordtype'!$O$4:$R$17,MATCH(E$4,'[1]Afgrødefordeling - jordtype'!$O$3:$R$3,0),FALSE)*(Landbrug!$C$5)*Arealanvendelse!L$36</f>
        <v>4.6951866622642671</v>
      </c>
      <c r="O39" s="11">
        <f>(VLOOKUP($B39,'[1]Afgrødefordeling - jordtype'!$O$4:$R$17,MATCH(O$4,'[1]Afgrødefordeling - jordtype'!$O$3:$R$3,0),FALSE)+SUMIF(Landbrug!$B$32:$B$45,$B39,Landbrug!$G$32:$G$45))*(Landbrug!$D$5)*Arealanvendelse!M$36</f>
        <v>1101.7927285208236</v>
      </c>
      <c r="P39" s="11">
        <f>IF($B39&lt;&gt;"Permanent græs",(1-VLOOKUP('Landbrugsareal - resultat'!P$4,Landbrug!$B$22:$E$23,MATCH('Landbrugsareal - resultat'!P$3,Landbrug!$B$21:$E$21,0),FALSE))*(VLOOKUP($B39,'[1]Afgrødefordeling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14.443365231357719</v>
      </c>
      <c r="Q39" s="11">
        <f>IF($B39&lt;&gt;"Permanent græs",(1-VLOOKUP('Landbrugsareal - resultat'!Q$4,Landbrug!$B$22:$E$23,MATCH('Landbrugsareal - resultat'!Q$3,Landbrug!$B$21:$E$21,0),FALSE))*(VLOOKUP($B39,'[1]Afgrødefordeling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5.2248919480326963</v>
      </c>
      <c r="R39" s="11">
        <f>(VLOOKUP($B39,'[1]Afgrødefordeling - jordtype'!$O$4:$R$17,MATCH(R$4,'[1]Afgrødefordeling - jordtype'!$O$3:$R$3,0),FALSE)+SUMIF(Landbrug!$B$32:$B$45,$B39,Landbrug!$H$32:$H$45))*(Landbrug!$E$5)*Arealanvendelse!P$36</f>
        <v>1418.6514230478022</v>
      </c>
      <c r="S39" s="11">
        <f>IF($B39&lt;&gt;"Permanent græs",(1-VLOOKUP(S$4,Landbrug!$B$22:$E$23,MATCH(S$3,Landbrug!$B$21:$E$21,0),FALSE))*(VLOOKUP($B39,'[1]Afgrødefordeling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18.722880855463707</v>
      </c>
      <c r="T39" s="11">
        <f>IF($B39&lt;&gt;"Permanent græs",(1-VLOOKUP(T$4,Landbrug!$B$22:$E$23,MATCH(T$3,Landbrug!$B$21:$E$21,0),FALSE))*(VLOOKUP($B39,'[1]Afgrødefordeling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6.7730080807831241</v>
      </c>
      <c r="U39" s="53"/>
    </row>
    <row r="40" spans="1:21" x14ac:dyDescent="0.55000000000000004">
      <c r="A40" s="56"/>
      <c r="B40" s="41" t="str">
        <f>[1]Afgrødefordeling!C10</f>
        <v>Frugt</v>
      </c>
      <c r="C40" s="35">
        <f>VLOOKUP($B40,'[1]Afgrødefordeling - jordtype'!$O$4:$R$17,MATCH(C$4,'[1]Afgrødefordeling - jordtype'!$O$3:$R$3,0),FALSE)*(1-Landbrug!$C$5)*Arealanvendelse!J$36</f>
        <v>1689.9505584470551</v>
      </c>
      <c r="D40" s="35">
        <f>VLOOKUP($B40,'[1]Afgrødefordeling - jordtype'!$O$4:$R$17,MATCH(D$4,'[1]Afgrødefordeling - jordtype'!$O$3:$R$3,0),FALSE)*(1-Landbrug!$C$5)*Arealanvendelse!K$36</f>
        <v>22.070941108444988</v>
      </c>
      <c r="E40" s="35">
        <f>VLOOKUP($B40,'[1]Afgrødefordeling - jordtype'!$O$4:$R$17,MATCH(E$4,'[1]Afgrødefordeling - jordtype'!$O$3:$R$3,0),FALSE)*(1-Landbrug!$C$5)*Arealanvendelse!L$36</f>
        <v>13.325104800010324</v>
      </c>
      <c r="F40" s="11">
        <f>(VLOOKUP($B40,'[1]Afgrødefordeling - jordtype'!$O$4:$R$17,MATCH(F$4,'[1]Afgrødefordeling - jordtype'!$O$3:$R$3,0),FALSE)+SUMIF(Landbrug!$B$32:$B$45,$B40,Landbrug!$G$32:$G$45))*(1-Landbrug!$D$5)*Arealanvendelse!M$36</f>
        <v>1642.6445438249691</v>
      </c>
      <c r="G40" s="11">
        <f>IF($B40&lt;&gt;"Permanent græs",(1-VLOOKUP('Landbrugsareal - resultat'!G$4,Landbrug!$B$22:$E$23,MATCH('Landbrugsareal - resultat'!G$3,Landbrug!$B$21:$E$21,0),FALSE))*(VLOOKUP($B40,'[1]Afgrødefordeling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19.963756517514042</v>
      </c>
      <c r="H40" s="11">
        <f>IF($B40&lt;&gt;"Permanent græs",(1-VLOOKUP('Landbrugsareal - resultat'!H$4,Landbrug!$B$22:$E$23,MATCH('Landbrugsareal - resultat'!H$3,Landbrug!$B$21:$E$21,0),FALSE))*(VLOOKUP($B40,'[1]Afgrødefordeling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12.148349188628277</v>
      </c>
      <c r="I40" s="11">
        <f>(VLOOKUP($B40,'[1]Afgrødefordeling - jordtype'!$O$4:$R$17,MATCH(I$4,'[1]Afgrødefordeling - jordtype'!$O$3:$R$3,0),FALSE)+SUMIF(Landbrug!$B$32:$B$45,$B40,Landbrug!$H$32:$H$45))*(1-Landbrug!$E$5)*Arealanvendelse!P$36</f>
        <v>1556.1553586052762</v>
      </c>
      <c r="J40" s="11">
        <f>IF($B40&lt;&gt;"Permanent græs",(1-VLOOKUP(J$4,Landbrug!$B$22:$E$23,MATCH(J$3,Landbrug!$B$21:$E$21,0),FALSE))*(VLOOKUP($B40,'[1]Afgrødefordeling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19.040577025374667</v>
      </c>
      <c r="K40" s="11">
        <f>IF($B40&lt;&gt;"Permanent græs",(1-VLOOKUP(K$4,Landbrug!$B$22:$E$23,MATCH(K$3,Landbrug!$B$21:$E$21,0),FALSE))*(VLOOKUP($B40,'[1]Afgrødefordeling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11.586575815743734</v>
      </c>
      <c r="L40" s="35">
        <f>VLOOKUP($B40,'[1]Afgrødefordeling - jordtype'!$O$4:$R$17,MATCH(C$4,'[1]Afgrødefordeling - jordtype'!$O$3:$R$3,0),FALSE)*(Landbrug!$C$5)*Arealanvendelse!J$36</f>
        <v>216.07963746777307</v>
      </c>
      <c r="M40" s="35">
        <f>VLOOKUP($B40,'[1]Afgrødefordeling - jordtype'!$O$4:$R$17,MATCH(D$4,'[1]Afgrødefordeling - jordtype'!$O$3:$R$3,0),FALSE)*(Landbrug!$C$5)*Arealanvendelse!K$36</f>
        <v>2.8220239517940748</v>
      </c>
      <c r="N40" s="35">
        <f>VLOOKUP($B40,'[1]Afgrødefordeling - jordtype'!$O$4:$R$17,MATCH(E$4,'[1]Afgrødefordeling - jordtype'!$O$3:$R$3,0),FALSE)*(Landbrug!$C$5)*Arealanvendelse!L$36</f>
        <v>1.7037680777194875</v>
      </c>
      <c r="O40" s="11">
        <f>(VLOOKUP($B40,'[1]Afgrødefordeling - jordtype'!$O$4:$R$17,MATCH(O$4,'[1]Afgrødefordeling - jordtype'!$O$3:$R$3,0),FALSE)+SUMIF(Landbrug!$B$32:$B$45,$B40,Landbrug!$G$32:$G$45))*(Landbrug!$D$5)*Arealanvendelse!M$36</f>
        <v>256.36648949869465</v>
      </c>
      <c r="P40" s="11">
        <f>IF($B40&lt;&gt;"Permanent græs",(1-VLOOKUP('Landbrugsareal - resultat'!P$4,Landbrug!$B$22:$E$23,MATCH('Landbrugsareal - resultat'!P$3,Landbrug!$B$21:$E$21,0),FALSE))*(VLOOKUP($B40,'[1]Afgrødefordeling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3.1157307859704</v>
      </c>
      <c r="Q40" s="11">
        <f>IF($B40&lt;&gt;"Permanent græs",(1-VLOOKUP('Landbrugsareal - resultat'!Q$4,Landbrug!$B$22:$E$23,MATCH('Landbrugsareal - resultat'!Q$3,Landbrug!$B$21:$E$21,0),FALSE))*(VLOOKUP($B40,'[1]Afgrødefordeling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1.8959851334853384</v>
      </c>
      <c r="R40" s="11">
        <f>(VLOOKUP($B40,'[1]Afgrødefordeling - jordtype'!$O$4:$R$17,MATCH(R$4,'[1]Afgrødefordeling - jordtype'!$O$3:$R$3,0),FALSE)+SUMIF(Landbrug!$B$32:$B$45,$B40,Landbrug!$H$32:$H$45))*(Landbrug!$E$5)*Arealanvendelse!P$36</f>
        <v>330.09356091627075</v>
      </c>
      <c r="S40" s="11">
        <f>IF($B40&lt;&gt;"Permanent græs",(1-VLOOKUP(S$4,Landbrug!$B$22:$E$23,MATCH(S$3,Landbrug!$B$21:$E$21,0),FALSE))*(VLOOKUP($B40,'[1]Afgrødefordeling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4.0389102781097774</v>
      </c>
      <c r="T40" s="11">
        <f>IF($B40&lt;&gt;"Permanent græs",(1-VLOOKUP(T$4,Landbrug!$B$22:$E$23,MATCH(T$3,Landbrug!$B$21:$E$21,0),FALSE))*(VLOOKUP($B40,'[1]Afgrødefordeling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2.4577585063698826</v>
      </c>
      <c r="U40" s="53"/>
    </row>
    <row r="41" spans="1:21" x14ac:dyDescent="0.55000000000000004">
      <c r="A41" s="56"/>
      <c r="B41" s="41" t="str">
        <f>[1]Afgrødefordeling!C11</f>
        <v>Øvrige</v>
      </c>
      <c r="C41" s="35">
        <f>VLOOKUP($B41,'[1]Afgrødefordeling - jordtype'!$O$4:$R$17,MATCH(C$4,'[1]Afgrødefordeling - jordtype'!$O$3:$R$3,0),FALSE)*(1-Landbrug!$C$5)*Arealanvendelse!J$36</f>
        <v>12067.066633104925</v>
      </c>
      <c r="D41" s="35">
        <f>VLOOKUP($B41,'[1]Afgrødefordeling - jordtype'!$O$4:$R$17,MATCH(D$4,'[1]Afgrødefordeling - jordtype'!$O$3:$R$3,0),FALSE)*(1-Landbrug!$C$5)*Arealanvendelse!K$36</f>
        <v>157.59722417896069</v>
      </c>
      <c r="E41" s="35">
        <f>VLOOKUP($B41,'[1]Afgrødefordeling - jordtype'!$O$4:$R$17,MATCH(E$4,'[1]Afgrødefordeling - jordtype'!$O$3:$R$3,0),FALSE)*(1-Landbrug!$C$5)*Arealanvendelse!L$36</f>
        <v>95.147711103802934</v>
      </c>
      <c r="F41" s="11">
        <f>(VLOOKUP($B41,'[1]Afgrødefordeling - jordtype'!$O$4:$R$17,MATCH(F$4,'[1]Afgrødefordeling - jordtype'!$O$3:$R$3,0),FALSE)+SUMIF(Landbrug!$B$32:$B$45,$B41,Landbrug!$G$32:$G$45))*(1-Landbrug!$D$5)*Arealanvendelse!M$36</f>
        <v>11729.278744732668</v>
      </c>
      <c r="G41" s="11">
        <f>IF($B41&lt;&gt;"Permanent græs",(1-VLOOKUP('Landbrugsareal - resultat'!G$4,Landbrug!$B$22:$E$23,MATCH('Landbrugsareal - resultat'!G$3,Landbrug!$B$21:$E$21,0),FALSE))*(VLOOKUP($B41,'[1]Afgrødefordeling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142.55090419053352</v>
      </c>
      <c r="H41" s="11">
        <f>IF($B41&lt;&gt;"Permanent græs",(1-VLOOKUP('Landbrugsareal - resultat'!H$4,Landbrug!$B$22:$E$23,MATCH('Landbrugsareal - resultat'!H$3,Landbrug!$B$21:$E$21,0),FALSE))*(VLOOKUP($B41,'[1]Afgrødefordeling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86.745105298295798</v>
      </c>
      <c r="I41" s="11">
        <f>(VLOOKUP($B41,'[1]Afgrødefordeling - jordtype'!$O$4:$R$17,MATCH(I$4,'[1]Afgrødefordeling - jordtype'!$O$3:$R$3,0),FALSE)+SUMIF(Landbrug!$B$32:$B$45,$B41,Landbrug!$H$32:$H$45))*(1-Landbrug!$E$5)*Arealanvendelse!P$36</f>
        <v>11111.704013997321</v>
      </c>
      <c r="J41" s="11">
        <f>IF($B41&lt;&gt;"Permanent græs",(1-VLOOKUP(J$4,Landbrug!$B$22:$E$23,MATCH(J$3,Landbrug!$B$21:$E$21,0),FALSE))*(VLOOKUP($B41,'[1]Afgrødefordeling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135.9589548638036</v>
      </c>
      <c r="K41" s="11">
        <f>IF($B41&lt;&gt;"Permanent græs",(1-VLOOKUP(K$4,Landbrug!$B$22:$E$23,MATCH(K$3,Landbrug!$B$21:$E$21,0),FALSE))*(VLOOKUP($B41,'[1]Afgrødefordeling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82.733770949241659</v>
      </c>
      <c r="L41" s="35">
        <f>VLOOKUP($B41,'[1]Afgrødefordeling - jordtype'!$O$4:$R$17,MATCH(C$4,'[1]Afgrødefordeling - jordtype'!$O$3:$R$3,0),FALSE)*(Landbrug!$C$5)*Arealanvendelse!J$36</f>
        <v>1542.9134126721628</v>
      </c>
      <c r="M41" s="35">
        <f>VLOOKUP($B41,'[1]Afgrødefordeling - jordtype'!$O$4:$R$17,MATCH(D$4,'[1]Afgrødefordeling - jordtype'!$O$3:$R$3,0),FALSE)*(Landbrug!$C$5)*Arealanvendelse!K$36</f>
        <v>20.15061973044347</v>
      </c>
      <c r="N41" s="35">
        <f>VLOOKUP($B41,'[1]Afgrødefordeling - jordtype'!$O$4:$R$17,MATCH(E$4,'[1]Afgrødefordeling - jordtype'!$O$3:$R$3,0),FALSE)*(Landbrug!$C$5)*Arealanvendelse!L$36</f>
        <v>12.1657304223686</v>
      </c>
      <c r="O41" s="11">
        <f>(VLOOKUP($B41,'[1]Afgrødefordeling - jordtype'!$O$4:$R$17,MATCH(O$4,'[1]Afgrødefordeling - jordtype'!$O$3:$R$3,0),FALSE)+SUMIF(Landbrug!$B$32:$B$45,$B41,Landbrug!$G$32:$G$45))*(Landbrug!$D$5)*Arealanvendelse!M$36</f>
        <v>1830.5810757675265</v>
      </c>
      <c r="P41" s="11">
        <f>IF($B41&lt;&gt;"Permanent græs",(1-VLOOKUP('Landbrugsareal - resultat'!P$4,Landbrug!$B$22:$E$23,MATCH('Landbrugsareal - resultat'!P$3,Landbrug!$B$21:$E$21,0),FALSE))*(VLOOKUP($B41,'[1]Afgrødefordeling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22.247828977713322</v>
      </c>
      <c r="Q41" s="11">
        <f>IF($B41&lt;&gt;"Permanent græs",(1-VLOOKUP('Landbrugsareal - resultat'!Q$4,Landbrug!$B$22:$E$23,MATCH('Landbrugsareal - resultat'!Q$3,Landbrug!$B$21:$E$21,0),FALSE))*(VLOOKUP($B41,'[1]Afgrødefordeling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13.538253428057727</v>
      </c>
      <c r="R41" s="11">
        <f>(VLOOKUP($B41,'[1]Afgrødefordeling - jordtype'!$O$4:$R$17,MATCH(R$4,'[1]Afgrødefordeling - jordtype'!$O$3:$R$3,0),FALSE)+SUMIF(Landbrug!$B$32:$B$45,$B41,Landbrug!$H$32:$H$45))*(Landbrug!$E$5)*Arealanvendelse!P$36</f>
        <v>2357.0281241812504</v>
      </c>
      <c r="S41" s="11">
        <f>IF($B41&lt;&gt;"Permanent græs",(1-VLOOKUP(S$4,Landbrug!$B$22:$E$23,MATCH(S$3,Landbrug!$B$21:$E$21,0),FALSE))*(VLOOKUP($B41,'[1]Afgrødefordeling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28.839778304443193</v>
      </c>
      <c r="T41" s="11">
        <f>IF($B41&lt;&gt;"Permanent græs",(1-VLOOKUP(T$4,Landbrug!$B$22:$E$23,MATCH(T$3,Landbrug!$B$21:$E$21,0),FALSE))*(VLOOKUP($B41,'[1]Afgrødefordeling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17.549587777111867</v>
      </c>
      <c r="U41" s="53"/>
    </row>
    <row r="42" spans="1:21" x14ac:dyDescent="0.55000000000000004">
      <c r="A42" s="56"/>
      <c r="B42" s="41" t="str">
        <f>[1]Afgrødefordeling!C12</f>
        <v>Frø</v>
      </c>
      <c r="C42" s="35">
        <f>VLOOKUP($B42,'[1]Afgrødefordeling - jordtype'!$O$4:$R$17,MATCH(C$4,'[1]Afgrødefordeling - jordtype'!$O$3:$R$3,0),FALSE)*(1-Landbrug!$C$5)*Arealanvendelse!J$36</f>
        <v>37335.148248827281</v>
      </c>
      <c r="D42" s="35">
        <f>VLOOKUP($B42,'[1]Afgrødefordeling - jordtype'!$O$4:$R$17,MATCH(D$4,'[1]Afgrødefordeling - jordtype'!$O$3:$R$3,0),FALSE)*(1-Landbrug!$C$5)*Arealanvendelse!K$36</f>
        <v>1144.1483740031422</v>
      </c>
      <c r="E42" s="35">
        <f>VLOOKUP($B42,'[1]Afgrødefordeling - jordtype'!$O$4:$R$17,MATCH(E$4,'[1]Afgrødefordeling - jordtype'!$O$3:$R$3,0),FALSE)*(1-Landbrug!$C$5)*Arealanvendelse!L$36</f>
        <v>890.40917113569958</v>
      </c>
      <c r="F42" s="11">
        <f>(VLOOKUP($B42,'[1]Afgrødefordeling - jordtype'!$O$4:$R$17,MATCH(F$4,'[1]Afgrødefordeling - jordtype'!$O$3:$R$3,0),FALSE)+SUMIF(Landbrug!$B$32:$B$45,$B42,Landbrug!$G$32:$G$45))*(1-Landbrug!$D$5)*Arealanvendelse!M$36</f>
        <v>36290.042485141646</v>
      </c>
      <c r="G42" s="11">
        <f>IF($B42&lt;&gt;"Permanent græs",(1-VLOOKUP('Landbrugsareal - resultat'!G$4,Landbrug!$B$22:$E$23,MATCH('Landbrugsareal - resultat'!G$3,Landbrug!$B$21:$E$21,0),FALSE))*(VLOOKUP($B42,'[1]Afgrødefordeling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1034.9128044099805</v>
      </c>
      <c r="H42" s="11">
        <f>IF($B42&lt;&gt;"Permanent græs",(1-VLOOKUP('Landbrugsareal - resultat'!H$4,Landbrug!$B$22:$E$23,MATCH('Landbrugsareal - resultat'!H$3,Landbrug!$B$21:$E$21,0),FALSE))*(VLOOKUP($B42,'[1]Afgrødefordeling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811.77609437677165</v>
      </c>
      <c r="I42" s="11">
        <f>(VLOOKUP($B42,'[1]Afgrødefordeling - jordtype'!$O$4:$R$17,MATCH(I$4,'[1]Afgrødefordeling - jordtype'!$O$3:$R$3,0),FALSE)+SUMIF(Landbrug!$B$32:$B$45,$B42,Landbrug!$H$32:$H$45))*(1-Landbrug!$E$5)*Arealanvendelse!P$36</f>
        <v>34379.284483401752</v>
      </c>
      <c r="J42" s="11">
        <f>IF($B42&lt;&gt;"Permanent græs",(1-VLOOKUP(J$4,Landbrug!$B$22:$E$23,MATCH(J$3,Landbrug!$B$21:$E$21,0),FALSE))*(VLOOKUP($B42,'[1]Afgrødefordeling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987.0555648996924</v>
      </c>
      <c r="K42" s="11">
        <f>IF($B42&lt;&gt;"Permanent græs",(1-VLOOKUP(K$4,Landbrug!$B$22:$E$23,MATCH(K$3,Landbrug!$B$21:$E$21,0),FALSE))*(VLOOKUP($B42,'[1]Afgrødefordeling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774.23731544605391</v>
      </c>
      <c r="L42" s="35">
        <f>VLOOKUP($B42,'[1]Afgrødefordeling - jordtype'!$O$4:$R$17,MATCH(C$4,'[1]Afgrødefordeling - jordtype'!$O$3:$R$3,0),FALSE)*(Landbrug!$C$5)*Arealanvendelse!J$36</f>
        <v>4773.7285911047593</v>
      </c>
      <c r="M42" s="35">
        <f>VLOOKUP($B42,'[1]Afgrødefordeling - jordtype'!$O$4:$R$17,MATCH(D$4,'[1]Afgrødefordeling - jordtype'!$O$3:$R$3,0),FALSE)*(Landbrug!$C$5)*Arealanvendelse!K$36</f>
        <v>146.29254366537521</v>
      </c>
      <c r="N42" s="35">
        <f>VLOOKUP($B42,'[1]Afgrødefordeling - jordtype'!$O$4:$R$17,MATCH(E$4,'[1]Afgrødefordeling - jordtype'!$O$3:$R$3,0),FALSE)*(Landbrug!$C$5)*Arealanvendelse!L$36</f>
        <v>113.84906495358277</v>
      </c>
      <c r="O42" s="11">
        <f>(VLOOKUP($B42,'[1]Afgrødefordeling - jordtype'!$O$4:$R$17,MATCH(O$4,'[1]Afgrødefordeling - jordtype'!$O$3:$R$3,0),FALSE)+SUMIF(Landbrug!$B$32:$B$45,$B42,Landbrug!$G$32:$G$45))*(Landbrug!$D$5)*Arealanvendelse!M$36</f>
        <v>5663.7638560625701</v>
      </c>
      <c r="P42" s="11">
        <f>IF($B42&lt;&gt;"Permanent græs",(1-VLOOKUP('Landbrugsareal - resultat'!P$4,Landbrug!$B$22:$E$23,MATCH('Landbrugsareal - resultat'!P$3,Landbrug!$B$21:$E$21,0),FALSE))*(VLOOKUP($B42,'[1]Afgrødefordeling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161.51818334722239</v>
      </c>
      <c r="Q42" s="11">
        <f>IF($B42&lt;&gt;"Permanent græs",(1-VLOOKUP('Landbrugsareal - resultat'!Q$4,Landbrug!$B$22:$E$23,MATCH('Landbrugsareal - resultat'!Q$3,Landbrug!$B$21:$E$21,0),FALSE))*(VLOOKUP($B42,'[1]Afgrødefordeling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126.69337889117246</v>
      </c>
      <c r="R42" s="11">
        <f>(VLOOKUP($B42,'[1]Afgrødefordeling - jordtype'!$O$4:$R$17,MATCH(R$4,'[1]Afgrødefordeling - jordtype'!$O$3:$R$3,0),FALSE)+SUMIF(Landbrug!$B$32:$B$45,$B42,Landbrug!$H$32:$H$45))*(Landbrug!$E$5)*Arealanvendelse!P$36</f>
        <v>7292.5754964791595</v>
      </c>
      <c r="S42" s="11">
        <f>IF($B42&lt;&gt;"Permanent græs",(1-VLOOKUP(S$4,Landbrug!$B$22:$E$23,MATCH(S$3,Landbrug!$B$21:$E$21,0),FALSE))*(VLOOKUP($B42,'[1]Afgrødefordeling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209.3754228575105</v>
      </c>
      <c r="T42" s="11">
        <f>IF($B42&lt;&gt;"Permanent græs",(1-VLOOKUP(T$4,Landbrug!$B$22:$E$23,MATCH(T$3,Landbrug!$B$21:$E$21,0),FALSE))*(VLOOKUP($B42,'[1]Afgrødefordeling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164.23215782189024</v>
      </c>
      <c r="U42" s="53"/>
    </row>
    <row r="43" spans="1:21" x14ac:dyDescent="0.55000000000000004">
      <c r="A43" s="56"/>
      <c r="B43" s="42" t="str">
        <f>[1]Afgrødefordeling!C13</f>
        <v>Juletræer</v>
      </c>
      <c r="C43" s="35">
        <f>VLOOKUP($B43,'[1]Afgrødefordeling - jordtype'!$O$4:$R$17,MATCH(C$4,'[1]Afgrødefordeling - jordtype'!$O$3:$R$3,0),FALSE)*(1-Landbrug!$C$5)*Arealanvendelse!J$36</f>
        <v>2648.1429081925139</v>
      </c>
      <c r="D43" s="35">
        <f>VLOOKUP($B43,'[1]Afgrødefordeling - jordtype'!$O$4:$R$17,MATCH(D$4,'[1]Afgrødefordeling - jordtype'!$O$3:$R$3,0),FALSE)*(1-Landbrug!$C$5)*Arealanvendelse!K$36</f>
        <v>34.585039119234281</v>
      </c>
      <c r="E43" s="35">
        <f>VLOOKUP($B43,'[1]Afgrødefordeling - jordtype'!$O$4:$R$17,MATCH(E$4,'[1]Afgrødefordeling - jordtype'!$O$3:$R$3,0),FALSE)*(1-Landbrug!$C$5)*Arealanvendelse!L$36</f>
        <v>20.880363393290878</v>
      </c>
      <c r="F43" s="11">
        <f>(VLOOKUP($B43,'[1]Afgrødefordeling - jordtype'!$O$4:$R$17,MATCH(F$4,'[1]Afgrødefordeling - jordtype'!$O$3:$R$3,0),FALSE)+SUMIF(Landbrug!$B$32:$B$45,$B43,Landbrug!$G$32:$G$45))*(1-Landbrug!$D$5)*Arealanvendelse!M$36</f>
        <v>2574.0146524810302</v>
      </c>
      <c r="G43" s="11">
        <f>IF($B43&lt;&gt;"Permanent græs",(1-VLOOKUP('Landbrugsareal - resultat'!G$4,Landbrug!$B$22:$E$23,MATCH('Landbrugsareal - resultat'!G$3,Landbrug!$B$21:$E$21,0),FALSE))*(VLOOKUP($B43,'[1]Afgrødefordeling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31.283092856466656</v>
      </c>
      <c r="H43" s="11">
        <f>IF($B43&lt;&gt;"Permanent græs",(1-VLOOKUP('Landbrugsareal - resultat'!H$4,Landbrug!$B$22:$E$23,MATCH('Landbrugsareal - resultat'!H$3,Landbrug!$B$21:$E$21,0),FALSE))*(VLOOKUP($B43,'[1]Afgrødefordeling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19.036394046743428</v>
      </c>
      <c r="I43" s="11">
        <f>(VLOOKUP($B43,'[1]Afgrødefordeling - jordtype'!$O$4:$R$17,MATCH(I$4,'[1]Afgrødefordeling - jordtype'!$O$3:$R$3,0),FALSE)+SUMIF(Landbrug!$B$32:$B$45,$B43,Landbrug!$H$32:$H$45))*(1-Landbrug!$E$5)*Arealanvendelse!P$36</f>
        <v>2438.4865914202696</v>
      </c>
      <c r="J43" s="11">
        <f>IF($B43&lt;&gt;"Permanent græs",(1-VLOOKUP(J$4,Landbrug!$B$22:$E$23,MATCH(J$3,Landbrug!$B$21:$E$21,0),FALSE))*(VLOOKUP($B43,'[1]Afgrødefordeling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29.836475845762994</v>
      </c>
      <c r="K43" s="11">
        <f>IF($B43&lt;&gt;"Permanent græs",(1-VLOOKUP(K$4,Landbrug!$B$22:$E$23,MATCH(K$3,Landbrug!$B$21:$E$21,0),FALSE))*(VLOOKUP($B43,'[1]Afgrødefordeling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18.156098368281306</v>
      </c>
      <c r="L43" s="35">
        <f>VLOOKUP($B43,'[1]Afgrødefordeling - jordtype'!$O$4:$R$17,MATCH(C$4,'[1]Afgrødefordeling - jordtype'!$O$3:$R$3,0),FALSE)*(Landbrug!$C$5)*Arealanvendelse!J$36</f>
        <v>338.59556228136813</v>
      </c>
      <c r="M43" s="35">
        <f>VLOOKUP($B43,'[1]Afgrødefordeling - jordtype'!$O$4:$R$17,MATCH(D$4,'[1]Afgrødefordeling - jordtype'!$O$3:$R$3,0),FALSE)*(Landbrug!$C$5)*Arealanvendelse!K$36</f>
        <v>4.4220954733493292</v>
      </c>
      <c r="N43" s="35">
        <f>VLOOKUP($B43,'[1]Afgrødefordeling - jordtype'!$O$4:$R$17,MATCH(E$4,'[1]Afgrødefordeling - jordtype'!$O$3:$R$3,0),FALSE)*(Landbrug!$C$5)*Arealanvendelse!L$36</f>
        <v>2.6697948822619382</v>
      </c>
      <c r="O43" s="11">
        <f>(VLOOKUP($B43,'[1]Afgrødefordeling - jordtype'!$O$4:$R$17,MATCH(O$4,'[1]Afgrødefordeling - jordtype'!$O$3:$R$3,0),FALSE)+SUMIF(Landbrug!$B$32:$B$45,$B43,Landbrug!$G$32:$G$45))*(Landbrug!$D$5)*Arealanvendelse!M$36</f>
        <v>401.72483015599897</v>
      </c>
      <c r="P43" s="11">
        <f>IF($B43&lt;&gt;"Permanent græs",(1-VLOOKUP('Landbrugsareal - resultat'!P$4,Landbrug!$B$22:$E$23,MATCH('Landbrugsareal - resultat'!P$3,Landbrug!$B$21:$E$21,0),FALSE))*(VLOOKUP($B43,'[1]Afgrødefordeling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4.8823324111248541</v>
      </c>
      <c r="Q43" s="11">
        <f>IF($B43&lt;&gt;"Permanent græs",(1-VLOOKUP('Landbrugsareal - resultat'!Q$4,Landbrug!$B$22:$E$23,MATCH('Landbrugsareal - resultat'!Q$3,Landbrug!$B$21:$E$21,0),FALSE))*(VLOOKUP($B43,'[1]Afgrødefordeling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2.9709979148096681</v>
      </c>
      <c r="R43" s="11">
        <f>(VLOOKUP($B43,'[1]Afgrødefordeling - jordtype'!$O$4:$R$17,MATCH(R$4,'[1]Afgrødefordeling - jordtype'!$O$3:$R$3,0),FALSE)+SUMIF(Landbrug!$B$32:$B$45,$B43,Landbrug!$H$32:$H$45))*(Landbrug!$E$5)*Arealanvendelse!P$36</f>
        <v>517.25473151339054</v>
      </c>
      <c r="S43" s="11">
        <f>IF($B43&lt;&gt;"Permanent græs",(1-VLOOKUP(S$4,Landbrug!$B$22:$E$23,MATCH(S$3,Landbrug!$B$21:$E$21,0),FALSE))*(VLOOKUP($B43,'[1]Afgrødefordeling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6.3289494218285141</v>
      </c>
      <c r="T43" s="11">
        <f>IF($B43&lt;&gt;"Permanent græs",(1-VLOOKUP(T$4,Landbrug!$B$22:$E$23,MATCH(T$3,Landbrug!$B$21:$E$21,0),FALSE))*(VLOOKUP($B43,'[1]Afgrødefordeling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3.8512935932717913</v>
      </c>
      <c r="U43" s="53"/>
    </row>
    <row r="44" spans="1:21" x14ac:dyDescent="0.55000000000000004">
      <c r="A44" s="56"/>
      <c r="B44" s="42" t="str">
        <f>[1]Afgrødefordeling!C14</f>
        <v>Pil &amp; poppel</v>
      </c>
      <c r="C44" s="35">
        <f>VLOOKUP($B44,'[1]Afgrødefordeling - jordtype'!$O$4:$R$17,MATCH(C$4,'[1]Afgrødefordeling - jordtype'!$O$3:$R$3,0),FALSE)*(1-Landbrug!$C$5)*Arealanvendelse!J$36</f>
        <v>1258.7577822820135</v>
      </c>
      <c r="D44" s="35">
        <f>VLOOKUP($B44,'[1]Afgrødefordeling - jordtype'!$O$4:$R$17,MATCH(D$4,'[1]Afgrødefordeling - jordtype'!$O$3:$R$3,0),FALSE)*(1-Landbrug!$C$5)*Arealanvendelse!K$36</f>
        <v>73.402370173862749</v>
      </c>
      <c r="E44" s="35">
        <f>VLOOKUP($B44,'[1]Afgrødefordeling - jordtype'!$O$4:$R$17,MATCH(E$4,'[1]Afgrødefordeling - jordtype'!$O$3:$R$3,0),FALSE)*(1-Landbrug!$C$5)*Arealanvendelse!L$36</f>
        <v>63.693862522419288</v>
      </c>
      <c r="F44" s="11">
        <f>(VLOOKUP($B44,'[1]Afgrødefordeling - jordtype'!$O$4:$R$17,MATCH(F$4,'[1]Afgrødefordeling - jordtype'!$O$3:$R$3,0),FALSE)+SUMIF(Landbrug!$B$32:$B$45,$B44,Landbrug!$G$32:$G$45))*(1-Landbrug!$D$5)*Arealanvendelse!M$36</f>
        <v>1223.5219502296152</v>
      </c>
      <c r="G44" s="11">
        <f>IF($B44&lt;&gt;"Permanent græs",(1-VLOOKUP('Landbrugsareal - resultat'!G$4,Landbrug!$B$22:$E$23,MATCH('Landbrugsareal - resultat'!G$3,Landbrug!$B$21:$E$21,0),FALSE))*(VLOOKUP($B44,'[1]Afgrødefordeling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66.394406960686013</v>
      </c>
      <c r="H44" s="11">
        <f>IF($B44&lt;&gt;"Permanent græs",(1-VLOOKUP('Landbrugsareal - resultat'!H$4,Landbrug!$B$22:$E$23,MATCH('Landbrugsareal - resultat'!H$3,Landbrug!$B$21:$E$21,0),FALSE))*(VLOOKUP($B44,'[1]Afgrødefordeling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58.068982924189378</v>
      </c>
      <c r="I44" s="11">
        <f>(VLOOKUP($B44,'[1]Afgrødefordeling - jordtype'!$O$4:$R$17,MATCH(I$4,'[1]Afgrødefordeling - jordtype'!$O$3:$R$3,0),FALSE)+SUMIF(Landbrug!$B$32:$B$45,$B44,Landbrug!$H$32:$H$45))*(1-Landbrug!$E$5)*Arealanvendelse!P$36</f>
        <v>1159.1005774063997</v>
      </c>
      <c r="J44" s="11">
        <f>IF($B44&lt;&gt;"Permanent græs",(1-VLOOKUP(J$4,Landbrug!$B$22:$E$23,MATCH(J$3,Landbrug!$B$21:$E$21,0),FALSE))*(VLOOKUP($B44,'[1]Afgrødefordeling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63.324145367128274</v>
      </c>
      <c r="K44" s="11">
        <f>IF($B44&lt;&gt;"Permanent græs",(1-VLOOKUP(K$4,Landbrug!$B$22:$E$23,MATCH(K$3,Landbrug!$B$21:$E$21,0),FALSE))*(VLOOKUP($B44,'[1]Afgrødefordeling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55.383712037521661</v>
      </c>
      <c r="L44" s="35">
        <f>VLOOKUP($B44,'[1]Afgrødefordeling - jordtype'!$O$4:$R$17,MATCH(C$4,'[1]Afgrødefordeling - jordtype'!$O$3:$R$3,0),FALSE)*(Landbrug!$C$5)*Arealanvendelse!J$36</f>
        <v>160.94667615908057</v>
      </c>
      <c r="M44" s="35">
        <f>VLOOKUP($B44,'[1]Afgrødefordeling - jordtype'!$O$4:$R$17,MATCH(D$4,'[1]Afgrødefordeling - jordtype'!$O$3:$R$3,0),FALSE)*(Landbrug!$C$5)*Arealanvendelse!K$36</f>
        <v>9.3853382024492209</v>
      </c>
      <c r="N44" s="35">
        <f>VLOOKUP($B44,'[1]Afgrødefordeling - jordtype'!$O$4:$R$17,MATCH(E$4,'[1]Afgrødefordeling - jordtype'!$O$3:$R$3,0),FALSE)*(Landbrug!$C$5)*Arealanvendelse!L$36</f>
        <v>8.1439937126999205</v>
      </c>
      <c r="O44" s="11">
        <f>(VLOOKUP($B44,'[1]Afgrødefordeling - jordtype'!$O$4:$R$17,MATCH(O$4,'[1]Afgrødefordeling - jordtype'!$O$3:$R$3,0),FALSE)+SUMIF(Landbrug!$B$32:$B$45,$B44,Landbrug!$G$32:$G$45))*(Landbrug!$D$5)*Arealanvendelse!M$36</f>
        <v>190.95429281040239</v>
      </c>
      <c r="P44" s="11">
        <f>IF($B44&lt;&gt;"Permanent græs",(1-VLOOKUP('Landbrugsareal - resultat'!P$4,Landbrug!$B$22:$E$23,MATCH('Landbrugsareal - resultat'!P$3,Landbrug!$B$21:$E$21,0),FALSE))*(VLOOKUP($B44,'[1]Afgrødefordeling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10.362132878257356</v>
      </c>
      <c r="Q44" s="11">
        <f>IF($B44&lt;&gt;"Permanent græs",(1-VLOOKUP('Landbrugsareal - resultat'!Q$4,Landbrug!$B$22:$E$23,MATCH('Landbrugsareal - resultat'!Q$3,Landbrug!$B$21:$E$21,0),FALSE))*(VLOOKUP($B44,'[1]Afgrødefordeling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9.0627892425035448</v>
      </c>
      <c r="R44" s="11">
        <f>(VLOOKUP($B44,'[1]Afgrødefordeling - jordtype'!$O$4:$R$17,MATCH(R$4,'[1]Afgrødefordeling - jordtype'!$O$3:$R$3,0),FALSE)+SUMIF(Landbrug!$B$32:$B$45,$B44,Landbrug!$H$32:$H$45))*(Landbrug!$E$5)*Arealanvendelse!P$36</f>
        <v>245.86981944984234</v>
      </c>
      <c r="S44" s="11">
        <f>IF($B44&lt;&gt;"Permanent græs",(1-VLOOKUP(S$4,Landbrug!$B$22:$E$23,MATCH(S$3,Landbrug!$B$21:$E$21,0),FALSE))*(VLOOKUP($B44,'[1]Afgrødefordeling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13.432394471815089</v>
      </c>
      <c r="T44" s="11">
        <f>IF($B44&lt;&gt;"Permanent græs",(1-VLOOKUP(T$4,Landbrug!$B$22:$E$23,MATCH(T$3,Landbrug!$B$21:$E$21,0),FALSE))*(VLOOKUP($B44,'[1]Afgrødefordeling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11.748060129171261</v>
      </c>
      <c r="U44" s="53"/>
    </row>
    <row r="45" spans="1:21" x14ac:dyDescent="0.55000000000000004">
      <c r="A45" s="56"/>
      <c r="B45" s="42" t="str">
        <f>[1]Afgrødefordeling!C15</f>
        <v>Permanent græs</v>
      </c>
      <c r="C45" s="35">
        <f>VLOOKUP($B45,'[1]Afgrødefordeling - jordtype'!$O$4:$R$17,MATCH(C$4,'[1]Afgrødefordeling - jordtype'!$O$3:$R$3,0),FALSE)*(1-Landbrug!$C$5)*Arealanvendelse!J$36</f>
        <v>31352.142273239417</v>
      </c>
      <c r="D45" s="35">
        <f>VLOOKUP($B45,'[1]Afgrødefordeling - jordtype'!$O$4:$R$17,MATCH(D$4,'[1]Afgrødefordeling - jordtype'!$O$3:$R$3,0),FALSE)*(1-Landbrug!$C$5)*Arealanvendelse!K$36</f>
        <v>2143.8995874286088</v>
      </c>
      <c r="E45" s="35">
        <f>VLOOKUP($B45,'[1]Afgrødefordeling - jordtype'!$O$4:$R$17,MATCH(E$4,'[1]Afgrødefordeling - jordtype'!$O$3:$R$3,0),FALSE)*(1-Landbrug!$C$5)*Arealanvendelse!L$36</f>
        <v>2434.2808314981853</v>
      </c>
      <c r="F45" s="11">
        <f>(VLOOKUP($B45,'[1]Afgrødefordeling - jordtype'!$O$4:$R$17,MATCH(F$4,'[1]Afgrødefordeling - jordtype'!$O$3:$R$3,0),FALSE)+SUMIF(Landbrug!$B$32:$B$45,$B45,Landbrug!$G$32:$G$45))*(1-Landbrug!$D$5)*Arealanvendelse!M$36</f>
        <v>30474.516064946976</v>
      </c>
      <c r="G45" s="11">
        <f>IF($B45&lt;&gt;"Permanent græs",(1-VLOOKUP('Landbrugsareal - resultat'!G$4,Landbrug!$B$22:$E$23,MATCH('Landbrugsareal - resultat'!G$3,Landbrug!$B$21:$E$21,0),FALSE))*(VLOOKUP($B45,'[1]Afgrødefordeling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1924.2067363305678</v>
      </c>
      <c r="H45" s="11">
        <f>IF($B45&lt;&gt;"Permanent græs",(1-VLOOKUP('Landbrugsareal - resultat'!H$4,Landbrug!$B$22:$E$23,MATCH('Landbrugsareal - resultat'!H$3,Landbrug!$B$21:$E$21,0),FALSE))*(VLOOKUP($B45,'[1]Afgrødefordeling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2019.4268817975167</v>
      </c>
      <c r="I45" s="11">
        <f>(VLOOKUP($B45,'[1]Afgrødefordeling - jordtype'!$O$4:$R$17,MATCH(I$4,'[1]Afgrødefordeling - jordtype'!$O$3:$R$3,0),FALSE)+SUMIF(Landbrug!$B$32:$B$45,$B45,Landbrug!$H$32:$H$45))*(1-Landbrug!$E$5)*Arealanvendelse!P$36</f>
        <v>28869.959513543392</v>
      </c>
      <c r="J45" s="11">
        <f>IF($B45&lt;&gt;"Permanent græs",(1-VLOOKUP(J$4,Landbrug!$B$22:$E$23,MATCH(J$3,Landbrug!$B$21:$E$21,0),FALSE))*(VLOOKUP($B45,'[1]Afgrødefordeling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1835.2260780031424</v>
      </c>
      <c r="K45" s="11">
        <f>IF($B45&lt;&gt;"Permanent græs",(1-VLOOKUP(K$4,Landbrug!$B$22:$E$23,MATCH(K$3,Landbrug!$B$21:$E$21,0),FALSE))*(VLOOKUP($B45,'[1]Afgrødefordeling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1926.0429797490767</v>
      </c>
      <c r="L45" s="35">
        <f>VLOOKUP($B45,'[1]Afgrødefordeling - jordtype'!$O$4:$R$17,MATCH(C$4,'[1]Afgrødefordeling - jordtype'!$O$3:$R$3,0),FALSE)*(Landbrug!$C$5)*Arealanvendelse!J$36</f>
        <v>4008.7323870971445</v>
      </c>
      <c r="M45" s="35">
        <f>VLOOKUP($B45,'[1]Afgrødefordeling - jordtype'!$O$4:$R$17,MATCH(D$4,'[1]Afgrødefordeling - jordtype'!$O$3:$R$3,0),FALSE)*(Landbrug!$C$5)*Arealanvendelse!K$36</f>
        <v>274.12224772100956</v>
      </c>
      <c r="N45" s="35">
        <f>VLOOKUP($B45,'[1]Afgrødefordeling - jordtype'!$O$4:$R$17,MATCH(E$4,'[1]Afgrødefordeling - jordtype'!$O$3:$R$3,0),FALSE)*(Landbrug!$C$5)*Arealanvendelse!L$36</f>
        <v>311.25083330735572</v>
      </c>
      <c r="O45" s="11">
        <f>(VLOOKUP($B45,'[1]Afgrødefordeling - jordtype'!$O$4:$R$17,MATCH(O$4,'[1]Afgrødefordeling - jordtype'!$O$3:$R$3,0),FALSE)+SUMIF(Landbrug!$B$32:$B$45,$B45,Landbrug!$G$32:$G$45))*(Landbrug!$D$5)*Arealanvendelse!M$36</f>
        <v>4756.138345396349</v>
      </c>
      <c r="P45" s="11">
        <f>IF($B45&lt;&gt;"Permanent græs",(1-VLOOKUP('Landbrugsareal - resultat'!P$4,Landbrug!$B$22:$E$23,MATCH('Landbrugsareal - resultat'!P$3,Landbrug!$B$21:$E$21,0),FALSE))*(VLOOKUP($B45,'[1]Afgrødefordeling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300.30972185505971</v>
      </c>
      <c r="Q45" s="11">
        <f>IF($B45&lt;&gt;"Permanent græs",(1-VLOOKUP('Landbrugsareal - resultat'!Q$4,Landbrug!$B$22:$E$23,MATCH('Landbrugsareal - resultat'!Q$3,Landbrug!$B$21:$E$21,0),FALSE))*(VLOOKUP($B45,'[1]Afgrødefordeling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315.17066941348531</v>
      </c>
      <c r="R45" s="11">
        <f>(VLOOKUP($B45,'[1]Afgrødefordeling - jordtype'!$O$4:$R$17,MATCH(R$4,'[1]Afgrødefordeling - jordtype'!$O$3:$R$3,0),FALSE)+SUMIF(Landbrug!$B$32:$B$45,$B45,Landbrug!$H$32:$H$45))*(Landbrug!$E$5)*Arealanvendelse!P$36</f>
        <v>6123.9308059031428</v>
      </c>
      <c r="S45" s="11">
        <f>IF($B45&lt;&gt;"Permanent græs",(1-VLOOKUP(S$4,Landbrug!$B$22:$E$23,MATCH(S$3,Landbrug!$B$21:$E$21,0),FALSE))*(VLOOKUP($B45,'[1]Afgrødefordeling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389.29038018248474</v>
      </c>
      <c r="T45" s="11">
        <f>IF($B45&lt;&gt;"Permanent græs",(1-VLOOKUP(T$4,Landbrug!$B$22:$E$23,MATCH(T$3,Landbrug!$B$21:$E$21,0),FALSE))*(VLOOKUP($B45,'[1]Afgrødefordeling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408.55457146192538</v>
      </c>
      <c r="U45" s="53"/>
    </row>
    <row r="46" spans="1:21" ht="14.7" thickBot="1" x14ac:dyDescent="0.6">
      <c r="A46" s="56"/>
      <c r="B46" s="44" t="s">
        <v>30</v>
      </c>
      <c r="C46" s="36">
        <f t="shared" ref="C46:T46" si="3">SUM(C32:C45)</f>
        <v>489572.87324454018</v>
      </c>
      <c r="D46" s="37">
        <f t="shared" si="3"/>
        <v>8669.6445113803693</v>
      </c>
      <c r="E46" s="37">
        <f t="shared" si="3"/>
        <v>6748.5585303208809</v>
      </c>
      <c r="F46" s="38">
        <f t="shared" si="3"/>
        <v>475868.48326430004</v>
      </c>
      <c r="G46" s="38">
        <f t="shared" si="3"/>
        <v>7826.9175503849756</v>
      </c>
      <c r="H46" s="38">
        <f t="shared" si="3"/>
        <v>5952.7056641129202</v>
      </c>
      <c r="I46" s="38">
        <f t="shared" si="3"/>
        <v>450812.86332267628</v>
      </c>
      <c r="J46" s="38">
        <f t="shared" si="3"/>
        <v>7464.9791665521425</v>
      </c>
      <c r="K46" s="39">
        <f t="shared" si="3"/>
        <v>5677.4360380267753</v>
      </c>
      <c r="L46" s="36">
        <f t="shared" si="3"/>
        <v>62597.528925311737</v>
      </c>
      <c r="M46" s="37">
        <f t="shared" si="3"/>
        <v>1108.5138755272228</v>
      </c>
      <c r="N46" s="37">
        <f t="shared" si="3"/>
        <v>862.88091291960029</v>
      </c>
      <c r="O46" s="38">
        <f t="shared" si="3"/>
        <v>74268.491607723146</v>
      </c>
      <c r="P46" s="38">
        <f t="shared" si="3"/>
        <v>1221.5420454358052</v>
      </c>
      <c r="Q46" s="38">
        <f t="shared" si="3"/>
        <v>929.03498804074502</v>
      </c>
      <c r="R46" s="38">
        <f t="shared" si="3"/>
        <v>95626.971007840431</v>
      </c>
      <c r="S46" s="38">
        <f t="shared" si="3"/>
        <v>1583.4804292686365</v>
      </c>
      <c r="T46" s="39">
        <f t="shared" si="3"/>
        <v>1204.3046141268915</v>
      </c>
      <c r="U46" s="53"/>
    </row>
    <row r="47" spans="1:21" ht="14.7" thickBot="1" x14ac:dyDescent="0.6">
      <c r="A47" s="56"/>
      <c r="B47" s="59"/>
      <c r="C47" s="52"/>
      <c r="D47" s="52"/>
      <c r="E47" s="52"/>
      <c r="F47" s="52"/>
      <c r="G47" s="52"/>
      <c r="H47" s="52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3"/>
    </row>
    <row r="48" spans="1:21" x14ac:dyDescent="0.55000000000000004">
      <c r="A48" s="56"/>
      <c r="B48" s="49"/>
      <c r="C48" s="344" t="s">
        <v>7</v>
      </c>
      <c r="D48" s="345"/>
      <c r="E48" s="346"/>
      <c r="F48" s="347" t="s">
        <v>8</v>
      </c>
      <c r="G48" s="345"/>
      <c r="H48" s="346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3"/>
    </row>
    <row r="49" spans="1:21" x14ac:dyDescent="0.55000000000000004">
      <c r="A49" s="56"/>
      <c r="B49" s="32" t="s">
        <v>26</v>
      </c>
      <c r="C49" s="29">
        <f>År1</f>
        <v>2019</v>
      </c>
      <c r="D49" s="25">
        <f>År2</f>
        <v>2030</v>
      </c>
      <c r="E49" s="30">
        <f>År3</f>
        <v>2050</v>
      </c>
      <c r="F49" s="33">
        <f>År1</f>
        <v>2019</v>
      </c>
      <c r="G49" s="25">
        <f>År2</f>
        <v>2030</v>
      </c>
      <c r="H49" s="30">
        <f>År3</f>
        <v>2050</v>
      </c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3"/>
    </row>
    <row r="50" spans="1:21" x14ac:dyDescent="0.55000000000000004">
      <c r="A50" s="56"/>
      <c r="B50" s="31" t="s">
        <v>22</v>
      </c>
      <c r="C50" s="35">
        <f>SUM([1]Dyrehold!$E$22:$E$23)-F50</f>
        <v>1541102</v>
      </c>
      <c r="D50" s="11">
        <f>SUM([1]Dyrehold!$E$22:$E$23)-G50</f>
        <v>1532729.9904525669</v>
      </c>
      <c r="E50" s="23">
        <f>SUM([1]Dyrehold!$E$22:$E$23)-H50</f>
        <v>1517250.402620316</v>
      </c>
      <c r="F50" s="50">
        <f>SUM([1]Dyrehold!C58:D61)</f>
        <v>15447</v>
      </c>
      <c r="G50" s="11">
        <f>$F50/Landbrug!$C6*Landbrug!D6</f>
        <v>23819.009547433063</v>
      </c>
      <c r="H50" s="23">
        <f>$F50/Landbrug!$C6*Landbrug!E6</f>
        <v>39298.597379684077</v>
      </c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3"/>
    </row>
    <row r="51" spans="1:21" x14ac:dyDescent="0.55000000000000004">
      <c r="A51" s="56"/>
      <c r="B51" s="31" t="s">
        <v>3</v>
      </c>
      <c r="C51" s="35">
        <f>SUM([1]Dyrehold!$D$22:$D$23)-F51</f>
        <v>82455</v>
      </c>
      <c r="D51" s="11">
        <f>SUM([1]Dyrehold!$D$22:$D$23)-G51</f>
        <v>80080.142534636136</v>
      </c>
      <c r="E51" s="23">
        <f>SUM([1]Dyrehold!$D$22:$D$23)-H51</f>
        <v>75689.10421630925</v>
      </c>
      <c r="F51" s="50">
        <f>SUM([1]Dyrehold!C36:D51)</f>
        <v>16513</v>
      </c>
      <c r="G51" s="11">
        <f>$F51/Landbrug!$C7*Landbrug!D7</f>
        <v>18887.857465363868</v>
      </c>
      <c r="H51" s="23">
        <f>$F51/Landbrug!$C7*Landbrug!E7</f>
        <v>23278.89578369075</v>
      </c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3"/>
    </row>
    <row r="52" spans="1:21" ht="14.7" thickBot="1" x14ac:dyDescent="0.6">
      <c r="A52" s="56"/>
      <c r="B52" s="46" t="s">
        <v>4</v>
      </c>
      <c r="C52" s="48">
        <f>SUM([1]Dyrehold!$F$22:$F$23)-F52</f>
        <v>1570560</v>
      </c>
      <c r="D52" s="16">
        <f>SUM([1]Dyrehold!$F$22:$F$23)-G52</f>
        <v>1537834.5897597643</v>
      </c>
      <c r="E52" s="24">
        <f>SUM([1]Dyrehold!$F$22:$F$23)-H52</f>
        <v>1477326.3140238035</v>
      </c>
      <c r="F52" s="51">
        <f>SUM([1]Dyrehold!C65:D78)</f>
        <v>214987</v>
      </c>
      <c r="G52" s="16">
        <f>$F52/Landbrug!$C8*Landbrug!D8</f>
        <v>247712.41024023574</v>
      </c>
      <c r="H52" s="24">
        <f>$F52/Landbrug!$C8*Landbrug!E8</f>
        <v>308220.6859761966</v>
      </c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3"/>
    </row>
    <row r="53" spans="1:21" ht="14.7" thickBot="1" x14ac:dyDescent="0.6">
      <c r="A53" s="57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5"/>
    </row>
  </sheetData>
  <mergeCells count="10">
    <mergeCell ref="A1:U1"/>
    <mergeCell ref="A28:U28"/>
    <mergeCell ref="L2:T2"/>
    <mergeCell ref="C29:K29"/>
    <mergeCell ref="L29:T29"/>
    <mergeCell ref="C48:E48"/>
    <mergeCell ref="F48:H48"/>
    <mergeCell ref="C2:K2"/>
    <mergeCell ref="C21:E21"/>
    <mergeCell ref="F21:H2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C476A-BD1E-46EB-AF87-9CAC64BD1BC0}">
  <sheetPr codeName="Sheet33">
    <tabColor theme="8" tint="0.79998168889431442"/>
  </sheetPr>
  <dimension ref="A3:K14"/>
  <sheetViews>
    <sheetView workbookViewId="0">
      <selection activeCell="B5" sqref="B5:AG23"/>
    </sheetView>
  </sheetViews>
  <sheetFormatPr defaultRowHeight="14.4" x14ac:dyDescent="0.55000000000000004"/>
  <cols>
    <col min="1" max="1" width="45.578125" bestFit="1" customWidth="1"/>
    <col min="2" max="2" width="21.15625" bestFit="1" customWidth="1"/>
    <col min="3" max="3" width="8.41796875" bestFit="1" customWidth="1"/>
    <col min="4" max="4" width="13.26171875" bestFit="1" customWidth="1"/>
    <col min="5" max="5" width="11.83984375" bestFit="1" customWidth="1"/>
    <col min="6" max="6" width="12.68359375" bestFit="1" customWidth="1"/>
    <col min="7" max="7" width="14.41796875" bestFit="1" customWidth="1"/>
    <col min="8" max="8" width="8.578125" bestFit="1" customWidth="1"/>
    <col min="9" max="9" width="10.15625" bestFit="1" customWidth="1"/>
    <col min="10" max="10" width="17.68359375" bestFit="1" customWidth="1"/>
    <col min="11" max="11" width="11.26171875" bestFit="1" customWidth="1"/>
    <col min="12" max="12" width="6.41796875" bestFit="1" customWidth="1"/>
    <col min="13" max="13" width="10.15625" bestFit="1" customWidth="1"/>
    <col min="14" max="14" width="13" bestFit="1" customWidth="1"/>
    <col min="15" max="15" width="11.68359375" bestFit="1" customWidth="1"/>
    <col min="16" max="16" width="19" bestFit="1" customWidth="1"/>
    <col min="17" max="17" width="11.41796875" bestFit="1" customWidth="1"/>
    <col min="18" max="18" width="34.41796875" bestFit="1" customWidth="1"/>
    <col min="19" max="19" width="29.26171875" bestFit="1" customWidth="1"/>
    <col min="20" max="21" width="11.68359375" bestFit="1" customWidth="1"/>
    <col min="22" max="22" width="8.41796875" bestFit="1" customWidth="1"/>
    <col min="23" max="23" width="7.83984375" bestFit="1" customWidth="1"/>
    <col min="24" max="24" width="10.68359375" bestFit="1" customWidth="1"/>
    <col min="25" max="25" width="11.83984375" bestFit="1" customWidth="1"/>
    <col min="26" max="26" width="11.68359375" bestFit="1" customWidth="1"/>
    <col min="27" max="27" width="12.15625" bestFit="1" customWidth="1"/>
    <col min="28" max="28" width="11.68359375" bestFit="1" customWidth="1"/>
    <col min="29" max="29" width="14.26171875" bestFit="1" customWidth="1"/>
    <col min="30" max="30" width="11.68359375" bestFit="1" customWidth="1"/>
    <col min="31" max="31" width="7.83984375" bestFit="1" customWidth="1"/>
    <col min="32" max="32" width="6" bestFit="1" customWidth="1"/>
    <col min="33" max="33" width="11.68359375" bestFit="1" customWidth="1"/>
    <col min="34" max="34" width="7.26171875" bestFit="1" customWidth="1"/>
    <col min="35" max="35" width="4.578125" bestFit="1" customWidth="1"/>
    <col min="36" max="36" width="11.68359375" bestFit="1" customWidth="1"/>
    <col min="37" max="37" width="18.83984375" bestFit="1" customWidth="1"/>
    <col min="38" max="38" width="18.41796875" bestFit="1" customWidth="1"/>
    <col min="39" max="39" width="14.26171875" bestFit="1" customWidth="1"/>
    <col min="40" max="40" width="11.68359375" bestFit="1" customWidth="1"/>
    <col min="41" max="41" width="8.15625" bestFit="1" customWidth="1"/>
    <col min="42" max="42" width="4.578125" bestFit="1" customWidth="1"/>
    <col min="43" max="43" width="12.578125" bestFit="1" customWidth="1"/>
    <col min="44" max="44" width="11.68359375" bestFit="1" customWidth="1"/>
    <col min="45" max="45" width="12.26171875" bestFit="1" customWidth="1"/>
    <col min="46" max="46" width="8.41796875" bestFit="1" customWidth="1"/>
    <col min="47" max="48" width="11.68359375" bestFit="1" customWidth="1"/>
    <col min="49" max="49" width="11" bestFit="1" customWidth="1"/>
    <col min="50" max="50" width="12" bestFit="1" customWidth="1"/>
    <col min="51" max="51" width="12.15625" bestFit="1" customWidth="1"/>
    <col min="52" max="52" width="11.15625" bestFit="1" customWidth="1"/>
    <col min="53" max="53" width="3.83984375" bestFit="1" customWidth="1"/>
    <col min="54" max="55" width="12" bestFit="1" customWidth="1"/>
    <col min="56" max="56" width="10.83984375" bestFit="1" customWidth="1"/>
    <col min="57" max="57" width="12" bestFit="1" customWidth="1"/>
    <col min="58" max="58" width="15.41796875" bestFit="1" customWidth="1"/>
    <col min="59" max="59" width="13.15625" bestFit="1" customWidth="1"/>
    <col min="60" max="60" width="8.83984375" bestFit="1" customWidth="1"/>
    <col min="61" max="61" width="12" bestFit="1" customWidth="1"/>
    <col min="62" max="62" width="13.26171875" bestFit="1" customWidth="1"/>
    <col min="63" max="63" width="12" bestFit="1" customWidth="1"/>
    <col min="64" max="64" width="13.83984375" bestFit="1" customWidth="1"/>
    <col min="65" max="65" width="11" bestFit="1" customWidth="1"/>
    <col min="66" max="66" width="16" bestFit="1" customWidth="1"/>
    <col min="67" max="67" width="10" bestFit="1" customWidth="1"/>
    <col min="68" max="68" width="8.68359375" bestFit="1" customWidth="1"/>
    <col min="69" max="69" width="12" bestFit="1" customWidth="1"/>
    <col min="70" max="70" width="8.15625" bestFit="1" customWidth="1"/>
    <col min="71" max="72" width="12" bestFit="1" customWidth="1"/>
    <col min="73" max="73" width="21" bestFit="1" customWidth="1"/>
    <col min="74" max="74" width="20.68359375" bestFit="1" customWidth="1"/>
    <col min="75" max="75" width="16" bestFit="1" customWidth="1"/>
    <col min="76" max="76" width="12" bestFit="1" customWidth="1"/>
    <col min="78" max="78" width="5.15625" bestFit="1" customWidth="1"/>
    <col min="79" max="79" width="12.83984375" bestFit="1" customWidth="1"/>
    <col min="80" max="80" width="13.83984375" bestFit="1" customWidth="1"/>
    <col min="81" max="81" width="12" bestFit="1" customWidth="1"/>
    <col min="82" max="82" width="12.578125" bestFit="1" customWidth="1"/>
    <col min="83" max="83" width="5.578125" bestFit="1" customWidth="1"/>
    <col min="84" max="84" width="12.26171875" bestFit="1" customWidth="1"/>
    <col min="85" max="85" width="14.578125" bestFit="1" customWidth="1"/>
    <col min="86" max="86" width="9.578125" bestFit="1" customWidth="1"/>
    <col min="87" max="87" width="6.83984375" bestFit="1" customWidth="1"/>
    <col min="88" max="88" width="14" bestFit="1" customWidth="1"/>
    <col min="89" max="89" width="12" bestFit="1" customWidth="1"/>
    <col min="90" max="90" width="34.68359375" bestFit="1" customWidth="1"/>
    <col min="91" max="91" width="29.83984375" bestFit="1" customWidth="1"/>
  </cols>
  <sheetData>
    <row r="3" spans="1:11" x14ac:dyDescent="0.55000000000000004">
      <c r="B3" s="77" t="s">
        <v>62</v>
      </c>
    </row>
    <row r="4" spans="1:11" x14ac:dyDescent="0.55000000000000004">
      <c r="A4" s="77" t="s">
        <v>60</v>
      </c>
      <c r="B4" s="172" t="s">
        <v>233</v>
      </c>
      <c r="C4" s="172" t="s">
        <v>159</v>
      </c>
      <c r="D4" s="172" t="s">
        <v>227</v>
      </c>
      <c r="E4" s="172" t="s">
        <v>230</v>
      </c>
      <c r="F4" s="172" t="s">
        <v>229</v>
      </c>
      <c r="G4" s="172" t="s">
        <v>225</v>
      </c>
      <c r="H4" s="172" t="s">
        <v>234</v>
      </c>
      <c r="I4" s="172" t="s">
        <v>228</v>
      </c>
      <c r="J4" s="172" t="s">
        <v>329</v>
      </c>
      <c r="K4" s="172" t="s">
        <v>61</v>
      </c>
    </row>
    <row r="5" spans="1:11" x14ac:dyDescent="0.55000000000000004">
      <c r="A5" s="78" t="s">
        <v>299</v>
      </c>
      <c r="B5" s="246"/>
      <c r="C5" s="246"/>
      <c r="D5" s="246"/>
      <c r="E5" s="246"/>
      <c r="F5" s="246"/>
      <c r="G5" s="246"/>
      <c r="H5" s="246"/>
      <c r="I5" s="246"/>
      <c r="J5" s="246"/>
      <c r="K5" s="246"/>
    </row>
    <row r="6" spans="1:11" x14ac:dyDescent="0.55000000000000004">
      <c r="A6" s="79">
        <v>2019</v>
      </c>
      <c r="B6" s="246">
        <v>17.543930524502301</v>
      </c>
      <c r="C6" s="246">
        <v>0</v>
      </c>
      <c r="D6" s="246">
        <v>0</v>
      </c>
      <c r="E6" s="246">
        <v>19.573590488557194</v>
      </c>
      <c r="F6" s="246">
        <v>0</v>
      </c>
      <c r="G6" s="246">
        <v>0</v>
      </c>
      <c r="H6" s="246">
        <v>0.15196335107036851</v>
      </c>
      <c r="I6" s="246">
        <v>47.489094924341849</v>
      </c>
      <c r="J6" s="246">
        <v>0</v>
      </c>
      <c r="K6" s="246">
        <v>84.758579288471708</v>
      </c>
    </row>
    <row r="7" spans="1:11" x14ac:dyDescent="0.55000000000000004">
      <c r="A7" s="79">
        <v>2030</v>
      </c>
      <c r="B7" s="246">
        <v>19.810752704992638</v>
      </c>
      <c r="C7" s="246">
        <v>0</v>
      </c>
      <c r="D7" s="246">
        <v>19.850360529489279</v>
      </c>
      <c r="E7" s="246">
        <v>26.93090541898259</v>
      </c>
      <c r="F7" s="246">
        <v>0.14905139749376281</v>
      </c>
      <c r="G7" s="246">
        <v>2.5858784763692717</v>
      </c>
      <c r="H7" s="246">
        <v>7.9766231601288453</v>
      </c>
      <c r="I7" s="246">
        <v>45.280222691386172</v>
      </c>
      <c r="J7" s="246">
        <v>0</v>
      </c>
      <c r="K7" s="246">
        <v>122.58379437884255</v>
      </c>
    </row>
    <row r="8" spans="1:11" x14ac:dyDescent="0.55000000000000004">
      <c r="A8" s="79">
        <v>2050</v>
      </c>
      <c r="B8" s="246">
        <v>19.90496446847807</v>
      </c>
      <c r="C8" s="246">
        <v>0</v>
      </c>
      <c r="D8" s="246">
        <v>18.206836134418594</v>
      </c>
      <c r="E8" s="246">
        <v>24.858803548597574</v>
      </c>
      <c r="F8" s="246">
        <v>0.25889068207643468</v>
      </c>
      <c r="G8" s="246">
        <v>2.6714132137350775</v>
      </c>
      <c r="H8" s="246">
        <v>7.7078751185296177</v>
      </c>
      <c r="I8" s="246">
        <v>41.352452170508407</v>
      </c>
      <c r="J8" s="246">
        <v>0</v>
      </c>
      <c r="K8" s="246">
        <v>114.96123533634378</v>
      </c>
    </row>
    <row r="9" spans="1:11" x14ac:dyDescent="0.55000000000000004">
      <c r="A9" s="78" t="s">
        <v>248</v>
      </c>
      <c r="B9" s="246"/>
      <c r="C9" s="246"/>
      <c r="D9" s="246"/>
      <c r="E9" s="246"/>
      <c r="F9" s="246"/>
      <c r="G9" s="246"/>
      <c r="H9" s="246"/>
      <c r="I9" s="246"/>
      <c r="J9" s="246"/>
      <c r="K9" s="246"/>
    </row>
    <row r="10" spans="1:11" x14ac:dyDescent="0.55000000000000004">
      <c r="A10" s="79">
        <v>2019</v>
      </c>
      <c r="B10" s="246">
        <v>7.4504602234640007</v>
      </c>
      <c r="C10" s="246">
        <v>2.1694819870080004</v>
      </c>
      <c r="D10" s="246">
        <v>1.4201719861750002</v>
      </c>
      <c r="E10" s="246">
        <v>0.45076703431999998</v>
      </c>
      <c r="F10" s="246">
        <v>0</v>
      </c>
      <c r="G10" s="246">
        <v>5.0922829580050024</v>
      </c>
      <c r="H10" s="246">
        <v>0</v>
      </c>
      <c r="I10" s="246">
        <v>0</v>
      </c>
      <c r="J10" s="246">
        <v>0</v>
      </c>
      <c r="K10" s="246">
        <v>16.583164188972003</v>
      </c>
    </row>
    <row r="11" spans="1:11" x14ac:dyDescent="0.55000000000000004">
      <c r="A11" s="79">
        <v>2030</v>
      </c>
      <c r="B11" s="246">
        <v>5.332280506183527</v>
      </c>
      <c r="C11" s="246">
        <v>2.1694819870080004</v>
      </c>
      <c r="D11" s="246">
        <v>1.4201719861750004</v>
      </c>
      <c r="E11" s="246">
        <v>0.45076703431999993</v>
      </c>
      <c r="F11" s="246">
        <v>0</v>
      </c>
      <c r="G11" s="246">
        <v>12.53543651233441</v>
      </c>
      <c r="H11" s="246">
        <v>0</v>
      </c>
      <c r="I11" s="246">
        <v>0</v>
      </c>
      <c r="J11" s="246">
        <v>0</v>
      </c>
      <c r="K11" s="246">
        <v>21.908138026020939</v>
      </c>
    </row>
    <row r="12" spans="1:11" x14ac:dyDescent="0.55000000000000004">
      <c r="A12" s="79">
        <v>2050</v>
      </c>
      <c r="B12" s="246">
        <v>5.3961194056533506</v>
      </c>
      <c r="C12" s="246">
        <v>2.1694819870080004</v>
      </c>
      <c r="D12" s="246">
        <v>1.4201719861750002</v>
      </c>
      <c r="E12" s="246">
        <v>0.45076703432000004</v>
      </c>
      <c r="F12" s="246">
        <v>0</v>
      </c>
      <c r="G12" s="246">
        <v>12.420463246039292</v>
      </c>
      <c r="H12" s="246">
        <v>0</v>
      </c>
      <c r="I12" s="246">
        <v>0</v>
      </c>
      <c r="J12" s="246">
        <v>0</v>
      </c>
      <c r="K12" s="246">
        <v>21.857003659195644</v>
      </c>
    </row>
    <row r="13" spans="1:11" x14ac:dyDescent="0.55000000000000004">
      <c r="A13" s="78" t="s">
        <v>300</v>
      </c>
      <c r="B13" s="246">
        <v>57.259647697973008</v>
      </c>
      <c r="C13" s="246">
        <v>0</v>
      </c>
      <c r="D13" s="246">
        <v>38.057196663907874</v>
      </c>
      <c r="E13" s="246">
        <v>71.363299456137355</v>
      </c>
      <c r="F13" s="246">
        <v>0.40794207957019746</v>
      </c>
      <c r="G13" s="246">
        <v>5.2572916901043492</v>
      </c>
      <c r="H13" s="246">
        <v>15.836461629728831</v>
      </c>
      <c r="I13" s="246">
        <v>134.12176978623643</v>
      </c>
      <c r="J13" s="246">
        <v>0</v>
      </c>
      <c r="K13" s="246">
        <v>322.30360900365804</v>
      </c>
    </row>
    <row r="14" spans="1:11" x14ac:dyDescent="0.55000000000000004">
      <c r="A14" s="78" t="s">
        <v>249</v>
      </c>
      <c r="B14" s="246">
        <v>18.17886013530088</v>
      </c>
      <c r="C14" s="246">
        <v>6.5084459610240017</v>
      </c>
      <c r="D14" s="246">
        <v>4.2605159585250005</v>
      </c>
      <c r="E14" s="246">
        <v>1.3523011029600001</v>
      </c>
      <c r="F14" s="246">
        <v>0</v>
      </c>
      <c r="G14" s="246">
        <v>30.048182716378705</v>
      </c>
      <c r="H14" s="246">
        <v>0</v>
      </c>
      <c r="I14" s="246">
        <v>0</v>
      </c>
      <c r="J14" s="246">
        <v>0</v>
      </c>
      <c r="K14" s="246">
        <v>60.348305874188583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ACCB5-589F-4A6A-985D-1BACF45D511A}">
  <sheetPr codeName="Sheet13">
    <tabColor theme="8" tint="0.79998168889431442"/>
  </sheetPr>
  <dimension ref="A1:J6"/>
  <sheetViews>
    <sheetView workbookViewId="0">
      <selection activeCell="B5" sqref="B5:AG23"/>
    </sheetView>
  </sheetViews>
  <sheetFormatPr defaultRowHeight="14.4" x14ac:dyDescent="0.55000000000000004"/>
  <cols>
    <col min="1" max="1" width="32.83984375" bestFit="1" customWidth="1"/>
    <col min="2" max="2" width="21.15625" bestFit="1" customWidth="1"/>
    <col min="3" max="3" width="9" bestFit="1" customWidth="1"/>
    <col min="4" max="4" width="13.26171875" bestFit="1" customWidth="1"/>
    <col min="5" max="5" width="11.83984375" bestFit="1" customWidth="1"/>
    <col min="6" max="6" width="12.68359375" bestFit="1" customWidth="1"/>
    <col min="7" max="7" width="14.41796875" bestFit="1" customWidth="1"/>
    <col min="8" max="8" width="9" bestFit="1" customWidth="1"/>
    <col min="9" max="9" width="10.578125" bestFit="1" customWidth="1"/>
    <col min="10" max="11" width="11.578125" bestFit="1" customWidth="1"/>
    <col min="12" max="12" width="6.41796875" bestFit="1" customWidth="1"/>
    <col min="13" max="13" width="11" bestFit="1" customWidth="1"/>
    <col min="14" max="14" width="8.83984375" bestFit="1" customWidth="1"/>
    <col min="15" max="15" width="12" bestFit="1" customWidth="1"/>
    <col min="16" max="16" width="13.26171875" bestFit="1" customWidth="1"/>
    <col min="17" max="17" width="13.83984375" bestFit="1" customWidth="1"/>
    <col min="18" max="18" width="16" bestFit="1" customWidth="1"/>
    <col min="19" max="19" width="8.68359375" bestFit="1" customWidth="1"/>
    <col min="20" max="20" width="6.83984375" bestFit="1" customWidth="1"/>
    <col min="21" max="21" width="8.15625" bestFit="1" customWidth="1"/>
    <col min="22" max="22" width="5.15625" bestFit="1" customWidth="1"/>
    <col min="23" max="23" width="9.26171875" bestFit="1" customWidth="1"/>
    <col min="24" max="24" width="21" bestFit="1" customWidth="1"/>
    <col min="25" max="25" width="20.68359375" bestFit="1" customWidth="1"/>
    <col min="27" max="27" width="14" bestFit="1" customWidth="1"/>
    <col min="28" max="28" width="13.83984375" bestFit="1" customWidth="1"/>
    <col min="29" max="29" width="12" bestFit="1" customWidth="1"/>
    <col min="30" max="30" width="23" bestFit="1" customWidth="1"/>
    <col min="31" max="31" width="12" bestFit="1" customWidth="1"/>
    <col min="32" max="32" width="15.41796875" bestFit="1" customWidth="1"/>
    <col min="33" max="33" width="13.15625" bestFit="1" customWidth="1"/>
    <col min="34" max="34" width="16" bestFit="1" customWidth="1"/>
    <col min="35" max="35" width="26.26171875" bestFit="1" customWidth="1"/>
    <col min="36" max="36" width="10.26171875" bestFit="1" customWidth="1"/>
    <col min="37" max="37" width="13.41796875" bestFit="1" customWidth="1"/>
    <col min="38" max="38" width="15.15625" bestFit="1" customWidth="1"/>
    <col min="39" max="40" width="12" bestFit="1" customWidth="1"/>
    <col min="41" max="41" width="18.26171875" bestFit="1" customWidth="1"/>
    <col min="42" max="42" width="13.68359375" bestFit="1" customWidth="1"/>
    <col min="43" max="43" width="12" bestFit="1" customWidth="1"/>
    <col min="44" max="44" width="16.83984375" bestFit="1" customWidth="1"/>
    <col min="45" max="45" width="14.578125" bestFit="1" customWidth="1"/>
    <col min="46" max="46" width="12" bestFit="1" customWidth="1"/>
    <col min="47" max="47" width="17.83984375" bestFit="1" customWidth="1"/>
    <col min="48" max="48" width="16.26171875" bestFit="1" customWidth="1"/>
    <col min="49" max="49" width="12.15625" bestFit="1" customWidth="1"/>
    <col min="50" max="51" width="12" bestFit="1" customWidth="1"/>
    <col min="52" max="52" width="19.41796875" bestFit="1" customWidth="1"/>
    <col min="53" max="53" width="12" bestFit="1" customWidth="1"/>
    <col min="54" max="54" width="13.578125" bestFit="1" customWidth="1"/>
    <col min="55" max="55" width="12" bestFit="1" customWidth="1"/>
    <col min="56" max="56" width="12.83984375" bestFit="1" customWidth="1"/>
    <col min="57" max="57" width="15.15625" bestFit="1" customWidth="1"/>
    <col min="59" max="59" width="9.15625" bestFit="1" customWidth="1"/>
    <col min="60" max="60" width="6.68359375" bestFit="1" customWidth="1"/>
    <col min="61" max="61" width="11" bestFit="1" customWidth="1"/>
    <col min="62" max="62" width="12.578125" bestFit="1" customWidth="1"/>
    <col min="63" max="63" width="11.15625" bestFit="1" customWidth="1"/>
    <col min="64" max="64" width="3.83984375" bestFit="1" customWidth="1"/>
    <col min="65" max="65" width="5.578125" bestFit="1" customWidth="1"/>
    <col min="66" max="66" width="12.26171875" bestFit="1" customWidth="1"/>
    <col min="67" max="67" width="10.83984375" bestFit="1" customWidth="1"/>
    <col min="68" max="68" width="14.578125" bestFit="1" customWidth="1"/>
    <col min="69" max="69" width="9.578125" bestFit="1" customWidth="1"/>
    <col min="70" max="70" width="8.83984375" bestFit="1" customWidth="1"/>
    <col min="71" max="71" width="12" bestFit="1" customWidth="1"/>
    <col min="72" max="72" width="13.26171875" bestFit="1" customWidth="1"/>
    <col min="73" max="73" width="13.83984375" bestFit="1" customWidth="1"/>
    <col min="74" max="74" width="16" bestFit="1" customWidth="1"/>
    <col min="75" max="75" width="8.68359375" bestFit="1" customWidth="1"/>
    <col min="76" max="76" width="6.83984375" bestFit="1" customWidth="1"/>
    <col min="77" max="77" width="8.15625" bestFit="1" customWidth="1"/>
    <col min="78" max="78" width="5.15625" bestFit="1" customWidth="1"/>
    <col min="79" max="79" width="9.26171875" bestFit="1" customWidth="1"/>
    <col min="80" max="80" width="21" bestFit="1" customWidth="1"/>
    <col min="81" max="81" width="20.68359375" bestFit="1" customWidth="1"/>
    <col min="82" max="82" width="9.15625" bestFit="1" customWidth="1"/>
    <col min="83" max="83" width="14" bestFit="1" customWidth="1"/>
    <col min="84" max="84" width="13.83984375" bestFit="1" customWidth="1"/>
    <col min="85" max="85" width="12.15625" bestFit="1" customWidth="1"/>
    <col min="86" max="86" width="12" bestFit="1" customWidth="1"/>
  </cols>
  <sheetData>
    <row r="1" spans="1:10" x14ac:dyDescent="0.55000000000000004">
      <c r="A1" s="77" t="s">
        <v>242</v>
      </c>
      <c r="B1" s="77" t="s">
        <v>62</v>
      </c>
    </row>
    <row r="2" spans="1:10" x14ac:dyDescent="0.55000000000000004">
      <c r="A2" s="77" t="s">
        <v>60</v>
      </c>
      <c r="B2" s="172" t="s">
        <v>233</v>
      </c>
      <c r="C2" s="172" t="s">
        <v>159</v>
      </c>
      <c r="D2" s="172" t="s">
        <v>227</v>
      </c>
      <c r="E2" s="172" t="s">
        <v>230</v>
      </c>
      <c r="F2" s="172" t="s">
        <v>229</v>
      </c>
      <c r="G2" s="172" t="s">
        <v>225</v>
      </c>
      <c r="H2" s="172" t="s">
        <v>234</v>
      </c>
      <c r="I2" s="172" t="s">
        <v>228</v>
      </c>
      <c r="J2" s="172" t="s">
        <v>61</v>
      </c>
    </row>
    <row r="3" spans="1:10" x14ac:dyDescent="0.55000000000000004">
      <c r="A3" s="78">
        <v>2019</v>
      </c>
      <c r="B3" s="247">
        <v>1077304.94</v>
      </c>
      <c r="C3" s="247">
        <v>128467.8</v>
      </c>
      <c r="D3" s="247">
        <v>128726.35999999999</v>
      </c>
      <c r="E3" s="247">
        <v>1675417.9906552273</v>
      </c>
      <c r="F3" s="247">
        <v>0</v>
      </c>
      <c r="G3" s="247">
        <v>704016.11583333346</v>
      </c>
      <c r="H3" s="247">
        <v>3951.0471278295822</v>
      </c>
      <c r="I3" s="247">
        <v>1575873.4784311759</v>
      </c>
      <c r="J3" s="247">
        <v>5293757.7320475662</v>
      </c>
    </row>
    <row r="4" spans="1:10" x14ac:dyDescent="0.55000000000000004">
      <c r="A4" s="78">
        <v>2030</v>
      </c>
      <c r="B4" s="247">
        <v>1140745.9345080981</v>
      </c>
      <c r="C4" s="247">
        <v>128467.8</v>
      </c>
      <c r="D4" s="247">
        <v>2348840.8844847302</v>
      </c>
      <c r="E4" s="247">
        <v>2349166.8466086611</v>
      </c>
      <c r="F4" s="247">
        <v>24911.097074166486</v>
      </c>
      <c r="G4" s="247">
        <v>2078868.7997796992</v>
      </c>
      <c r="H4" s="247">
        <v>207392.20216335001</v>
      </c>
      <c r="I4" s="247">
        <v>1498974.2460576054</v>
      </c>
      <c r="J4" s="247">
        <v>9777367.8106763102</v>
      </c>
    </row>
    <row r="5" spans="1:10" x14ac:dyDescent="0.55000000000000004">
      <c r="A5" s="78">
        <v>2050</v>
      </c>
      <c r="B5" s="247">
        <v>1159380.5453773015</v>
      </c>
      <c r="C5" s="247">
        <v>128467.8</v>
      </c>
      <c r="D5" s="247">
        <v>2164142.1080060382</v>
      </c>
      <c r="E5" s="247">
        <v>2170312.3964539068</v>
      </c>
      <c r="F5" s="247">
        <v>43268.637672941717</v>
      </c>
      <c r="G5" s="247">
        <v>2077438.0772637748</v>
      </c>
      <c r="H5" s="247">
        <v>200404.75308177009</v>
      </c>
      <c r="I5" s="247">
        <v>1366366.1366558613</v>
      </c>
      <c r="J5" s="247">
        <v>9309780.454511594</v>
      </c>
    </row>
    <row r="6" spans="1:10" x14ac:dyDescent="0.55000000000000004">
      <c r="A6" s="78" t="s">
        <v>61</v>
      </c>
      <c r="B6" s="247">
        <v>3377431.4198853993</v>
      </c>
      <c r="C6" s="247">
        <v>385403.4</v>
      </c>
      <c r="D6" s="247">
        <v>4641709.3524907678</v>
      </c>
      <c r="E6" s="247">
        <v>6194897.2337177955</v>
      </c>
      <c r="F6" s="247">
        <v>68179.734747108203</v>
      </c>
      <c r="G6" s="247">
        <v>4860322.9928768072</v>
      </c>
      <c r="H6" s="247">
        <v>411748.00237294968</v>
      </c>
      <c r="I6" s="247">
        <v>4441213.8611446423</v>
      </c>
      <c r="J6" s="247">
        <v>24380905.99723547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0381-BA8F-4C8A-BC95-03CCE33310FB}">
  <sheetPr codeName="Sheet26">
    <tabColor theme="2" tint="-9.9978637043366805E-2"/>
  </sheetPr>
  <dimension ref="A1:I6"/>
  <sheetViews>
    <sheetView workbookViewId="0">
      <selection activeCell="F4" sqref="F4"/>
    </sheetView>
  </sheetViews>
  <sheetFormatPr defaultRowHeight="14.4" x14ac:dyDescent="0.55000000000000004"/>
  <cols>
    <col min="1" max="1" width="13.15625" bestFit="1" customWidth="1"/>
    <col min="2" max="2" width="16.26171875" bestFit="1" customWidth="1"/>
    <col min="3" max="3" width="7.26171875" bestFit="1" customWidth="1"/>
    <col min="4" max="5" width="10.15625" bestFit="1" customWidth="1"/>
    <col min="6" max="6" width="9.83984375" bestFit="1" customWidth="1"/>
    <col min="7" max="7" width="12.15625" bestFit="1" customWidth="1"/>
    <col min="8" max="8" width="14.578125" bestFit="1" customWidth="1"/>
    <col min="9" max="9" width="11.26171875" bestFit="1" customWidth="1"/>
    <col min="10" max="11" width="12" bestFit="1" customWidth="1"/>
    <col min="12" max="12" width="12.68359375" bestFit="1" customWidth="1"/>
    <col min="13" max="13" width="17.83984375" bestFit="1" customWidth="1"/>
    <col min="14" max="14" width="12" bestFit="1" customWidth="1"/>
  </cols>
  <sheetData>
    <row r="1" spans="1:9" x14ac:dyDescent="0.55000000000000004">
      <c r="A1" s="77" t="s">
        <v>200</v>
      </c>
      <c r="B1" s="77" t="s">
        <v>62</v>
      </c>
    </row>
    <row r="2" spans="1:9" x14ac:dyDescent="0.55000000000000004">
      <c r="A2" s="77" t="s">
        <v>60</v>
      </c>
      <c r="B2" s="172" t="s">
        <v>112</v>
      </c>
      <c r="C2" s="172" t="s">
        <v>202</v>
      </c>
      <c r="D2" s="172" t="s">
        <v>195</v>
      </c>
      <c r="E2" s="172" t="s">
        <v>196</v>
      </c>
      <c r="F2" s="172" t="s">
        <v>10</v>
      </c>
      <c r="G2" s="172" t="s">
        <v>269</v>
      </c>
      <c r="H2" s="172" t="s">
        <v>327</v>
      </c>
      <c r="I2" s="172" t="s">
        <v>61</v>
      </c>
    </row>
    <row r="3" spans="1:9" x14ac:dyDescent="0.55000000000000004">
      <c r="A3" s="78">
        <v>2019</v>
      </c>
      <c r="B3" s="99">
        <v>14517462.442375844</v>
      </c>
      <c r="C3" s="99">
        <v>-158.43719999999999</v>
      </c>
      <c r="D3" s="99">
        <v>5519261.9007367166</v>
      </c>
      <c r="E3" s="99">
        <v>9725466.1897341814</v>
      </c>
      <c r="F3" s="99">
        <v>-561900</v>
      </c>
      <c r="G3" s="99">
        <v>-165207.21089505972</v>
      </c>
      <c r="H3" s="99">
        <v>0</v>
      </c>
      <c r="I3" s="99">
        <v>29034924.884751678</v>
      </c>
    </row>
    <row r="4" spans="1:9" x14ac:dyDescent="0.55000000000000004">
      <c r="A4" s="78">
        <v>2030</v>
      </c>
      <c r="B4" s="99">
        <v>13678705.754892571</v>
      </c>
      <c r="C4" s="99">
        <v>-24734.384840099803</v>
      </c>
      <c r="D4" s="99">
        <v>5507316.8818720337</v>
      </c>
      <c r="E4" s="99">
        <v>9296833.4976137169</v>
      </c>
      <c r="F4" s="99">
        <v>-673285.95920501021</v>
      </c>
      <c r="G4" s="99">
        <v>-427424.28054807242</v>
      </c>
      <c r="H4" s="99">
        <v>0</v>
      </c>
      <c r="I4" s="99">
        <v>27357411.509785142</v>
      </c>
    </row>
    <row r="5" spans="1:9" x14ac:dyDescent="0.55000000000000004">
      <c r="A5" s="78">
        <v>2050</v>
      </c>
      <c r="B5" s="99">
        <v>12682634.669579279</v>
      </c>
      <c r="C5" s="99">
        <v>-44560.528686777063</v>
      </c>
      <c r="D5" s="99">
        <v>5485230.909845111</v>
      </c>
      <c r="E5" s="99">
        <v>9211339.4377100542</v>
      </c>
      <c r="F5" s="99">
        <v>-1552855.8846793412</v>
      </c>
      <c r="G5" s="99">
        <v>-416519.2646097627</v>
      </c>
      <c r="H5" s="99">
        <v>0</v>
      </c>
      <c r="I5" s="99">
        <v>25365269.339158565</v>
      </c>
    </row>
    <row r="6" spans="1:9" x14ac:dyDescent="0.55000000000000004">
      <c r="A6" s="78" t="s">
        <v>61</v>
      </c>
      <c r="B6" s="99">
        <v>40878802.866847694</v>
      </c>
      <c r="C6" s="99">
        <v>-69453.350726876874</v>
      </c>
      <c r="D6" s="99">
        <v>16511809.692453861</v>
      </c>
      <c r="E6" s="99">
        <v>28233639.125057951</v>
      </c>
      <c r="F6" s="99">
        <v>-2788041.8438843517</v>
      </c>
      <c r="G6" s="99">
        <v>-1009150.7560528949</v>
      </c>
      <c r="H6" s="99">
        <v>0</v>
      </c>
      <c r="I6" s="99">
        <v>81757605.733695388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2E73-71F1-4CDC-95B9-A794F0F34DC5}">
  <sheetPr codeName="Sheet27">
    <tabColor theme="2" tint="-9.9978637043366805E-2"/>
  </sheetPr>
  <dimension ref="A1:I55"/>
  <sheetViews>
    <sheetView workbookViewId="0">
      <selection activeCell="A54" sqref="A54:C55"/>
    </sheetView>
  </sheetViews>
  <sheetFormatPr defaultRowHeight="14.4" x14ac:dyDescent="0.55000000000000004"/>
  <cols>
    <col min="3" max="3" width="16.83984375" bestFit="1" customWidth="1"/>
    <col min="4" max="6" width="16.83984375" customWidth="1"/>
  </cols>
  <sheetData>
    <row r="1" spans="1:9" x14ac:dyDescent="0.55000000000000004">
      <c r="A1" t="s">
        <v>64</v>
      </c>
      <c r="B1" t="s">
        <v>58</v>
      </c>
      <c r="C1" t="s">
        <v>30</v>
      </c>
      <c r="D1" t="s">
        <v>201</v>
      </c>
      <c r="E1" t="s">
        <v>203</v>
      </c>
    </row>
    <row r="2" spans="1:9" x14ac:dyDescent="0.55000000000000004">
      <c r="A2" t="s">
        <v>23</v>
      </c>
      <c r="B2">
        <f t="shared" ref="B2:B10" si="0">År1</f>
        <v>2019</v>
      </c>
      <c r="C2" s="99">
        <f>SUMIF('Resultater - Vestdanmark'!$F$3:$F$487,'CO2-udledning'!$D$2,'Resultater - Vestdanmark'!H$3:H$487)</f>
        <v>12546079.333675962</v>
      </c>
      <c r="D2" s="99" t="s">
        <v>112</v>
      </c>
      <c r="E2" s="99" t="s">
        <v>112</v>
      </c>
    </row>
    <row r="3" spans="1:9" x14ac:dyDescent="0.55000000000000004">
      <c r="A3" t="s">
        <v>23</v>
      </c>
      <c r="B3" s="172">
        <f t="shared" si="0"/>
        <v>2019</v>
      </c>
      <c r="C3" s="99">
        <f>SUMIFS('Resultater - Vestdanmark'!H$3:H$474,'Resultater - Vestdanmark'!$F$3:$F$474,'CO2-udledning'!$D$2,'Resultater - Vestdanmark'!$A$3:$A$474,'CO2-udledning'!$G3)+SUMIFS('Resultater - Vestdanmark'!H$3:H$474,'Resultater - Vestdanmark'!$F$3:$F$474,'CO2-udledning'!$D$2,'Resultater - Vestdanmark'!$A$3:$A$474,'CO2-udledning'!$H3)+SUMIFS('Resultater - Vestdanmark'!H$3:H$474,'Resultater - Vestdanmark'!$F$3:$F$474,'CO2-udledning'!$D$2,'Resultater - Vestdanmark'!$A$3:$A$474,'CO2-udledning'!$I3)</f>
        <v>5070835.3540045777</v>
      </c>
      <c r="D3" t="s">
        <v>70</v>
      </c>
      <c r="E3" t="s">
        <v>195</v>
      </c>
      <c r="G3" s="99" t="s">
        <v>168</v>
      </c>
      <c r="H3" s="99" t="s">
        <v>169</v>
      </c>
      <c r="I3" s="99" t="s">
        <v>170</v>
      </c>
    </row>
    <row r="4" spans="1:9" x14ac:dyDescent="0.55000000000000004">
      <c r="A4" t="s">
        <v>23</v>
      </c>
      <c r="B4" s="172">
        <f t="shared" si="0"/>
        <v>2019</v>
      </c>
      <c r="C4" s="99">
        <f>SUMIFS('Resultater - Vestdanmark'!H$3:H$474,'Resultater - Vestdanmark'!$F$3:$F$474,'CO2-udledning'!$D$2,'Resultater - Vestdanmark'!$C$3:$C$474,'CO2-udledning'!$F4)+SUMIFS('Resultater - Vestdanmark'!H$3:H$474,'Resultater - Vestdanmark'!$F$3:$F$474,$D$2,'Resultater - Vestdanmark'!$A$3:$A$474,"Grøntsager I drivhus")</f>
        <v>4155736.1194644454</v>
      </c>
      <c r="D4" t="s">
        <v>70</v>
      </c>
      <c r="E4" t="s">
        <v>196</v>
      </c>
      <c r="F4" t="str">
        <f>Jordbund1</f>
        <v>JB1-10</v>
      </c>
    </row>
    <row r="5" spans="1:9" x14ac:dyDescent="0.55000000000000004">
      <c r="A5" t="s">
        <v>23</v>
      </c>
      <c r="B5" s="172">
        <f t="shared" si="0"/>
        <v>2019</v>
      </c>
      <c r="C5" s="99">
        <f>SUMIFS('Resultater - Vestdanmark'!H$3:H$474,'Resultater - Vestdanmark'!$F$3:$F$474,'CO2-udledning'!$D$2,'Resultater - Vestdanmark'!$C$3:$C$474,'CO2-udledning'!$F5)</f>
        <v>1324670.350202495</v>
      </c>
      <c r="D5" t="s">
        <v>70</v>
      </c>
      <c r="E5" t="s">
        <v>196</v>
      </c>
      <c r="F5" t="str">
        <f>Organ6</f>
        <v>OC6</v>
      </c>
    </row>
    <row r="6" spans="1:9" x14ac:dyDescent="0.55000000000000004">
      <c r="A6" t="s">
        <v>23</v>
      </c>
      <c r="B6" s="172">
        <f t="shared" si="0"/>
        <v>2019</v>
      </c>
      <c r="C6" s="99">
        <f>SUMIFS('Resultater - Vestdanmark'!H$3:H$474,'Resultater - Vestdanmark'!$F$3:$F$474,'CO2-udledning'!$D$2,'Resultater - Vestdanmark'!$C$3:$C$474,'CO2-udledning'!$F6)</f>
        <v>2581596.1188411801</v>
      </c>
      <c r="D6" t="s">
        <v>70</v>
      </c>
      <c r="E6" t="s">
        <v>196</v>
      </c>
      <c r="F6" t="str">
        <f>Organ12</f>
        <v>OC12</v>
      </c>
    </row>
    <row r="7" spans="1:9" x14ac:dyDescent="0.55000000000000004">
      <c r="A7" t="s">
        <v>23</v>
      </c>
      <c r="B7" s="172">
        <f t="shared" si="0"/>
        <v>2019</v>
      </c>
      <c r="C7" s="99">
        <f>SUMIFS('Resultater - Vestdanmark'!H$3:H$474,'Resultater - Vestdanmark'!$F$3:$F$474,'CO2-udledning'!$D$2,'Resultater - Vestdanmark'!$A$3:$A$474,'CO2-udledning'!$G7)+SUMIFS('Resultater - Vestdanmark'!H$3:H$474,'Resultater - Vestdanmark'!$F$3:$F$474,'CO2-udledning'!$D$2,'Resultater - Vestdanmark'!$A$3:$A$474,'CO2-udledning'!$H7)</f>
        <v>-158.24317477886137</v>
      </c>
      <c r="D7" t="s">
        <v>202</v>
      </c>
      <c r="E7" t="s">
        <v>202</v>
      </c>
      <c r="G7" t="s">
        <v>197</v>
      </c>
      <c r="H7" t="s">
        <v>198</v>
      </c>
    </row>
    <row r="8" spans="1:9" x14ac:dyDescent="0.55000000000000004">
      <c r="A8" t="s">
        <v>23</v>
      </c>
      <c r="B8" s="172">
        <f t="shared" si="0"/>
        <v>2019</v>
      </c>
      <c r="C8" s="99">
        <f>SUMIFS('Resultater - Vestdanmark'!H$3:H$474,'Resultater - Vestdanmark'!$F$3:$F$474,'CO2-udledning'!$D$2,'Resultater - Vestdanmark'!$A$3:$A$474,'CO2-udledning'!$G8)</f>
        <v>-434670</v>
      </c>
      <c r="D8" t="s">
        <v>10</v>
      </c>
      <c r="E8" t="s">
        <v>10</v>
      </c>
      <c r="G8" t="s">
        <v>199</v>
      </c>
    </row>
    <row r="9" spans="1:9" s="172" customFormat="1" x14ac:dyDescent="0.55000000000000004">
      <c r="A9" s="172" t="s">
        <v>23</v>
      </c>
      <c r="B9" s="172">
        <f t="shared" si="0"/>
        <v>2019</v>
      </c>
      <c r="C9" s="99">
        <f>SUMIFS('Resultater - Vestdanmark'!H$3:H$474,'Resultater - Vestdanmark'!$F$3:$F$474,'CO2-udledning'!$D$2,'Resultater - Vestdanmark'!$A$3:$A$474,'CO2-udledning'!$G9)</f>
        <v>-151930.36566196129</v>
      </c>
      <c r="D9" s="172" t="s">
        <v>269</v>
      </c>
      <c r="E9" s="172" t="s">
        <v>269</v>
      </c>
      <c r="G9" s="172" t="s">
        <v>269</v>
      </c>
    </row>
    <row r="10" spans="1:9" s="172" customFormat="1" x14ac:dyDescent="0.55000000000000004">
      <c r="A10" s="172" t="s">
        <v>23</v>
      </c>
      <c r="B10" s="172">
        <f t="shared" si="0"/>
        <v>2019</v>
      </c>
      <c r="C10" s="99">
        <f>SUMIFS('Resultater - Vestdanmark'!H$3:H$474,'Resultater - Vestdanmark'!$F$3:$F$474,'CO2-udledning'!$D$2,'Resultater - Vestdanmark'!$A$3:$A$474,'CO2-udledning'!$G10)</f>
        <v>0</v>
      </c>
      <c r="D10" s="172" t="s">
        <v>327</v>
      </c>
      <c r="E10" s="172" t="s">
        <v>327</v>
      </c>
      <c r="G10" s="172" t="s">
        <v>327</v>
      </c>
    </row>
    <row r="11" spans="1:9" x14ac:dyDescent="0.55000000000000004">
      <c r="A11" t="s">
        <v>23</v>
      </c>
      <c r="B11">
        <f t="shared" ref="B11:B19" si="1">År2</f>
        <v>2030</v>
      </c>
      <c r="C11" s="99">
        <f>SUMIF('Resultater - Vestdanmark'!$F$3:$F$487,'CO2-udledning'!$D$2,'Resultater - Vestdanmark'!I$3:I$487)</f>
        <v>11953434.723663043</v>
      </c>
      <c r="D11" s="99" t="str">
        <f>IF(D2&lt;&gt;"",D2,"")</f>
        <v>CO2 - atmosfære</v>
      </c>
      <c r="E11" s="99" t="str">
        <f t="shared" ref="E11:I11" si="2">IF(E2&lt;&gt;"",E2,"")</f>
        <v>CO2 - atmosfære</v>
      </c>
      <c r="F11" s="99" t="str">
        <f t="shared" si="2"/>
        <v/>
      </c>
      <c r="G11" s="99" t="str">
        <f t="shared" si="2"/>
        <v/>
      </c>
      <c r="H11" s="99" t="str">
        <f t="shared" si="2"/>
        <v/>
      </c>
      <c r="I11" s="99" t="str">
        <f t="shared" si="2"/>
        <v/>
      </c>
    </row>
    <row r="12" spans="1:9" x14ac:dyDescent="0.55000000000000004">
      <c r="A12" t="s">
        <v>23</v>
      </c>
      <c r="B12" s="172">
        <f t="shared" si="1"/>
        <v>2030</v>
      </c>
      <c r="C12" s="99">
        <f>SUMIFS('Resultater - Vestdanmark'!I$3:I$474,'Resultater - Vestdanmark'!$F$3:$F$474,'CO2-udledning'!$D$2,'Resultater - Vestdanmark'!$A$3:$A$474,'CO2-udledning'!$G3)+SUMIFS('Resultater - Vestdanmark'!I$3:I$474,'Resultater - Vestdanmark'!$F$3:$F$474,'CO2-udledning'!$D$2,'Resultater - Vestdanmark'!$A$3:$A$474,'CO2-udledning'!$H3)+SUMIFS('Resultater - Vestdanmark'!I$3:I$474,'Resultater - Vestdanmark'!$F$3:$F$474,'CO2-udledning'!$D$2,'Resultater - Vestdanmark'!$A$3:$A$474,'CO2-udledning'!$I3)</f>
        <v>5058223.5325662289</v>
      </c>
      <c r="D12" s="99" t="str">
        <f t="shared" ref="D12:I12" si="3">IF(D3&lt;&gt;"",D3,"")</f>
        <v>Landbrug</v>
      </c>
      <c r="E12" s="99" t="str">
        <f t="shared" si="3"/>
        <v>Husdyr</v>
      </c>
      <c r="F12" s="99" t="str">
        <f t="shared" si="3"/>
        <v/>
      </c>
      <c r="G12" s="99" t="str">
        <f t="shared" si="3"/>
        <v>Grisestald</v>
      </c>
      <c r="H12" s="99" t="str">
        <f t="shared" si="3"/>
        <v>Kostald</v>
      </c>
      <c r="I12" s="99" t="str">
        <f t="shared" si="3"/>
        <v>Fjerkræbrug</v>
      </c>
    </row>
    <row r="13" spans="1:9" x14ac:dyDescent="0.55000000000000004">
      <c r="A13" t="s">
        <v>23</v>
      </c>
      <c r="B13" s="172">
        <f t="shared" si="1"/>
        <v>2030</v>
      </c>
      <c r="C13" s="99">
        <f>SUMIFS('Resultater - Vestdanmark'!I$3:I$474,'Resultater - Vestdanmark'!$F$3:$F$474,'CO2-udledning'!$D$2,'Resultater - Vestdanmark'!$C$3:$C$474,'CO2-udledning'!$F4)+SUMIFS('Resultater - Vestdanmark'!I$3:I$474,'Resultater - Vestdanmark'!$F$3:$F$474,$D$2,'Resultater - Vestdanmark'!$A$3:$A$474,"Grøntsager I drivhus")</f>
        <v>4279600.0575688845</v>
      </c>
      <c r="D13" s="99" t="str">
        <f t="shared" ref="D13:I13" si="4">IF(D4&lt;&gt;"",D4,"")</f>
        <v>Landbrug</v>
      </c>
      <c r="E13" s="99" t="str">
        <f t="shared" si="4"/>
        <v>Marker</v>
      </c>
      <c r="F13" s="99" t="str">
        <f t="shared" si="4"/>
        <v>JB1-10</v>
      </c>
      <c r="G13" s="99" t="str">
        <f t="shared" si="4"/>
        <v/>
      </c>
      <c r="H13" s="99" t="str">
        <f t="shared" si="4"/>
        <v/>
      </c>
      <c r="I13" s="99" t="str">
        <f t="shared" si="4"/>
        <v/>
      </c>
    </row>
    <row r="14" spans="1:9" x14ac:dyDescent="0.55000000000000004">
      <c r="A14" t="s">
        <v>23</v>
      </c>
      <c r="B14" s="172">
        <f t="shared" si="1"/>
        <v>2030</v>
      </c>
      <c r="C14" s="99">
        <f>SUMIFS('Resultater - Vestdanmark'!I$3:I$474,'Resultater - Vestdanmark'!$F$3:$F$474,'CO2-udledning'!$D$2,'Resultater - Vestdanmark'!$C$3:$C$474,'CO2-udledning'!$F5)</f>
        <v>1225816.3211630862</v>
      </c>
      <c r="D14" s="99" t="str">
        <f t="shared" ref="D14:I14" si="5">IF(D5&lt;&gt;"",D5,"")</f>
        <v>Landbrug</v>
      </c>
      <c r="E14" s="99" t="str">
        <f t="shared" si="5"/>
        <v>Marker</v>
      </c>
      <c r="F14" s="99" t="str">
        <f t="shared" si="5"/>
        <v>OC6</v>
      </c>
      <c r="G14" s="99" t="str">
        <f t="shared" si="5"/>
        <v/>
      </c>
      <c r="H14" s="99" t="str">
        <f t="shared" si="5"/>
        <v/>
      </c>
      <c r="I14" s="99" t="str">
        <f t="shared" si="5"/>
        <v/>
      </c>
    </row>
    <row r="15" spans="1:9" x14ac:dyDescent="0.55000000000000004">
      <c r="A15" t="s">
        <v>23</v>
      </c>
      <c r="B15" s="172">
        <f t="shared" si="1"/>
        <v>2030</v>
      </c>
      <c r="C15" s="99">
        <f>SUMIFS('Resultater - Vestdanmark'!I$3:I$474,'Resultater - Vestdanmark'!$F$3:$F$474,'CO2-udledning'!$D$2,'Resultater - Vestdanmark'!$C$3:$C$474,'CO2-udledning'!$F6)</f>
        <v>2334101.8595699249</v>
      </c>
      <c r="D15" s="99" t="str">
        <f t="shared" ref="D15:I15" si="6">IF(D6&lt;&gt;"",D6,"")</f>
        <v>Landbrug</v>
      </c>
      <c r="E15" s="99" t="str">
        <f t="shared" si="6"/>
        <v>Marker</v>
      </c>
      <c r="F15" s="99" t="str">
        <f t="shared" si="6"/>
        <v>OC12</v>
      </c>
      <c r="G15" s="99" t="str">
        <f t="shared" si="6"/>
        <v/>
      </c>
      <c r="H15" s="99" t="str">
        <f t="shared" si="6"/>
        <v/>
      </c>
      <c r="I15" s="99" t="str">
        <f t="shared" si="6"/>
        <v/>
      </c>
    </row>
    <row r="16" spans="1:9" x14ac:dyDescent="0.55000000000000004">
      <c r="A16" t="s">
        <v>23</v>
      </c>
      <c r="B16" s="172">
        <f t="shared" si="1"/>
        <v>2030</v>
      </c>
      <c r="C16" s="99">
        <f>SUMIFS('Resultater - Vestdanmark'!I$3:I$474,'Resultater - Vestdanmark'!$F$3:$F$474,'CO2-udledning'!$D$2,'Resultater - Vestdanmark'!$A$3:$A$474,'CO2-udledning'!$G7)+SUMIFS('Resultater - Vestdanmark'!I$3:I$474,'Resultater - Vestdanmark'!$F$3:$F$474,'CO2-udledning'!$D$2,'Resultater - Vestdanmark'!$A$3:$A$474,'CO2-udledning'!$H7)</f>
        <v>-23936.112883057391</v>
      </c>
      <c r="D16" s="99" t="str">
        <f t="shared" ref="D16:I16" si="7">IF(D7&lt;&gt;"",D7,"")</f>
        <v>Hav</v>
      </c>
      <c r="E16" s="99" t="str">
        <f t="shared" si="7"/>
        <v>Hav</v>
      </c>
      <c r="F16" s="99" t="str">
        <f t="shared" si="7"/>
        <v/>
      </c>
      <c r="G16" s="99" t="str">
        <f t="shared" si="7"/>
        <v>Muslingefarm</v>
      </c>
      <c r="H16" s="99" t="str">
        <f t="shared" si="7"/>
        <v>Tangfarm</v>
      </c>
      <c r="I16" s="99" t="str">
        <f t="shared" si="7"/>
        <v/>
      </c>
    </row>
    <row r="17" spans="1:9" x14ac:dyDescent="0.55000000000000004">
      <c r="A17" t="s">
        <v>23</v>
      </c>
      <c r="B17" s="172">
        <f t="shared" si="1"/>
        <v>2030</v>
      </c>
      <c r="C17" s="99">
        <f>SUMIFS('Resultater - Vestdanmark'!I$3:I$474,'Resultater - Vestdanmark'!$F$3:$F$474,'CO2-udledning'!$D$2,'Resultater - Vestdanmark'!$A$3:$A$474,'CO2-udledning'!$G8)</f>
        <v>-528318.41235179966</v>
      </c>
      <c r="D17" s="99" t="str">
        <f t="shared" ref="D17:I17" si="8">IF(D8&lt;&gt;"",D8,"")</f>
        <v>Skov</v>
      </c>
      <c r="E17" s="99" t="str">
        <f t="shared" si="8"/>
        <v>Skov</v>
      </c>
      <c r="F17" s="99" t="str">
        <f t="shared" si="8"/>
        <v/>
      </c>
      <c r="G17" s="99" t="str">
        <f t="shared" si="8"/>
        <v>Skovproduktion</v>
      </c>
      <c r="H17" s="99" t="str">
        <f t="shared" si="8"/>
        <v/>
      </c>
      <c r="I17" s="99" t="str">
        <f t="shared" si="8"/>
        <v/>
      </c>
    </row>
    <row r="18" spans="1:9" s="172" customFormat="1" x14ac:dyDescent="0.55000000000000004">
      <c r="A18" s="172" t="s">
        <v>23</v>
      </c>
      <c r="B18" s="172">
        <f t="shared" si="1"/>
        <v>2030</v>
      </c>
      <c r="C18" s="99">
        <f>SUMIFS('Resultater - Vestdanmark'!I$3:I$474,'Resultater - Vestdanmark'!$F$3:$F$474,'CO2-udledning'!$D$2,'Resultater - Vestdanmark'!$A$3:$A$474,'CO2-udledning'!$G9)</f>
        <v>-392052.52197022288</v>
      </c>
      <c r="D18" s="99" t="str">
        <f t="shared" ref="D18:I18" si="9">IF(D9&lt;&gt;"",D9,"")</f>
        <v>Biogasanlæg</v>
      </c>
      <c r="E18" s="99" t="str">
        <f t="shared" si="9"/>
        <v>Biogasanlæg</v>
      </c>
      <c r="F18" s="99" t="str">
        <f t="shared" si="9"/>
        <v/>
      </c>
      <c r="G18" s="99" t="str">
        <f t="shared" si="9"/>
        <v>Biogasanlæg</v>
      </c>
      <c r="H18" s="99" t="str">
        <f t="shared" si="9"/>
        <v/>
      </c>
      <c r="I18" s="99" t="str">
        <f t="shared" si="9"/>
        <v/>
      </c>
    </row>
    <row r="19" spans="1:9" s="172" customFormat="1" x14ac:dyDescent="0.55000000000000004">
      <c r="A19" s="172" t="s">
        <v>23</v>
      </c>
      <c r="B19" s="172">
        <f t="shared" si="1"/>
        <v>2030</v>
      </c>
      <c r="C19" s="99">
        <f>SUMIFS('Resultater - Vestdanmark'!I$3:I$474,'Resultater - Vestdanmark'!$F$3:$F$474,'CO2-udledning'!$D$2,'Resultater - Vestdanmark'!$A$3:$A$474,'CO2-udledning'!$G10)</f>
        <v>0</v>
      </c>
      <c r="D19" s="99" t="str">
        <f t="shared" ref="D19:I19" si="10">IF(D10&lt;&gt;"",D10,"")</f>
        <v>Pyrolyseproces</v>
      </c>
      <c r="E19" s="99" t="str">
        <f t="shared" si="10"/>
        <v>Pyrolyseproces</v>
      </c>
      <c r="F19" s="99" t="str">
        <f t="shared" si="10"/>
        <v/>
      </c>
      <c r="G19" s="99" t="str">
        <f t="shared" si="10"/>
        <v>Pyrolyseproces</v>
      </c>
      <c r="H19" s="99" t="str">
        <f t="shared" si="10"/>
        <v/>
      </c>
      <c r="I19" s="99" t="str">
        <f t="shared" si="10"/>
        <v/>
      </c>
    </row>
    <row r="20" spans="1:9" x14ac:dyDescent="0.55000000000000004">
      <c r="A20" t="s">
        <v>23</v>
      </c>
      <c r="B20">
        <f t="shared" ref="B20:B28" si="11">År3</f>
        <v>2050</v>
      </c>
      <c r="C20" s="99">
        <f>SUMIF('Resultater - Vestdanmark'!$F$3:$F$487,'CO2-udledning'!$D$2,'Resultater - Vestdanmark'!J$3:J$487)</f>
        <v>10960258.507189341</v>
      </c>
      <c r="D20" s="99" t="str">
        <f t="shared" ref="D20:I20" si="12">IF(D11&lt;&gt;"",D11,"")</f>
        <v>CO2 - atmosfære</v>
      </c>
      <c r="E20" s="99" t="str">
        <f t="shared" si="12"/>
        <v>CO2 - atmosfære</v>
      </c>
      <c r="F20" s="99" t="str">
        <f t="shared" si="12"/>
        <v/>
      </c>
      <c r="G20" s="99" t="str">
        <f t="shared" si="12"/>
        <v/>
      </c>
      <c r="H20" s="99" t="str">
        <f t="shared" si="12"/>
        <v/>
      </c>
      <c r="I20" s="99" t="str">
        <f t="shared" si="12"/>
        <v/>
      </c>
    </row>
    <row r="21" spans="1:9" x14ac:dyDescent="0.55000000000000004">
      <c r="A21" t="s">
        <v>23</v>
      </c>
      <c r="B21">
        <f t="shared" si="11"/>
        <v>2050</v>
      </c>
      <c r="C21" s="99">
        <f>SUMIFS('Resultater - Vestdanmark'!J$3:J$474,'Resultater - Vestdanmark'!$F$3:$F$474,'CO2-udledning'!$D$2,'Resultater - Vestdanmark'!$A$3:$A$474,'CO2-udledning'!$G3)+SUMIFS('Resultater - Vestdanmark'!J$3:J$474,'Resultater - Vestdanmark'!$F$3:$F$474,'CO2-udledning'!$D$2,'Resultater - Vestdanmark'!$A$3:$A$474,'CO2-udledning'!$H3)+SUMIFS('Resultater - Vestdanmark'!J$3:J$474,'Resultater - Vestdanmark'!$F$3:$F$474,'CO2-udledning'!$D$2,'Resultater - Vestdanmark'!$A$3:$A$474,'CO2-udledning'!$I3)</f>
        <v>5037270.6270728866</v>
      </c>
      <c r="D21" s="99" t="str">
        <f t="shared" ref="D21:I21" si="13">IF(D12&lt;&gt;"",D12,"")</f>
        <v>Landbrug</v>
      </c>
      <c r="E21" s="99" t="str">
        <f t="shared" si="13"/>
        <v>Husdyr</v>
      </c>
      <c r="F21" s="99" t="str">
        <f t="shared" si="13"/>
        <v/>
      </c>
      <c r="G21" s="99" t="str">
        <f t="shared" si="13"/>
        <v>Grisestald</v>
      </c>
      <c r="H21" s="99" t="str">
        <f t="shared" si="13"/>
        <v>Kostald</v>
      </c>
      <c r="I21" s="99" t="str">
        <f t="shared" si="13"/>
        <v>Fjerkræbrug</v>
      </c>
    </row>
    <row r="22" spans="1:9" x14ac:dyDescent="0.55000000000000004">
      <c r="A22" t="s">
        <v>23</v>
      </c>
      <c r="B22">
        <f t="shared" si="11"/>
        <v>2050</v>
      </c>
      <c r="C22" s="99">
        <f>SUMIFS('Resultater - Vestdanmark'!J$3:J$474,'Resultater - Vestdanmark'!$F$3:$F$474,'CO2-udledning'!$D$2,'Resultater - Vestdanmark'!$C$3:$C$474,'CO2-udledning'!$F4)+SUMIFS('Resultater - Vestdanmark'!J$3:J$474,'Resultater - Vestdanmark'!$F$3:$F$474,$D$2,'Resultater - Vestdanmark'!$A$3:$A$474,"Grøntsager I drivhus")</f>
        <v>4036132.4350935114</v>
      </c>
      <c r="D22" s="99" t="str">
        <f t="shared" ref="D22:I22" si="14">IF(D13&lt;&gt;"",D13,"")</f>
        <v>Landbrug</v>
      </c>
      <c r="E22" s="99" t="str">
        <f t="shared" si="14"/>
        <v>Marker</v>
      </c>
      <c r="F22" s="99" t="str">
        <f t="shared" si="14"/>
        <v>JB1-10</v>
      </c>
      <c r="G22" s="99" t="str">
        <f t="shared" si="14"/>
        <v/>
      </c>
      <c r="H22" s="99" t="str">
        <f t="shared" si="14"/>
        <v/>
      </c>
      <c r="I22" s="99" t="str">
        <f t="shared" si="14"/>
        <v/>
      </c>
    </row>
    <row r="23" spans="1:9" x14ac:dyDescent="0.55000000000000004">
      <c r="A23" t="s">
        <v>23</v>
      </c>
      <c r="B23">
        <f t="shared" si="11"/>
        <v>2050</v>
      </c>
      <c r="C23" s="99">
        <f>SUMIFS('Resultater - Vestdanmark'!J$3:J$474,'Resultater - Vestdanmark'!$F$3:$F$474,'CO2-udledning'!$D$2,'Resultater - Vestdanmark'!$C$3:$C$474,'CO2-udledning'!$F5)</f>
        <v>1225816.3211630862</v>
      </c>
      <c r="D23" s="99" t="str">
        <f t="shared" ref="D23:I23" si="15">IF(D14&lt;&gt;"",D14,"")</f>
        <v>Landbrug</v>
      </c>
      <c r="E23" s="99" t="str">
        <f t="shared" si="15"/>
        <v>Marker</v>
      </c>
      <c r="F23" s="99" t="str">
        <f t="shared" si="15"/>
        <v>OC6</v>
      </c>
      <c r="G23" s="99" t="str">
        <f t="shared" si="15"/>
        <v/>
      </c>
      <c r="H23" s="99" t="str">
        <f t="shared" si="15"/>
        <v/>
      </c>
      <c r="I23" s="99" t="str">
        <f t="shared" si="15"/>
        <v/>
      </c>
    </row>
    <row r="24" spans="1:9" x14ac:dyDescent="0.55000000000000004">
      <c r="A24" t="s">
        <v>23</v>
      </c>
      <c r="B24">
        <f t="shared" si="11"/>
        <v>2050</v>
      </c>
      <c r="C24" s="99">
        <f>SUMIFS('Resultater - Vestdanmark'!J$3:J$474,'Resultater - Vestdanmark'!$F$3:$F$474,'CO2-udledning'!$D$2,'Resultater - Vestdanmark'!$C$3:$C$474,'CO2-udledning'!$F6)</f>
        <v>2334101.8595699244</v>
      </c>
      <c r="D24" s="99" t="str">
        <f t="shared" ref="D24:I24" si="16">IF(D15&lt;&gt;"",D15,"")</f>
        <v>Landbrug</v>
      </c>
      <c r="E24" s="99" t="str">
        <f t="shared" si="16"/>
        <v>Marker</v>
      </c>
      <c r="F24" s="99" t="str">
        <f t="shared" si="16"/>
        <v>OC12</v>
      </c>
      <c r="G24" s="99" t="str">
        <f t="shared" si="16"/>
        <v/>
      </c>
      <c r="H24" s="99" t="str">
        <f t="shared" si="16"/>
        <v/>
      </c>
      <c r="I24" s="99" t="str">
        <f t="shared" si="16"/>
        <v/>
      </c>
    </row>
    <row r="25" spans="1:9" x14ac:dyDescent="0.55000000000000004">
      <c r="A25" t="s">
        <v>23</v>
      </c>
      <c r="B25">
        <f t="shared" si="11"/>
        <v>2050</v>
      </c>
      <c r="C25" s="99">
        <f>SUMIFS('Resultater - Vestdanmark'!J$3:J$474,'Resultater - Vestdanmark'!$F$3:$F$474,'CO2-udledning'!$D$2,'Resultater - Vestdanmark'!$A$3:$A$474,'CO2-udledning'!$G7)+SUMIFS('Resultater - Vestdanmark'!J$3:J$474,'Resultater - Vestdanmark'!$F$3:$F$474,'CO2-udledning'!$D$2,'Resultater - Vestdanmark'!$A$3:$A$474,'CO2-udledning'!$H7)</f>
        <v>-32111.211335450222</v>
      </c>
      <c r="D25" s="99" t="str">
        <f t="shared" ref="D25:I25" si="17">IF(D16&lt;&gt;"",D16,"")</f>
        <v>Hav</v>
      </c>
      <c r="E25" s="99" t="str">
        <f t="shared" si="17"/>
        <v>Hav</v>
      </c>
      <c r="F25" s="99" t="str">
        <f t="shared" si="17"/>
        <v/>
      </c>
      <c r="G25" s="99" t="str">
        <f t="shared" si="17"/>
        <v>Muslingefarm</v>
      </c>
      <c r="H25" s="99" t="str">
        <f t="shared" si="17"/>
        <v>Tangfarm</v>
      </c>
      <c r="I25" s="99" t="str">
        <f t="shared" si="17"/>
        <v/>
      </c>
    </row>
    <row r="26" spans="1:9" x14ac:dyDescent="0.55000000000000004">
      <c r="A26" t="s">
        <v>23</v>
      </c>
      <c r="B26">
        <f t="shared" si="11"/>
        <v>2050</v>
      </c>
      <c r="C26" s="99">
        <f>SUMIFS('Resultater - Vestdanmark'!J$3:J$474,'Resultater - Vestdanmark'!$F$3:$F$474,'CO2-udledning'!$D$2,'Resultater - Vestdanmark'!$A$3:$A$474,'CO2-udledning'!$G8)</f>
        <v>-1258781.6445090303</v>
      </c>
      <c r="D26" s="99" t="str">
        <f t="shared" ref="D26:I26" si="18">IF(D17&lt;&gt;"",D17,"")</f>
        <v>Skov</v>
      </c>
      <c r="E26" s="99" t="str">
        <f t="shared" si="18"/>
        <v>Skov</v>
      </c>
      <c r="F26" s="99" t="str">
        <f t="shared" si="18"/>
        <v/>
      </c>
      <c r="G26" s="99" t="str">
        <f t="shared" si="18"/>
        <v>Skovproduktion</v>
      </c>
      <c r="H26" s="99" t="str">
        <f t="shared" si="18"/>
        <v/>
      </c>
      <c r="I26" s="99" t="str">
        <f t="shared" si="18"/>
        <v/>
      </c>
    </row>
    <row r="27" spans="1:9" s="172" customFormat="1" x14ac:dyDescent="0.55000000000000004">
      <c r="A27" s="172" t="s">
        <v>23</v>
      </c>
      <c r="B27" s="172">
        <f t="shared" si="11"/>
        <v>2050</v>
      </c>
      <c r="C27" s="99">
        <f>SUMIFS('Resultater - Vestdanmark'!J$3:J$474,'Resultater - Vestdanmark'!$F$3:$F$474,'CO2-udledning'!$D$2,'Resultater - Vestdanmark'!$A$3:$A$474,'CO2-udledning'!$G9)</f>
        <v>-382169.87986558012</v>
      </c>
      <c r="D27" s="99" t="str">
        <f t="shared" ref="D27:I27" si="19">IF(D18&lt;&gt;"",D18,"")</f>
        <v>Biogasanlæg</v>
      </c>
      <c r="E27" s="99" t="str">
        <f t="shared" si="19"/>
        <v>Biogasanlæg</v>
      </c>
      <c r="F27" s="99" t="str">
        <f t="shared" si="19"/>
        <v/>
      </c>
      <c r="G27" s="99" t="str">
        <f t="shared" si="19"/>
        <v>Biogasanlæg</v>
      </c>
      <c r="H27" s="99" t="str">
        <f t="shared" si="19"/>
        <v/>
      </c>
      <c r="I27" s="99" t="str">
        <f t="shared" si="19"/>
        <v/>
      </c>
    </row>
    <row r="28" spans="1:9" s="172" customFormat="1" x14ac:dyDescent="0.55000000000000004">
      <c r="A28" s="172" t="s">
        <v>23</v>
      </c>
      <c r="B28" s="172">
        <f t="shared" si="11"/>
        <v>2050</v>
      </c>
      <c r="C28" s="99">
        <f>SUMIFS('Resultater - Vestdanmark'!J$3:J$474,'Resultater - Vestdanmark'!$F$3:$F$474,'CO2-udledning'!$D$2,'Resultater - Vestdanmark'!$A$3:$A$474,'CO2-udledning'!$G10)</f>
        <v>0</v>
      </c>
      <c r="D28" s="99" t="str">
        <f t="shared" ref="D28:I28" si="20">IF(D19&lt;&gt;"",D19,"")</f>
        <v>Pyrolyseproces</v>
      </c>
      <c r="E28" s="99" t="str">
        <f t="shared" si="20"/>
        <v>Pyrolyseproces</v>
      </c>
      <c r="F28" s="99" t="str">
        <f t="shared" si="20"/>
        <v/>
      </c>
      <c r="G28" s="99" t="str">
        <f t="shared" si="20"/>
        <v>Pyrolyseproces</v>
      </c>
      <c r="H28" s="99" t="str">
        <f t="shared" si="20"/>
        <v/>
      </c>
      <c r="I28" s="99" t="str">
        <f t="shared" si="20"/>
        <v/>
      </c>
    </row>
    <row r="29" spans="1:9" x14ac:dyDescent="0.55000000000000004">
      <c r="A29" t="s">
        <v>24</v>
      </c>
      <c r="B29" s="172">
        <f t="shared" ref="B29:B37" si="21">År1</f>
        <v>2019</v>
      </c>
      <c r="C29" s="99">
        <f>SUMIF('Resultater - Østdanmark'!$F$3:$F$487,'CO2-udledning'!$D$2,'Resultater - Østdanmark'!H$3:H$487)</f>
        <v>1971383.1086998824</v>
      </c>
      <c r="D29" s="99" t="str">
        <f t="shared" ref="D29:I29" si="22">IF(D20&lt;&gt;"",D20,"")</f>
        <v>CO2 - atmosfære</v>
      </c>
      <c r="E29" s="99" t="str">
        <f t="shared" si="22"/>
        <v>CO2 - atmosfære</v>
      </c>
      <c r="F29" s="99" t="str">
        <f t="shared" si="22"/>
        <v/>
      </c>
      <c r="G29" s="99" t="str">
        <f t="shared" si="22"/>
        <v/>
      </c>
      <c r="H29" s="99" t="str">
        <f t="shared" si="22"/>
        <v/>
      </c>
      <c r="I29" s="99" t="str">
        <f t="shared" si="22"/>
        <v/>
      </c>
    </row>
    <row r="30" spans="1:9" x14ac:dyDescent="0.55000000000000004">
      <c r="A30" t="s">
        <v>24</v>
      </c>
      <c r="B30" s="172">
        <f t="shared" si="21"/>
        <v>2019</v>
      </c>
      <c r="C30" s="99">
        <f>SUMIFS('Resultater - Østdanmark'!H$3:H$474,'Resultater - Østdanmark'!$F$3:$F$474,'CO2-udledning'!$D$2,'Resultater - Østdanmark'!$A$3:$A$474,'CO2-udledning'!$G30)+SUMIFS('Resultater - Østdanmark'!H$3:H$474,'Resultater - Østdanmark'!$F$3:$F$474,'CO2-udledning'!$D$2,'Resultater - Østdanmark'!$A$3:$A$474,'CO2-udledning'!$H30)+SUMIFS('Resultater - Østdanmark'!H$3:H$474,'Resultater - Østdanmark'!$F$3:$F$474,'CO2-udledning'!$D$2,'Resultater - Østdanmark'!$A$3:$A$474,'CO2-udledning'!$I30)</f>
        <v>448426.54673213884</v>
      </c>
      <c r="D30" s="99" t="str">
        <f t="shared" ref="D30:I30" si="23">IF(D21&lt;&gt;"",D21,"")</f>
        <v>Landbrug</v>
      </c>
      <c r="E30" s="99" t="str">
        <f t="shared" si="23"/>
        <v>Husdyr</v>
      </c>
      <c r="F30" s="99" t="str">
        <f t="shared" si="23"/>
        <v/>
      </c>
      <c r="G30" s="99" t="str">
        <f t="shared" si="23"/>
        <v>Grisestald</v>
      </c>
      <c r="H30" s="99" t="str">
        <f t="shared" si="23"/>
        <v>Kostald</v>
      </c>
      <c r="I30" s="99" t="str">
        <f t="shared" si="23"/>
        <v>Fjerkræbrug</v>
      </c>
    </row>
    <row r="31" spans="1:9" x14ac:dyDescent="0.55000000000000004">
      <c r="A31" t="s">
        <v>24</v>
      </c>
      <c r="B31" s="172">
        <f t="shared" si="21"/>
        <v>2019</v>
      </c>
      <c r="C31" s="76">
        <f>SUMIFS('Resultater - Østdanmark'!H$3:H$474,'Resultater - Østdanmark'!$F$3:$F$474,'CO2-udledning'!$D$2,'Resultater - Østdanmark'!$C$3:$C$474,'CO2-udledning'!$F4)+SUMIFS('Resultater - Østdanmark'!H$3:H$474,'Resultater - Østdanmark'!$F$3:$F$474,$D$2,'Resultater - Østdanmark'!$A$3:$A$474,"Grøntsager I drivhus")</f>
        <v>1244619.4009225217</v>
      </c>
      <c r="D31" s="99" t="str">
        <f t="shared" ref="D31:I31" si="24">IF(D22&lt;&gt;"",D22,"")</f>
        <v>Landbrug</v>
      </c>
      <c r="E31" s="99" t="str">
        <f t="shared" si="24"/>
        <v>Marker</v>
      </c>
      <c r="F31" s="99" t="str">
        <f t="shared" si="24"/>
        <v>JB1-10</v>
      </c>
      <c r="G31" s="99" t="str">
        <f t="shared" si="24"/>
        <v/>
      </c>
      <c r="H31" s="99" t="str">
        <f t="shared" si="24"/>
        <v/>
      </c>
      <c r="I31" s="99" t="str">
        <f t="shared" si="24"/>
        <v/>
      </c>
    </row>
    <row r="32" spans="1:9" x14ac:dyDescent="0.55000000000000004">
      <c r="A32" t="s">
        <v>24</v>
      </c>
      <c r="B32" s="172">
        <f t="shared" si="21"/>
        <v>2019</v>
      </c>
      <c r="C32" s="76">
        <f>SUMIFS('Resultater - Østdanmark'!H$3:H$474,'Resultater - Østdanmark'!$F$3:$F$474,'CO2-udledning'!$D$2,'Resultater - Østdanmark'!$C$3:$C$474,'CO2-udledning'!$F5)</f>
        <v>142699.41800214813</v>
      </c>
      <c r="D32" s="99" t="str">
        <f t="shared" ref="D32:I32" si="25">IF(D23&lt;&gt;"",D23,"")</f>
        <v>Landbrug</v>
      </c>
      <c r="E32" s="99" t="str">
        <f t="shared" si="25"/>
        <v>Marker</v>
      </c>
      <c r="F32" s="99" t="str">
        <f t="shared" si="25"/>
        <v>OC6</v>
      </c>
      <c r="G32" s="99" t="str">
        <f t="shared" si="25"/>
        <v/>
      </c>
      <c r="H32" s="99" t="str">
        <f t="shared" si="25"/>
        <v/>
      </c>
      <c r="I32" s="99" t="str">
        <f t="shared" si="25"/>
        <v/>
      </c>
    </row>
    <row r="33" spans="1:9" x14ac:dyDescent="0.55000000000000004">
      <c r="A33" t="s">
        <v>24</v>
      </c>
      <c r="B33" s="172">
        <f t="shared" si="21"/>
        <v>2019</v>
      </c>
      <c r="C33" s="76">
        <f>SUMIFS('Resultater - Østdanmark'!H$3:H$474,'Resultater - Østdanmark'!$F$3:$F$474,'CO2-udledning'!$D$2,'Resultater - Østdanmark'!$C$3:$C$474,'CO2-udledning'!$F6)</f>
        <v>276144.78230139322</v>
      </c>
      <c r="D33" s="99" t="str">
        <f t="shared" ref="D33:I33" si="26">IF(D24&lt;&gt;"",D24,"")</f>
        <v>Landbrug</v>
      </c>
      <c r="E33" s="99" t="str">
        <f t="shared" si="26"/>
        <v>Marker</v>
      </c>
      <c r="F33" s="99" t="str">
        <f t="shared" si="26"/>
        <v>OC12</v>
      </c>
      <c r="G33" s="99" t="str">
        <f t="shared" si="26"/>
        <v/>
      </c>
      <c r="H33" s="99" t="str">
        <f t="shared" si="26"/>
        <v/>
      </c>
      <c r="I33" s="99" t="str">
        <f t="shared" si="26"/>
        <v/>
      </c>
    </row>
    <row r="34" spans="1:9" x14ac:dyDescent="0.55000000000000004">
      <c r="A34" t="s">
        <v>24</v>
      </c>
      <c r="B34" s="172">
        <f t="shared" si="21"/>
        <v>2019</v>
      </c>
      <c r="C34" s="99">
        <f>SUMIFS('Resultater - Østdanmark'!H$3:H$474,'Resultater - Østdanmark'!$F$3:$F$474,'CO2-udledning'!$D$2,'Resultater - Østdanmark'!$A$3:$A$474,'CO2-udledning'!$G34)+SUMIFS('Resultater - Østdanmark'!H$3:H$474,'Resultater - Østdanmark'!$F$3:$F$474,'CO2-udledning'!$D$2,'Resultater - Østdanmark'!$A$3:$A$474,'CO2-udledning'!$H34)</f>
        <v>-0.19402522113858015</v>
      </c>
      <c r="D34" s="99" t="str">
        <f t="shared" ref="D34:I34" si="27">IF(D25&lt;&gt;"",D25,"")</f>
        <v>Hav</v>
      </c>
      <c r="E34" s="99" t="str">
        <f t="shared" si="27"/>
        <v>Hav</v>
      </c>
      <c r="F34" s="99" t="str">
        <f t="shared" si="27"/>
        <v/>
      </c>
      <c r="G34" s="99" t="str">
        <f t="shared" si="27"/>
        <v>Muslingefarm</v>
      </c>
      <c r="H34" s="99" t="str">
        <f t="shared" si="27"/>
        <v>Tangfarm</v>
      </c>
      <c r="I34" s="99" t="str">
        <f t="shared" si="27"/>
        <v/>
      </c>
    </row>
    <row r="35" spans="1:9" x14ac:dyDescent="0.55000000000000004">
      <c r="A35" t="s">
        <v>24</v>
      </c>
      <c r="B35" s="172">
        <f t="shared" si="21"/>
        <v>2019</v>
      </c>
      <c r="C35" s="99">
        <f>SUMIFS('Resultater - Østdanmark'!H$3:H$474,'Resultater - Østdanmark'!$F$3:$F$474,'CO2-udledning'!$D$2,'Resultater - Østdanmark'!$A$3:$A$474,'CO2-udledning'!$G35)</f>
        <v>-127230</v>
      </c>
      <c r="D35" s="99" t="str">
        <f t="shared" ref="D35:I35" si="28">IF(D26&lt;&gt;"",D26,"")</f>
        <v>Skov</v>
      </c>
      <c r="E35" s="99" t="str">
        <f t="shared" si="28"/>
        <v>Skov</v>
      </c>
      <c r="F35" s="99" t="str">
        <f t="shared" si="28"/>
        <v/>
      </c>
      <c r="G35" s="99" t="str">
        <f t="shared" si="28"/>
        <v>Skovproduktion</v>
      </c>
      <c r="H35" s="99" t="str">
        <f t="shared" si="28"/>
        <v/>
      </c>
      <c r="I35" s="99" t="str">
        <f t="shared" si="28"/>
        <v/>
      </c>
    </row>
    <row r="36" spans="1:9" s="172" customFormat="1" x14ac:dyDescent="0.55000000000000004">
      <c r="A36" s="172" t="s">
        <v>24</v>
      </c>
      <c r="B36" s="172">
        <f t="shared" si="21"/>
        <v>2019</v>
      </c>
      <c r="C36" s="99">
        <f>SUMIFS('Resultater - Østdanmark'!H$3:H$474,'Resultater - Østdanmark'!$F$3:$F$474,'CO2-udledning'!$D$2,'Resultater - Østdanmark'!$A$3:$A$474,'CO2-udledning'!$G36)</f>
        <v>-13276.84523309844</v>
      </c>
      <c r="D36" s="99" t="str">
        <f t="shared" ref="D36:I36" si="29">IF(D27&lt;&gt;"",D27,"")</f>
        <v>Biogasanlæg</v>
      </c>
      <c r="E36" s="99" t="str">
        <f t="shared" si="29"/>
        <v>Biogasanlæg</v>
      </c>
      <c r="F36" s="99" t="str">
        <f t="shared" si="29"/>
        <v/>
      </c>
      <c r="G36" s="99" t="str">
        <f t="shared" si="29"/>
        <v>Biogasanlæg</v>
      </c>
      <c r="H36" s="99" t="str">
        <f t="shared" si="29"/>
        <v/>
      </c>
      <c r="I36" s="99" t="str">
        <f t="shared" si="29"/>
        <v/>
      </c>
    </row>
    <row r="37" spans="1:9" s="172" customFormat="1" x14ac:dyDescent="0.55000000000000004">
      <c r="A37" s="172" t="s">
        <v>24</v>
      </c>
      <c r="B37" s="172">
        <f t="shared" si="21"/>
        <v>2019</v>
      </c>
      <c r="C37" s="99">
        <f>SUMIFS('Resultater - Østdanmark'!H$3:H$474,'Resultater - Østdanmark'!$F$3:$F$474,'CO2-udledning'!$D$2,'Resultater - Østdanmark'!$A$3:$A$474,'CO2-udledning'!$G37)</f>
        <v>0</v>
      </c>
      <c r="D37" s="99" t="str">
        <f t="shared" ref="D37:I37" si="30">IF(D28&lt;&gt;"",D28,"")</f>
        <v>Pyrolyseproces</v>
      </c>
      <c r="E37" s="99" t="str">
        <f t="shared" si="30"/>
        <v>Pyrolyseproces</v>
      </c>
      <c r="F37" s="99" t="str">
        <f t="shared" si="30"/>
        <v/>
      </c>
      <c r="G37" s="99" t="str">
        <f t="shared" si="30"/>
        <v>Pyrolyseproces</v>
      </c>
      <c r="H37" s="99" t="str">
        <f t="shared" si="30"/>
        <v/>
      </c>
      <c r="I37" s="99" t="str">
        <f t="shared" si="30"/>
        <v/>
      </c>
    </row>
    <row r="38" spans="1:9" x14ac:dyDescent="0.55000000000000004">
      <c r="A38" s="172" t="s">
        <v>24</v>
      </c>
      <c r="B38" s="172">
        <f t="shared" ref="B38:B46" si="31">År2</f>
        <v>2030</v>
      </c>
      <c r="C38" s="99">
        <f>SUMIF('Resultater - Østdanmark'!$F$3:$F$487,'CO2-udledning'!$D$2,'Resultater - Østdanmark'!I$3:I$487)</f>
        <v>1891701.6150406413</v>
      </c>
      <c r="D38" s="99" t="str">
        <f t="shared" ref="D38:I38" si="32">IF(D29&lt;&gt;"",D29,"")</f>
        <v>CO2 - atmosfære</v>
      </c>
      <c r="E38" s="99" t="str">
        <f t="shared" si="32"/>
        <v>CO2 - atmosfære</v>
      </c>
      <c r="F38" s="99" t="str">
        <f t="shared" si="32"/>
        <v/>
      </c>
      <c r="G38" s="99" t="str">
        <f t="shared" si="32"/>
        <v/>
      </c>
      <c r="H38" s="99" t="str">
        <f t="shared" si="32"/>
        <v/>
      </c>
      <c r="I38" s="99" t="str">
        <f t="shared" si="32"/>
        <v/>
      </c>
    </row>
    <row r="39" spans="1:9" x14ac:dyDescent="0.55000000000000004">
      <c r="A39" s="172" t="s">
        <v>24</v>
      </c>
      <c r="B39" s="172">
        <f t="shared" si="31"/>
        <v>2030</v>
      </c>
      <c r="C39" s="99">
        <f>SUMIFS('Resultater - Østdanmark'!I$3:I$474,'Resultater - Østdanmark'!$F$3:$F$474,'CO2-udledning'!$D$2,'Resultater - Østdanmark'!$A$3:$A$474,'CO2-udledning'!$G30)+SUMIFS('Resultater - Østdanmark'!I$3:I$474,'Resultater - Østdanmark'!$F$3:$F$474,'CO2-udledning'!$D$2,'Resultater - Østdanmark'!$A$3:$A$474,'CO2-udledning'!$H30)+SUMIFS('Resultater - Østdanmark'!I$3:I$474,'Resultater - Østdanmark'!$F$3:$F$474,'CO2-udledning'!$D$2,'Resultater - Østdanmark'!$A$3:$A$474,'CO2-udledning'!$I30)</f>
        <v>449093.3493058047</v>
      </c>
      <c r="D39" s="99" t="str">
        <f t="shared" ref="D39:I39" si="33">IF(D30&lt;&gt;"",D30,"")</f>
        <v>Landbrug</v>
      </c>
      <c r="E39" s="99" t="str">
        <f t="shared" si="33"/>
        <v>Husdyr</v>
      </c>
      <c r="F39" s="99" t="str">
        <f t="shared" si="33"/>
        <v/>
      </c>
      <c r="G39" s="99" t="str">
        <f t="shared" si="33"/>
        <v>Grisestald</v>
      </c>
      <c r="H39" s="99" t="str">
        <f t="shared" si="33"/>
        <v>Kostald</v>
      </c>
      <c r="I39" s="99" t="str">
        <f t="shared" si="33"/>
        <v>Fjerkræbrug</v>
      </c>
    </row>
    <row r="40" spans="1:9" x14ac:dyDescent="0.55000000000000004">
      <c r="A40" s="172" t="s">
        <v>24</v>
      </c>
      <c r="B40" s="172">
        <f t="shared" si="31"/>
        <v>2030</v>
      </c>
      <c r="C40" s="76">
        <f>SUMIFS('Resultater - Østdanmark'!I$3:I$474,'Resultater - Østdanmark'!$F$3:$F$474,'CO2-udledning'!$D$2,'Resultater - Østdanmark'!$C$3:$C$474,'CO2-udledning'!$F4)+SUMIFS('Resultater - Østdanmark'!I$3:I$474,'Resultater - Østdanmark'!$F$3:$F$474,$D$2,'Resultater - Østdanmark'!$A$3:$A$474,"Grøntsager I drivhus")</f>
        <v>1240035.0657402945</v>
      </c>
      <c r="D40" s="99" t="str">
        <f t="shared" ref="D40:I40" si="34">IF(D31&lt;&gt;"",D31,"")</f>
        <v>Landbrug</v>
      </c>
      <c r="E40" s="99" t="str">
        <f t="shared" si="34"/>
        <v>Marker</v>
      </c>
      <c r="F40" s="99" t="str">
        <f t="shared" si="34"/>
        <v>JB1-10</v>
      </c>
      <c r="G40" s="99" t="str">
        <f t="shared" si="34"/>
        <v/>
      </c>
      <c r="H40" s="99" t="str">
        <f t="shared" si="34"/>
        <v/>
      </c>
      <c r="I40" s="99" t="str">
        <f t="shared" si="34"/>
        <v/>
      </c>
    </row>
    <row r="41" spans="1:9" x14ac:dyDescent="0.55000000000000004">
      <c r="A41" s="172" t="s">
        <v>24</v>
      </c>
      <c r="B41" s="172">
        <f t="shared" si="31"/>
        <v>2030</v>
      </c>
      <c r="C41" s="76">
        <f>SUMIFS('Resultater - Østdanmark'!I$3:I$474,'Resultater - Østdanmark'!$F$3:$F$474,'CO2-udledning'!$D$2,'Resultater - Østdanmark'!$C$3:$C$474,'CO2-udledning'!$F5)</f>
        <v>132118.63988943215</v>
      </c>
      <c r="D41" s="99" t="str">
        <f t="shared" ref="D41:I41" si="35">IF(D32&lt;&gt;"",D32,"")</f>
        <v>Landbrug</v>
      </c>
      <c r="E41" s="99" t="str">
        <f t="shared" si="35"/>
        <v>Marker</v>
      </c>
      <c r="F41" s="99" t="str">
        <f t="shared" si="35"/>
        <v>OC6</v>
      </c>
      <c r="G41" s="99" t="str">
        <f t="shared" si="35"/>
        <v/>
      </c>
      <c r="H41" s="99" t="str">
        <f t="shared" si="35"/>
        <v/>
      </c>
      <c r="I41" s="99" t="str">
        <f t="shared" si="35"/>
        <v/>
      </c>
    </row>
    <row r="42" spans="1:9" x14ac:dyDescent="0.55000000000000004">
      <c r="A42" s="172" t="s">
        <v>24</v>
      </c>
      <c r="B42" s="172">
        <f t="shared" si="31"/>
        <v>2030</v>
      </c>
      <c r="C42" s="76">
        <f>SUMIFS('Resultater - Østdanmark'!I$3:I$474,'Resultater - Østdanmark'!$F$3:$F$474,'CO2-udledning'!$D$2,'Resultater - Østdanmark'!$C$3:$C$474,'CO2-udledning'!$F6)</f>
        <v>251468.565835013</v>
      </c>
      <c r="D42" s="99" t="str">
        <f t="shared" ref="D42:I42" si="36">IF(D33&lt;&gt;"",D33,"")</f>
        <v>Landbrug</v>
      </c>
      <c r="E42" s="99" t="str">
        <f t="shared" si="36"/>
        <v>Marker</v>
      </c>
      <c r="F42" s="99" t="str">
        <f t="shared" si="36"/>
        <v>OC12</v>
      </c>
      <c r="G42" s="99" t="str">
        <f t="shared" si="36"/>
        <v/>
      </c>
      <c r="H42" s="99" t="str">
        <f t="shared" si="36"/>
        <v/>
      </c>
      <c r="I42" s="99" t="str">
        <f t="shared" si="36"/>
        <v/>
      </c>
    </row>
    <row r="43" spans="1:9" x14ac:dyDescent="0.55000000000000004">
      <c r="A43" s="172" t="s">
        <v>24</v>
      </c>
      <c r="B43" s="172">
        <f t="shared" si="31"/>
        <v>2030</v>
      </c>
      <c r="C43" s="99">
        <f>SUMIFS('Resultater - Østdanmark'!I$3:I$474,'Resultater - Østdanmark'!$F$3:$F$474,'CO2-udledning'!$D$2,'Resultater - Østdanmark'!$A$3:$A$474,'CO2-udledning'!$G34)+SUMIFS('Resultater - Østdanmark'!I$3:I$474,'Resultater - Østdanmark'!$F$3:$F$474,'CO2-udledning'!$D$2,'Resultater - Østdanmark'!$A$3:$A$474,'CO2-udledning'!$H34)</f>
        <v>-674.70029884327505</v>
      </c>
      <c r="D43" s="99" t="str">
        <f t="shared" ref="D43:I43" si="37">IF(D34&lt;&gt;"",D34,"")</f>
        <v>Hav</v>
      </c>
      <c r="E43" s="99" t="str">
        <f t="shared" si="37"/>
        <v>Hav</v>
      </c>
      <c r="F43" s="99" t="str">
        <f t="shared" si="37"/>
        <v/>
      </c>
      <c r="G43" s="99" t="str">
        <f t="shared" si="37"/>
        <v>Muslingefarm</v>
      </c>
      <c r="H43" s="99" t="str">
        <f t="shared" si="37"/>
        <v>Tangfarm</v>
      </c>
      <c r="I43" s="99" t="str">
        <f t="shared" si="37"/>
        <v/>
      </c>
    </row>
    <row r="44" spans="1:9" x14ac:dyDescent="0.55000000000000004">
      <c r="A44" s="172" t="s">
        <v>24</v>
      </c>
      <c r="B44" s="172">
        <f t="shared" si="31"/>
        <v>2030</v>
      </c>
      <c r="C44" s="99">
        <f>SUMIFS('Resultater - Østdanmark'!I$3:I$474,'Resultater - Østdanmark'!$F$3:$F$474,'CO2-udledning'!$D$2,'Resultater - Østdanmark'!$A$3:$A$474,'CO2-udledning'!$G35)</f>
        <v>-144967.5468532106</v>
      </c>
      <c r="D44" s="99" t="str">
        <f t="shared" ref="D44:I44" si="38">IF(D35&lt;&gt;"",D35,"")</f>
        <v>Skov</v>
      </c>
      <c r="E44" s="99" t="str">
        <f t="shared" si="38"/>
        <v>Skov</v>
      </c>
      <c r="F44" s="99" t="str">
        <f t="shared" si="38"/>
        <v/>
      </c>
      <c r="G44" s="99" t="str">
        <f t="shared" si="38"/>
        <v>Skovproduktion</v>
      </c>
      <c r="H44" s="99" t="str">
        <f t="shared" si="38"/>
        <v/>
      </c>
      <c r="I44" s="99" t="str">
        <f t="shared" si="38"/>
        <v/>
      </c>
    </row>
    <row r="45" spans="1:9" s="172" customFormat="1" x14ac:dyDescent="0.55000000000000004">
      <c r="A45" s="172" t="s">
        <v>24</v>
      </c>
      <c r="B45" s="172">
        <f t="shared" si="31"/>
        <v>2030</v>
      </c>
      <c r="C45" s="99">
        <f>SUMIFS('Resultater - Østdanmark'!I$3:I$474,'Resultater - Østdanmark'!$F$3:$F$474,'CO2-udledning'!$D$2,'Resultater - Østdanmark'!$A$3:$A$474,'CO2-udledning'!$G36)</f>
        <v>-35371.758577849541</v>
      </c>
      <c r="D45" s="99" t="str">
        <f t="shared" ref="D45:I45" si="39">IF(D36&lt;&gt;"",D36,"")</f>
        <v>Biogasanlæg</v>
      </c>
      <c r="E45" s="99" t="str">
        <f t="shared" si="39"/>
        <v>Biogasanlæg</v>
      </c>
      <c r="F45" s="99" t="str">
        <f t="shared" si="39"/>
        <v/>
      </c>
      <c r="G45" s="99" t="str">
        <f t="shared" si="39"/>
        <v>Biogasanlæg</v>
      </c>
      <c r="H45" s="99" t="str">
        <f t="shared" si="39"/>
        <v/>
      </c>
      <c r="I45" s="99" t="str">
        <f t="shared" si="39"/>
        <v/>
      </c>
    </row>
    <row r="46" spans="1:9" s="172" customFormat="1" x14ac:dyDescent="0.55000000000000004">
      <c r="A46" s="172" t="s">
        <v>24</v>
      </c>
      <c r="B46" s="172">
        <f t="shared" si="31"/>
        <v>2030</v>
      </c>
      <c r="C46" s="99">
        <f>SUMIFS('Resultater - Østdanmark'!I$3:I$474,'Resultater - Østdanmark'!$F$3:$F$474,'CO2-udledning'!$D$2,'Resultater - Østdanmark'!$A$3:$A$474,'CO2-udledning'!$G37)</f>
        <v>0</v>
      </c>
      <c r="D46" s="99" t="str">
        <f t="shared" ref="D46:I46" si="40">IF(D37&lt;&gt;"",D37,"")</f>
        <v>Pyrolyseproces</v>
      </c>
      <c r="E46" s="99" t="str">
        <f t="shared" si="40"/>
        <v>Pyrolyseproces</v>
      </c>
      <c r="F46" s="99" t="str">
        <f t="shared" si="40"/>
        <v/>
      </c>
      <c r="G46" s="99" t="str">
        <f t="shared" si="40"/>
        <v>Pyrolyseproces</v>
      </c>
      <c r="H46" s="99" t="str">
        <f t="shared" si="40"/>
        <v/>
      </c>
      <c r="I46" s="99" t="str">
        <f t="shared" si="40"/>
        <v/>
      </c>
    </row>
    <row r="47" spans="1:9" x14ac:dyDescent="0.55000000000000004">
      <c r="A47" s="172" t="s">
        <v>24</v>
      </c>
      <c r="B47" s="172">
        <f t="shared" ref="B47:B55" si="41">År3</f>
        <v>2050</v>
      </c>
      <c r="C47" s="99">
        <f>SUMIF('Resultater - Østdanmark'!$F$3:$F$487,'CO2-udledning'!$D$2,'Resultater - Østdanmark'!J$3:J$487)</f>
        <v>1726757.5752586154</v>
      </c>
      <c r="D47" s="99" t="str">
        <f t="shared" ref="D47:I47" si="42">IF(D38&lt;&gt;"",D38,"")</f>
        <v>CO2 - atmosfære</v>
      </c>
      <c r="E47" s="99" t="str">
        <f t="shared" si="42"/>
        <v>CO2 - atmosfære</v>
      </c>
      <c r="F47" s="99" t="str">
        <f t="shared" si="42"/>
        <v/>
      </c>
      <c r="G47" s="99" t="str">
        <f t="shared" si="42"/>
        <v/>
      </c>
      <c r="H47" s="99" t="str">
        <f t="shared" si="42"/>
        <v/>
      </c>
      <c r="I47" s="99" t="str">
        <f t="shared" si="42"/>
        <v/>
      </c>
    </row>
    <row r="48" spans="1:9" x14ac:dyDescent="0.55000000000000004">
      <c r="A48" s="172" t="s">
        <v>24</v>
      </c>
      <c r="B48" s="172">
        <f t="shared" si="41"/>
        <v>2050</v>
      </c>
      <c r="C48" s="99">
        <f>SUMIFS('Resultater - Østdanmark'!J$3:J$474,'Resultater - Østdanmark'!$F$3:$F$474,'CO2-udledning'!$D$2,'Resultater - Østdanmark'!$A$3:$A$474,'CO2-udledning'!$G30)+SUMIFS('Resultater - Østdanmark'!J$3:J$474,'Resultater - Østdanmark'!$F$3:$F$474,'CO2-udledning'!$D$2,'Resultater - Østdanmark'!$A$3:$A$474,'CO2-udledning'!$H30)+SUMIFS('Resultater - Østdanmark'!J$3:J$474,'Resultater - Østdanmark'!$F$3:$F$474,'CO2-udledning'!$D$2,'Resultater - Østdanmark'!$A$3:$A$474,'CO2-udledning'!$I30)</f>
        <v>447960.28277222451</v>
      </c>
      <c r="D48" s="99" t="str">
        <f t="shared" ref="D48:I48" si="43">IF(D39&lt;&gt;"",D39,"")</f>
        <v>Landbrug</v>
      </c>
      <c r="E48" s="99" t="str">
        <f t="shared" si="43"/>
        <v>Husdyr</v>
      </c>
      <c r="F48" s="99" t="str">
        <f t="shared" si="43"/>
        <v/>
      </c>
      <c r="G48" s="99" t="str">
        <f t="shared" si="43"/>
        <v>Grisestald</v>
      </c>
      <c r="H48" s="99" t="str">
        <f t="shared" si="43"/>
        <v>Kostald</v>
      </c>
      <c r="I48" s="99" t="str">
        <f t="shared" si="43"/>
        <v>Fjerkræbrug</v>
      </c>
    </row>
    <row r="49" spans="1:9" x14ac:dyDescent="0.55000000000000004">
      <c r="A49" s="172" t="s">
        <v>24</v>
      </c>
      <c r="B49" s="172">
        <f t="shared" si="41"/>
        <v>2050</v>
      </c>
      <c r="C49" s="76">
        <f>SUMIFS('Resultater - Østdanmark'!J$3:J$474,'Resultater - Østdanmark'!$F$3:$F$474,'CO2-udledning'!$D$2,'Resultater - Østdanmark'!$C$3:$C$474,'CO2-udledning'!$F4)+SUMIFS('Resultater - Østdanmark'!J$3:J$474,'Resultater - Østdanmark'!$F$3:$F$474,$D$2,'Resultater - Østdanmark'!$A$3:$A$474,"Grøntsager I drivhus")</f>
        <v>1231701.6161590884</v>
      </c>
      <c r="D49" s="99" t="str">
        <f t="shared" ref="D49:I49" si="44">IF(D40&lt;&gt;"",D40,"")</f>
        <v>Landbrug</v>
      </c>
      <c r="E49" s="99" t="str">
        <f t="shared" si="44"/>
        <v>Marker</v>
      </c>
      <c r="F49" s="99" t="str">
        <f t="shared" si="44"/>
        <v>JB1-10</v>
      </c>
      <c r="G49" s="99" t="str">
        <f t="shared" si="44"/>
        <v/>
      </c>
      <c r="H49" s="99" t="str">
        <f t="shared" si="44"/>
        <v/>
      </c>
      <c r="I49" s="99" t="str">
        <f t="shared" si="44"/>
        <v/>
      </c>
    </row>
    <row r="50" spans="1:9" x14ac:dyDescent="0.55000000000000004">
      <c r="A50" s="172" t="s">
        <v>24</v>
      </c>
      <c r="B50" s="172">
        <f t="shared" si="41"/>
        <v>2050</v>
      </c>
      <c r="C50" s="76">
        <f>SUMIFS('Resultater - Østdanmark'!J$3:J$474,'Resultater - Østdanmark'!$F$3:$F$474,'CO2-udledning'!$D$2,'Resultater - Østdanmark'!$C$3:$C$474,'CO2-udledning'!$F5)</f>
        <v>132118.63988943212</v>
      </c>
      <c r="D50" s="99" t="str">
        <f t="shared" ref="D50:I50" si="45">IF(D41&lt;&gt;"",D41,"")</f>
        <v>Landbrug</v>
      </c>
      <c r="E50" s="99" t="str">
        <f t="shared" si="45"/>
        <v>Marker</v>
      </c>
      <c r="F50" s="99" t="str">
        <f t="shared" si="45"/>
        <v>OC6</v>
      </c>
      <c r="G50" s="99" t="str">
        <f t="shared" si="45"/>
        <v/>
      </c>
      <c r="H50" s="99" t="str">
        <f t="shared" si="45"/>
        <v/>
      </c>
      <c r="I50" s="99" t="str">
        <f t="shared" si="45"/>
        <v/>
      </c>
    </row>
    <row r="51" spans="1:9" x14ac:dyDescent="0.55000000000000004">
      <c r="A51" s="172" t="s">
        <v>24</v>
      </c>
      <c r="B51" s="172">
        <f t="shared" si="41"/>
        <v>2050</v>
      </c>
      <c r="C51" s="76">
        <f>SUMIFS('Resultater - Østdanmark'!J$3:J$474,'Resultater - Østdanmark'!$F$3:$F$474,'CO2-udledning'!$D$2,'Resultater - Østdanmark'!$C$3:$C$474,'CO2-udledning'!$F6)</f>
        <v>251468.56583501303</v>
      </c>
      <c r="D51" s="99" t="str">
        <f t="shared" ref="D51:I51" si="46">IF(D42&lt;&gt;"",D42,"")</f>
        <v>Landbrug</v>
      </c>
      <c r="E51" s="99" t="str">
        <f t="shared" si="46"/>
        <v>Marker</v>
      </c>
      <c r="F51" s="99" t="str">
        <f t="shared" si="46"/>
        <v>OC12</v>
      </c>
      <c r="G51" s="99" t="str">
        <f t="shared" si="46"/>
        <v/>
      </c>
      <c r="H51" s="99" t="str">
        <f t="shared" si="46"/>
        <v/>
      </c>
      <c r="I51" s="99" t="str">
        <f t="shared" si="46"/>
        <v/>
      </c>
    </row>
    <row r="52" spans="1:9" x14ac:dyDescent="0.55000000000000004">
      <c r="A52" s="172" t="s">
        <v>24</v>
      </c>
      <c r="B52" s="172">
        <f t="shared" si="41"/>
        <v>2050</v>
      </c>
      <c r="C52" s="99">
        <f>SUMIFS('Resultater - Østdanmark'!J$3:J$474,'Resultater - Østdanmark'!$F$3:$F$474,'CO2-udledning'!$D$2,'Resultater - Østdanmark'!$A$3:$A$474,'CO2-udledning'!$G34)+SUMIFS('Resultater - Østdanmark'!J$3:J$474,'Resultater - Østdanmark'!$F$3:$F$474,'CO2-udledning'!$D$2,'Resultater - Østdanmark'!$A$3:$A$474,'CO2-udledning'!$H34)</f>
        <v>-8067.9044826491263</v>
      </c>
      <c r="D52" s="99" t="str">
        <f t="shared" ref="D52:I52" si="47">IF(D43&lt;&gt;"",D43,"")</f>
        <v>Hav</v>
      </c>
      <c r="E52" s="99" t="str">
        <f t="shared" si="47"/>
        <v>Hav</v>
      </c>
      <c r="F52" s="99" t="str">
        <f t="shared" si="47"/>
        <v/>
      </c>
      <c r="G52" s="99" t="str">
        <f t="shared" si="47"/>
        <v>Muslingefarm</v>
      </c>
      <c r="H52" s="99" t="str">
        <f t="shared" si="47"/>
        <v>Tangfarm</v>
      </c>
      <c r="I52" s="99" t="str">
        <f t="shared" si="47"/>
        <v/>
      </c>
    </row>
    <row r="53" spans="1:9" x14ac:dyDescent="0.55000000000000004">
      <c r="A53" s="172" t="s">
        <v>24</v>
      </c>
      <c r="B53" s="172">
        <f t="shared" si="41"/>
        <v>2050</v>
      </c>
      <c r="C53" s="99">
        <f>SUMIFS('Resultater - Østdanmark'!J$3:J$474,'Resultater - Østdanmark'!$F$3:$F$474,'CO2-udledning'!$D$2,'Resultater - Østdanmark'!$A$3:$A$474,'CO2-udledning'!$G35)</f>
        <v>-294074.24017031107</v>
      </c>
      <c r="D53" s="99" t="str">
        <f t="shared" ref="D53:I53" si="48">IF(D44&lt;&gt;"",D44,"")</f>
        <v>Skov</v>
      </c>
      <c r="E53" s="99" t="str">
        <f t="shared" si="48"/>
        <v>Skov</v>
      </c>
      <c r="F53" s="99" t="str">
        <f t="shared" si="48"/>
        <v/>
      </c>
      <c r="G53" s="99" t="str">
        <f t="shared" si="48"/>
        <v>Skovproduktion</v>
      </c>
      <c r="H53" s="99" t="str">
        <f t="shared" si="48"/>
        <v/>
      </c>
      <c r="I53" s="99" t="str">
        <f t="shared" si="48"/>
        <v/>
      </c>
    </row>
    <row r="54" spans="1:9" s="172" customFormat="1" x14ac:dyDescent="0.55000000000000004">
      <c r="A54" s="172" t="s">
        <v>24</v>
      </c>
      <c r="B54" s="172">
        <f t="shared" si="41"/>
        <v>2050</v>
      </c>
      <c r="C54" s="99">
        <f>SUMIFS('Resultater - Østdanmark'!J$3:J$474,'Resultater - Østdanmark'!$F$3:$F$474,'CO2-udledning'!$D$2,'Resultater - Østdanmark'!$A$3:$A$474,'CO2-udledning'!$G36)</f>
        <v>-34349.384744182549</v>
      </c>
      <c r="D54" s="99" t="str">
        <f t="shared" ref="D54:I54" si="49">IF(D45&lt;&gt;"",D45,"")</f>
        <v>Biogasanlæg</v>
      </c>
      <c r="E54" s="99" t="str">
        <f t="shared" si="49"/>
        <v>Biogasanlæg</v>
      </c>
      <c r="F54" s="99" t="str">
        <f t="shared" si="49"/>
        <v/>
      </c>
      <c r="G54" s="99" t="str">
        <f t="shared" si="49"/>
        <v>Biogasanlæg</v>
      </c>
      <c r="H54" s="99" t="str">
        <f t="shared" si="49"/>
        <v/>
      </c>
      <c r="I54" s="99" t="str">
        <f t="shared" si="49"/>
        <v/>
      </c>
    </row>
    <row r="55" spans="1:9" x14ac:dyDescent="0.55000000000000004">
      <c r="A55" s="172" t="s">
        <v>24</v>
      </c>
      <c r="B55" s="172">
        <f t="shared" si="41"/>
        <v>2050</v>
      </c>
      <c r="C55" s="99">
        <f>SUMIFS('Resultater - Østdanmark'!J$3:J$474,'Resultater - Østdanmark'!$F$3:$F$474,'CO2-udledning'!$D$2,'Resultater - Østdanmark'!$A$3:$A$474,'CO2-udledning'!$G37)</f>
        <v>0</v>
      </c>
      <c r="D55" s="99" t="str">
        <f t="shared" ref="D55:I55" si="50">IF(D46&lt;&gt;"",D46,"")</f>
        <v>Pyrolyseproces</v>
      </c>
      <c r="E55" s="99" t="str">
        <f t="shared" si="50"/>
        <v>Pyrolyseproces</v>
      </c>
      <c r="F55" s="99" t="str">
        <f t="shared" si="50"/>
        <v/>
      </c>
      <c r="G55" s="99" t="str">
        <f t="shared" si="50"/>
        <v>Pyrolyseproces</v>
      </c>
      <c r="H55" s="99" t="str">
        <f t="shared" si="50"/>
        <v/>
      </c>
      <c r="I55" s="99" t="str">
        <f t="shared" si="50"/>
        <v/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A9E6B-2C8A-49E7-BA29-2C5527A13073}">
  <sheetPr codeName="Sheet29">
    <tabColor theme="2" tint="-9.9978637043366805E-2"/>
  </sheetPr>
  <dimension ref="A1:O12"/>
  <sheetViews>
    <sheetView workbookViewId="0">
      <selection activeCell="B5" sqref="B5:AG23"/>
    </sheetView>
  </sheetViews>
  <sheetFormatPr defaultRowHeight="14.4" x14ac:dyDescent="0.55000000000000004"/>
  <cols>
    <col min="1" max="1" width="17.68359375" bestFit="1" customWidth="1"/>
    <col min="2" max="2" width="16.26171875" bestFit="1" customWidth="1"/>
    <col min="3" max="3" width="9.15625" bestFit="1" customWidth="1"/>
    <col min="4" max="4" width="7.578125" bestFit="1" customWidth="1"/>
    <col min="5" max="5" width="10.15625" bestFit="1" customWidth="1"/>
    <col min="6" max="6" width="10.83984375" bestFit="1" customWidth="1"/>
    <col min="7" max="7" width="9.578125" bestFit="1" customWidth="1"/>
    <col min="8" max="8" width="9.15625" bestFit="1" customWidth="1"/>
    <col min="9" max="10" width="10.15625" bestFit="1" customWidth="1"/>
    <col min="11" max="11" width="9.15625" bestFit="1" customWidth="1"/>
    <col min="12" max="12" width="12" bestFit="1" customWidth="1"/>
    <col min="13" max="14" width="9.15625" bestFit="1" customWidth="1"/>
    <col min="15" max="15" width="11.26171875" bestFit="1" customWidth="1"/>
  </cols>
  <sheetData>
    <row r="1" spans="1:15" x14ac:dyDescent="0.55000000000000004">
      <c r="A1" s="77" t="s">
        <v>127</v>
      </c>
      <c r="B1" s="77" t="s">
        <v>62</v>
      </c>
    </row>
    <row r="2" spans="1:15" x14ac:dyDescent="0.55000000000000004">
      <c r="A2" s="77" t="s">
        <v>60</v>
      </c>
      <c r="B2" s="172" t="s">
        <v>49</v>
      </c>
      <c r="C2" s="172" t="s">
        <v>114</v>
      </c>
      <c r="D2" s="172" t="s">
        <v>54</v>
      </c>
      <c r="E2" s="172" t="s">
        <v>51</v>
      </c>
      <c r="F2" s="172" t="s">
        <v>6</v>
      </c>
      <c r="G2" s="172" t="s">
        <v>56</v>
      </c>
      <c r="H2" s="172" t="s">
        <v>12</v>
      </c>
      <c r="I2" s="172" t="s">
        <v>48</v>
      </c>
      <c r="J2" s="172" t="s">
        <v>53</v>
      </c>
      <c r="K2" s="172" t="s">
        <v>55</v>
      </c>
      <c r="L2" s="172" t="s">
        <v>96</v>
      </c>
      <c r="M2" s="172" t="s">
        <v>50</v>
      </c>
      <c r="N2" s="172" t="s">
        <v>52</v>
      </c>
      <c r="O2" s="172" t="s">
        <v>61</v>
      </c>
    </row>
    <row r="3" spans="1:15" x14ac:dyDescent="0.55000000000000004">
      <c r="A3" s="78">
        <v>2019</v>
      </c>
      <c r="B3" s="99">
        <v>285126.10198467888</v>
      </c>
      <c r="C3" s="99">
        <v>1502558.0356082148</v>
      </c>
      <c r="D3" s="99">
        <v>41727.889892771527</v>
      </c>
      <c r="E3" s="99">
        <v>17943438.695570182</v>
      </c>
      <c r="F3" s="99">
        <v>280609.42145294487</v>
      </c>
      <c r="G3" s="99">
        <v>911574.64248506655</v>
      </c>
      <c r="H3" s="99">
        <v>2262318.840633567</v>
      </c>
      <c r="I3" s="99">
        <v>9109787.9694444165</v>
      </c>
      <c r="J3" s="99">
        <v>7947695.2938467432</v>
      </c>
      <c r="K3" s="99">
        <v>2005102.1714007764</v>
      </c>
      <c r="L3" s="99">
        <v>209782.38739500003</v>
      </c>
      <c r="M3" s="99">
        <v>678407.81727843033</v>
      </c>
      <c r="N3" s="99">
        <v>2629423.1359865703</v>
      </c>
      <c r="O3" s="99">
        <v>45807552.402979359</v>
      </c>
    </row>
    <row r="4" spans="1:15" x14ac:dyDescent="0.55000000000000004">
      <c r="A4" s="79" t="s">
        <v>23</v>
      </c>
      <c r="B4" s="99">
        <v>258086.32953598633</v>
      </c>
      <c r="C4" s="99">
        <v>890042.58416558511</v>
      </c>
      <c r="D4" s="99">
        <v>25923.363510878662</v>
      </c>
      <c r="E4" s="99">
        <v>15863611.568544758</v>
      </c>
      <c r="F4" s="99">
        <v>184529.62070571107</v>
      </c>
      <c r="G4" s="99">
        <v>765723.03528474667</v>
      </c>
      <c r="H4" s="99">
        <v>2145904.0489790672</v>
      </c>
      <c r="I4" s="99">
        <v>6833990.0005322779</v>
      </c>
      <c r="J4" s="99">
        <v>7581538.5357748987</v>
      </c>
      <c r="K4" s="99">
        <v>1609044.2994914718</v>
      </c>
      <c r="L4" s="99">
        <v>172205.06744997756</v>
      </c>
      <c r="M4" s="99">
        <v>484833.6848947219</v>
      </c>
      <c r="N4" s="99">
        <v>376449.39511597221</v>
      </c>
      <c r="O4" s="99">
        <v>37191881.533986054</v>
      </c>
    </row>
    <row r="5" spans="1:15" x14ac:dyDescent="0.55000000000000004">
      <c r="A5" s="79" t="s">
        <v>24</v>
      </c>
      <c r="B5" s="99">
        <v>27039.772448692573</v>
      </c>
      <c r="C5" s="99">
        <v>612515.4514426298</v>
      </c>
      <c r="D5" s="99">
        <v>15804.526381892863</v>
      </c>
      <c r="E5" s="99">
        <v>2079827.1270254222</v>
      </c>
      <c r="F5" s="99">
        <v>96079.800747233821</v>
      </c>
      <c r="G5" s="99">
        <v>145851.60720031991</v>
      </c>
      <c r="H5" s="99">
        <v>116414.7916544996</v>
      </c>
      <c r="I5" s="99">
        <v>2275797.9689121391</v>
      </c>
      <c r="J5" s="99">
        <v>366156.75807184458</v>
      </c>
      <c r="K5" s="99">
        <v>396057.87190930446</v>
      </c>
      <c r="L5" s="99">
        <v>37577.319945022478</v>
      </c>
      <c r="M5" s="99">
        <v>193574.13238370849</v>
      </c>
      <c r="N5" s="99">
        <v>2252973.7408705982</v>
      </c>
      <c r="O5" s="99">
        <v>8615670.8689933084</v>
      </c>
    </row>
    <row r="6" spans="1:15" x14ac:dyDescent="0.55000000000000004">
      <c r="A6" s="78">
        <v>2030</v>
      </c>
      <c r="B6" s="99">
        <v>298670.86850325402</v>
      </c>
      <c r="C6" s="99">
        <v>1570157.2016349281</v>
      </c>
      <c r="D6" s="99">
        <v>43803.458803853013</v>
      </c>
      <c r="E6" s="99">
        <v>18654356.233831409</v>
      </c>
      <c r="F6" s="99">
        <v>293077.80040045816</v>
      </c>
      <c r="G6" s="99">
        <v>954977.96501922607</v>
      </c>
      <c r="H6" s="99">
        <v>2364698.6095565544</v>
      </c>
      <c r="I6" s="99">
        <v>9580323.8646107055</v>
      </c>
      <c r="J6" s="99">
        <v>8372302.1226353673</v>
      </c>
      <c r="K6" s="99">
        <v>2101303.8465657956</v>
      </c>
      <c r="L6" s="99">
        <v>216936.14364827855</v>
      </c>
      <c r="M6" s="99">
        <v>712198.49644007557</v>
      </c>
      <c r="N6" s="99">
        <v>2776837.7563391714</v>
      </c>
      <c r="O6" s="99">
        <v>47939644.367989078</v>
      </c>
    </row>
    <row r="7" spans="1:15" x14ac:dyDescent="0.55000000000000004">
      <c r="A7" s="79" t="s">
        <v>23</v>
      </c>
      <c r="B7" s="99">
        <v>270118.44306124689</v>
      </c>
      <c r="C7" s="99">
        <v>925155.87360935542</v>
      </c>
      <c r="D7" s="99">
        <v>27117.337735936886</v>
      </c>
      <c r="E7" s="99">
        <v>16463363.602305863</v>
      </c>
      <c r="F7" s="99">
        <v>192243.07548074043</v>
      </c>
      <c r="G7" s="99">
        <v>800990.58717012103</v>
      </c>
      <c r="H7" s="99">
        <v>2241845.3275075206</v>
      </c>
      <c r="I7" s="99">
        <v>7171156.7599390233</v>
      </c>
      <c r="J7" s="99">
        <v>7983307.7524896674</v>
      </c>
      <c r="K7" s="99">
        <v>1683153.4103621913</v>
      </c>
      <c r="L7" s="99">
        <v>177516.46640303911</v>
      </c>
      <c r="M7" s="99">
        <v>507790.70515370794</v>
      </c>
      <c r="N7" s="99">
        <v>395099.15710561507</v>
      </c>
      <c r="O7" s="99">
        <v>38838858.498324029</v>
      </c>
    </row>
    <row r="8" spans="1:15" x14ac:dyDescent="0.55000000000000004">
      <c r="A8" s="79" t="s">
        <v>24</v>
      </c>
      <c r="B8" s="99">
        <v>28552.425442007137</v>
      </c>
      <c r="C8" s="99">
        <v>645001.32802557282</v>
      </c>
      <c r="D8" s="99">
        <v>16686.121067916127</v>
      </c>
      <c r="E8" s="99">
        <v>2190992.6315255472</v>
      </c>
      <c r="F8" s="99">
        <v>100834.72491971773</v>
      </c>
      <c r="G8" s="99">
        <v>153987.37784910508</v>
      </c>
      <c r="H8" s="99">
        <v>122853.28204903381</v>
      </c>
      <c r="I8" s="99">
        <v>2409167.1046716827</v>
      </c>
      <c r="J8" s="99">
        <v>388994.37014569982</v>
      </c>
      <c r="K8" s="99">
        <v>418150.43620360433</v>
      </c>
      <c r="L8" s="99">
        <v>39419.677245239443</v>
      </c>
      <c r="M8" s="99">
        <v>204407.79128636757</v>
      </c>
      <c r="N8" s="99">
        <v>2381738.5992335565</v>
      </c>
      <c r="O8" s="99">
        <v>9100785.8696650527</v>
      </c>
    </row>
    <row r="9" spans="1:15" x14ac:dyDescent="0.55000000000000004">
      <c r="A9" s="78">
        <v>2050</v>
      </c>
      <c r="B9" s="99">
        <v>288309.83297140902</v>
      </c>
      <c r="C9" s="99">
        <v>1522723.6559768345</v>
      </c>
      <c r="D9" s="99">
        <v>42424.518206894441</v>
      </c>
      <c r="E9" s="99">
        <v>18263649.836839143</v>
      </c>
      <c r="F9" s="99">
        <v>283588.43409804988</v>
      </c>
      <c r="G9" s="99">
        <v>922616.4144434646</v>
      </c>
      <c r="H9" s="99">
        <v>2282322.3336660713</v>
      </c>
      <c r="I9" s="99">
        <v>9305829.0675790496</v>
      </c>
      <c r="J9" s="99">
        <v>8170298.280918018</v>
      </c>
      <c r="K9" s="99">
        <v>2030965.6070747143</v>
      </c>
      <c r="L9" s="99">
        <v>210245.15308472581</v>
      </c>
      <c r="M9" s="99">
        <v>688203.13558300154</v>
      </c>
      <c r="N9" s="99">
        <v>2703338.5923109134</v>
      </c>
      <c r="O9" s="99">
        <v>46714514.862752274</v>
      </c>
    </row>
    <row r="10" spans="1:15" x14ac:dyDescent="0.55000000000000004">
      <c r="A10" s="79" t="s">
        <v>23</v>
      </c>
      <c r="B10" s="99">
        <v>260463.0327135307</v>
      </c>
      <c r="C10" s="99">
        <v>893493.81900150096</v>
      </c>
      <c r="D10" s="99">
        <v>26150.496751056631</v>
      </c>
      <c r="E10" s="99">
        <v>16099999.551723864</v>
      </c>
      <c r="F10" s="99">
        <v>185255.23058853028</v>
      </c>
      <c r="G10" s="99">
        <v>772432.08575229661</v>
      </c>
      <c r="H10" s="99">
        <v>2162497.7416876755</v>
      </c>
      <c r="I10" s="99">
        <v>6945589.6789912721</v>
      </c>
      <c r="J10" s="99">
        <v>7786550.4071108392</v>
      </c>
      <c r="K10" s="99">
        <v>1623142.2943438755</v>
      </c>
      <c r="L10" s="99">
        <v>171775.11908496951</v>
      </c>
      <c r="M10" s="99">
        <v>489039.95714195294</v>
      </c>
      <c r="N10" s="99">
        <v>380710.74225422333</v>
      </c>
      <c r="O10" s="99">
        <v>37797100.157145575</v>
      </c>
    </row>
    <row r="11" spans="1:15" x14ac:dyDescent="0.55000000000000004">
      <c r="A11" s="79" t="s">
        <v>24</v>
      </c>
      <c r="B11" s="99">
        <v>27846.800257878294</v>
      </c>
      <c r="C11" s="99">
        <v>629229.83697533351</v>
      </c>
      <c r="D11" s="99">
        <v>16274.021455837808</v>
      </c>
      <c r="E11" s="99">
        <v>2163650.2851152783</v>
      </c>
      <c r="F11" s="99">
        <v>98333.203509519633</v>
      </c>
      <c r="G11" s="99">
        <v>150184.32869116802</v>
      </c>
      <c r="H11" s="99">
        <v>119824.59197839584</v>
      </c>
      <c r="I11" s="99">
        <v>2360239.3885877775</v>
      </c>
      <c r="J11" s="99">
        <v>383747.87380717852</v>
      </c>
      <c r="K11" s="99">
        <v>407823.31273083866</v>
      </c>
      <c r="L11" s="99">
        <v>38470.033999756291</v>
      </c>
      <c r="M11" s="99">
        <v>199163.17844104863</v>
      </c>
      <c r="N11" s="99">
        <v>2322627.8500566902</v>
      </c>
      <c r="O11" s="99">
        <v>8917414.7056067027</v>
      </c>
    </row>
    <row r="12" spans="1:15" x14ac:dyDescent="0.55000000000000004">
      <c r="A12" s="78" t="s">
        <v>61</v>
      </c>
      <c r="B12" s="99">
        <v>872106.80345934187</v>
      </c>
      <c r="C12" s="99">
        <v>4595438.8932199776</v>
      </c>
      <c r="D12" s="99">
        <v>127955.86690351898</v>
      </c>
      <c r="E12" s="99">
        <v>54861444.766240738</v>
      </c>
      <c r="F12" s="99">
        <v>857275.65595145291</v>
      </c>
      <c r="G12" s="99">
        <v>2789169.0219477573</v>
      </c>
      <c r="H12" s="99">
        <v>6909339.7838561935</v>
      </c>
      <c r="I12" s="99">
        <v>27995940.901634172</v>
      </c>
      <c r="J12" s="99">
        <v>24490295.697400127</v>
      </c>
      <c r="K12" s="99">
        <v>6137371.6250412865</v>
      </c>
      <c r="L12" s="99">
        <v>636963.68412800448</v>
      </c>
      <c r="M12" s="99">
        <v>2078809.4493015073</v>
      </c>
      <c r="N12" s="99">
        <v>8109599.484636656</v>
      </c>
      <c r="O12" s="99">
        <v>140461711.63372073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6339A-521B-4272-B808-13B1045C35FF}">
  <sheetPr codeName="Sheet30">
    <tabColor theme="2" tint="-9.9978637043366805E-2"/>
  </sheetPr>
  <dimension ref="A1:D79"/>
  <sheetViews>
    <sheetView workbookViewId="0">
      <selection activeCell="B5" sqref="B5:AG23"/>
    </sheetView>
  </sheetViews>
  <sheetFormatPr defaultRowHeight="14.4" x14ac:dyDescent="0.55000000000000004"/>
  <cols>
    <col min="4" max="4" width="14.26171875" bestFit="1" customWidth="1"/>
  </cols>
  <sheetData>
    <row r="1" spans="1:4" x14ac:dyDescent="0.55000000000000004">
      <c r="A1" t="s">
        <v>57</v>
      </c>
      <c r="B1" t="s">
        <v>64</v>
      </c>
      <c r="C1" t="s">
        <v>58</v>
      </c>
      <c r="D1" t="s">
        <v>126</v>
      </c>
    </row>
    <row r="2" spans="1:4" x14ac:dyDescent="0.55000000000000004">
      <c r="A2" t="s">
        <v>48</v>
      </c>
      <c r="B2" t="s">
        <v>23</v>
      </c>
      <c r="C2">
        <f t="shared" ref="C2:C14" si="0">År1</f>
        <v>2019</v>
      </c>
      <c r="D2" s="245">
        <f>IF(B2="Vestdanmark",SUMIFS(IF(C2=År1,'Resultater - Vestdanmark'!$H$3:$H$480,IF(C2=År2,'Resultater - Vestdanmark'!$I$3:$I$480,'Resultater - Vestdanmark'!$J$3:$J$480)),'Resultater - Vestdanmark'!$F$3:$F$480,A2),SUMIFS(IF(C2=År1,'Resultater - Østdanmark'!$H$3:$H$480,IF(C2=År2,'Resultater - Østdanmark'!$I$3:$I$480,'Resultater - Østdanmark'!$J$3:$J$480)),'Resultater - Østdanmark'!$F$3:$F$480,A2))</f>
        <v>6833990.0005322779</v>
      </c>
    </row>
    <row r="3" spans="1:4" x14ac:dyDescent="0.55000000000000004">
      <c r="A3" t="s">
        <v>49</v>
      </c>
      <c r="B3" t="s">
        <v>23</v>
      </c>
      <c r="C3">
        <f t="shared" si="0"/>
        <v>2019</v>
      </c>
      <c r="D3" s="245">
        <f>IF(B3="Vestdanmark",SUMIFS(IF(C3=År1,'Resultater - Vestdanmark'!$H$3:$H$480,IF(C3=År2,'Resultater - Vestdanmark'!$I$3:$I$480,'Resultater - Vestdanmark'!$J$3:$J$480)),'Resultater - Vestdanmark'!$F$3:$F$480,A3),SUMIFS(IF(C3=År1,'Resultater - Østdanmark'!$H$3:$H$480,IF(C3=År2,'Resultater - Østdanmark'!$I$3:$I$480,'Resultater - Østdanmark'!$J$3:$J$480)),'Resultater - Østdanmark'!$F$3:$F$480,A3))</f>
        <v>258086.32953598633</v>
      </c>
    </row>
    <row r="4" spans="1:4" x14ac:dyDescent="0.55000000000000004">
      <c r="A4" t="s">
        <v>50</v>
      </c>
      <c r="B4" t="s">
        <v>23</v>
      </c>
      <c r="C4">
        <f t="shared" si="0"/>
        <v>2019</v>
      </c>
      <c r="D4" s="245">
        <f>IF(B4="Vestdanmark",SUMIFS(IF(C4=År1,'Resultater - Vestdanmark'!$H$3:$H$480,IF(C4=År2,'Resultater - Vestdanmark'!$I$3:$I$480,'Resultater - Vestdanmark'!$J$3:$J$480)),'Resultater - Vestdanmark'!$F$3:$F$480,A4),SUMIFS(IF(C4=År1,'Resultater - Østdanmark'!$H$3:$H$480,IF(C4=År2,'Resultater - Østdanmark'!$I$3:$I$480,'Resultater - Østdanmark'!$J$3:$J$480)),'Resultater - Østdanmark'!$F$3:$F$480,A4))</f>
        <v>484833.6848947219</v>
      </c>
    </row>
    <row r="5" spans="1:4" x14ac:dyDescent="0.55000000000000004">
      <c r="A5" t="s">
        <v>51</v>
      </c>
      <c r="B5" t="s">
        <v>23</v>
      </c>
      <c r="C5">
        <f t="shared" si="0"/>
        <v>2019</v>
      </c>
      <c r="D5" s="245">
        <f>IF(B5="Vestdanmark",SUMIFS(IF(C5=År1,'Resultater - Vestdanmark'!$H$3:$H$480,IF(C5=År2,'Resultater - Vestdanmark'!$I$3:$I$480,'Resultater - Vestdanmark'!$J$3:$J$480)),'Resultater - Vestdanmark'!$F$3:$F$480,A5),SUMIFS(IF(C5=År1,'Resultater - Østdanmark'!$H$3:$H$480,IF(C5=År2,'Resultater - Østdanmark'!$I$3:$I$480,'Resultater - Østdanmark'!$J$3:$J$480)),'Resultater - Østdanmark'!$F$3:$F$480,A5))</f>
        <v>15863611.568544758</v>
      </c>
    </row>
    <row r="6" spans="1:4" x14ac:dyDescent="0.55000000000000004">
      <c r="A6" t="s">
        <v>6</v>
      </c>
      <c r="B6" t="s">
        <v>23</v>
      </c>
      <c r="C6">
        <f t="shared" si="0"/>
        <v>2019</v>
      </c>
      <c r="D6" s="245">
        <f>IF(B6="Vestdanmark",SUMIFS(IF(C6=År1,'Resultater - Vestdanmark'!$H$3:$H$480,IF(C6=År2,'Resultater - Vestdanmark'!$I$3:$I$480,'Resultater - Vestdanmark'!$J$3:$J$480)),'Resultater - Vestdanmark'!$F$3:$F$480,A6),SUMIFS(IF(C6=År1,'Resultater - Østdanmark'!$H$3:$H$480,IF(C6=År2,'Resultater - Østdanmark'!$I$3:$I$480,'Resultater - Østdanmark'!$J$3:$J$480)),'Resultater - Østdanmark'!$F$3:$F$480,A6))</f>
        <v>184529.62070571107</v>
      </c>
    </row>
    <row r="7" spans="1:4" x14ac:dyDescent="0.55000000000000004">
      <c r="A7" t="s">
        <v>12</v>
      </c>
      <c r="B7" t="s">
        <v>23</v>
      </c>
      <c r="C7">
        <f t="shared" si="0"/>
        <v>2019</v>
      </c>
      <c r="D7" s="245">
        <f>IF(B7="Vestdanmark",SUMIFS(IF(C7=År1,'Resultater - Vestdanmark'!$H$3:$H$480,IF(C7=År2,'Resultater - Vestdanmark'!$I$3:$I$480,'Resultater - Vestdanmark'!$J$3:$J$480)),'Resultater - Vestdanmark'!$F$3:$F$480,A7),SUMIFS(IF(C7=År1,'Resultater - Østdanmark'!$H$3:$H$480,IF(C7=År2,'Resultater - Østdanmark'!$I$3:$I$480,'Resultater - Østdanmark'!$J$3:$J$480)),'Resultater - Østdanmark'!$F$3:$F$480,A7))</f>
        <v>2145904.0489790672</v>
      </c>
    </row>
    <row r="8" spans="1:4" x14ac:dyDescent="0.55000000000000004">
      <c r="A8" t="s">
        <v>52</v>
      </c>
      <c r="B8" t="s">
        <v>23</v>
      </c>
      <c r="C8">
        <f t="shared" si="0"/>
        <v>2019</v>
      </c>
      <c r="D8" s="245">
        <f>IF(B8="Vestdanmark",SUMIFS(IF(C8=År1,'Resultater - Vestdanmark'!$H$3:$H$480,IF(C8=År2,'Resultater - Vestdanmark'!$I$3:$I$480,'Resultater - Vestdanmark'!$J$3:$J$480)),'Resultater - Vestdanmark'!$F$3:$F$480,A8),SUMIFS(IF(C8=År1,'Resultater - Østdanmark'!$H$3:$H$480,IF(C8=År2,'Resultater - Østdanmark'!$I$3:$I$480,'Resultater - Østdanmark'!$J$3:$J$480)),'Resultater - Østdanmark'!$F$3:$F$480,A8))</f>
        <v>376449.39511597221</v>
      </c>
    </row>
    <row r="9" spans="1:4" x14ac:dyDescent="0.55000000000000004">
      <c r="A9" t="s">
        <v>53</v>
      </c>
      <c r="B9" t="s">
        <v>23</v>
      </c>
      <c r="C9">
        <f t="shared" si="0"/>
        <v>2019</v>
      </c>
      <c r="D9" s="245">
        <f>IF(B9="Vestdanmark",SUMIFS(IF(C9=År1,'Resultater - Vestdanmark'!$H$3:$H$480,IF(C9=År2,'Resultater - Vestdanmark'!$I$3:$I$480,'Resultater - Vestdanmark'!$J$3:$J$480)),'Resultater - Vestdanmark'!$F$3:$F$480,A9),SUMIFS(IF(C9=År1,'Resultater - Østdanmark'!$H$3:$H$480,IF(C9=År2,'Resultater - Østdanmark'!$I$3:$I$480,'Resultater - Østdanmark'!$J$3:$J$480)),'Resultater - Østdanmark'!$F$3:$F$480,A9))</f>
        <v>7581538.5357748987</v>
      </c>
    </row>
    <row r="10" spans="1:4" x14ac:dyDescent="0.55000000000000004">
      <c r="A10" t="s">
        <v>54</v>
      </c>
      <c r="B10" t="s">
        <v>23</v>
      </c>
      <c r="C10">
        <f t="shared" si="0"/>
        <v>2019</v>
      </c>
      <c r="D10" s="245">
        <f>IF(B10="Vestdanmark",SUMIFS(IF(C10=År1,'Resultater - Vestdanmark'!$H$3:$H$480,IF(C10=År2,'Resultater - Vestdanmark'!$I$3:$I$480,'Resultater - Vestdanmark'!$J$3:$J$480)),'Resultater - Vestdanmark'!$F$3:$F$480,A10),SUMIFS(IF(C10=År1,'Resultater - Østdanmark'!$H$3:$H$480,IF(C10=År2,'Resultater - Østdanmark'!$I$3:$I$480,'Resultater - Østdanmark'!$J$3:$J$480)),'Resultater - Østdanmark'!$F$3:$F$480,A10))</f>
        <v>25923.363510878662</v>
      </c>
    </row>
    <row r="11" spans="1:4" x14ac:dyDescent="0.55000000000000004">
      <c r="A11" t="s">
        <v>55</v>
      </c>
      <c r="B11" t="s">
        <v>23</v>
      </c>
      <c r="C11">
        <f t="shared" si="0"/>
        <v>2019</v>
      </c>
      <c r="D11" s="245">
        <f>IF(B11="Vestdanmark",SUMIFS(IF(C11=År1,'Resultater - Vestdanmark'!$H$3:$H$480,IF(C11=År2,'Resultater - Vestdanmark'!$I$3:$I$480,'Resultater - Vestdanmark'!$J$3:$J$480)),'Resultater - Vestdanmark'!$F$3:$F$480,A11),SUMIFS(IF(C11=År1,'Resultater - Østdanmark'!$H$3:$H$480,IF(C11=År2,'Resultater - Østdanmark'!$I$3:$I$480,'Resultater - Østdanmark'!$J$3:$J$480)),'Resultater - Østdanmark'!$F$3:$F$480,A11))</f>
        <v>1609044.2994914718</v>
      </c>
    </row>
    <row r="12" spans="1:4" x14ac:dyDescent="0.55000000000000004">
      <c r="A12" t="s">
        <v>114</v>
      </c>
      <c r="B12" t="s">
        <v>23</v>
      </c>
      <c r="C12">
        <f t="shared" si="0"/>
        <v>2019</v>
      </c>
      <c r="D12" s="245">
        <f>IF(B12="Vestdanmark",SUMIFS(IF(C12=År1,'Resultater - Vestdanmark'!$H$3:$H$480,IF(C12=År2,'Resultater - Vestdanmark'!$I$3:$I$480,'Resultater - Vestdanmark'!$J$3:$J$480)),'Resultater - Vestdanmark'!$F$3:$F$480,A12),SUMIFS(IF(C12=År1,'Resultater - Østdanmark'!$H$3:$H$480,IF(C12=År2,'Resultater - Østdanmark'!$I$3:$I$480,'Resultater - Østdanmark'!$J$3:$J$480)),'Resultater - Østdanmark'!$F$3:$F$480,A12))</f>
        <v>890042.58416558511</v>
      </c>
    </row>
    <row r="13" spans="1:4" x14ac:dyDescent="0.55000000000000004">
      <c r="A13" t="s">
        <v>56</v>
      </c>
      <c r="B13" t="s">
        <v>23</v>
      </c>
      <c r="C13">
        <f t="shared" si="0"/>
        <v>2019</v>
      </c>
      <c r="D13" s="245">
        <f>IF(B13="Vestdanmark",SUMIFS(IF(C13=År1,'Resultater - Vestdanmark'!$H$3:$H$480,IF(C13=År2,'Resultater - Vestdanmark'!$I$3:$I$480,'Resultater - Vestdanmark'!$J$3:$J$480)),'Resultater - Vestdanmark'!$F$3:$F$480,A13),SUMIFS(IF(C13=År1,'Resultater - Østdanmark'!$H$3:$H$480,IF(C13=År2,'Resultater - Østdanmark'!$I$3:$I$480,'Resultater - Østdanmark'!$J$3:$J$480)),'Resultater - Østdanmark'!$F$3:$F$480,A13))</f>
        <v>765723.03528474667</v>
      </c>
    </row>
    <row r="14" spans="1:4" x14ac:dyDescent="0.55000000000000004">
      <c r="A14" t="s">
        <v>96</v>
      </c>
      <c r="B14" t="s">
        <v>23</v>
      </c>
      <c r="C14">
        <f t="shared" si="0"/>
        <v>2019</v>
      </c>
      <c r="D14" s="245">
        <f>IF(B14="Vestdanmark",SUMIFS(IF(C14=År1,'Resultater - Vestdanmark'!$H$3:$H$480,IF(C14=År2,'Resultater - Vestdanmark'!$I$3:$I$480,'Resultater - Vestdanmark'!$J$3:$J$480)),'Resultater - Vestdanmark'!$F$3:$F$480,A14),SUMIFS(IF(C14=År1,'Resultater - Østdanmark'!$H$3:$H$480,IF(C14=År2,'Resultater - Østdanmark'!$I$3:$I$480,'Resultater - Østdanmark'!$J$3:$J$480)),'Resultater - Østdanmark'!$F$3:$F$480,A14))</f>
        <v>172205.06744997756</v>
      </c>
    </row>
    <row r="15" spans="1:4" x14ac:dyDescent="0.55000000000000004">
      <c r="A15" t="s">
        <v>48</v>
      </c>
      <c r="B15" t="s">
        <v>23</v>
      </c>
      <c r="C15">
        <f t="shared" ref="C15:C27" si="1">År2</f>
        <v>2030</v>
      </c>
      <c r="D15" s="245">
        <f>IF(B15="Vestdanmark",SUMIFS(IF(C15=År1,'Resultater - Vestdanmark'!$H$3:$H$480,IF(C15=År2,'Resultater - Vestdanmark'!$I$3:$I$480,'Resultater - Vestdanmark'!$J$3:$J$480)),'Resultater - Vestdanmark'!$F$3:$F$480,A15),SUMIFS(IF(C15=År1,'Resultater - Østdanmark'!$H$3:$H$480,IF(C15=År2,'Resultater - Østdanmark'!$I$3:$I$480,'Resultater - Østdanmark'!$J$3:$J$480)),'Resultater - Østdanmark'!$F$3:$F$480,A15))</f>
        <v>7696325.9545584042</v>
      </c>
    </row>
    <row r="16" spans="1:4" x14ac:dyDescent="0.55000000000000004">
      <c r="A16" t="s">
        <v>49</v>
      </c>
      <c r="B16" t="s">
        <v>23</v>
      </c>
      <c r="C16">
        <f t="shared" si="1"/>
        <v>2030</v>
      </c>
      <c r="D16" s="245">
        <f>IF(B16="Vestdanmark",SUMIFS(IF(C16=År1,'Resultater - Vestdanmark'!$H$3:$H$480,IF(C16=År2,'Resultater - Vestdanmark'!$I$3:$I$480,'Resultater - Vestdanmark'!$J$3:$J$480)),'Resultater - Vestdanmark'!$F$3:$F$480,A16),SUMIFS(IF(C16=År1,'Resultater - Østdanmark'!$H$3:$H$480,IF(C16=År2,'Resultater - Østdanmark'!$I$3:$I$480,'Resultater - Østdanmark'!$J$3:$J$480)),'Resultater - Østdanmark'!$F$3:$F$480,A16))</f>
        <v>270118.44306124689</v>
      </c>
    </row>
    <row r="17" spans="1:4" x14ac:dyDescent="0.55000000000000004">
      <c r="A17" t="s">
        <v>50</v>
      </c>
      <c r="B17" t="s">
        <v>23</v>
      </c>
      <c r="C17">
        <f t="shared" si="1"/>
        <v>2030</v>
      </c>
      <c r="D17" s="245">
        <f>IF(B17="Vestdanmark",SUMIFS(IF(C17=År1,'Resultater - Vestdanmark'!$H$3:$H$480,IF(C17=År2,'Resultater - Vestdanmark'!$I$3:$I$480,'Resultater - Vestdanmark'!$J$3:$J$480)),'Resultater - Vestdanmark'!$F$3:$F$480,A17),SUMIFS(IF(C17=År1,'Resultater - Østdanmark'!$H$3:$H$480,IF(C17=År2,'Resultater - Østdanmark'!$I$3:$I$480,'Resultater - Østdanmark'!$J$3:$J$480)),'Resultater - Østdanmark'!$F$3:$F$480,A17))</f>
        <v>507790.70515370794</v>
      </c>
    </row>
    <row r="18" spans="1:4" x14ac:dyDescent="0.55000000000000004">
      <c r="A18" t="s">
        <v>51</v>
      </c>
      <c r="B18" t="s">
        <v>23</v>
      </c>
      <c r="C18">
        <f t="shared" si="1"/>
        <v>2030</v>
      </c>
      <c r="D18" s="245">
        <f>IF(B18="Vestdanmark",SUMIFS(IF(C18=År1,'Resultater - Vestdanmark'!$H$3:$H$480,IF(C18=År2,'Resultater - Vestdanmark'!$I$3:$I$480,'Resultater - Vestdanmark'!$J$3:$J$480)),'Resultater - Vestdanmark'!$F$3:$F$480,A18),SUMIFS(IF(C18=År1,'Resultater - Østdanmark'!$H$3:$H$480,IF(C18=År2,'Resultater - Østdanmark'!$I$3:$I$480,'Resultater - Østdanmark'!$J$3:$J$480)),'Resultater - Østdanmark'!$F$3:$F$480,A18))</f>
        <v>16463363.602305863</v>
      </c>
    </row>
    <row r="19" spans="1:4" x14ac:dyDescent="0.55000000000000004">
      <c r="A19" t="s">
        <v>6</v>
      </c>
      <c r="B19" t="s">
        <v>23</v>
      </c>
      <c r="C19">
        <f t="shared" si="1"/>
        <v>2030</v>
      </c>
      <c r="D19" s="245">
        <f>IF(B19="Vestdanmark",SUMIFS(IF(C19=År1,'Resultater - Vestdanmark'!$H$3:$H$480,IF(C19=År2,'Resultater - Vestdanmark'!$I$3:$I$480,'Resultater - Vestdanmark'!$J$3:$J$480)),'Resultater - Vestdanmark'!$F$3:$F$480,A19),SUMIFS(IF(C19=År1,'Resultater - Østdanmark'!$H$3:$H$480,IF(C19=År2,'Resultater - Østdanmark'!$I$3:$I$480,'Resultater - Østdanmark'!$J$3:$J$480)),'Resultater - Østdanmark'!$F$3:$F$480,A19))</f>
        <v>192243.07548074043</v>
      </c>
    </row>
    <row r="20" spans="1:4" x14ac:dyDescent="0.55000000000000004">
      <c r="A20" t="s">
        <v>12</v>
      </c>
      <c r="B20" t="s">
        <v>23</v>
      </c>
      <c r="C20">
        <f t="shared" si="1"/>
        <v>2030</v>
      </c>
      <c r="D20" s="245">
        <f>IF(B20="Vestdanmark",SUMIFS(IF(C20=År1,'Resultater - Vestdanmark'!$H$3:$H$480,IF(C20=År2,'Resultater - Vestdanmark'!$I$3:$I$480,'Resultater - Vestdanmark'!$J$3:$J$480)),'Resultater - Vestdanmark'!$F$3:$F$480,A20),SUMIFS(IF(C20=År1,'Resultater - Østdanmark'!$H$3:$H$480,IF(C20=År2,'Resultater - Østdanmark'!$I$3:$I$480,'Resultater - Østdanmark'!$J$3:$J$480)),'Resultater - Østdanmark'!$F$3:$F$480,A20))</f>
        <v>2241845.3275075206</v>
      </c>
    </row>
    <row r="21" spans="1:4" x14ac:dyDescent="0.55000000000000004">
      <c r="A21" t="s">
        <v>52</v>
      </c>
      <c r="B21" t="s">
        <v>23</v>
      </c>
      <c r="C21">
        <f t="shared" si="1"/>
        <v>2030</v>
      </c>
      <c r="D21" s="245">
        <f>IF(B21="Vestdanmark",SUMIFS(IF(C21=År1,'Resultater - Vestdanmark'!$H$3:$H$480,IF(C21=År2,'Resultater - Vestdanmark'!$I$3:$I$480,'Resultater - Vestdanmark'!$J$3:$J$480)),'Resultater - Vestdanmark'!$F$3:$F$480,A21),SUMIFS(IF(C21=År1,'Resultater - Østdanmark'!$H$3:$H$480,IF(C21=År2,'Resultater - Østdanmark'!$I$3:$I$480,'Resultater - Østdanmark'!$J$3:$J$480)),'Resultater - Østdanmark'!$F$3:$F$480,A21))</f>
        <v>395099.15710561507</v>
      </c>
    </row>
    <row r="22" spans="1:4" x14ac:dyDescent="0.55000000000000004">
      <c r="A22" t="s">
        <v>53</v>
      </c>
      <c r="B22" t="s">
        <v>23</v>
      </c>
      <c r="C22">
        <f t="shared" si="1"/>
        <v>2030</v>
      </c>
      <c r="D22" s="245">
        <f>IF(B22="Vestdanmark",SUMIFS(IF(C22=År1,'Resultater - Vestdanmark'!$H$3:$H$480,IF(C22=År2,'Resultater - Vestdanmark'!$I$3:$I$480,'Resultater - Vestdanmark'!$J$3:$J$480)),'Resultater - Vestdanmark'!$F$3:$F$480,A22),SUMIFS(IF(C22=År1,'Resultater - Østdanmark'!$H$3:$H$480,IF(C22=År2,'Resultater - Østdanmark'!$I$3:$I$480,'Resultater - Østdanmark'!$J$3:$J$480)),'Resultater - Østdanmark'!$F$3:$F$480,A22))</f>
        <v>7983307.7524896674</v>
      </c>
    </row>
    <row r="23" spans="1:4" x14ac:dyDescent="0.55000000000000004">
      <c r="A23" t="s">
        <v>54</v>
      </c>
      <c r="B23" t="s">
        <v>23</v>
      </c>
      <c r="C23">
        <f t="shared" si="1"/>
        <v>2030</v>
      </c>
      <c r="D23" s="245">
        <f>IF(B23="Vestdanmark",SUMIFS(IF(C23=År1,'Resultater - Vestdanmark'!$H$3:$H$480,IF(C23=År2,'Resultater - Vestdanmark'!$I$3:$I$480,'Resultater - Vestdanmark'!$J$3:$J$480)),'Resultater - Vestdanmark'!$F$3:$F$480,A23),SUMIFS(IF(C23=År1,'Resultater - Østdanmark'!$H$3:$H$480,IF(C23=År2,'Resultater - Østdanmark'!$I$3:$I$480,'Resultater - Østdanmark'!$J$3:$J$480)),'Resultater - Østdanmark'!$F$3:$F$480,A23))</f>
        <v>27117.337735936886</v>
      </c>
    </row>
    <row r="24" spans="1:4" x14ac:dyDescent="0.55000000000000004">
      <c r="A24" t="s">
        <v>55</v>
      </c>
      <c r="B24" t="s">
        <v>23</v>
      </c>
      <c r="C24">
        <f t="shared" si="1"/>
        <v>2030</v>
      </c>
      <c r="D24" s="245">
        <f>IF(B24="Vestdanmark",SUMIFS(IF(C24=År1,'Resultater - Vestdanmark'!$H$3:$H$480,IF(C24=År2,'Resultater - Vestdanmark'!$I$3:$I$480,'Resultater - Vestdanmark'!$J$3:$J$480)),'Resultater - Vestdanmark'!$F$3:$F$480,A24),SUMIFS(IF(C24=År1,'Resultater - Østdanmark'!$H$3:$H$480,IF(C24=År2,'Resultater - Østdanmark'!$I$3:$I$480,'Resultater - Østdanmark'!$J$3:$J$480)),'Resultater - Østdanmark'!$F$3:$F$480,A24))</f>
        <v>1683153.4103621913</v>
      </c>
    </row>
    <row r="25" spans="1:4" x14ac:dyDescent="0.55000000000000004">
      <c r="A25" t="s">
        <v>114</v>
      </c>
      <c r="B25" t="s">
        <v>23</v>
      </c>
      <c r="C25">
        <f t="shared" si="1"/>
        <v>2030</v>
      </c>
      <c r="D25" s="245">
        <f>IF(B25="Vestdanmark",SUMIFS(IF(C25=År1,'Resultater - Vestdanmark'!$H$3:$H$480,IF(C25=År2,'Resultater - Vestdanmark'!$I$3:$I$480,'Resultater - Vestdanmark'!$J$3:$J$480)),'Resultater - Vestdanmark'!$F$3:$F$480,A25),SUMIFS(IF(C25=År1,'Resultater - Østdanmark'!$H$3:$H$480,IF(C25=År2,'Resultater - Østdanmark'!$I$3:$I$480,'Resultater - Østdanmark'!$J$3:$J$480)),'Resultater - Østdanmark'!$F$3:$F$480,A25))</f>
        <v>925155.87360935542</v>
      </c>
    </row>
    <row r="26" spans="1:4" x14ac:dyDescent="0.55000000000000004">
      <c r="A26" t="s">
        <v>56</v>
      </c>
      <c r="B26" t="s">
        <v>23</v>
      </c>
      <c r="C26">
        <f t="shared" si="1"/>
        <v>2030</v>
      </c>
      <c r="D26" s="245">
        <f>IF(B26="Vestdanmark",SUMIFS(IF(C26=År1,'Resultater - Vestdanmark'!$H$3:$H$480,IF(C26=År2,'Resultater - Vestdanmark'!$I$3:$I$480,'Resultater - Vestdanmark'!$J$3:$J$480)),'Resultater - Vestdanmark'!$F$3:$F$480,A26),SUMIFS(IF(C26=År1,'Resultater - Østdanmark'!$H$3:$H$480,IF(C26=År2,'Resultater - Østdanmark'!$I$3:$I$480,'Resultater - Østdanmark'!$J$3:$J$480)),'Resultater - Østdanmark'!$F$3:$F$480,A26))</f>
        <v>800990.58717012103</v>
      </c>
    </row>
    <row r="27" spans="1:4" x14ac:dyDescent="0.55000000000000004">
      <c r="A27" t="s">
        <v>96</v>
      </c>
      <c r="B27" t="s">
        <v>23</v>
      </c>
      <c r="C27">
        <f t="shared" si="1"/>
        <v>2030</v>
      </c>
      <c r="D27" s="245">
        <f>IF(B27="Vestdanmark",SUMIFS(IF(C27=År1,'Resultater - Vestdanmark'!$H$3:$H$480,IF(C27=År2,'Resultater - Vestdanmark'!$I$3:$I$480,'Resultater - Vestdanmark'!$J$3:$J$480)),'Resultater - Vestdanmark'!$F$3:$F$480,A27),SUMIFS(IF(C27=År1,'Resultater - Østdanmark'!$H$3:$H$480,IF(C27=År2,'Resultater - Østdanmark'!$I$3:$I$480,'Resultater - Østdanmark'!$J$3:$J$480)),'Resultater - Østdanmark'!$F$3:$F$480,A27))</f>
        <v>177516.46640303911</v>
      </c>
    </row>
    <row r="28" spans="1:4" x14ac:dyDescent="0.55000000000000004">
      <c r="A28" t="s">
        <v>48</v>
      </c>
      <c r="B28" t="s">
        <v>23</v>
      </c>
      <c r="C28">
        <f t="shared" ref="C28:C40" si="2">År3</f>
        <v>2050</v>
      </c>
      <c r="D28" s="245">
        <f>IF(B28="Vestdanmark",SUMIFS(IF(C28=År1,'Resultater - Vestdanmark'!$H$3:$H$480,IF(C28=År2,'Resultater - Vestdanmark'!$I$3:$I$480,'Resultater - Vestdanmark'!$J$3:$J$480)),'Resultater - Vestdanmark'!$F$3:$F$480,A28),SUMIFS(IF(C28=År1,'Resultater - Østdanmark'!$H$3:$H$480,IF(C28=År2,'Resultater - Østdanmark'!$I$3:$I$480,'Resultater - Østdanmark'!$J$3:$J$480)),'Resultater - Østdanmark'!$F$3:$F$480,A28))</f>
        <v>6945589.6789912721</v>
      </c>
    </row>
    <row r="29" spans="1:4" x14ac:dyDescent="0.55000000000000004">
      <c r="A29" t="s">
        <v>49</v>
      </c>
      <c r="B29" t="s">
        <v>23</v>
      </c>
      <c r="C29">
        <f t="shared" si="2"/>
        <v>2050</v>
      </c>
      <c r="D29" s="245">
        <f>IF(B29="Vestdanmark",SUMIFS(IF(C29=År1,'Resultater - Vestdanmark'!$H$3:$H$480,IF(C29=År2,'Resultater - Vestdanmark'!$I$3:$I$480,'Resultater - Vestdanmark'!$J$3:$J$480)),'Resultater - Vestdanmark'!$F$3:$F$480,A29),SUMIFS(IF(C29=År1,'Resultater - Østdanmark'!$H$3:$H$480,IF(C29=År2,'Resultater - Østdanmark'!$I$3:$I$480,'Resultater - Østdanmark'!$J$3:$J$480)),'Resultater - Østdanmark'!$F$3:$F$480,A29))</f>
        <v>260463.0327135307</v>
      </c>
    </row>
    <row r="30" spans="1:4" x14ac:dyDescent="0.55000000000000004">
      <c r="A30" t="s">
        <v>50</v>
      </c>
      <c r="B30" t="s">
        <v>23</v>
      </c>
      <c r="C30">
        <f t="shared" si="2"/>
        <v>2050</v>
      </c>
      <c r="D30" s="245">
        <f>IF(B30="Vestdanmark",SUMIFS(IF(C30=År1,'Resultater - Vestdanmark'!$H$3:$H$480,IF(C30=År2,'Resultater - Vestdanmark'!$I$3:$I$480,'Resultater - Vestdanmark'!$J$3:$J$480)),'Resultater - Vestdanmark'!$F$3:$F$480,A30),SUMIFS(IF(C30=År1,'Resultater - Østdanmark'!$H$3:$H$480,IF(C30=År2,'Resultater - Østdanmark'!$I$3:$I$480,'Resultater - Østdanmark'!$J$3:$J$480)),'Resultater - Østdanmark'!$F$3:$F$480,A30))</f>
        <v>489039.95714195294</v>
      </c>
    </row>
    <row r="31" spans="1:4" x14ac:dyDescent="0.55000000000000004">
      <c r="A31" t="s">
        <v>51</v>
      </c>
      <c r="B31" t="s">
        <v>23</v>
      </c>
      <c r="C31">
        <f t="shared" si="2"/>
        <v>2050</v>
      </c>
      <c r="D31" s="245">
        <f>IF(B31="Vestdanmark",SUMIFS(IF(C31=År1,'Resultater - Vestdanmark'!$H$3:$H$480,IF(C31=År2,'Resultater - Vestdanmark'!$I$3:$I$480,'Resultater - Vestdanmark'!$J$3:$J$480)),'Resultater - Vestdanmark'!$F$3:$F$480,A31),SUMIFS(IF(C31=År1,'Resultater - Østdanmark'!$H$3:$H$480,IF(C31=År2,'Resultater - Østdanmark'!$I$3:$I$480,'Resultater - Østdanmark'!$J$3:$J$480)),'Resultater - Østdanmark'!$F$3:$F$480,A31))</f>
        <v>16099999.551723864</v>
      </c>
    </row>
    <row r="32" spans="1:4" x14ac:dyDescent="0.55000000000000004">
      <c r="A32" t="s">
        <v>6</v>
      </c>
      <c r="B32" t="s">
        <v>23</v>
      </c>
      <c r="C32">
        <f t="shared" si="2"/>
        <v>2050</v>
      </c>
      <c r="D32" s="245">
        <f>IF(B32="Vestdanmark",SUMIFS(IF(C32=År1,'Resultater - Vestdanmark'!$H$3:$H$480,IF(C32=År2,'Resultater - Vestdanmark'!$I$3:$I$480,'Resultater - Vestdanmark'!$J$3:$J$480)),'Resultater - Vestdanmark'!$F$3:$F$480,A32),SUMIFS(IF(C32=År1,'Resultater - Østdanmark'!$H$3:$H$480,IF(C32=År2,'Resultater - Østdanmark'!$I$3:$I$480,'Resultater - Østdanmark'!$J$3:$J$480)),'Resultater - Østdanmark'!$F$3:$F$480,A32))</f>
        <v>185255.23058853028</v>
      </c>
    </row>
    <row r="33" spans="1:4" x14ac:dyDescent="0.55000000000000004">
      <c r="A33" t="s">
        <v>12</v>
      </c>
      <c r="B33" t="s">
        <v>23</v>
      </c>
      <c r="C33">
        <f t="shared" si="2"/>
        <v>2050</v>
      </c>
      <c r="D33" s="245">
        <f>IF(B33="Vestdanmark",SUMIFS(IF(C33=År1,'Resultater - Vestdanmark'!$H$3:$H$480,IF(C33=År2,'Resultater - Vestdanmark'!$I$3:$I$480,'Resultater - Vestdanmark'!$J$3:$J$480)),'Resultater - Vestdanmark'!$F$3:$F$480,A33),SUMIFS(IF(C33=År1,'Resultater - Østdanmark'!$H$3:$H$480,IF(C33=År2,'Resultater - Østdanmark'!$I$3:$I$480,'Resultater - Østdanmark'!$J$3:$J$480)),'Resultater - Østdanmark'!$F$3:$F$480,A33))</f>
        <v>2162497.7416876755</v>
      </c>
    </row>
    <row r="34" spans="1:4" x14ac:dyDescent="0.55000000000000004">
      <c r="A34" t="s">
        <v>52</v>
      </c>
      <c r="B34" t="s">
        <v>23</v>
      </c>
      <c r="C34">
        <f t="shared" si="2"/>
        <v>2050</v>
      </c>
      <c r="D34" s="245">
        <f>IF(B34="Vestdanmark",SUMIFS(IF(C34=År1,'Resultater - Vestdanmark'!$H$3:$H$480,IF(C34=År2,'Resultater - Vestdanmark'!$I$3:$I$480,'Resultater - Vestdanmark'!$J$3:$J$480)),'Resultater - Vestdanmark'!$F$3:$F$480,A34),SUMIFS(IF(C34=År1,'Resultater - Østdanmark'!$H$3:$H$480,IF(C34=År2,'Resultater - Østdanmark'!$I$3:$I$480,'Resultater - Østdanmark'!$J$3:$J$480)),'Resultater - Østdanmark'!$F$3:$F$480,A34))</f>
        <v>380710.74225422333</v>
      </c>
    </row>
    <row r="35" spans="1:4" x14ac:dyDescent="0.55000000000000004">
      <c r="A35" t="s">
        <v>53</v>
      </c>
      <c r="B35" t="s">
        <v>23</v>
      </c>
      <c r="C35">
        <f t="shared" si="2"/>
        <v>2050</v>
      </c>
      <c r="D35" s="245">
        <f>IF(B35="Vestdanmark",SUMIFS(IF(C35=År1,'Resultater - Vestdanmark'!$H$3:$H$480,IF(C35=År2,'Resultater - Vestdanmark'!$I$3:$I$480,'Resultater - Vestdanmark'!$J$3:$J$480)),'Resultater - Vestdanmark'!$F$3:$F$480,A35),SUMIFS(IF(C35=År1,'Resultater - Østdanmark'!$H$3:$H$480,IF(C35=År2,'Resultater - Østdanmark'!$I$3:$I$480,'Resultater - Østdanmark'!$J$3:$J$480)),'Resultater - Østdanmark'!$F$3:$F$480,A35))</f>
        <v>7786550.4071108392</v>
      </c>
    </row>
    <row r="36" spans="1:4" x14ac:dyDescent="0.55000000000000004">
      <c r="A36" t="s">
        <v>54</v>
      </c>
      <c r="B36" t="s">
        <v>23</v>
      </c>
      <c r="C36">
        <f t="shared" si="2"/>
        <v>2050</v>
      </c>
      <c r="D36" s="245">
        <f>IF(B36="Vestdanmark",SUMIFS(IF(C36=År1,'Resultater - Vestdanmark'!$H$3:$H$480,IF(C36=År2,'Resultater - Vestdanmark'!$I$3:$I$480,'Resultater - Vestdanmark'!$J$3:$J$480)),'Resultater - Vestdanmark'!$F$3:$F$480,A36),SUMIFS(IF(C36=År1,'Resultater - Østdanmark'!$H$3:$H$480,IF(C36=År2,'Resultater - Østdanmark'!$I$3:$I$480,'Resultater - Østdanmark'!$J$3:$J$480)),'Resultater - Østdanmark'!$F$3:$F$480,A36))</f>
        <v>26150.496751056631</v>
      </c>
    </row>
    <row r="37" spans="1:4" x14ac:dyDescent="0.55000000000000004">
      <c r="A37" t="s">
        <v>55</v>
      </c>
      <c r="B37" t="s">
        <v>23</v>
      </c>
      <c r="C37">
        <f t="shared" si="2"/>
        <v>2050</v>
      </c>
      <c r="D37" s="245">
        <f>IF(B37="Vestdanmark",SUMIFS(IF(C37=År1,'Resultater - Vestdanmark'!$H$3:$H$480,IF(C37=År2,'Resultater - Vestdanmark'!$I$3:$I$480,'Resultater - Vestdanmark'!$J$3:$J$480)),'Resultater - Vestdanmark'!$F$3:$F$480,A37),SUMIFS(IF(C37=År1,'Resultater - Østdanmark'!$H$3:$H$480,IF(C37=År2,'Resultater - Østdanmark'!$I$3:$I$480,'Resultater - Østdanmark'!$J$3:$J$480)),'Resultater - Østdanmark'!$F$3:$F$480,A37))</f>
        <v>1623142.2943438755</v>
      </c>
    </row>
    <row r="38" spans="1:4" x14ac:dyDescent="0.55000000000000004">
      <c r="A38" t="s">
        <v>114</v>
      </c>
      <c r="B38" t="s">
        <v>23</v>
      </c>
      <c r="C38">
        <f t="shared" si="2"/>
        <v>2050</v>
      </c>
      <c r="D38" s="245">
        <f>IF(B38="Vestdanmark",SUMIFS(IF(C38=År1,'Resultater - Vestdanmark'!$H$3:$H$480,IF(C38=År2,'Resultater - Vestdanmark'!$I$3:$I$480,'Resultater - Vestdanmark'!$J$3:$J$480)),'Resultater - Vestdanmark'!$F$3:$F$480,A38),SUMIFS(IF(C38=År1,'Resultater - Østdanmark'!$H$3:$H$480,IF(C38=År2,'Resultater - Østdanmark'!$I$3:$I$480,'Resultater - Østdanmark'!$J$3:$J$480)),'Resultater - Østdanmark'!$F$3:$F$480,A38))</f>
        <v>893493.81900150096</v>
      </c>
    </row>
    <row r="39" spans="1:4" x14ac:dyDescent="0.55000000000000004">
      <c r="A39" t="s">
        <v>56</v>
      </c>
      <c r="B39" t="s">
        <v>23</v>
      </c>
      <c r="C39">
        <f t="shared" si="2"/>
        <v>2050</v>
      </c>
      <c r="D39" s="245">
        <f>IF(B39="Vestdanmark",SUMIFS(IF(C39=År1,'Resultater - Vestdanmark'!$H$3:$H$480,IF(C39=År2,'Resultater - Vestdanmark'!$I$3:$I$480,'Resultater - Vestdanmark'!$J$3:$J$480)),'Resultater - Vestdanmark'!$F$3:$F$480,A39),SUMIFS(IF(C39=År1,'Resultater - Østdanmark'!$H$3:$H$480,IF(C39=År2,'Resultater - Østdanmark'!$I$3:$I$480,'Resultater - Østdanmark'!$J$3:$J$480)),'Resultater - Østdanmark'!$F$3:$F$480,A39))</f>
        <v>772432.08575229661</v>
      </c>
    </row>
    <row r="40" spans="1:4" x14ac:dyDescent="0.55000000000000004">
      <c r="A40" t="s">
        <v>96</v>
      </c>
      <c r="B40" t="s">
        <v>23</v>
      </c>
      <c r="C40">
        <f t="shared" si="2"/>
        <v>2050</v>
      </c>
      <c r="D40" s="245">
        <f>IF(B40="Vestdanmark",SUMIFS(IF(C40=År1,'Resultater - Vestdanmark'!$H$3:$H$480,IF(C40=År2,'Resultater - Vestdanmark'!$I$3:$I$480,'Resultater - Vestdanmark'!$J$3:$J$480)),'Resultater - Vestdanmark'!$F$3:$F$480,A40),SUMIFS(IF(C40=År1,'Resultater - Østdanmark'!$H$3:$H$480,IF(C40=År2,'Resultater - Østdanmark'!$I$3:$I$480,'Resultater - Østdanmark'!$J$3:$J$480)),'Resultater - Østdanmark'!$F$3:$F$480,A40))</f>
        <v>171775.11908496951</v>
      </c>
    </row>
    <row r="41" spans="1:4" x14ac:dyDescent="0.55000000000000004">
      <c r="A41" t="s">
        <v>48</v>
      </c>
      <c r="B41" t="s">
        <v>24</v>
      </c>
      <c r="C41">
        <f t="shared" ref="C41:C53" si="3">År1</f>
        <v>2019</v>
      </c>
      <c r="D41" s="245">
        <f>IF(B41="Vestdanmark",SUMIFS(IF(C41=År1,'Resultater - Vestdanmark'!$H$3:$H$480,IF(C41=År2,'Resultater - Vestdanmark'!$I$3:$I$480,'Resultater - Vestdanmark'!$J$3:$J$480)),'Resultater - Vestdanmark'!$F$3:$F$480,A41),SUMIFS(IF(C41=År1,'Resultater - Østdanmark'!$H$3:$H$480,IF(C41=År2,'Resultater - Østdanmark'!$I$3:$I$480,'Resultater - Østdanmark'!$J$3:$J$480)),'Resultater - Østdanmark'!$F$3:$F$480,A41))</f>
        <v>2275797.9689121391</v>
      </c>
    </row>
    <row r="42" spans="1:4" x14ac:dyDescent="0.55000000000000004">
      <c r="A42" t="s">
        <v>49</v>
      </c>
      <c r="B42" t="s">
        <v>24</v>
      </c>
      <c r="C42">
        <f t="shared" si="3"/>
        <v>2019</v>
      </c>
      <c r="D42" s="245">
        <f>IF(B42="Vestdanmark",SUMIFS(IF(C42=År1,'Resultater - Vestdanmark'!$H$3:$H$480,IF(C42=År2,'Resultater - Vestdanmark'!$I$3:$I$480,'Resultater - Vestdanmark'!$J$3:$J$480)),'Resultater - Vestdanmark'!$F$3:$F$480,A42),SUMIFS(IF(C42=År1,'Resultater - Østdanmark'!$H$3:$H$480,IF(C42=År2,'Resultater - Østdanmark'!$I$3:$I$480,'Resultater - Østdanmark'!$J$3:$J$480)),'Resultater - Østdanmark'!$F$3:$F$480,A42))</f>
        <v>27039.772448692573</v>
      </c>
    </row>
    <row r="43" spans="1:4" x14ac:dyDescent="0.55000000000000004">
      <c r="A43" t="s">
        <v>50</v>
      </c>
      <c r="B43" t="s">
        <v>24</v>
      </c>
      <c r="C43">
        <f t="shared" si="3"/>
        <v>2019</v>
      </c>
      <c r="D43" s="245">
        <f>IF(B43="Vestdanmark",SUMIFS(IF(C43=År1,'Resultater - Vestdanmark'!$H$3:$H$480,IF(C43=År2,'Resultater - Vestdanmark'!$I$3:$I$480,'Resultater - Vestdanmark'!$J$3:$J$480)),'Resultater - Vestdanmark'!$F$3:$F$480,A43),SUMIFS(IF(C43=År1,'Resultater - Østdanmark'!$H$3:$H$480,IF(C43=År2,'Resultater - Østdanmark'!$I$3:$I$480,'Resultater - Østdanmark'!$J$3:$J$480)),'Resultater - Østdanmark'!$F$3:$F$480,A43))</f>
        <v>193574.13238370849</v>
      </c>
    </row>
    <row r="44" spans="1:4" x14ac:dyDescent="0.55000000000000004">
      <c r="A44" t="s">
        <v>51</v>
      </c>
      <c r="B44" t="s">
        <v>24</v>
      </c>
      <c r="C44">
        <f t="shared" si="3"/>
        <v>2019</v>
      </c>
      <c r="D44" s="245">
        <f>IF(B44="Vestdanmark",SUMIFS(IF(C44=År1,'Resultater - Vestdanmark'!$H$3:$H$480,IF(C44=År2,'Resultater - Vestdanmark'!$I$3:$I$480,'Resultater - Vestdanmark'!$J$3:$J$480)),'Resultater - Vestdanmark'!$F$3:$F$480,A44),SUMIFS(IF(C44=År1,'Resultater - Østdanmark'!$H$3:$H$480,IF(C44=År2,'Resultater - Østdanmark'!$I$3:$I$480,'Resultater - Østdanmark'!$J$3:$J$480)),'Resultater - Østdanmark'!$F$3:$F$480,A44))</f>
        <v>2079827.1270254222</v>
      </c>
    </row>
    <row r="45" spans="1:4" x14ac:dyDescent="0.55000000000000004">
      <c r="A45" t="s">
        <v>6</v>
      </c>
      <c r="B45" t="s">
        <v>24</v>
      </c>
      <c r="C45">
        <f t="shared" si="3"/>
        <v>2019</v>
      </c>
      <c r="D45" s="245">
        <f>IF(B45="Vestdanmark",SUMIFS(IF(C45=År1,'Resultater - Vestdanmark'!$H$3:$H$480,IF(C45=År2,'Resultater - Vestdanmark'!$I$3:$I$480,'Resultater - Vestdanmark'!$J$3:$J$480)),'Resultater - Vestdanmark'!$F$3:$F$480,A45),SUMIFS(IF(C45=År1,'Resultater - Østdanmark'!$H$3:$H$480,IF(C45=År2,'Resultater - Østdanmark'!$I$3:$I$480,'Resultater - Østdanmark'!$J$3:$J$480)),'Resultater - Østdanmark'!$F$3:$F$480,A45))</f>
        <v>96079.800747233821</v>
      </c>
    </row>
    <row r="46" spans="1:4" x14ac:dyDescent="0.55000000000000004">
      <c r="A46" t="s">
        <v>12</v>
      </c>
      <c r="B46" t="s">
        <v>24</v>
      </c>
      <c r="C46">
        <f t="shared" si="3"/>
        <v>2019</v>
      </c>
      <c r="D46" s="245">
        <f>IF(B46="Vestdanmark",SUMIFS(IF(C46=År1,'Resultater - Vestdanmark'!$H$3:$H$480,IF(C46=År2,'Resultater - Vestdanmark'!$I$3:$I$480,'Resultater - Vestdanmark'!$J$3:$J$480)),'Resultater - Vestdanmark'!$F$3:$F$480,A46),SUMIFS(IF(C46=År1,'Resultater - Østdanmark'!$H$3:$H$480,IF(C46=År2,'Resultater - Østdanmark'!$I$3:$I$480,'Resultater - Østdanmark'!$J$3:$J$480)),'Resultater - Østdanmark'!$F$3:$F$480,A46))</f>
        <v>116414.7916544996</v>
      </c>
    </row>
    <row r="47" spans="1:4" x14ac:dyDescent="0.55000000000000004">
      <c r="A47" t="s">
        <v>52</v>
      </c>
      <c r="B47" t="s">
        <v>24</v>
      </c>
      <c r="C47">
        <f t="shared" si="3"/>
        <v>2019</v>
      </c>
      <c r="D47" s="245">
        <f>IF(B47="Vestdanmark",SUMIFS(IF(C47=År1,'Resultater - Vestdanmark'!$H$3:$H$480,IF(C47=År2,'Resultater - Vestdanmark'!$I$3:$I$480,'Resultater - Vestdanmark'!$J$3:$J$480)),'Resultater - Vestdanmark'!$F$3:$F$480,A47),SUMIFS(IF(C47=År1,'Resultater - Østdanmark'!$H$3:$H$480,IF(C47=År2,'Resultater - Østdanmark'!$I$3:$I$480,'Resultater - Østdanmark'!$J$3:$J$480)),'Resultater - Østdanmark'!$F$3:$F$480,A47))</f>
        <v>2252973.7408705982</v>
      </c>
    </row>
    <row r="48" spans="1:4" x14ac:dyDescent="0.55000000000000004">
      <c r="A48" t="s">
        <v>53</v>
      </c>
      <c r="B48" t="s">
        <v>24</v>
      </c>
      <c r="C48">
        <f t="shared" si="3"/>
        <v>2019</v>
      </c>
      <c r="D48" s="245">
        <f>IF(B48="Vestdanmark",SUMIFS(IF(C48=År1,'Resultater - Vestdanmark'!$H$3:$H$480,IF(C48=År2,'Resultater - Vestdanmark'!$I$3:$I$480,'Resultater - Vestdanmark'!$J$3:$J$480)),'Resultater - Vestdanmark'!$F$3:$F$480,A48),SUMIFS(IF(C48=År1,'Resultater - Østdanmark'!$H$3:$H$480,IF(C48=År2,'Resultater - Østdanmark'!$I$3:$I$480,'Resultater - Østdanmark'!$J$3:$J$480)),'Resultater - Østdanmark'!$F$3:$F$480,A48))</f>
        <v>366156.75807184458</v>
      </c>
    </row>
    <row r="49" spans="1:4" x14ac:dyDescent="0.55000000000000004">
      <c r="A49" t="s">
        <v>54</v>
      </c>
      <c r="B49" t="s">
        <v>24</v>
      </c>
      <c r="C49">
        <f t="shared" si="3"/>
        <v>2019</v>
      </c>
      <c r="D49" s="245">
        <f>IF(B49="Vestdanmark",SUMIFS(IF(C49=År1,'Resultater - Vestdanmark'!$H$3:$H$480,IF(C49=År2,'Resultater - Vestdanmark'!$I$3:$I$480,'Resultater - Vestdanmark'!$J$3:$J$480)),'Resultater - Vestdanmark'!$F$3:$F$480,A49),SUMIFS(IF(C49=År1,'Resultater - Østdanmark'!$H$3:$H$480,IF(C49=År2,'Resultater - Østdanmark'!$I$3:$I$480,'Resultater - Østdanmark'!$J$3:$J$480)),'Resultater - Østdanmark'!$F$3:$F$480,A49))</f>
        <v>15804.526381892863</v>
      </c>
    </row>
    <row r="50" spans="1:4" x14ac:dyDescent="0.55000000000000004">
      <c r="A50" t="s">
        <v>55</v>
      </c>
      <c r="B50" t="s">
        <v>24</v>
      </c>
      <c r="C50">
        <f t="shared" si="3"/>
        <v>2019</v>
      </c>
      <c r="D50" s="245">
        <f>IF(B50="Vestdanmark",SUMIFS(IF(C50=År1,'Resultater - Vestdanmark'!$H$3:$H$480,IF(C50=År2,'Resultater - Vestdanmark'!$I$3:$I$480,'Resultater - Vestdanmark'!$J$3:$J$480)),'Resultater - Vestdanmark'!$F$3:$F$480,A50),SUMIFS(IF(C50=År1,'Resultater - Østdanmark'!$H$3:$H$480,IF(C50=År2,'Resultater - Østdanmark'!$I$3:$I$480,'Resultater - Østdanmark'!$J$3:$J$480)),'Resultater - Østdanmark'!$F$3:$F$480,A50))</f>
        <v>396057.87190930446</v>
      </c>
    </row>
    <row r="51" spans="1:4" x14ac:dyDescent="0.55000000000000004">
      <c r="A51" t="s">
        <v>114</v>
      </c>
      <c r="B51" t="s">
        <v>24</v>
      </c>
      <c r="C51">
        <f t="shared" si="3"/>
        <v>2019</v>
      </c>
      <c r="D51" s="245">
        <f>IF(B51="Vestdanmark",SUMIFS(IF(C51=År1,'Resultater - Vestdanmark'!$H$3:$H$480,IF(C51=År2,'Resultater - Vestdanmark'!$I$3:$I$480,'Resultater - Vestdanmark'!$J$3:$J$480)),'Resultater - Vestdanmark'!$F$3:$F$480,A51),SUMIFS(IF(C51=År1,'Resultater - Østdanmark'!$H$3:$H$480,IF(C51=År2,'Resultater - Østdanmark'!$I$3:$I$480,'Resultater - Østdanmark'!$J$3:$J$480)),'Resultater - Østdanmark'!$F$3:$F$480,A51))</f>
        <v>612515.4514426298</v>
      </c>
    </row>
    <row r="52" spans="1:4" x14ac:dyDescent="0.55000000000000004">
      <c r="A52" t="s">
        <v>56</v>
      </c>
      <c r="B52" t="s">
        <v>24</v>
      </c>
      <c r="C52">
        <f t="shared" si="3"/>
        <v>2019</v>
      </c>
      <c r="D52" s="245">
        <f>IF(B52="Vestdanmark",SUMIFS(IF(C52=År1,'Resultater - Vestdanmark'!$H$3:$H$480,IF(C52=År2,'Resultater - Vestdanmark'!$I$3:$I$480,'Resultater - Vestdanmark'!$J$3:$J$480)),'Resultater - Vestdanmark'!$F$3:$F$480,A52),SUMIFS(IF(C52=År1,'Resultater - Østdanmark'!$H$3:$H$480,IF(C52=År2,'Resultater - Østdanmark'!$I$3:$I$480,'Resultater - Østdanmark'!$J$3:$J$480)),'Resultater - Østdanmark'!$F$3:$F$480,A52))</f>
        <v>145851.60720031991</v>
      </c>
    </row>
    <row r="53" spans="1:4" x14ac:dyDescent="0.55000000000000004">
      <c r="A53" t="s">
        <v>96</v>
      </c>
      <c r="B53" t="s">
        <v>24</v>
      </c>
      <c r="C53">
        <f t="shared" si="3"/>
        <v>2019</v>
      </c>
      <c r="D53" s="245">
        <f>IF(B53="Vestdanmark",SUMIFS(IF(C53=År1,'Resultater - Vestdanmark'!$H$3:$H$480,IF(C53=År2,'Resultater - Vestdanmark'!$I$3:$I$480,'Resultater - Vestdanmark'!$J$3:$J$480)),'Resultater - Vestdanmark'!$F$3:$F$480,A53),SUMIFS(IF(C53=År1,'Resultater - Østdanmark'!$H$3:$H$480,IF(C53=År2,'Resultater - Østdanmark'!$I$3:$I$480,'Resultater - Østdanmark'!$J$3:$J$480)),'Resultater - Østdanmark'!$F$3:$F$480,A53))</f>
        <v>37577.319945022478</v>
      </c>
    </row>
    <row r="54" spans="1:4" x14ac:dyDescent="0.55000000000000004">
      <c r="A54" t="s">
        <v>48</v>
      </c>
      <c r="B54" t="s">
        <v>24</v>
      </c>
      <c r="C54">
        <f t="shared" ref="C54:C66" si="4">År2</f>
        <v>2030</v>
      </c>
      <c r="D54" s="245">
        <f>IF(B54="Vestdanmark",SUMIFS(IF(C54=År1,'Resultater - Vestdanmark'!$H$3:$H$480,IF(C54=År2,'Resultater - Vestdanmark'!$I$3:$I$480,'Resultater - Vestdanmark'!$J$3:$J$480)),'Resultater - Vestdanmark'!$F$3:$F$480,A54),SUMIFS(IF(C54=År1,'Resultater - Østdanmark'!$H$3:$H$480,IF(C54=År2,'Resultater - Østdanmark'!$I$3:$I$480,'Resultater - Østdanmark'!$J$3:$J$480)),'Resultater - Østdanmark'!$F$3:$F$480,A54))</f>
        <v>2409167.1046716827</v>
      </c>
    </row>
    <row r="55" spans="1:4" x14ac:dyDescent="0.55000000000000004">
      <c r="A55" t="s">
        <v>49</v>
      </c>
      <c r="B55" t="s">
        <v>24</v>
      </c>
      <c r="C55">
        <f t="shared" si="4"/>
        <v>2030</v>
      </c>
      <c r="D55" s="245">
        <f>IF(B55="Vestdanmark",SUMIFS(IF(C55=År1,'Resultater - Vestdanmark'!$H$3:$H$480,IF(C55=År2,'Resultater - Vestdanmark'!$I$3:$I$480,'Resultater - Vestdanmark'!$J$3:$J$480)),'Resultater - Vestdanmark'!$F$3:$F$480,A55),SUMIFS(IF(C55=År1,'Resultater - Østdanmark'!$H$3:$H$480,IF(C55=År2,'Resultater - Østdanmark'!$I$3:$I$480,'Resultater - Østdanmark'!$J$3:$J$480)),'Resultater - Østdanmark'!$F$3:$F$480,A55))</f>
        <v>28552.425442007137</v>
      </c>
    </row>
    <row r="56" spans="1:4" x14ac:dyDescent="0.55000000000000004">
      <c r="A56" t="s">
        <v>50</v>
      </c>
      <c r="B56" t="s">
        <v>24</v>
      </c>
      <c r="C56">
        <f t="shared" si="4"/>
        <v>2030</v>
      </c>
      <c r="D56" s="245">
        <f>IF(B56="Vestdanmark",SUMIFS(IF(C56=År1,'Resultater - Vestdanmark'!$H$3:$H$480,IF(C56=År2,'Resultater - Vestdanmark'!$I$3:$I$480,'Resultater - Vestdanmark'!$J$3:$J$480)),'Resultater - Vestdanmark'!$F$3:$F$480,A56),SUMIFS(IF(C56=År1,'Resultater - Østdanmark'!$H$3:$H$480,IF(C56=År2,'Resultater - Østdanmark'!$I$3:$I$480,'Resultater - Østdanmark'!$J$3:$J$480)),'Resultater - Østdanmark'!$F$3:$F$480,A56))</f>
        <v>204407.79128636757</v>
      </c>
    </row>
    <row r="57" spans="1:4" x14ac:dyDescent="0.55000000000000004">
      <c r="A57" t="s">
        <v>51</v>
      </c>
      <c r="B57" t="s">
        <v>24</v>
      </c>
      <c r="C57">
        <f t="shared" si="4"/>
        <v>2030</v>
      </c>
      <c r="D57" s="245">
        <f>IF(B57="Vestdanmark",SUMIFS(IF(C57=År1,'Resultater - Vestdanmark'!$H$3:$H$480,IF(C57=År2,'Resultater - Vestdanmark'!$I$3:$I$480,'Resultater - Vestdanmark'!$J$3:$J$480)),'Resultater - Vestdanmark'!$F$3:$F$480,A57),SUMIFS(IF(C57=År1,'Resultater - Østdanmark'!$H$3:$H$480,IF(C57=År2,'Resultater - Østdanmark'!$I$3:$I$480,'Resultater - Østdanmark'!$J$3:$J$480)),'Resultater - Østdanmark'!$F$3:$F$480,A57))</f>
        <v>2190992.6315255472</v>
      </c>
    </row>
    <row r="58" spans="1:4" x14ac:dyDescent="0.55000000000000004">
      <c r="A58" t="s">
        <v>6</v>
      </c>
      <c r="B58" t="s">
        <v>24</v>
      </c>
      <c r="C58">
        <f t="shared" si="4"/>
        <v>2030</v>
      </c>
      <c r="D58" s="245">
        <f>IF(B58="Vestdanmark",SUMIFS(IF(C58=År1,'Resultater - Vestdanmark'!$H$3:$H$480,IF(C58=År2,'Resultater - Vestdanmark'!$I$3:$I$480,'Resultater - Vestdanmark'!$J$3:$J$480)),'Resultater - Vestdanmark'!$F$3:$F$480,A58),SUMIFS(IF(C58=År1,'Resultater - Østdanmark'!$H$3:$H$480,IF(C58=År2,'Resultater - Østdanmark'!$I$3:$I$480,'Resultater - Østdanmark'!$J$3:$J$480)),'Resultater - Østdanmark'!$F$3:$F$480,A58))</f>
        <v>100834.72491971773</v>
      </c>
    </row>
    <row r="59" spans="1:4" x14ac:dyDescent="0.55000000000000004">
      <c r="A59" t="s">
        <v>12</v>
      </c>
      <c r="B59" t="s">
        <v>24</v>
      </c>
      <c r="C59">
        <f t="shared" si="4"/>
        <v>2030</v>
      </c>
      <c r="D59" s="245">
        <f>IF(B59="Vestdanmark",SUMIFS(IF(C59=År1,'Resultater - Vestdanmark'!$H$3:$H$480,IF(C59=År2,'Resultater - Vestdanmark'!$I$3:$I$480,'Resultater - Vestdanmark'!$J$3:$J$480)),'Resultater - Vestdanmark'!$F$3:$F$480,A59),SUMIFS(IF(C59=År1,'Resultater - Østdanmark'!$H$3:$H$480,IF(C59=År2,'Resultater - Østdanmark'!$I$3:$I$480,'Resultater - Østdanmark'!$J$3:$J$480)),'Resultater - Østdanmark'!$F$3:$F$480,A59))</f>
        <v>122853.28204903381</v>
      </c>
    </row>
    <row r="60" spans="1:4" x14ac:dyDescent="0.55000000000000004">
      <c r="A60" t="s">
        <v>52</v>
      </c>
      <c r="B60" t="s">
        <v>24</v>
      </c>
      <c r="C60">
        <f t="shared" si="4"/>
        <v>2030</v>
      </c>
      <c r="D60" s="245">
        <f>IF(B60="Vestdanmark",SUMIFS(IF(C60=År1,'Resultater - Vestdanmark'!$H$3:$H$480,IF(C60=År2,'Resultater - Vestdanmark'!$I$3:$I$480,'Resultater - Vestdanmark'!$J$3:$J$480)),'Resultater - Vestdanmark'!$F$3:$F$480,A60),SUMIFS(IF(C60=År1,'Resultater - Østdanmark'!$H$3:$H$480,IF(C60=År2,'Resultater - Østdanmark'!$I$3:$I$480,'Resultater - Østdanmark'!$J$3:$J$480)),'Resultater - Østdanmark'!$F$3:$F$480,A60))</f>
        <v>2381738.5992335565</v>
      </c>
    </row>
    <row r="61" spans="1:4" x14ac:dyDescent="0.55000000000000004">
      <c r="A61" t="s">
        <v>53</v>
      </c>
      <c r="B61" t="s">
        <v>24</v>
      </c>
      <c r="C61">
        <f t="shared" si="4"/>
        <v>2030</v>
      </c>
      <c r="D61" s="245">
        <f>IF(B61="Vestdanmark",SUMIFS(IF(C61=År1,'Resultater - Vestdanmark'!$H$3:$H$480,IF(C61=År2,'Resultater - Vestdanmark'!$I$3:$I$480,'Resultater - Vestdanmark'!$J$3:$J$480)),'Resultater - Vestdanmark'!$F$3:$F$480,A61),SUMIFS(IF(C61=År1,'Resultater - Østdanmark'!$H$3:$H$480,IF(C61=År2,'Resultater - Østdanmark'!$I$3:$I$480,'Resultater - Østdanmark'!$J$3:$J$480)),'Resultater - Østdanmark'!$F$3:$F$480,A61))</f>
        <v>388994.37014569982</v>
      </c>
    </row>
    <row r="62" spans="1:4" x14ac:dyDescent="0.55000000000000004">
      <c r="A62" t="s">
        <v>54</v>
      </c>
      <c r="B62" t="s">
        <v>24</v>
      </c>
      <c r="C62">
        <f t="shared" si="4"/>
        <v>2030</v>
      </c>
      <c r="D62" s="245">
        <f>IF(B62="Vestdanmark",SUMIFS(IF(C62=År1,'Resultater - Vestdanmark'!$H$3:$H$480,IF(C62=År2,'Resultater - Vestdanmark'!$I$3:$I$480,'Resultater - Vestdanmark'!$J$3:$J$480)),'Resultater - Vestdanmark'!$F$3:$F$480,A62),SUMIFS(IF(C62=År1,'Resultater - Østdanmark'!$H$3:$H$480,IF(C62=År2,'Resultater - Østdanmark'!$I$3:$I$480,'Resultater - Østdanmark'!$J$3:$J$480)),'Resultater - Østdanmark'!$F$3:$F$480,A62))</f>
        <v>16686.121067916127</v>
      </c>
    </row>
    <row r="63" spans="1:4" x14ac:dyDescent="0.55000000000000004">
      <c r="A63" t="s">
        <v>55</v>
      </c>
      <c r="B63" t="s">
        <v>24</v>
      </c>
      <c r="C63">
        <f t="shared" si="4"/>
        <v>2030</v>
      </c>
      <c r="D63" s="245">
        <f>IF(B63="Vestdanmark",SUMIFS(IF(C63=År1,'Resultater - Vestdanmark'!$H$3:$H$480,IF(C63=År2,'Resultater - Vestdanmark'!$I$3:$I$480,'Resultater - Vestdanmark'!$J$3:$J$480)),'Resultater - Vestdanmark'!$F$3:$F$480,A63),SUMIFS(IF(C63=År1,'Resultater - Østdanmark'!$H$3:$H$480,IF(C63=År2,'Resultater - Østdanmark'!$I$3:$I$480,'Resultater - Østdanmark'!$J$3:$J$480)),'Resultater - Østdanmark'!$F$3:$F$480,A63))</f>
        <v>418150.43620360433</v>
      </c>
    </row>
    <row r="64" spans="1:4" x14ac:dyDescent="0.55000000000000004">
      <c r="A64" t="s">
        <v>114</v>
      </c>
      <c r="B64" t="s">
        <v>24</v>
      </c>
      <c r="C64">
        <f t="shared" si="4"/>
        <v>2030</v>
      </c>
      <c r="D64" s="245">
        <f>IF(B64="Vestdanmark",SUMIFS(IF(C64=År1,'Resultater - Vestdanmark'!$H$3:$H$480,IF(C64=År2,'Resultater - Vestdanmark'!$I$3:$I$480,'Resultater - Vestdanmark'!$J$3:$J$480)),'Resultater - Vestdanmark'!$F$3:$F$480,A64),SUMIFS(IF(C64=År1,'Resultater - Østdanmark'!$H$3:$H$480,IF(C64=År2,'Resultater - Østdanmark'!$I$3:$I$480,'Resultater - Østdanmark'!$J$3:$J$480)),'Resultater - Østdanmark'!$F$3:$F$480,A64))</f>
        <v>645001.32802557282</v>
      </c>
    </row>
    <row r="65" spans="1:4" x14ac:dyDescent="0.55000000000000004">
      <c r="A65" t="s">
        <v>56</v>
      </c>
      <c r="B65" t="s">
        <v>24</v>
      </c>
      <c r="C65">
        <f t="shared" si="4"/>
        <v>2030</v>
      </c>
      <c r="D65" s="245">
        <f>IF(B65="Vestdanmark",SUMIFS(IF(C65=År1,'Resultater - Vestdanmark'!$H$3:$H$480,IF(C65=År2,'Resultater - Vestdanmark'!$I$3:$I$480,'Resultater - Vestdanmark'!$J$3:$J$480)),'Resultater - Vestdanmark'!$F$3:$F$480,A65),SUMIFS(IF(C65=År1,'Resultater - Østdanmark'!$H$3:$H$480,IF(C65=År2,'Resultater - Østdanmark'!$I$3:$I$480,'Resultater - Østdanmark'!$J$3:$J$480)),'Resultater - Østdanmark'!$F$3:$F$480,A65))</f>
        <v>153987.37784910508</v>
      </c>
    </row>
    <row r="66" spans="1:4" x14ac:dyDescent="0.55000000000000004">
      <c r="A66" t="s">
        <v>96</v>
      </c>
      <c r="B66" t="s">
        <v>24</v>
      </c>
      <c r="C66">
        <f t="shared" si="4"/>
        <v>2030</v>
      </c>
      <c r="D66" s="245">
        <f>IF(B66="Vestdanmark",SUMIFS(IF(C66=År1,'Resultater - Vestdanmark'!$H$3:$H$480,IF(C66=År2,'Resultater - Vestdanmark'!$I$3:$I$480,'Resultater - Vestdanmark'!$J$3:$J$480)),'Resultater - Vestdanmark'!$F$3:$F$480,A66),SUMIFS(IF(C66=År1,'Resultater - Østdanmark'!$H$3:$H$480,IF(C66=År2,'Resultater - Østdanmark'!$I$3:$I$480,'Resultater - Østdanmark'!$J$3:$J$480)),'Resultater - Østdanmark'!$F$3:$F$480,A66))</f>
        <v>39419.677245239443</v>
      </c>
    </row>
    <row r="67" spans="1:4" x14ac:dyDescent="0.55000000000000004">
      <c r="A67" t="s">
        <v>48</v>
      </c>
      <c r="B67" t="s">
        <v>24</v>
      </c>
      <c r="C67">
        <f t="shared" ref="C67:C79" si="5">År3</f>
        <v>2050</v>
      </c>
      <c r="D67" s="245">
        <f>IF(B67="Vestdanmark",SUMIFS(IF(C67=År1,'Resultater - Vestdanmark'!$H$3:$H$480,IF(C67=År2,'Resultater - Vestdanmark'!$I$3:$I$480,'Resultater - Vestdanmark'!$J$3:$J$480)),'Resultater - Vestdanmark'!$F$3:$F$480,A67),SUMIFS(IF(C67=År1,'Resultater - Østdanmark'!$H$3:$H$480,IF(C67=År2,'Resultater - Østdanmark'!$I$3:$I$480,'Resultater - Østdanmark'!$J$3:$J$480)),'Resultater - Østdanmark'!$F$3:$F$480,A67))</f>
        <v>2360239.3885877775</v>
      </c>
    </row>
    <row r="68" spans="1:4" x14ac:dyDescent="0.55000000000000004">
      <c r="A68" t="s">
        <v>49</v>
      </c>
      <c r="B68" t="s">
        <v>24</v>
      </c>
      <c r="C68">
        <f t="shared" si="5"/>
        <v>2050</v>
      </c>
      <c r="D68" s="245">
        <f>IF(B68="Vestdanmark",SUMIFS(IF(C68=År1,'Resultater - Vestdanmark'!$H$3:$H$480,IF(C68=År2,'Resultater - Vestdanmark'!$I$3:$I$480,'Resultater - Vestdanmark'!$J$3:$J$480)),'Resultater - Vestdanmark'!$F$3:$F$480,A68),SUMIFS(IF(C68=År1,'Resultater - Østdanmark'!$H$3:$H$480,IF(C68=År2,'Resultater - Østdanmark'!$I$3:$I$480,'Resultater - Østdanmark'!$J$3:$J$480)),'Resultater - Østdanmark'!$F$3:$F$480,A68))</f>
        <v>27846.800257878294</v>
      </c>
    </row>
    <row r="69" spans="1:4" x14ac:dyDescent="0.55000000000000004">
      <c r="A69" t="s">
        <v>50</v>
      </c>
      <c r="B69" t="s">
        <v>24</v>
      </c>
      <c r="C69">
        <f t="shared" si="5"/>
        <v>2050</v>
      </c>
      <c r="D69" s="245">
        <f>IF(B69="Vestdanmark",SUMIFS(IF(C69=År1,'Resultater - Vestdanmark'!$H$3:$H$480,IF(C69=År2,'Resultater - Vestdanmark'!$I$3:$I$480,'Resultater - Vestdanmark'!$J$3:$J$480)),'Resultater - Vestdanmark'!$F$3:$F$480,A69),SUMIFS(IF(C69=År1,'Resultater - Østdanmark'!$H$3:$H$480,IF(C69=År2,'Resultater - Østdanmark'!$I$3:$I$480,'Resultater - Østdanmark'!$J$3:$J$480)),'Resultater - Østdanmark'!$F$3:$F$480,A69))</f>
        <v>199163.17844104863</v>
      </c>
    </row>
    <row r="70" spans="1:4" x14ac:dyDescent="0.55000000000000004">
      <c r="A70" t="s">
        <v>51</v>
      </c>
      <c r="B70" t="s">
        <v>24</v>
      </c>
      <c r="C70">
        <f t="shared" si="5"/>
        <v>2050</v>
      </c>
      <c r="D70" s="245">
        <f>IF(B70="Vestdanmark",SUMIFS(IF(C70=År1,'Resultater - Vestdanmark'!$H$3:$H$480,IF(C70=År2,'Resultater - Vestdanmark'!$I$3:$I$480,'Resultater - Vestdanmark'!$J$3:$J$480)),'Resultater - Vestdanmark'!$F$3:$F$480,A70),SUMIFS(IF(C70=År1,'Resultater - Østdanmark'!$H$3:$H$480,IF(C70=År2,'Resultater - Østdanmark'!$I$3:$I$480,'Resultater - Østdanmark'!$J$3:$J$480)),'Resultater - Østdanmark'!$F$3:$F$480,A70))</f>
        <v>2163650.2851152783</v>
      </c>
    </row>
    <row r="71" spans="1:4" x14ac:dyDescent="0.55000000000000004">
      <c r="A71" t="s">
        <v>6</v>
      </c>
      <c r="B71" t="s">
        <v>24</v>
      </c>
      <c r="C71">
        <f t="shared" si="5"/>
        <v>2050</v>
      </c>
      <c r="D71" s="245">
        <f>IF(B71="Vestdanmark",SUMIFS(IF(C71=År1,'Resultater - Vestdanmark'!$H$3:$H$480,IF(C71=År2,'Resultater - Vestdanmark'!$I$3:$I$480,'Resultater - Vestdanmark'!$J$3:$J$480)),'Resultater - Vestdanmark'!$F$3:$F$480,A71),SUMIFS(IF(C71=År1,'Resultater - Østdanmark'!$H$3:$H$480,IF(C71=År2,'Resultater - Østdanmark'!$I$3:$I$480,'Resultater - Østdanmark'!$J$3:$J$480)),'Resultater - Østdanmark'!$F$3:$F$480,A71))</f>
        <v>98333.203509519633</v>
      </c>
    </row>
    <row r="72" spans="1:4" x14ac:dyDescent="0.55000000000000004">
      <c r="A72" t="s">
        <v>12</v>
      </c>
      <c r="B72" t="s">
        <v>24</v>
      </c>
      <c r="C72">
        <f t="shared" si="5"/>
        <v>2050</v>
      </c>
      <c r="D72" s="245">
        <f>IF(B72="Vestdanmark",SUMIFS(IF(C72=År1,'Resultater - Vestdanmark'!$H$3:$H$480,IF(C72=År2,'Resultater - Vestdanmark'!$I$3:$I$480,'Resultater - Vestdanmark'!$J$3:$J$480)),'Resultater - Vestdanmark'!$F$3:$F$480,A72),SUMIFS(IF(C72=År1,'Resultater - Østdanmark'!$H$3:$H$480,IF(C72=År2,'Resultater - Østdanmark'!$I$3:$I$480,'Resultater - Østdanmark'!$J$3:$J$480)),'Resultater - Østdanmark'!$F$3:$F$480,A72))</f>
        <v>119824.59197839584</v>
      </c>
    </row>
    <row r="73" spans="1:4" x14ac:dyDescent="0.55000000000000004">
      <c r="A73" t="s">
        <v>52</v>
      </c>
      <c r="B73" t="s">
        <v>24</v>
      </c>
      <c r="C73">
        <f t="shared" si="5"/>
        <v>2050</v>
      </c>
      <c r="D73" s="245">
        <f>IF(B73="Vestdanmark",SUMIFS(IF(C73=År1,'Resultater - Vestdanmark'!$H$3:$H$480,IF(C73=År2,'Resultater - Vestdanmark'!$I$3:$I$480,'Resultater - Vestdanmark'!$J$3:$J$480)),'Resultater - Vestdanmark'!$F$3:$F$480,A73),SUMIFS(IF(C73=År1,'Resultater - Østdanmark'!$H$3:$H$480,IF(C73=År2,'Resultater - Østdanmark'!$I$3:$I$480,'Resultater - Østdanmark'!$J$3:$J$480)),'Resultater - Østdanmark'!$F$3:$F$480,A73))</f>
        <v>2322627.8500566902</v>
      </c>
    </row>
    <row r="74" spans="1:4" x14ac:dyDescent="0.55000000000000004">
      <c r="A74" t="s">
        <v>53</v>
      </c>
      <c r="B74" t="s">
        <v>24</v>
      </c>
      <c r="C74">
        <f t="shared" si="5"/>
        <v>2050</v>
      </c>
      <c r="D74" s="245">
        <f>IF(B74="Vestdanmark",SUMIFS(IF(C74=År1,'Resultater - Vestdanmark'!$H$3:$H$480,IF(C74=År2,'Resultater - Vestdanmark'!$I$3:$I$480,'Resultater - Vestdanmark'!$J$3:$J$480)),'Resultater - Vestdanmark'!$F$3:$F$480,A74),SUMIFS(IF(C74=År1,'Resultater - Østdanmark'!$H$3:$H$480,IF(C74=År2,'Resultater - Østdanmark'!$I$3:$I$480,'Resultater - Østdanmark'!$J$3:$J$480)),'Resultater - Østdanmark'!$F$3:$F$480,A74))</f>
        <v>383747.87380717852</v>
      </c>
    </row>
    <row r="75" spans="1:4" x14ac:dyDescent="0.55000000000000004">
      <c r="A75" t="s">
        <v>54</v>
      </c>
      <c r="B75" t="s">
        <v>24</v>
      </c>
      <c r="C75">
        <f t="shared" si="5"/>
        <v>2050</v>
      </c>
      <c r="D75" s="245">
        <f>IF(B75="Vestdanmark",SUMIFS(IF(C75=År1,'Resultater - Vestdanmark'!$H$3:$H$480,IF(C75=År2,'Resultater - Vestdanmark'!$I$3:$I$480,'Resultater - Vestdanmark'!$J$3:$J$480)),'Resultater - Vestdanmark'!$F$3:$F$480,A75),SUMIFS(IF(C75=År1,'Resultater - Østdanmark'!$H$3:$H$480,IF(C75=År2,'Resultater - Østdanmark'!$I$3:$I$480,'Resultater - Østdanmark'!$J$3:$J$480)),'Resultater - Østdanmark'!$F$3:$F$480,A75))</f>
        <v>16274.021455837808</v>
      </c>
    </row>
    <row r="76" spans="1:4" x14ac:dyDescent="0.55000000000000004">
      <c r="A76" t="s">
        <v>55</v>
      </c>
      <c r="B76" t="s">
        <v>24</v>
      </c>
      <c r="C76">
        <f t="shared" si="5"/>
        <v>2050</v>
      </c>
      <c r="D76" s="245">
        <f>IF(B76="Vestdanmark",SUMIFS(IF(C76=År1,'Resultater - Vestdanmark'!$H$3:$H$480,IF(C76=År2,'Resultater - Vestdanmark'!$I$3:$I$480,'Resultater - Vestdanmark'!$J$3:$J$480)),'Resultater - Vestdanmark'!$F$3:$F$480,A76),SUMIFS(IF(C76=År1,'Resultater - Østdanmark'!$H$3:$H$480,IF(C76=År2,'Resultater - Østdanmark'!$I$3:$I$480,'Resultater - Østdanmark'!$J$3:$J$480)),'Resultater - Østdanmark'!$F$3:$F$480,A76))</f>
        <v>407823.31273083866</v>
      </c>
    </row>
    <row r="77" spans="1:4" x14ac:dyDescent="0.55000000000000004">
      <c r="A77" t="s">
        <v>114</v>
      </c>
      <c r="B77" t="s">
        <v>24</v>
      </c>
      <c r="C77">
        <f t="shared" si="5"/>
        <v>2050</v>
      </c>
      <c r="D77" s="245">
        <f>IF(B77="Vestdanmark",SUMIFS(IF(C77=År1,'Resultater - Vestdanmark'!$H$3:$H$480,IF(C77=År2,'Resultater - Vestdanmark'!$I$3:$I$480,'Resultater - Vestdanmark'!$J$3:$J$480)),'Resultater - Vestdanmark'!$F$3:$F$480,A77),SUMIFS(IF(C77=År1,'Resultater - Østdanmark'!$H$3:$H$480,IF(C77=År2,'Resultater - Østdanmark'!$I$3:$I$480,'Resultater - Østdanmark'!$J$3:$J$480)),'Resultater - Østdanmark'!$F$3:$F$480,A77))</f>
        <v>629229.83697533351</v>
      </c>
    </row>
    <row r="78" spans="1:4" x14ac:dyDescent="0.55000000000000004">
      <c r="A78" t="s">
        <v>56</v>
      </c>
      <c r="B78" t="s">
        <v>24</v>
      </c>
      <c r="C78">
        <f t="shared" si="5"/>
        <v>2050</v>
      </c>
      <c r="D78" s="245">
        <f>IF(B78="Vestdanmark",SUMIFS(IF(C78=År1,'Resultater - Vestdanmark'!$H$3:$H$480,IF(C78=År2,'Resultater - Vestdanmark'!$I$3:$I$480,'Resultater - Vestdanmark'!$J$3:$J$480)),'Resultater - Vestdanmark'!$F$3:$F$480,A78),SUMIFS(IF(C78=År1,'Resultater - Østdanmark'!$H$3:$H$480,IF(C78=År2,'Resultater - Østdanmark'!$I$3:$I$480,'Resultater - Østdanmark'!$J$3:$J$480)),'Resultater - Østdanmark'!$F$3:$F$480,A78))</f>
        <v>150184.32869116802</v>
      </c>
    </row>
    <row r="79" spans="1:4" x14ac:dyDescent="0.55000000000000004">
      <c r="A79" t="s">
        <v>96</v>
      </c>
      <c r="B79" t="s">
        <v>24</v>
      </c>
      <c r="C79">
        <f t="shared" si="5"/>
        <v>2050</v>
      </c>
      <c r="D79" s="245">
        <f>IF(B79="Vestdanmark",SUMIFS(IF(C79=År1,'Resultater - Vestdanmark'!$H$3:$H$480,IF(C79=År2,'Resultater - Vestdanmark'!$I$3:$I$480,'Resultater - Vestdanmark'!$J$3:$J$480)),'Resultater - Vestdanmark'!$F$3:$F$480,A79),SUMIFS(IF(C79=År1,'Resultater - Østdanmark'!$H$3:$H$480,IF(C79=År2,'Resultater - Østdanmark'!$I$3:$I$480,'Resultater - Østdanmark'!$J$3:$J$480)),'Resultater - Østdanmark'!$F$3:$F$480,A79))</f>
        <v>38470.033999756291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D7A10-C9C8-40BE-B8F8-E1EE30011E19}">
  <sheetPr codeName="Sheet31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4.4" x14ac:dyDescent="0.55000000000000004"/>
  <cols>
    <col min="1" max="1" width="22.68359375" bestFit="1" customWidth="1"/>
    <col min="2" max="2" width="16.68359375" bestFit="1" customWidth="1"/>
    <col min="3" max="3" width="13.83984375" bestFit="1" customWidth="1"/>
    <col min="4" max="4" width="12.26171875" bestFit="1" customWidth="1"/>
    <col min="5" max="5" width="13.68359375" bestFit="1" customWidth="1"/>
    <col min="6" max="6" width="8.578125" bestFit="1" customWidth="1"/>
    <col min="7" max="7" width="13.68359375" bestFit="1" customWidth="1"/>
    <col min="8" max="8" width="8.578125" bestFit="1" customWidth="1"/>
    <col min="9" max="10" width="13.68359375" bestFit="1" customWidth="1"/>
    <col min="11" max="11" width="58" bestFit="1" customWidth="1"/>
    <col min="12" max="12" width="18.26171875" bestFit="1" customWidth="1"/>
    <col min="13" max="13" width="58" bestFit="1" customWidth="1"/>
    <col min="14" max="14" width="18.26171875" bestFit="1" customWidth="1"/>
    <col min="15" max="15" width="58" bestFit="1" customWidth="1"/>
    <col min="16" max="16" width="8.15625" bestFit="1" customWidth="1"/>
    <col min="17" max="17" width="12.15625" bestFit="1" customWidth="1"/>
    <col min="18" max="18" width="11.68359375" bestFit="1" customWidth="1"/>
    <col min="19" max="19" width="14.26171875" bestFit="1" customWidth="1"/>
    <col min="20" max="20" width="8.83984375" bestFit="1" customWidth="1"/>
    <col min="21" max="21" width="9" bestFit="1" customWidth="1"/>
    <col min="22" max="28" width="11.68359375" bestFit="1" customWidth="1"/>
    <col min="29" max="29" width="18.83984375" bestFit="1" customWidth="1"/>
    <col min="30" max="30" width="18.41796875" bestFit="1" customWidth="1"/>
    <col min="31" max="31" width="11.68359375" bestFit="1" customWidth="1"/>
    <col min="32" max="32" width="9.578125" bestFit="1" customWidth="1"/>
    <col min="33" max="33" width="11.68359375" bestFit="1" customWidth="1"/>
    <col min="34" max="34" width="5.68359375" bestFit="1" customWidth="1"/>
    <col min="35" max="35" width="11.41796875" bestFit="1" customWidth="1"/>
    <col min="36" max="36" width="12.26171875" bestFit="1" customWidth="1"/>
    <col min="37" max="37" width="8.83984375" bestFit="1" customWidth="1"/>
    <col min="38" max="38" width="9" bestFit="1" customWidth="1"/>
    <col min="39" max="40" width="11.68359375" bestFit="1" customWidth="1"/>
    <col min="41" max="42" width="9.15625" bestFit="1" customWidth="1"/>
    <col min="43" max="43" width="10" bestFit="1" customWidth="1"/>
    <col min="44" max="44" width="11.26171875" bestFit="1" customWidth="1"/>
    <col min="45" max="45" width="12.26171875" bestFit="1" customWidth="1"/>
    <col min="46" max="46" width="15.83984375" bestFit="1" customWidth="1"/>
    <col min="47" max="49" width="12.26171875" bestFit="1" customWidth="1"/>
    <col min="50" max="50" width="13.26171875" bestFit="1" customWidth="1"/>
    <col min="51" max="51" width="13.41796875" bestFit="1" customWidth="1"/>
    <col min="52" max="52" width="20.83984375" bestFit="1" customWidth="1"/>
    <col min="53" max="54" width="12.26171875" bestFit="1" customWidth="1"/>
    <col min="55" max="55" width="13.26171875" bestFit="1" customWidth="1"/>
    <col min="56" max="59" width="12.26171875" bestFit="1" customWidth="1"/>
    <col min="60" max="60" width="13.26171875" bestFit="1" customWidth="1"/>
    <col min="61" max="61" width="13.41796875" bestFit="1" customWidth="1"/>
    <col min="62" max="62" width="20.83984375" bestFit="1" customWidth="1"/>
    <col min="63" max="64" width="12.26171875" bestFit="1" customWidth="1"/>
    <col min="65" max="65" width="13.26171875" bestFit="1" customWidth="1"/>
    <col min="66" max="66" width="13.41796875" bestFit="1" customWidth="1"/>
    <col min="67" max="67" width="20.83984375" bestFit="1" customWidth="1"/>
    <col min="68" max="69" width="11.26171875" bestFit="1" customWidth="1"/>
    <col min="70" max="70" width="13.26171875" bestFit="1" customWidth="1"/>
    <col min="71" max="71" width="13.41796875" bestFit="1" customWidth="1"/>
    <col min="72" max="72" width="12.26171875" bestFit="1" customWidth="1"/>
    <col min="73" max="73" width="16.83984375" bestFit="1" customWidth="1"/>
    <col min="74" max="74" width="12.26171875" bestFit="1" customWidth="1"/>
    <col min="75" max="75" width="13.26171875" bestFit="1" customWidth="1"/>
    <col min="76" max="76" width="13.41796875" bestFit="1" customWidth="1"/>
    <col min="77" max="77" width="12.26171875" bestFit="1" customWidth="1"/>
    <col min="78" max="78" width="16.83984375" bestFit="1" customWidth="1"/>
    <col min="79" max="79" width="12.26171875" bestFit="1" customWidth="1"/>
    <col min="80" max="80" width="13.26171875" bestFit="1" customWidth="1"/>
    <col min="81" max="81" width="13.41796875" bestFit="1" customWidth="1"/>
    <col min="82" max="82" width="12.26171875" bestFit="1" customWidth="1"/>
    <col min="83" max="83" width="15.83984375" bestFit="1" customWidth="1"/>
    <col min="84" max="84" width="12.26171875" bestFit="1" customWidth="1"/>
    <col min="85" max="85" width="13.26171875" bestFit="1" customWidth="1"/>
    <col min="86" max="89" width="11.68359375" bestFit="1" customWidth="1"/>
    <col min="90" max="90" width="14.26171875" bestFit="1" customWidth="1"/>
    <col min="91" max="91" width="13.41796875" bestFit="1" customWidth="1"/>
    <col min="92" max="92" width="20.83984375" bestFit="1" customWidth="1"/>
    <col min="93" max="94" width="11.68359375" bestFit="1" customWidth="1"/>
    <col min="95" max="95" width="14.26171875" bestFit="1" customWidth="1"/>
    <col min="96" max="96" width="13.41796875" bestFit="1" customWidth="1"/>
    <col min="97" max="97" width="20.83984375" bestFit="1" customWidth="1"/>
    <col min="98" max="99" width="12.26171875" bestFit="1" customWidth="1"/>
    <col min="100" max="100" width="14.26171875" bestFit="1" customWidth="1"/>
    <col min="101" max="101" width="12.26171875" bestFit="1" customWidth="1"/>
    <col min="102" max="103" width="13.26171875" bestFit="1" customWidth="1"/>
    <col min="104" max="104" width="13.41796875" bestFit="1" customWidth="1"/>
    <col min="105" max="105" width="20.83984375" bestFit="1" customWidth="1"/>
    <col min="106" max="107" width="12.26171875" bestFit="1" customWidth="1"/>
    <col min="108" max="109" width="13.26171875" bestFit="1" customWidth="1"/>
    <col min="110" max="113" width="11.68359375" bestFit="1" customWidth="1"/>
    <col min="114" max="115" width="13.26171875" bestFit="1" customWidth="1"/>
    <col min="116" max="116" width="13.41796875" bestFit="1" customWidth="1"/>
    <col min="117" max="117" width="20.83984375" bestFit="1" customWidth="1"/>
    <col min="118" max="120" width="11.68359375" bestFit="1" customWidth="1"/>
    <col min="121" max="121" width="13.26171875" bestFit="1" customWidth="1"/>
    <col min="122" max="122" width="13.41796875" bestFit="1" customWidth="1"/>
    <col min="123" max="123" width="12.26171875" bestFit="1" customWidth="1"/>
    <col min="124" max="124" width="15.83984375" bestFit="1" customWidth="1"/>
    <col min="125" max="125" width="12.26171875" bestFit="1" customWidth="1"/>
    <col min="126" max="127" width="13.26171875" bestFit="1" customWidth="1"/>
    <col min="128" max="128" width="13.41796875" bestFit="1" customWidth="1"/>
    <col min="129" max="129" width="20.83984375" bestFit="1" customWidth="1"/>
    <col min="130" max="131" width="11.26171875" bestFit="1" customWidth="1"/>
    <col min="132" max="133" width="13.26171875" bestFit="1" customWidth="1"/>
    <col min="134" max="134" width="13.41796875" bestFit="1" customWidth="1"/>
    <col min="135" max="135" width="20.83984375" bestFit="1" customWidth="1"/>
    <col min="136" max="137" width="12.26171875" bestFit="1" customWidth="1"/>
    <col min="138" max="139" width="13.26171875" bestFit="1" customWidth="1"/>
    <col min="140" max="143" width="12.26171875" bestFit="1" customWidth="1"/>
    <col min="144" max="145" width="13.26171875" bestFit="1" customWidth="1"/>
    <col min="146" max="146" width="13.41796875" bestFit="1" customWidth="1"/>
    <col min="147" max="147" width="12.26171875" bestFit="1" customWidth="1"/>
    <col min="148" max="148" width="16.83984375" bestFit="1" customWidth="1"/>
    <col min="149" max="149" width="12.26171875" bestFit="1" customWidth="1"/>
    <col min="150" max="151" width="13.26171875" bestFit="1" customWidth="1"/>
    <col min="152" max="152" width="13.41796875" bestFit="1" customWidth="1"/>
    <col min="153" max="153" width="12.26171875" bestFit="1" customWidth="1"/>
    <col min="154" max="154" width="16.83984375" bestFit="1" customWidth="1"/>
    <col min="155" max="155" width="12.26171875" bestFit="1" customWidth="1"/>
    <col min="156" max="157" width="13.26171875" bestFit="1" customWidth="1"/>
    <col min="158" max="158" width="13.41796875" bestFit="1" customWidth="1"/>
    <col min="159" max="159" width="20.83984375" bestFit="1" customWidth="1"/>
    <col min="160" max="161" width="12.26171875" bestFit="1" customWidth="1"/>
    <col min="162" max="163" width="14.26171875" bestFit="1" customWidth="1"/>
    <col min="164" max="164" width="13.41796875" bestFit="1" customWidth="1"/>
    <col min="165" max="165" width="20.83984375" bestFit="1" customWidth="1"/>
    <col min="166" max="167" width="11.68359375" bestFit="1" customWidth="1"/>
    <col min="168" max="169" width="14.26171875" bestFit="1" customWidth="1"/>
    <col min="170" max="173" width="11.68359375" bestFit="1" customWidth="1"/>
    <col min="174" max="175" width="14.26171875" bestFit="1" customWidth="1"/>
    <col min="176" max="176" width="12.26171875" bestFit="1" customWidth="1"/>
  </cols>
  <sheetData>
    <row r="4" spans="1:4" x14ac:dyDescent="0.55000000000000004">
      <c r="A4" s="77" t="s">
        <v>194</v>
      </c>
      <c r="B4" s="77" t="s">
        <v>62</v>
      </c>
    </row>
    <row r="5" spans="1:4" x14ac:dyDescent="0.55000000000000004">
      <c r="A5" s="77" t="s">
        <v>60</v>
      </c>
      <c r="B5" s="172" t="s">
        <v>120</v>
      </c>
      <c r="C5" s="172" t="s">
        <v>119</v>
      </c>
      <c r="D5" s="172" t="s">
        <v>61</v>
      </c>
    </row>
    <row r="6" spans="1:4" x14ac:dyDescent="0.55000000000000004">
      <c r="A6" s="78">
        <v>2019</v>
      </c>
      <c r="B6" s="247">
        <v>3010238.4923246857</v>
      </c>
      <c r="C6" s="247">
        <v>827693.20492220437</v>
      </c>
      <c r="D6" s="247">
        <v>3837931.69724689</v>
      </c>
    </row>
    <row r="7" spans="1:4" x14ac:dyDescent="0.55000000000000004">
      <c r="A7" s="78">
        <v>2030</v>
      </c>
      <c r="B7" s="247">
        <v>2848752.9835421797</v>
      </c>
      <c r="C7" s="247">
        <v>783291.25515859458</v>
      </c>
      <c r="D7" s="247">
        <v>3632044.2387007745</v>
      </c>
    </row>
    <row r="8" spans="1:4" x14ac:dyDescent="0.55000000000000004">
      <c r="A8" s="78">
        <v>2050</v>
      </c>
      <c r="B8" s="247">
        <v>2586246.4663030161</v>
      </c>
      <c r="C8" s="247">
        <v>712825.86568798381</v>
      </c>
      <c r="D8" s="247">
        <v>3299072.3319910001</v>
      </c>
    </row>
    <row r="9" spans="1:4" x14ac:dyDescent="0.55000000000000004">
      <c r="A9" s="78" t="s">
        <v>61</v>
      </c>
      <c r="B9" s="247">
        <v>8445237.9421698824</v>
      </c>
      <c r="C9" s="247">
        <v>2323810.3257687828</v>
      </c>
      <c r="D9" s="247">
        <v>10769048.267938664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D874-D1D9-4C52-A9F3-A343F6D5EF88}">
  <sheetPr codeName="Sheet32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4.4" x14ac:dyDescent="0.55000000000000004"/>
  <cols>
    <col min="1" max="1" width="22.68359375" bestFit="1" customWidth="1"/>
    <col min="2" max="2" width="16.68359375" bestFit="1" customWidth="1"/>
    <col min="3" max="3" width="8.578125" bestFit="1" customWidth="1"/>
    <col min="4" max="4" width="11.578125" bestFit="1" customWidth="1"/>
    <col min="5" max="5" width="13.68359375" bestFit="1" customWidth="1"/>
    <col min="6" max="6" width="8.578125" bestFit="1" customWidth="1"/>
    <col min="7" max="7" width="13.68359375" bestFit="1" customWidth="1"/>
    <col min="8" max="8" width="8.578125" bestFit="1" customWidth="1"/>
    <col min="9" max="10" width="13.68359375" bestFit="1" customWidth="1"/>
    <col min="11" max="11" width="58" bestFit="1" customWidth="1"/>
    <col min="12" max="12" width="18.26171875" bestFit="1" customWidth="1"/>
    <col min="13" max="13" width="58" bestFit="1" customWidth="1"/>
    <col min="14" max="14" width="18.26171875" bestFit="1" customWidth="1"/>
    <col min="15" max="15" width="58" bestFit="1" customWidth="1"/>
    <col min="16" max="16" width="8.15625" bestFit="1" customWidth="1"/>
    <col min="17" max="17" width="12.15625" bestFit="1" customWidth="1"/>
    <col min="18" max="18" width="11.68359375" bestFit="1" customWidth="1"/>
    <col min="19" max="19" width="14.26171875" bestFit="1" customWidth="1"/>
    <col min="20" max="20" width="8.83984375" bestFit="1" customWidth="1"/>
    <col min="21" max="21" width="9" bestFit="1" customWidth="1"/>
    <col min="22" max="28" width="11.68359375" bestFit="1" customWidth="1"/>
    <col min="29" max="29" width="18.83984375" bestFit="1" customWidth="1"/>
    <col min="30" max="30" width="18.41796875" bestFit="1" customWidth="1"/>
    <col min="31" max="31" width="11.68359375" bestFit="1" customWidth="1"/>
    <col min="32" max="32" width="9.578125" bestFit="1" customWidth="1"/>
    <col min="33" max="33" width="11.68359375" bestFit="1" customWidth="1"/>
    <col min="34" max="34" width="5.68359375" bestFit="1" customWidth="1"/>
    <col min="35" max="35" width="11.41796875" bestFit="1" customWidth="1"/>
    <col min="36" max="36" width="12.26171875" bestFit="1" customWidth="1"/>
    <col min="37" max="37" width="8.83984375" bestFit="1" customWidth="1"/>
    <col min="38" max="38" width="9" bestFit="1" customWidth="1"/>
    <col min="39" max="40" width="11.68359375" bestFit="1" customWidth="1"/>
    <col min="41" max="42" width="9.15625" bestFit="1" customWidth="1"/>
    <col min="43" max="43" width="10" bestFit="1" customWidth="1"/>
    <col min="44" max="44" width="11.26171875" bestFit="1" customWidth="1"/>
    <col min="45" max="45" width="12.26171875" bestFit="1" customWidth="1"/>
    <col min="46" max="46" width="15.83984375" bestFit="1" customWidth="1"/>
    <col min="47" max="49" width="12.26171875" bestFit="1" customWidth="1"/>
    <col min="50" max="50" width="13.26171875" bestFit="1" customWidth="1"/>
    <col min="51" max="51" width="13.41796875" bestFit="1" customWidth="1"/>
    <col min="52" max="52" width="20.83984375" bestFit="1" customWidth="1"/>
    <col min="53" max="54" width="12.26171875" bestFit="1" customWidth="1"/>
    <col min="55" max="55" width="13.26171875" bestFit="1" customWidth="1"/>
    <col min="56" max="59" width="12.26171875" bestFit="1" customWidth="1"/>
    <col min="60" max="60" width="13.26171875" bestFit="1" customWidth="1"/>
    <col min="61" max="61" width="13.41796875" bestFit="1" customWidth="1"/>
    <col min="62" max="62" width="20.83984375" bestFit="1" customWidth="1"/>
    <col min="63" max="64" width="12.26171875" bestFit="1" customWidth="1"/>
    <col min="65" max="65" width="13.26171875" bestFit="1" customWidth="1"/>
    <col min="66" max="66" width="13.41796875" bestFit="1" customWidth="1"/>
    <col min="67" max="67" width="20.83984375" bestFit="1" customWidth="1"/>
    <col min="68" max="69" width="11.26171875" bestFit="1" customWidth="1"/>
    <col min="70" max="70" width="13.26171875" bestFit="1" customWidth="1"/>
    <col min="71" max="71" width="13.41796875" bestFit="1" customWidth="1"/>
    <col min="72" max="72" width="12.26171875" bestFit="1" customWidth="1"/>
    <col min="73" max="73" width="16.83984375" bestFit="1" customWidth="1"/>
    <col min="74" max="74" width="12.26171875" bestFit="1" customWidth="1"/>
    <col min="75" max="75" width="13.26171875" bestFit="1" customWidth="1"/>
    <col min="76" max="76" width="13.41796875" bestFit="1" customWidth="1"/>
    <col min="77" max="77" width="12.26171875" bestFit="1" customWidth="1"/>
    <col min="78" max="78" width="16.83984375" bestFit="1" customWidth="1"/>
    <col min="79" max="79" width="12.26171875" bestFit="1" customWidth="1"/>
    <col min="80" max="80" width="13.26171875" bestFit="1" customWidth="1"/>
    <col min="81" max="81" width="13.41796875" bestFit="1" customWidth="1"/>
    <col min="82" max="82" width="12.26171875" bestFit="1" customWidth="1"/>
    <col min="83" max="83" width="15.83984375" bestFit="1" customWidth="1"/>
    <col min="84" max="84" width="12.26171875" bestFit="1" customWidth="1"/>
    <col min="85" max="85" width="13.26171875" bestFit="1" customWidth="1"/>
    <col min="86" max="89" width="11.68359375" bestFit="1" customWidth="1"/>
    <col min="90" max="90" width="14.26171875" bestFit="1" customWidth="1"/>
    <col min="91" max="91" width="13.41796875" bestFit="1" customWidth="1"/>
    <col min="92" max="92" width="20.83984375" bestFit="1" customWidth="1"/>
    <col min="93" max="94" width="11.68359375" bestFit="1" customWidth="1"/>
    <col min="95" max="95" width="14.26171875" bestFit="1" customWidth="1"/>
    <col min="96" max="96" width="13.41796875" bestFit="1" customWidth="1"/>
    <col min="97" max="97" width="20.83984375" bestFit="1" customWidth="1"/>
    <col min="98" max="99" width="12.26171875" bestFit="1" customWidth="1"/>
    <col min="100" max="100" width="14.26171875" bestFit="1" customWidth="1"/>
    <col min="101" max="101" width="12.26171875" bestFit="1" customWidth="1"/>
    <col min="102" max="103" width="13.26171875" bestFit="1" customWidth="1"/>
    <col min="104" max="104" width="13.41796875" bestFit="1" customWidth="1"/>
    <col min="105" max="105" width="20.83984375" bestFit="1" customWidth="1"/>
    <col min="106" max="107" width="12.26171875" bestFit="1" customWidth="1"/>
    <col min="108" max="109" width="13.26171875" bestFit="1" customWidth="1"/>
    <col min="110" max="113" width="11.68359375" bestFit="1" customWidth="1"/>
    <col min="114" max="115" width="13.26171875" bestFit="1" customWidth="1"/>
    <col min="116" max="116" width="13.41796875" bestFit="1" customWidth="1"/>
    <col min="117" max="117" width="20.83984375" bestFit="1" customWidth="1"/>
    <col min="118" max="120" width="11.68359375" bestFit="1" customWidth="1"/>
    <col min="121" max="121" width="13.26171875" bestFit="1" customWidth="1"/>
    <col min="122" max="122" width="13.41796875" bestFit="1" customWidth="1"/>
    <col min="123" max="123" width="12.26171875" bestFit="1" customWidth="1"/>
    <col min="124" max="124" width="15.83984375" bestFit="1" customWidth="1"/>
    <col min="125" max="125" width="12.26171875" bestFit="1" customWidth="1"/>
    <col min="126" max="127" width="13.26171875" bestFit="1" customWidth="1"/>
    <col min="128" max="128" width="13.41796875" bestFit="1" customWidth="1"/>
    <col min="129" max="129" width="20.83984375" bestFit="1" customWidth="1"/>
    <col min="130" max="131" width="11.26171875" bestFit="1" customWidth="1"/>
    <col min="132" max="133" width="13.26171875" bestFit="1" customWidth="1"/>
    <col min="134" max="134" width="13.41796875" bestFit="1" customWidth="1"/>
    <col min="135" max="135" width="20.83984375" bestFit="1" customWidth="1"/>
    <col min="136" max="137" width="12.26171875" bestFit="1" customWidth="1"/>
    <col min="138" max="139" width="13.26171875" bestFit="1" customWidth="1"/>
    <col min="140" max="143" width="12.26171875" bestFit="1" customWidth="1"/>
    <col min="144" max="145" width="13.26171875" bestFit="1" customWidth="1"/>
    <col min="146" max="146" width="13.41796875" bestFit="1" customWidth="1"/>
    <col min="147" max="147" width="12.26171875" bestFit="1" customWidth="1"/>
    <col min="148" max="148" width="16.83984375" bestFit="1" customWidth="1"/>
    <col min="149" max="149" width="12.26171875" bestFit="1" customWidth="1"/>
    <col min="150" max="151" width="13.26171875" bestFit="1" customWidth="1"/>
    <col min="152" max="152" width="13.41796875" bestFit="1" customWidth="1"/>
    <col min="153" max="153" width="12.26171875" bestFit="1" customWidth="1"/>
    <col min="154" max="154" width="16.83984375" bestFit="1" customWidth="1"/>
    <col min="155" max="155" width="12.26171875" bestFit="1" customWidth="1"/>
    <col min="156" max="157" width="13.26171875" bestFit="1" customWidth="1"/>
    <col min="158" max="158" width="13.41796875" bestFit="1" customWidth="1"/>
    <col min="159" max="159" width="20.83984375" bestFit="1" customWidth="1"/>
    <col min="160" max="161" width="12.26171875" bestFit="1" customWidth="1"/>
    <col min="162" max="163" width="14.26171875" bestFit="1" customWidth="1"/>
    <col min="164" max="164" width="13.41796875" bestFit="1" customWidth="1"/>
    <col min="165" max="165" width="20.83984375" bestFit="1" customWidth="1"/>
    <col min="166" max="167" width="11.68359375" bestFit="1" customWidth="1"/>
    <col min="168" max="169" width="14.26171875" bestFit="1" customWidth="1"/>
    <col min="170" max="173" width="11.68359375" bestFit="1" customWidth="1"/>
    <col min="174" max="175" width="14.26171875" bestFit="1" customWidth="1"/>
    <col min="176" max="176" width="12.26171875" bestFit="1" customWidth="1"/>
  </cols>
  <sheetData>
    <row r="4" spans="1:4" x14ac:dyDescent="0.55000000000000004">
      <c r="A4" s="77" t="s">
        <v>194</v>
      </c>
      <c r="B4" s="77" t="s">
        <v>62</v>
      </c>
    </row>
    <row r="5" spans="1:4" x14ac:dyDescent="0.55000000000000004">
      <c r="A5" s="77" t="s">
        <v>60</v>
      </c>
      <c r="B5" s="172" t="s">
        <v>107</v>
      </c>
      <c r="C5" s="172" t="s">
        <v>100</v>
      </c>
      <c r="D5" s="172" t="s">
        <v>61</v>
      </c>
    </row>
    <row r="6" spans="1:4" x14ac:dyDescent="0.55000000000000004">
      <c r="A6" s="78">
        <v>2019</v>
      </c>
      <c r="B6" s="247">
        <v>880.1</v>
      </c>
      <c r="C6" s="247">
        <v>76.5</v>
      </c>
      <c r="D6" s="247">
        <v>956.6</v>
      </c>
    </row>
    <row r="7" spans="1:4" x14ac:dyDescent="0.55000000000000004">
      <c r="A7" s="78">
        <v>2030</v>
      </c>
      <c r="B7" s="247">
        <v>148073.98049444324</v>
      </c>
      <c r="C7" s="247">
        <v>18000</v>
      </c>
      <c r="D7" s="247">
        <v>166073.98049444324</v>
      </c>
    </row>
    <row r="8" spans="1:4" x14ac:dyDescent="0.55000000000000004">
      <c r="A8" s="78">
        <v>2050</v>
      </c>
      <c r="B8" s="247">
        <v>270457.58448627812</v>
      </c>
      <c r="C8" s="247">
        <v>18000</v>
      </c>
      <c r="D8" s="247">
        <v>288457.58448627812</v>
      </c>
    </row>
    <row r="9" spans="1:4" x14ac:dyDescent="0.55000000000000004">
      <c r="A9" s="78" t="s">
        <v>61</v>
      </c>
      <c r="B9" s="247">
        <v>419411.66498072137</v>
      </c>
      <c r="C9" s="247">
        <v>36076.5</v>
      </c>
      <c r="D9" s="247">
        <v>455488.16498072137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A982-7D61-4A3E-B567-04384EC7CE44}">
  <sheetPr codeName="Sheet4">
    <tabColor theme="2" tint="-9.9978637043366805E-2"/>
  </sheetPr>
  <dimension ref="A1:G8"/>
  <sheetViews>
    <sheetView workbookViewId="0">
      <selection activeCell="D58" sqref="D58"/>
    </sheetView>
  </sheetViews>
  <sheetFormatPr defaultRowHeight="14.4" x14ac:dyDescent="0.55000000000000004"/>
  <cols>
    <col min="1" max="1" width="13.15625" bestFit="1" customWidth="1"/>
    <col min="2" max="2" width="16.26171875" bestFit="1" customWidth="1"/>
    <col min="3" max="3" width="25.15625" bestFit="1" customWidth="1"/>
    <col min="4" max="4" width="17.83984375" bestFit="1" customWidth="1"/>
    <col min="5" max="6" width="10.578125" bestFit="1" customWidth="1"/>
    <col min="7" max="7" width="11.578125" bestFit="1" customWidth="1"/>
  </cols>
  <sheetData>
    <row r="1" spans="1:7" x14ac:dyDescent="0.55000000000000004">
      <c r="A1" s="77" t="s">
        <v>64</v>
      </c>
      <c r="B1" s="172" t="s">
        <v>81</v>
      </c>
    </row>
    <row r="3" spans="1:7" x14ac:dyDescent="0.55000000000000004">
      <c r="A3" s="77" t="s">
        <v>80</v>
      </c>
      <c r="B3" s="77" t="s">
        <v>62</v>
      </c>
    </row>
    <row r="4" spans="1:7" x14ac:dyDescent="0.55000000000000004">
      <c r="A4" s="77" t="s">
        <v>60</v>
      </c>
      <c r="B4" s="172" t="s">
        <v>11</v>
      </c>
      <c r="C4" s="172" t="s">
        <v>32</v>
      </c>
      <c r="D4" s="172" t="s">
        <v>9</v>
      </c>
      <c r="E4" s="172" t="s">
        <v>33</v>
      </c>
      <c r="F4" s="172" t="s">
        <v>10</v>
      </c>
      <c r="G4" s="172" t="s">
        <v>61</v>
      </c>
    </row>
    <row r="5" spans="1:7" x14ac:dyDescent="0.55000000000000004">
      <c r="A5" s="78">
        <v>2019</v>
      </c>
      <c r="B5" s="247">
        <v>65860</v>
      </c>
      <c r="C5" s="247">
        <v>591230</v>
      </c>
      <c r="D5" s="247">
        <v>2578370</v>
      </c>
      <c r="E5" s="247">
        <v>472920</v>
      </c>
      <c r="F5" s="247">
        <v>561900</v>
      </c>
      <c r="G5" s="247">
        <v>4270280</v>
      </c>
    </row>
    <row r="6" spans="1:7" x14ac:dyDescent="0.55000000000000004">
      <c r="A6" s="78">
        <v>2030</v>
      </c>
      <c r="B6" s="247">
        <v>65860</v>
      </c>
      <c r="C6" s="247">
        <v>591230</v>
      </c>
      <c r="D6" s="247">
        <v>2542469.9999999995</v>
      </c>
      <c r="E6" s="247">
        <v>487920</v>
      </c>
      <c r="F6" s="247">
        <v>582800</v>
      </c>
      <c r="G6" s="247">
        <v>4270280</v>
      </c>
    </row>
    <row r="7" spans="1:7" x14ac:dyDescent="0.55000000000000004">
      <c r="A7" s="78">
        <v>2050</v>
      </c>
      <c r="B7" s="247">
        <v>65860</v>
      </c>
      <c r="C7" s="247">
        <v>591230</v>
      </c>
      <c r="D7" s="247">
        <v>2504470</v>
      </c>
      <c r="E7" s="247">
        <v>487920</v>
      </c>
      <c r="F7" s="247">
        <v>620800</v>
      </c>
      <c r="G7" s="247">
        <v>4270280</v>
      </c>
    </row>
    <row r="8" spans="1:7" x14ac:dyDescent="0.55000000000000004">
      <c r="A8" s="78" t="s">
        <v>61</v>
      </c>
      <c r="B8" s="247">
        <v>197580</v>
      </c>
      <c r="C8" s="247">
        <v>1773690</v>
      </c>
      <c r="D8" s="247">
        <v>7625310</v>
      </c>
      <c r="E8" s="247">
        <v>1448760</v>
      </c>
      <c r="F8" s="247">
        <v>1765500</v>
      </c>
      <c r="G8" s="247">
        <v>12810840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1CE2A-38FB-4F96-BEEF-794C6FC3586D}">
  <sheetPr codeName="Sheet12">
    <tabColor theme="2" tint="-9.9978637043366805E-2"/>
  </sheetPr>
  <dimension ref="A1:P9"/>
  <sheetViews>
    <sheetView workbookViewId="0">
      <selection activeCell="B5" sqref="B5:AG23"/>
    </sheetView>
  </sheetViews>
  <sheetFormatPr defaultRowHeight="14.4" x14ac:dyDescent="0.55000000000000004"/>
  <cols>
    <col min="1" max="1" width="23" bestFit="1" customWidth="1"/>
    <col min="2" max="2" width="16.26171875" bestFit="1" customWidth="1"/>
    <col min="3" max="3" width="8" bestFit="1" customWidth="1"/>
    <col min="4" max="4" width="9" bestFit="1" customWidth="1"/>
    <col min="5" max="5" width="10.83984375" bestFit="1" customWidth="1"/>
    <col min="6" max="6" width="9.578125" bestFit="1" customWidth="1"/>
    <col min="7" max="7" width="9" bestFit="1" customWidth="1"/>
    <col min="8" max="8" width="10.578125" bestFit="1" customWidth="1"/>
    <col min="9" max="12" width="9" bestFit="1" customWidth="1"/>
    <col min="13" max="13" width="15.68359375" bestFit="1" customWidth="1"/>
    <col min="14" max="14" width="12" bestFit="1" customWidth="1"/>
    <col min="15" max="15" width="9" bestFit="1" customWidth="1"/>
    <col min="16" max="16" width="11.26171875" bestFit="1" customWidth="1"/>
    <col min="17" max="21" width="11.68359375" bestFit="1" customWidth="1"/>
    <col min="22" max="22" width="7.83984375" bestFit="1" customWidth="1"/>
    <col min="23" max="27" width="11.68359375" bestFit="1" customWidth="1"/>
    <col min="28" max="28" width="14.15625" bestFit="1" customWidth="1"/>
    <col min="29" max="29" width="9.578125" bestFit="1" customWidth="1"/>
    <col min="30" max="35" width="11.68359375" bestFit="1" customWidth="1"/>
    <col min="36" max="36" width="7.83984375" bestFit="1" customWidth="1"/>
    <col min="37" max="41" width="11.68359375" bestFit="1" customWidth="1"/>
    <col min="42" max="42" width="14.15625" bestFit="1" customWidth="1"/>
    <col min="43" max="43" width="8.578125" bestFit="1" customWidth="1"/>
    <col min="44" max="44" width="10.15625" bestFit="1" customWidth="1"/>
    <col min="45" max="49" width="11.68359375" bestFit="1" customWidth="1"/>
    <col min="50" max="50" width="16" bestFit="1" customWidth="1"/>
    <col min="51" max="52" width="11.68359375" bestFit="1" customWidth="1"/>
    <col min="53" max="53" width="18.68359375" bestFit="1" customWidth="1"/>
    <col min="54" max="54" width="10.15625" bestFit="1" customWidth="1"/>
    <col min="55" max="55" width="16.41796875" bestFit="1" customWidth="1"/>
    <col min="56" max="56" width="14.83984375" bestFit="1" customWidth="1"/>
    <col min="57" max="57" width="15.41796875" bestFit="1" customWidth="1"/>
    <col min="58" max="58" width="16.41796875" bestFit="1" customWidth="1"/>
    <col min="59" max="59" width="14.83984375" bestFit="1" customWidth="1"/>
    <col min="60" max="60" width="15.41796875" bestFit="1" customWidth="1"/>
    <col min="61" max="61" width="16.41796875" bestFit="1" customWidth="1"/>
    <col min="62" max="62" width="14.83984375" bestFit="1" customWidth="1"/>
    <col min="63" max="63" width="15.41796875" bestFit="1" customWidth="1"/>
    <col min="64" max="64" width="16.41796875" bestFit="1" customWidth="1"/>
    <col min="65" max="65" width="14.83984375" bestFit="1" customWidth="1"/>
    <col min="66" max="66" width="15.41796875" bestFit="1" customWidth="1"/>
    <col min="67" max="67" width="16.41796875" bestFit="1" customWidth="1"/>
    <col min="68" max="68" width="14.83984375" bestFit="1" customWidth="1"/>
    <col min="69" max="69" width="15.41796875" bestFit="1" customWidth="1"/>
    <col min="70" max="70" width="16.41796875" bestFit="1" customWidth="1"/>
    <col min="71" max="71" width="14.83984375" bestFit="1" customWidth="1"/>
    <col min="72" max="72" width="15.41796875" bestFit="1" customWidth="1"/>
    <col min="73" max="73" width="16.41796875" bestFit="1" customWidth="1"/>
    <col min="74" max="74" width="14.83984375" bestFit="1" customWidth="1"/>
    <col min="75" max="75" width="15.41796875" bestFit="1" customWidth="1"/>
    <col min="76" max="76" width="16.41796875" bestFit="1" customWidth="1"/>
    <col min="77" max="77" width="14.83984375" bestFit="1" customWidth="1"/>
    <col min="78" max="78" width="15.41796875" bestFit="1" customWidth="1"/>
    <col min="79" max="79" width="16.41796875" bestFit="1" customWidth="1"/>
    <col min="80" max="80" width="14.83984375" bestFit="1" customWidth="1"/>
    <col min="81" max="81" width="15.41796875" bestFit="1" customWidth="1"/>
    <col min="82" max="82" width="16.41796875" bestFit="1" customWidth="1"/>
    <col min="83" max="83" width="23.41796875" bestFit="1" customWidth="1"/>
    <col min="84" max="84" width="24" bestFit="1" customWidth="1"/>
    <col min="85" max="85" width="25" bestFit="1" customWidth="1"/>
    <col min="86" max="86" width="19.41796875" bestFit="1" customWidth="1"/>
    <col min="87" max="87" width="20" bestFit="1" customWidth="1"/>
    <col min="88" max="88" width="21.15625" bestFit="1" customWidth="1"/>
  </cols>
  <sheetData>
    <row r="1" spans="1:16" x14ac:dyDescent="0.55000000000000004">
      <c r="A1" s="77" t="s">
        <v>63</v>
      </c>
      <c r="B1" s="172" t="s">
        <v>81</v>
      </c>
    </row>
    <row r="2" spans="1:16" x14ac:dyDescent="0.55000000000000004">
      <c r="A2" s="77" t="s">
        <v>64</v>
      </c>
      <c r="B2" s="172" t="s">
        <v>81</v>
      </c>
    </row>
    <row r="4" spans="1:16" x14ac:dyDescent="0.55000000000000004">
      <c r="A4" s="77" t="s">
        <v>88</v>
      </c>
      <c r="B4" s="77" t="s">
        <v>62</v>
      </c>
    </row>
    <row r="5" spans="1:16" x14ac:dyDescent="0.55000000000000004">
      <c r="A5" s="77" t="s">
        <v>60</v>
      </c>
      <c r="B5" s="172" t="s">
        <v>49</v>
      </c>
      <c r="C5" s="172" t="s">
        <v>54</v>
      </c>
      <c r="D5" s="172" t="s">
        <v>51</v>
      </c>
      <c r="E5" s="172" t="s">
        <v>6</v>
      </c>
      <c r="F5" s="172" t="s">
        <v>56</v>
      </c>
      <c r="G5" s="172" t="s">
        <v>12</v>
      </c>
      <c r="H5" s="172" t="s">
        <v>48</v>
      </c>
      <c r="I5" s="172" t="s">
        <v>53</v>
      </c>
      <c r="J5" s="172" t="s">
        <v>55</v>
      </c>
      <c r="K5" s="172" t="s">
        <v>50</v>
      </c>
      <c r="L5" s="172" t="s">
        <v>52</v>
      </c>
      <c r="M5" s="172" t="s">
        <v>38</v>
      </c>
      <c r="N5" s="172" t="s">
        <v>96</v>
      </c>
      <c r="O5" s="172" t="s">
        <v>114</v>
      </c>
      <c r="P5" s="172" t="s">
        <v>61</v>
      </c>
    </row>
    <row r="6" spans="1:16" x14ac:dyDescent="0.55000000000000004">
      <c r="A6" s="78">
        <v>2019</v>
      </c>
      <c r="B6" s="247">
        <v>76853.212866422313</v>
      </c>
      <c r="C6" s="247">
        <v>5114.7808931059071</v>
      </c>
      <c r="D6" s="247">
        <v>288931.41565564787</v>
      </c>
      <c r="E6" s="247">
        <v>12752.078568827996</v>
      </c>
      <c r="F6" s="247">
        <v>18942.69646674622</v>
      </c>
      <c r="G6" s="247">
        <v>55075.520801981496</v>
      </c>
      <c r="H6" s="247">
        <v>1337821.3326830014</v>
      </c>
      <c r="I6" s="247">
        <v>180140.67588310441</v>
      </c>
      <c r="J6" s="247">
        <v>69938.636069140397</v>
      </c>
      <c r="K6" s="247">
        <v>161431.62233269325</v>
      </c>
      <c r="L6" s="247">
        <v>33966.356863719026</v>
      </c>
      <c r="M6" s="247">
        <v>221005.01507630604</v>
      </c>
      <c r="N6" s="247">
        <v>8579.6273865744097</v>
      </c>
      <c r="O6" s="247">
        <v>107817.02845272887</v>
      </c>
      <c r="P6" s="247">
        <v>2578370</v>
      </c>
    </row>
    <row r="7" spans="1:16" x14ac:dyDescent="0.55000000000000004">
      <c r="A7" s="78">
        <v>2030</v>
      </c>
      <c r="B7" s="247">
        <v>75894.211512917434</v>
      </c>
      <c r="C7" s="247">
        <v>5061.7462007604217</v>
      </c>
      <c r="D7" s="247">
        <v>282589.13188024791</v>
      </c>
      <c r="E7" s="247">
        <v>12639.370816764706</v>
      </c>
      <c r="F7" s="247">
        <v>18710.553661240276</v>
      </c>
      <c r="G7" s="247">
        <v>54298.35247077707</v>
      </c>
      <c r="H7" s="247">
        <v>1323109.1146040615</v>
      </c>
      <c r="I7" s="247">
        <v>177819.27950831145</v>
      </c>
      <c r="J7" s="247">
        <v>69104.195969111795</v>
      </c>
      <c r="K7" s="247">
        <v>159802.81644068591</v>
      </c>
      <c r="L7" s="247">
        <v>33795.467038967829</v>
      </c>
      <c r="M7" s="247">
        <v>214938.45789911941</v>
      </c>
      <c r="N7" s="247">
        <v>8385.8091715253049</v>
      </c>
      <c r="O7" s="247">
        <v>106321.49282550839</v>
      </c>
      <c r="P7" s="247">
        <v>2542469.9999999991</v>
      </c>
    </row>
    <row r="8" spans="1:16" x14ac:dyDescent="0.55000000000000004">
      <c r="A8" s="78">
        <v>2050</v>
      </c>
      <c r="B8" s="247">
        <v>74611.772091610444</v>
      </c>
      <c r="C8" s="247">
        <v>4992.9413474389539</v>
      </c>
      <c r="D8" s="247">
        <v>278445.99362396839</v>
      </c>
      <c r="E8" s="247">
        <v>12457.143108539938</v>
      </c>
      <c r="F8" s="247">
        <v>18409.47067327406</v>
      </c>
      <c r="G8" s="247">
        <v>53367.370861566276</v>
      </c>
      <c r="H8" s="247">
        <v>1303035.234021947</v>
      </c>
      <c r="I8" s="247">
        <v>174714.53228951979</v>
      </c>
      <c r="J8" s="247">
        <v>68021.901921824086</v>
      </c>
      <c r="K8" s="247">
        <v>157421.73721827005</v>
      </c>
      <c r="L8" s="247">
        <v>33512.483920016224</v>
      </c>
      <c r="M8" s="247">
        <v>212209.58099609043</v>
      </c>
      <c r="N8" s="247">
        <v>8272.9113069354553</v>
      </c>
      <c r="O8" s="247">
        <v>104996.92661899899</v>
      </c>
      <c r="P8" s="247">
        <v>2504470</v>
      </c>
    </row>
    <row r="9" spans="1:16" x14ac:dyDescent="0.55000000000000004">
      <c r="A9" s="78" t="s">
        <v>61</v>
      </c>
      <c r="B9" s="247">
        <v>227359.19647095018</v>
      </c>
      <c r="C9" s="247">
        <v>15169.468441305282</v>
      </c>
      <c r="D9" s="247">
        <v>849966.54115986428</v>
      </c>
      <c r="E9" s="247">
        <v>37848.592494132638</v>
      </c>
      <c r="F9" s="247">
        <v>56062.720801260555</v>
      </c>
      <c r="G9" s="247">
        <v>162741.24413432484</v>
      </c>
      <c r="H9" s="247">
        <v>3963965.6813090099</v>
      </c>
      <c r="I9" s="247">
        <v>532674.48768093565</v>
      </c>
      <c r="J9" s="247">
        <v>207064.73396007629</v>
      </c>
      <c r="K9" s="247">
        <v>478656.17599164927</v>
      </c>
      <c r="L9" s="247">
        <v>101274.30782270308</v>
      </c>
      <c r="M9" s="247">
        <v>648153.05397151585</v>
      </c>
      <c r="N9" s="247">
        <v>25238.347865035168</v>
      </c>
      <c r="O9" s="247">
        <v>319135.44789723627</v>
      </c>
      <c r="P9" s="247">
        <v>7625309.9999999991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7464-8D67-428F-8C33-E291B9036FE5}">
  <sheetPr codeName="Sheet7">
    <tabColor theme="2" tint="-9.9978637043366805E-2"/>
  </sheetPr>
  <dimension ref="A1:E91"/>
  <sheetViews>
    <sheetView workbookViewId="0">
      <selection activeCell="B5" sqref="B5:AG23"/>
    </sheetView>
  </sheetViews>
  <sheetFormatPr defaultRowHeight="14.4" x14ac:dyDescent="0.55000000000000004"/>
  <cols>
    <col min="5" max="5" width="10.578125" bestFit="1" customWidth="1"/>
  </cols>
  <sheetData>
    <row r="1" spans="1:5" x14ac:dyDescent="0.55000000000000004">
      <c r="A1" t="s">
        <v>64</v>
      </c>
      <c r="B1" t="s">
        <v>79</v>
      </c>
      <c r="C1" t="s">
        <v>58</v>
      </c>
      <c r="D1" t="s">
        <v>63</v>
      </c>
      <c r="E1" t="s">
        <v>78</v>
      </c>
    </row>
    <row r="2" spans="1:5" x14ac:dyDescent="0.55000000000000004">
      <c r="A2" t="s">
        <v>27</v>
      </c>
      <c r="B2" t="str">
        <f>Bebyg</f>
        <v>Bebyggelse &amp; infrastruktur</v>
      </c>
      <c r="C2">
        <f t="shared" ref="C2:C16" si="0">År1</f>
        <v>2019</v>
      </c>
      <c r="D2" t="str">
        <f>Jordbund1</f>
        <v>JB1-10</v>
      </c>
      <c r="E2" s="99">
        <f>Arealanvendelse!J25</f>
        <v>412730</v>
      </c>
    </row>
    <row r="3" spans="1:5" x14ac:dyDescent="0.55000000000000004">
      <c r="A3" t="s">
        <v>27</v>
      </c>
      <c r="B3" t="str">
        <f>Afgrøder</f>
        <v>Landbrugsafgrøder</v>
      </c>
      <c r="C3">
        <f t="shared" si="0"/>
        <v>2019</v>
      </c>
      <c r="D3" t="str">
        <f>Jordbund1</f>
        <v>JB1-10</v>
      </c>
      <c r="E3" s="99">
        <f>Arealanvendelse!J26</f>
        <v>1847465.5978301479</v>
      </c>
    </row>
    <row r="4" spans="1:5" x14ac:dyDescent="0.55000000000000004">
      <c r="A4" t="s">
        <v>27</v>
      </c>
      <c r="B4" t="str">
        <f>SkovAreal</f>
        <v>Skov</v>
      </c>
      <c r="C4">
        <f t="shared" si="0"/>
        <v>2019</v>
      </c>
      <c r="D4" t="str">
        <f>Jordbund1</f>
        <v>JB1-10</v>
      </c>
      <c r="E4" s="99">
        <f>Arealanvendelse!J27</f>
        <v>434670</v>
      </c>
    </row>
    <row r="5" spans="1:5" x14ac:dyDescent="0.55000000000000004">
      <c r="A5" t="s">
        <v>27</v>
      </c>
      <c r="B5" t="str">
        <f>NaturAreal</f>
        <v>Natur</v>
      </c>
      <c r="C5">
        <f t="shared" si="0"/>
        <v>2019</v>
      </c>
      <c r="D5" t="str">
        <f>Jordbund1</f>
        <v>JB1-10</v>
      </c>
      <c r="E5" s="99">
        <f>Arealanvendelse!J28</f>
        <v>288846.71526402031</v>
      </c>
    </row>
    <row r="6" spans="1:5" x14ac:dyDescent="0.55000000000000004">
      <c r="A6" t="s">
        <v>27</v>
      </c>
      <c r="B6" t="str">
        <f>IKareal</f>
        <v>Ikke klassificeret</v>
      </c>
      <c r="C6">
        <f t="shared" si="0"/>
        <v>2019</v>
      </c>
      <c r="D6" t="str">
        <f>Jordbund1</f>
        <v>JB1-10</v>
      </c>
      <c r="E6" s="99">
        <f>Arealanvendelse!J29</f>
        <v>46640</v>
      </c>
    </row>
    <row r="7" spans="1:5" x14ac:dyDescent="0.55000000000000004">
      <c r="A7" t="s">
        <v>27</v>
      </c>
      <c r="B7" t="str">
        <f>Bebyg</f>
        <v>Bebyggelse &amp; infrastruktur</v>
      </c>
      <c r="C7">
        <f t="shared" si="0"/>
        <v>2019</v>
      </c>
      <c r="D7" t="str">
        <f>Organ6</f>
        <v>OC6</v>
      </c>
      <c r="E7" s="99">
        <f>Arealanvendelse!K25</f>
        <v>0</v>
      </c>
    </row>
    <row r="8" spans="1:5" x14ac:dyDescent="0.55000000000000004">
      <c r="A8" t="s">
        <v>27</v>
      </c>
      <c r="B8" t="str">
        <f>Afgrøder</f>
        <v>Landbrugsafgrøder</v>
      </c>
      <c r="C8">
        <f t="shared" si="0"/>
        <v>2019</v>
      </c>
      <c r="D8" t="str">
        <f>Organ6</f>
        <v>OC6</v>
      </c>
      <c r="E8" s="99">
        <f>Arealanvendelse!K26</f>
        <v>90723.841613092387</v>
      </c>
    </row>
    <row r="9" spans="1:5" x14ac:dyDescent="0.55000000000000004">
      <c r="A9" t="s">
        <v>27</v>
      </c>
      <c r="B9" t="str">
        <f>SkovAreal</f>
        <v>Skov</v>
      </c>
      <c r="C9">
        <f t="shared" si="0"/>
        <v>2019</v>
      </c>
      <c r="D9" t="str">
        <f>Organ6</f>
        <v>OC6</v>
      </c>
      <c r="E9" s="99">
        <f>Arealanvendelse!K27</f>
        <v>0</v>
      </c>
    </row>
    <row r="10" spans="1:5" x14ac:dyDescent="0.55000000000000004">
      <c r="A10" t="s">
        <v>27</v>
      </c>
      <c r="B10" t="str">
        <f>NaturAreal</f>
        <v>Natur</v>
      </c>
      <c r="C10">
        <f t="shared" si="0"/>
        <v>2019</v>
      </c>
      <c r="D10" t="str">
        <f>Organ6</f>
        <v>OC6</v>
      </c>
      <c r="E10" s="99">
        <f>Arealanvendelse!K28</f>
        <v>55514.664499432409</v>
      </c>
    </row>
    <row r="11" spans="1:5" x14ac:dyDescent="0.55000000000000004">
      <c r="A11" t="s">
        <v>27</v>
      </c>
      <c r="B11" t="str">
        <f>IKareal</f>
        <v>Ikke klassificeret</v>
      </c>
      <c r="C11">
        <f t="shared" si="0"/>
        <v>2019</v>
      </c>
      <c r="D11" t="str">
        <f>Organ6</f>
        <v>OC6</v>
      </c>
      <c r="E11" s="99">
        <f>Arealanvendelse!K29</f>
        <v>0</v>
      </c>
    </row>
    <row r="12" spans="1:5" x14ac:dyDescent="0.55000000000000004">
      <c r="A12" t="s">
        <v>27</v>
      </c>
      <c r="B12" t="str">
        <f>Bebyg</f>
        <v>Bebyggelse &amp; infrastruktur</v>
      </c>
      <c r="C12">
        <f t="shared" si="0"/>
        <v>2019</v>
      </c>
      <c r="D12" t="str">
        <f>Organ12</f>
        <v>OC12</v>
      </c>
      <c r="E12" s="99">
        <f>Arealanvendelse!L25</f>
        <v>0</v>
      </c>
    </row>
    <row r="13" spans="1:5" x14ac:dyDescent="0.55000000000000004">
      <c r="A13" t="s">
        <v>27</v>
      </c>
      <c r="B13" t="str">
        <f>Afgrøder</f>
        <v>Landbrugsafgrøder</v>
      </c>
      <c r="C13">
        <f t="shared" si="0"/>
        <v>2019</v>
      </c>
      <c r="D13" t="str">
        <f>Organ12</f>
        <v>OC12</v>
      </c>
      <c r="E13" s="99">
        <f>Arealanvendelse!L26</f>
        <v>70620.560556759505</v>
      </c>
    </row>
    <row r="14" spans="1:5" x14ac:dyDescent="0.55000000000000004">
      <c r="A14" t="s">
        <v>27</v>
      </c>
      <c r="B14" t="str">
        <f>SkovAreal</f>
        <v>Skov</v>
      </c>
      <c r="C14">
        <f t="shared" si="0"/>
        <v>2019</v>
      </c>
      <c r="D14" t="str">
        <f>Organ12</f>
        <v>OC12</v>
      </c>
      <c r="E14" s="99">
        <f>Arealanvendelse!L27</f>
        <v>0</v>
      </c>
    </row>
    <row r="15" spans="1:5" x14ac:dyDescent="0.55000000000000004">
      <c r="A15" t="s">
        <v>27</v>
      </c>
      <c r="B15" t="str">
        <f>NaturAreal</f>
        <v>Natur</v>
      </c>
      <c r="C15">
        <f t="shared" si="0"/>
        <v>2019</v>
      </c>
      <c r="D15" t="str">
        <f>Organ12</f>
        <v>OC12</v>
      </c>
      <c r="E15" s="99">
        <f>Arealanvendelse!L28</f>
        <v>45828.620236547278</v>
      </c>
    </row>
    <row r="16" spans="1:5" x14ac:dyDescent="0.55000000000000004">
      <c r="A16" t="s">
        <v>27</v>
      </c>
      <c r="B16" t="str">
        <f>IKareal</f>
        <v>Ikke klassificeret</v>
      </c>
      <c r="C16">
        <f t="shared" si="0"/>
        <v>2019</v>
      </c>
      <c r="D16" t="str">
        <f>Organ12</f>
        <v>OC12</v>
      </c>
      <c r="E16" s="99">
        <f>Arealanvendelse!L29</f>
        <v>0</v>
      </c>
    </row>
    <row r="17" spans="1:5" x14ac:dyDescent="0.55000000000000004">
      <c r="A17" t="s">
        <v>27</v>
      </c>
      <c r="B17" t="str">
        <f>Bebyg</f>
        <v>Bebyggelse &amp; infrastruktur</v>
      </c>
      <c r="C17">
        <f t="shared" ref="C17:C31" si="1">År2</f>
        <v>2030</v>
      </c>
      <c r="D17" t="str">
        <f>Jordbund1</f>
        <v>JB1-10</v>
      </c>
      <c r="E17" s="99">
        <f>Arealanvendelse!M25</f>
        <v>412730</v>
      </c>
    </row>
    <row r="18" spans="1:5" x14ac:dyDescent="0.55000000000000004">
      <c r="A18" t="s">
        <v>27</v>
      </c>
      <c r="B18" t="str">
        <f>Afgrøder</f>
        <v>Landbrugsafgrøder</v>
      </c>
      <c r="C18">
        <f t="shared" si="1"/>
        <v>2030</v>
      </c>
      <c r="D18" t="str">
        <f>Jordbund1</f>
        <v>JB1-10</v>
      </c>
      <c r="E18" s="99">
        <f>Arealanvendelse!M26</f>
        <v>1828599.0251279764</v>
      </c>
    </row>
    <row r="19" spans="1:5" x14ac:dyDescent="0.55000000000000004">
      <c r="A19" t="s">
        <v>27</v>
      </c>
      <c r="B19" t="str">
        <f>SkovAreal</f>
        <v>Skov</v>
      </c>
      <c r="C19">
        <f t="shared" si="1"/>
        <v>2030</v>
      </c>
      <c r="D19" t="str">
        <f>Jordbund1</f>
        <v>JB1-10</v>
      </c>
      <c r="E19" s="99">
        <f>Arealanvendelse!M27</f>
        <v>453536.5727021714</v>
      </c>
    </row>
    <row r="20" spans="1:5" x14ac:dyDescent="0.55000000000000004">
      <c r="A20" t="s">
        <v>27</v>
      </c>
      <c r="B20" t="str">
        <f>NaturAreal</f>
        <v>Natur</v>
      </c>
      <c r="C20">
        <f t="shared" si="1"/>
        <v>2030</v>
      </c>
      <c r="D20" t="str">
        <f>Jordbund1</f>
        <v>JB1-10</v>
      </c>
      <c r="E20" s="99">
        <f>Arealanvendelse!M28</f>
        <v>288846.71526402031</v>
      </c>
    </row>
    <row r="21" spans="1:5" x14ac:dyDescent="0.55000000000000004">
      <c r="A21" t="s">
        <v>27</v>
      </c>
      <c r="B21" t="str">
        <f>IKareal</f>
        <v>Ikke klassificeret</v>
      </c>
      <c r="C21">
        <f t="shared" si="1"/>
        <v>2030</v>
      </c>
      <c r="D21" t="str">
        <f>Jordbund1</f>
        <v>JB1-10</v>
      </c>
      <c r="E21" s="99">
        <f>Arealanvendelse!M29</f>
        <v>46640</v>
      </c>
    </row>
    <row r="22" spans="1:5" x14ac:dyDescent="0.55000000000000004">
      <c r="A22" t="s">
        <v>27</v>
      </c>
      <c r="B22" t="str">
        <f>Bebyg</f>
        <v>Bebyggelse &amp; infrastruktur</v>
      </c>
      <c r="C22">
        <f t="shared" si="1"/>
        <v>2030</v>
      </c>
      <c r="D22" t="str">
        <f>Organ6</f>
        <v>OC6</v>
      </c>
      <c r="E22" s="99">
        <f>Arealanvendelse!N25</f>
        <v>0</v>
      </c>
    </row>
    <row r="23" spans="1:5" x14ac:dyDescent="0.55000000000000004">
      <c r="A23" t="s">
        <v>27</v>
      </c>
      <c r="B23" t="str">
        <f>Afgrøder</f>
        <v>Landbrugsafgrøder</v>
      </c>
      <c r="C23">
        <f t="shared" si="1"/>
        <v>2030</v>
      </c>
      <c r="D23" t="str">
        <f>Organ6</f>
        <v>OC6</v>
      </c>
      <c r="E23" s="99">
        <f>Arealanvendelse!N26</f>
        <v>83953.540404179206</v>
      </c>
    </row>
    <row r="24" spans="1:5" x14ac:dyDescent="0.55000000000000004">
      <c r="A24" t="s">
        <v>27</v>
      </c>
      <c r="B24" t="str">
        <f>SkovAreal</f>
        <v>Skov</v>
      </c>
      <c r="C24">
        <f t="shared" si="1"/>
        <v>2030</v>
      </c>
      <c r="D24" t="str">
        <f>Organ6</f>
        <v>OC6</v>
      </c>
      <c r="E24" s="99">
        <f>Arealanvendelse!N27</f>
        <v>0</v>
      </c>
    </row>
    <row r="25" spans="1:5" x14ac:dyDescent="0.55000000000000004">
      <c r="A25" t="s">
        <v>27</v>
      </c>
      <c r="B25" t="str">
        <f>NaturAreal</f>
        <v>Natur</v>
      </c>
      <c r="C25">
        <f t="shared" si="1"/>
        <v>2030</v>
      </c>
      <c r="D25" t="str">
        <f>Organ6</f>
        <v>OC6</v>
      </c>
      <c r="E25" s="99">
        <f>Arealanvendelse!N28</f>
        <v>62284.965708345597</v>
      </c>
    </row>
    <row r="26" spans="1:5" x14ac:dyDescent="0.55000000000000004">
      <c r="A26" t="s">
        <v>27</v>
      </c>
      <c r="B26" t="str">
        <f>IKareal</f>
        <v>Ikke klassificeret</v>
      </c>
      <c r="C26">
        <f t="shared" si="1"/>
        <v>2030</v>
      </c>
      <c r="D26" t="str">
        <f>Organ6</f>
        <v>OC6</v>
      </c>
      <c r="E26" s="99">
        <f>Arealanvendelse!N29</f>
        <v>0</v>
      </c>
    </row>
    <row r="27" spans="1:5" x14ac:dyDescent="0.55000000000000004">
      <c r="A27" t="s">
        <v>27</v>
      </c>
      <c r="B27" t="str">
        <f>Bebyg</f>
        <v>Bebyggelse &amp; infrastruktur</v>
      </c>
      <c r="C27">
        <f t="shared" si="1"/>
        <v>2030</v>
      </c>
      <c r="D27" t="str">
        <f>Organ12</f>
        <v>OC12</v>
      </c>
      <c r="E27" s="99">
        <f>Arealanvendelse!O25</f>
        <v>0</v>
      </c>
    </row>
    <row r="28" spans="1:5" x14ac:dyDescent="0.55000000000000004">
      <c r="A28" t="s">
        <v>27</v>
      </c>
      <c r="B28" t="str">
        <f>Afgrøder</f>
        <v>Landbrugsafgrøder</v>
      </c>
      <c r="C28">
        <f t="shared" si="1"/>
        <v>2030</v>
      </c>
      <c r="D28" t="str">
        <f>Organ12</f>
        <v>OC12</v>
      </c>
      <c r="E28" s="99">
        <f>Arealanvendelse!O26</f>
        <v>63850.259347846317</v>
      </c>
    </row>
    <row r="29" spans="1:5" x14ac:dyDescent="0.55000000000000004">
      <c r="A29" t="s">
        <v>27</v>
      </c>
      <c r="B29" t="str">
        <f>SkovAreal</f>
        <v>Skov</v>
      </c>
      <c r="C29">
        <f t="shared" si="1"/>
        <v>2030</v>
      </c>
      <c r="D29" t="str">
        <f>Organ12</f>
        <v>OC12</v>
      </c>
      <c r="E29" s="99">
        <f>Arealanvendelse!O27</f>
        <v>0</v>
      </c>
    </row>
    <row r="30" spans="1:5" x14ac:dyDescent="0.55000000000000004">
      <c r="A30" t="s">
        <v>27</v>
      </c>
      <c r="B30" t="str">
        <f>NaturAreal</f>
        <v>Natur</v>
      </c>
      <c r="C30">
        <f t="shared" si="1"/>
        <v>2030</v>
      </c>
      <c r="D30" t="str">
        <f>Organ12</f>
        <v>OC12</v>
      </c>
      <c r="E30" s="99">
        <f>Arealanvendelse!O28</f>
        <v>52598.921445460466</v>
      </c>
    </row>
    <row r="31" spans="1:5" x14ac:dyDescent="0.55000000000000004">
      <c r="A31" t="s">
        <v>27</v>
      </c>
      <c r="B31" t="str">
        <f>IKareal</f>
        <v>Ikke klassificeret</v>
      </c>
      <c r="C31">
        <f t="shared" si="1"/>
        <v>2030</v>
      </c>
      <c r="D31" t="str">
        <f>Organ12</f>
        <v>OC12</v>
      </c>
      <c r="E31" s="99">
        <f>Arealanvendelse!O29</f>
        <v>0</v>
      </c>
    </row>
    <row r="32" spans="1:5" x14ac:dyDescent="0.55000000000000004">
      <c r="A32" t="s">
        <v>27</v>
      </c>
      <c r="B32" t="str">
        <f>Bebyg</f>
        <v>Bebyggelse &amp; infrastruktur</v>
      </c>
      <c r="C32">
        <v>2050</v>
      </c>
      <c r="D32" t="str">
        <f>Jordbund1</f>
        <v>JB1-10</v>
      </c>
      <c r="E32" s="99">
        <f>Arealanvendelse!P25</f>
        <v>412730</v>
      </c>
    </row>
    <row r="33" spans="1:5" x14ac:dyDescent="0.55000000000000004">
      <c r="A33" t="s">
        <v>27</v>
      </c>
      <c r="B33" t="str">
        <f>Afgrøder</f>
        <v>Landbrugsafgrøder</v>
      </c>
      <c r="C33">
        <v>2050</v>
      </c>
      <c r="D33" t="str">
        <f>Jordbund1</f>
        <v>JB1-10</v>
      </c>
      <c r="E33" s="99">
        <f>Arealanvendelse!P26</f>
        <v>1794296.1656694831</v>
      </c>
    </row>
    <row r="34" spans="1:5" x14ac:dyDescent="0.55000000000000004">
      <c r="A34" t="s">
        <v>27</v>
      </c>
      <c r="B34" t="str">
        <f>SkovAreal</f>
        <v>Skov</v>
      </c>
      <c r="C34">
        <v>2050</v>
      </c>
      <c r="D34" t="str">
        <f>Jordbund1</f>
        <v>JB1-10</v>
      </c>
      <c r="E34" s="99">
        <f>Arealanvendelse!P27</f>
        <v>487839.43216066487</v>
      </c>
    </row>
    <row r="35" spans="1:5" x14ac:dyDescent="0.55000000000000004">
      <c r="A35" t="s">
        <v>27</v>
      </c>
      <c r="B35" t="str">
        <f>NaturAreal</f>
        <v>Natur</v>
      </c>
      <c r="C35">
        <v>2050</v>
      </c>
      <c r="D35" t="str">
        <f>Jordbund1</f>
        <v>JB1-10</v>
      </c>
      <c r="E35" s="99">
        <f>Arealanvendelse!P28</f>
        <v>288846.71526402031</v>
      </c>
    </row>
    <row r="36" spans="1:5" x14ac:dyDescent="0.55000000000000004">
      <c r="A36" t="s">
        <v>27</v>
      </c>
      <c r="B36" t="str">
        <f>IKareal</f>
        <v>Ikke klassificeret</v>
      </c>
      <c r="C36">
        <v>2050</v>
      </c>
      <c r="D36" t="str">
        <f>Jordbund1</f>
        <v>JB1-10</v>
      </c>
      <c r="E36" s="99">
        <f>Arealanvendelse!P29</f>
        <v>46640</v>
      </c>
    </row>
    <row r="37" spans="1:5" x14ac:dyDescent="0.55000000000000004">
      <c r="A37" t="s">
        <v>27</v>
      </c>
      <c r="B37" t="str">
        <f>Bebyg</f>
        <v>Bebyggelse &amp; infrastruktur</v>
      </c>
      <c r="C37">
        <v>2050</v>
      </c>
      <c r="D37" t="str">
        <f>Organ6</f>
        <v>OC6</v>
      </c>
      <c r="E37" s="99">
        <f>Arealanvendelse!Q25</f>
        <v>0</v>
      </c>
    </row>
    <row r="38" spans="1:5" x14ac:dyDescent="0.55000000000000004">
      <c r="A38" t="s">
        <v>27</v>
      </c>
      <c r="B38" t="str">
        <f>Afgrøder</f>
        <v>Landbrugsafgrøder</v>
      </c>
      <c r="C38">
        <v>2050</v>
      </c>
      <c r="D38" t="str">
        <f>Organ6</f>
        <v>OC6</v>
      </c>
      <c r="E38" s="99">
        <f>Arealanvendelse!Q26</f>
        <v>83953.540404179206</v>
      </c>
    </row>
    <row r="39" spans="1:5" x14ac:dyDescent="0.55000000000000004">
      <c r="A39" t="s">
        <v>27</v>
      </c>
      <c r="B39" t="str">
        <f>SkovAreal</f>
        <v>Skov</v>
      </c>
      <c r="C39">
        <v>2050</v>
      </c>
      <c r="D39" t="str">
        <f>Organ6</f>
        <v>OC6</v>
      </c>
      <c r="E39" s="99">
        <f>Arealanvendelse!Q27</f>
        <v>0</v>
      </c>
    </row>
    <row r="40" spans="1:5" x14ac:dyDescent="0.55000000000000004">
      <c r="A40" t="s">
        <v>27</v>
      </c>
      <c r="B40" t="str">
        <f>NaturAreal</f>
        <v>Natur</v>
      </c>
      <c r="C40">
        <v>2050</v>
      </c>
      <c r="D40" t="str">
        <f>Organ6</f>
        <v>OC6</v>
      </c>
      <c r="E40" s="99">
        <f>Arealanvendelse!Q28</f>
        <v>62284.965708345597</v>
      </c>
    </row>
    <row r="41" spans="1:5" x14ac:dyDescent="0.55000000000000004">
      <c r="A41" t="s">
        <v>27</v>
      </c>
      <c r="B41" t="str">
        <f>IKareal</f>
        <v>Ikke klassificeret</v>
      </c>
      <c r="C41">
        <v>2050</v>
      </c>
      <c r="D41" t="str">
        <f>Organ6</f>
        <v>OC6</v>
      </c>
      <c r="E41" s="99">
        <f>Arealanvendelse!Q29</f>
        <v>0</v>
      </c>
    </row>
    <row r="42" spans="1:5" x14ac:dyDescent="0.55000000000000004">
      <c r="A42" t="s">
        <v>27</v>
      </c>
      <c r="B42" t="str">
        <f>Bebyg</f>
        <v>Bebyggelse &amp; infrastruktur</v>
      </c>
      <c r="C42">
        <v>2050</v>
      </c>
      <c r="D42" t="str">
        <f>Organ12</f>
        <v>OC12</v>
      </c>
      <c r="E42" s="99">
        <f>Arealanvendelse!R25</f>
        <v>0</v>
      </c>
    </row>
    <row r="43" spans="1:5" x14ac:dyDescent="0.55000000000000004">
      <c r="A43" t="s">
        <v>27</v>
      </c>
      <c r="B43" t="str">
        <f>Afgrøder</f>
        <v>Landbrugsafgrøder</v>
      </c>
      <c r="C43">
        <v>2050</v>
      </c>
      <c r="D43" t="str">
        <f>Organ12</f>
        <v>OC12</v>
      </c>
      <c r="E43" s="99">
        <f>Arealanvendelse!R26</f>
        <v>63850.259347846317</v>
      </c>
    </row>
    <row r="44" spans="1:5" x14ac:dyDescent="0.55000000000000004">
      <c r="A44" t="s">
        <v>27</v>
      </c>
      <c r="B44" t="str">
        <f>SkovAreal</f>
        <v>Skov</v>
      </c>
      <c r="C44">
        <v>2050</v>
      </c>
      <c r="D44" t="str">
        <f>Organ12</f>
        <v>OC12</v>
      </c>
      <c r="E44" s="99">
        <f>Arealanvendelse!R27</f>
        <v>0</v>
      </c>
    </row>
    <row r="45" spans="1:5" x14ac:dyDescent="0.55000000000000004">
      <c r="A45" t="s">
        <v>27</v>
      </c>
      <c r="B45" t="str">
        <f>NaturAreal</f>
        <v>Natur</v>
      </c>
      <c r="C45">
        <v>2050</v>
      </c>
      <c r="D45" t="str">
        <f>Organ12</f>
        <v>OC12</v>
      </c>
      <c r="E45" s="99">
        <f>Arealanvendelse!R28</f>
        <v>52598.921445460466</v>
      </c>
    </row>
    <row r="46" spans="1:5" x14ac:dyDescent="0.55000000000000004">
      <c r="A46" t="s">
        <v>27</v>
      </c>
      <c r="B46" t="str">
        <f>IKareal</f>
        <v>Ikke klassificeret</v>
      </c>
      <c r="C46">
        <v>2050</v>
      </c>
      <c r="D46" t="str">
        <f>Organ12</f>
        <v>OC12</v>
      </c>
      <c r="E46" s="99">
        <f>Arealanvendelse!R29</f>
        <v>0</v>
      </c>
    </row>
    <row r="47" spans="1:5" x14ac:dyDescent="0.55000000000000004">
      <c r="A47" t="s">
        <v>28</v>
      </c>
      <c r="B47" t="str">
        <f>Bebyg</f>
        <v>Bebyggelse &amp; infrastruktur</v>
      </c>
      <c r="C47">
        <f t="shared" ref="C47:C61" si="2">År1</f>
        <v>2019</v>
      </c>
      <c r="D47" t="str">
        <f>Jordbund1</f>
        <v>JB1-10</v>
      </c>
      <c r="E47" s="99">
        <f>Arealanvendelse!J35</f>
        <v>178500</v>
      </c>
    </row>
    <row r="48" spans="1:5" x14ac:dyDescent="0.55000000000000004">
      <c r="A48" t="s">
        <v>28</v>
      </c>
      <c r="B48" t="str">
        <f>Afgrøder</f>
        <v>Landbrugsafgrøder</v>
      </c>
      <c r="C48">
        <f t="shared" si="2"/>
        <v>2019</v>
      </c>
      <c r="D48" t="str">
        <f>Jordbund1</f>
        <v>JB1-10</v>
      </c>
      <c r="E48" s="99">
        <f>Arealanvendelse!J36</f>
        <v>552170.40216985194</v>
      </c>
    </row>
    <row r="49" spans="1:5" x14ac:dyDescent="0.55000000000000004">
      <c r="A49" t="s">
        <v>28</v>
      </c>
      <c r="B49" t="str">
        <f>SkovAreal</f>
        <v>Skov</v>
      </c>
      <c r="C49">
        <f t="shared" si="2"/>
        <v>2019</v>
      </c>
      <c r="D49" t="str">
        <f>Jordbund1</f>
        <v>JB1-10</v>
      </c>
      <c r="E49" s="99">
        <f>Arealanvendelse!J37</f>
        <v>127230</v>
      </c>
    </row>
    <row r="50" spans="1:5" x14ac:dyDescent="0.55000000000000004">
      <c r="A50" t="s">
        <v>28</v>
      </c>
      <c r="B50" t="str">
        <f>NaturAreal</f>
        <v>Natur</v>
      </c>
      <c r="C50">
        <f t="shared" si="2"/>
        <v>2019</v>
      </c>
      <c r="D50" t="str">
        <f>Jordbund1</f>
        <v>JB1-10</v>
      </c>
      <c r="E50" s="99">
        <f>Arealanvendelse!J38</f>
        <v>71807.284735979716</v>
      </c>
    </row>
    <row r="51" spans="1:5" x14ac:dyDescent="0.55000000000000004">
      <c r="A51" t="s">
        <v>28</v>
      </c>
      <c r="B51" t="str">
        <f>IKareal</f>
        <v>Ikke klassificeret</v>
      </c>
      <c r="C51">
        <f t="shared" si="2"/>
        <v>2019</v>
      </c>
      <c r="D51" t="str">
        <f>Jordbund1</f>
        <v>JB1-10</v>
      </c>
      <c r="E51" s="99">
        <f>Arealanvendelse!J39</f>
        <v>19220</v>
      </c>
    </row>
    <row r="52" spans="1:5" x14ac:dyDescent="0.55000000000000004">
      <c r="A52" t="s">
        <v>28</v>
      </c>
      <c r="B52" t="str">
        <f>Bebyg</f>
        <v>Bebyggelse &amp; infrastruktur</v>
      </c>
      <c r="C52">
        <f t="shared" si="2"/>
        <v>2019</v>
      </c>
      <c r="D52" t="str">
        <f>Organ6</f>
        <v>OC6</v>
      </c>
      <c r="E52" s="99">
        <f>Arealanvendelse!K35</f>
        <v>0</v>
      </c>
    </row>
    <row r="53" spans="1:5" x14ac:dyDescent="0.55000000000000004">
      <c r="A53" t="s">
        <v>28</v>
      </c>
      <c r="B53" t="str">
        <f>Afgrøder</f>
        <v>Landbrugsafgrøder</v>
      </c>
      <c r="C53">
        <f t="shared" si="2"/>
        <v>2019</v>
      </c>
      <c r="D53" t="str">
        <f>Organ6</f>
        <v>OC6</v>
      </c>
      <c r="E53" s="99">
        <f>Arealanvendelse!K36</f>
        <v>9778.158386907593</v>
      </c>
    </row>
    <row r="54" spans="1:5" x14ac:dyDescent="0.55000000000000004">
      <c r="A54" t="s">
        <v>28</v>
      </c>
      <c r="B54" t="str">
        <f>SkovAreal</f>
        <v>Skov</v>
      </c>
      <c r="C54">
        <f t="shared" si="2"/>
        <v>2019</v>
      </c>
      <c r="D54" t="str">
        <f>Organ6</f>
        <v>OC6</v>
      </c>
      <c r="E54" s="99">
        <f>Arealanvendelse!K37</f>
        <v>0</v>
      </c>
    </row>
    <row r="55" spans="1:5" x14ac:dyDescent="0.55000000000000004">
      <c r="A55" t="s">
        <v>28</v>
      </c>
      <c r="B55" t="str">
        <f>NaturAreal</f>
        <v>Natur</v>
      </c>
      <c r="C55">
        <f t="shared" si="2"/>
        <v>2019</v>
      </c>
      <c r="D55" t="str">
        <f>Organ6</f>
        <v>OC6</v>
      </c>
      <c r="E55" s="99">
        <f>Arealanvendelse!K38</f>
        <v>5983.3355005675821</v>
      </c>
    </row>
    <row r="56" spans="1:5" x14ac:dyDescent="0.55000000000000004">
      <c r="A56" t="s">
        <v>28</v>
      </c>
      <c r="B56" t="str">
        <f>IKareal</f>
        <v>Ikke klassificeret</v>
      </c>
      <c r="C56">
        <f t="shared" si="2"/>
        <v>2019</v>
      </c>
      <c r="D56" t="str">
        <f>Organ6</f>
        <v>OC6</v>
      </c>
      <c r="E56" s="99">
        <f>Arealanvendelse!K39</f>
        <v>0</v>
      </c>
    </row>
    <row r="57" spans="1:5" x14ac:dyDescent="0.55000000000000004">
      <c r="A57" t="s">
        <v>28</v>
      </c>
      <c r="B57" t="str">
        <f>Bebyg</f>
        <v>Bebyggelse &amp; infrastruktur</v>
      </c>
      <c r="C57">
        <f t="shared" si="2"/>
        <v>2019</v>
      </c>
      <c r="D57" t="str">
        <f>Organ12</f>
        <v>OC12</v>
      </c>
      <c r="E57" s="99">
        <f>Arealanvendelse!L35</f>
        <v>0</v>
      </c>
    </row>
    <row r="58" spans="1:5" x14ac:dyDescent="0.55000000000000004">
      <c r="A58" t="s">
        <v>28</v>
      </c>
      <c r="B58" t="str">
        <f>Afgrøder</f>
        <v>Landbrugsafgrøder</v>
      </c>
      <c r="C58">
        <f t="shared" si="2"/>
        <v>2019</v>
      </c>
      <c r="D58" t="str">
        <f>Organ12</f>
        <v>OC12</v>
      </c>
      <c r="E58" s="99">
        <f>Arealanvendelse!L36</f>
        <v>7611.4394432404806</v>
      </c>
    </row>
    <row r="59" spans="1:5" x14ac:dyDescent="0.55000000000000004">
      <c r="A59" t="s">
        <v>28</v>
      </c>
      <c r="B59" t="str">
        <f>SkovAreal</f>
        <v>Skov</v>
      </c>
      <c r="C59">
        <f t="shared" si="2"/>
        <v>2019</v>
      </c>
      <c r="D59" t="str">
        <f>Organ12</f>
        <v>OC12</v>
      </c>
      <c r="E59" s="99">
        <f>Arealanvendelse!L37</f>
        <v>0</v>
      </c>
    </row>
    <row r="60" spans="1:5" x14ac:dyDescent="0.55000000000000004">
      <c r="A60" t="s">
        <v>28</v>
      </c>
      <c r="B60" t="str">
        <f>NaturAreal</f>
        <v>Natur</v>
      </c>
      <c r="C60">
        <f t="shared" si="2"/>
        <v>2019</v>
      </c>
      <c r="D60" t="str">
        <f>Organ12</f>
        <v>OC12</v>
      </c>
      <c r="E60" s="99">
        <f>Arealanvendelse!L38</f>
        <v>4939.3797634527136</v>
      </c>
    </row>
    <row r="61" spans="1:5" x14ac:dyDescent="0.55000000000000004">
      <c r="A61" t="s">
        <v>28</v>
      </c>
      <c r="B61" t="str">
        <f>IKareal</f>
        <v>Ikke klassificeret</v>
      </c>
      <c r="C61">
        <f t="shared" si="2"/>
        <v>2019</v>
      </c>
      <c r="D61" t="str">
        <f>Organ12</f>
        <v>OC12</v>
      </c>
      <c r="E61" s="99">
        <f>Arealanvendelse!L39</f>
        <v>0</v>
      </c>
    </row>
    <row r="62" spans="1:5" x14ac:dyDescent="0.55000000000000004">
      <c r="A62" t="s">
        <v>28</v>
      </c>
      <c r="B62" t="str">
        <f>Bebyg</f>
        <v>Bebyggelse &amp; infrastruktur</v>
      </c>
      <c r="C62">
        <f t="shared" ref="C62:C76" si="3">År2</f>
        <v>2030</v>
      </c>
      <c r="D62" t="str">
        <f>Jordbund1</f>
        <v>JB1-10</v>
      </c>
      <c r="E62" s="99">
        <f>Arealanvendelse!M35</f>
        <v>178500</v>
      </c>
    </row>
    <row r="63" spans="1:5" x14ac:dyDescent="0.55000000000000004">
      <c r="A63" t="s">
        <v>28</v>
      </c>
      <c r="B63" t="str">
        <f>Afgrøder</f>
        <v>Landbrugsafgrøder</v>
      </c>
      <c r="C63">
        <f t="shared" si="3"/>
        <v>2030</v>
      </c>
      <c r="D63" t="str">
        <f>Jordbund1</f>
        <v>JB1-10</v>
      </c>
      <c r="E63" s="99">
        <f>Arealanvendelse!M36</f>
        <v>550136.97487202333</v>
      </c>
    </row>
    <row r="64" spans="1:5" x14ac:dyDescent="0.55000000000000004">
      <c r="A64" t="s">
        <v>28</v>
      </c>
      <c r="B64" t="str">
        <f>SkovAreal</f>
        <v>Skov</v>
      </c>
      <c r="C64">
        <f t="shared" si="3"/>
        <v>2030</v>
      </c>
      <c r="D64" t="str">
        <f>Jordbund1</f>
        <v>JB1-10</v>
      </c>
      <c r="E64" s="99">
        <f>Arealanvendelse!M37</f>
        <v>129263.42729782859</v>
      </c>
    </row>
    <row r="65" spans="1:5" x14ac:dyDescent="0.55000000000000004">
      <c r="A65" t="s">
        <v>28</v>
      </c>
      <c r="B65" t="str">
        <f>NaturAreal</f>
        <v>Natur</v>
      </c>
      <c r="C65">
        <f t="shared" si="3"/>
        <v>2030</v>
      </c>
      <c r="D65" t="str">
        <f>Jordbund1</f>
        <v>JB1-10</v>
      </c>
      <c r="E65" s="99">
        <f>Arealanvendelse!M38</f>
        <v>71807.284735979716</v>
      </c>
    </row>
    <row r="66" spans="1:5" x14ac:dyDescent="0.55000000000000004">
      <c r="A66" t="s">
        <v>28</v>
      </c>
      <c r="B66" t="str">
        <f>IKareal</f>
        <v>Ikke klassificeret</v>
      </c>
      <c r="C66">
        <f t="shared" si="3"/>
        <v>2030</v>
      </c>
      <c r="D66" t="str">
        <f>Jordbund1</f>
        <v>JB1-10</v>
      </c>
      <c r="E66" s="99">
        <f>Arealanvendelse!M39</f>
        <v>19220</v>
      </c>
    </row>
    <row r="67" spans="1:5" x14ac:dyDescent="0.55000000000000004">
      <c r="A67" t="s">
        <v>28</v>
      </c>
      <c r="B67" t="str">
        <f>Bebyg</f>
        <v>Bebyggelse &amp; infrastruktur</v>
      </c>
      <c r="C67">
        <f t="shared" si="3"/>
        <v>2030</v>
      </c>
      <c r="D67" t="str">
        <f>Organ6</f>
        <v>OC6</v>
      </c>
      <c r="E67" s="99">
        <f>Arealanvendelse!N35</f>
        <v>0</v>
      </c>
    </row>
    <row r="68" spans="1:5" x14ac:dyDescent="0.55000000000000004">
      <c r="A68" t="s">
        <v>28</v>
      </c>
      <c r="B68" t="str">
        <f>Afgrøder</f>
        <v>Landbrugsafgrøder</v>
      </c>
      <c r="C68">
        <f t="shared" si="3"/>
        <v>2030</v>
      </c>
      <c r="D68" t="str">
        <f>Organ6</f>
        <v>OC6</v>
      </c>
      <c r="E68" s="99">
        <f>Arealanvendelse!N36</f>
        <v>9048.4595958207792</v>
      </c>
    </row>
    <row r="69" spans="1:5" x14ac:dyDescent="0.55000000000000004">
      <c r="A69" t="s">
        <v>28</v>
      </c>
      <c r="B69" t="str">
        <f>SkovAreal</f>
        <v>Skov</v>
      </c>
      <c r="C69">
        <f t="shared" si="3"/>
        <v>2030</v>
      </c>
      <c r="D69" t="str">
        <f>Organ6</f>
        <v>OC6</v>
      </c>
      <c r="E69" s="99">
        <f>Arealanvendelse!N37</f>
        <v>0</v>
      </c>
    </row>
    <row r="70" spans="1:5" x14ac:dyDescent="0.55000000000000004">
      <c r="A70" t="s">
        <v>28</v>
      </c>
      <c r="B70" t="str">
        <f>NaturAreal</f>
        <v>Natur</v>
      </c>
      <c r="C70">
        <f t="shared" si="3"/>
        <v>2030</v>
      </c>
      <c r="D70" t="str">
        <f>Organ6</f>
        <v>OC6</v>
      </c>
      <c r="E70" s="99">
        <f>Arealanvendelse!N38</f>
        <v>6713.0342916543959</v>
      </c>
    </row>
    <row r="71" spans="1:5" x14ac:dyDescent="0.55000000000000004">
      <c r="A71" t="s">
        <v>28</v>
      </c>
      <c r="B71" t="str">
        <f>IKareal</f>
        <v>Ikke klassificeret</v>
      </c>
      <c r="C71">
        <f t="shared" si="3"/>
        <v>2030</v>
      </c>
      <c r="D71" t="str">
        <f>Organ6</f>
        <v>OC6</v>
      </c>
      <c r="E71" s="99">
        <f>Arealanvendelse!N39</f>
        <v>0</v>
      </c>
    </row>
    <row r="72" spans="1:5" x14ac:dyDescent="0.55000000000000004">
      <c r="A72" t="s">
        <v>28</v>
      </c>
      <c r="B72" t="str">
        <f>Bebyg</f>
        <v>Bebyggelse &amp; infrastruktur</v>
      </c>
      <c r="C72">
        <f t="shared" si="3"/>
        <v>2030</v>
      </c>
      <c r="D72" t="str">
        <f>Organ12</f>
        <v>OC12</v>
      </c>
      <c r="E72" s="99">
        <f>Arealanvendelse!O35</f>
        <v>0</v>
      </c>
    </row>
    <row r="73" spans="1:5" x14ac:dyDescent="0.55000000000000004">
      <c r="A73" t="s">
        <v>28</v>
      </c>
      <c r="B73" t="str">
        <f>Afgrøder</f>
        <v>Landbrugsafgrøder</v>
      </c>
      <c r="C73">
        <f t="shared" si="3"/>
        <v>2030</v>
      </c>
      <c r="D73" t="str">
        <f>Organ12</f>
        <v>OC12</v>
      </c>
      <c r="E73" s="99">
        <f>Arealanvendelse!O36</f>
        <v>6881.7406521536668</v>
      </c>
    </row>
    <row r="74" spans="1:5" x14ac:dyDescent="0.55000000000000004">
      <c r="A74" t="s">
        <v>28</v>
      </c>
      <c r="B74" t="str">
        <f>SkovAreal</f>
        <v>Skov</v>
      </c>
      <c r="C74">
        <f t="shared" si="3"/>
        <v>2030</v>
      </c>
      <c r="D74" t="str">
        <f>Organ12</f>
        <v>OC12</v>
      </c>
      <c r="E74" s="99">
        <f>Arealanvendelse!O37</f>
        <v>0</v>
      </c>
    </row>
    <row r="75" spans="1:5" x14ac:dyDescent="0.55000000000000004">
      <c r="A75" t="s">
        <v>28</v>
      </c>
      <c r="B75" t="str">
        <f>NaturAreal</f>
        <v>Natur</v>
      </c>
      <c r="C75">
        <f t="shared" si="3"/>
        <v>2030</v>
      </c>
      <c r="D75" t="str">
        <f>Organ12</f>
        <v>OC12</v>
      </c>
      <c r="E75" s="99">
        <f>Arealanvendelse!O38</f>
        <v>5669.0785545395274</v>
      </c>
    </row>
    <row r="76" spans="1:5" x14ac:dyDescent="0.55000000000000004">
      <c r="A76" t="s">
        <v>28</v>
      </c>
      <c r="B76" t="str">
        <f>IKareal</f>
        <v>Ikke klassificeret</v>
      </c>
      <c r="C76">
        <f t="shared" si="3"/>
        <v>2030</v>
      </c>
      <c r="D76" t="str">
        <f>Organ12</f>
        <v>OC12</v>
      </c>
      <c r="E76" s="99">
        <f>Arealanvendelse!O39</f>
        <v>0</v>
      </c>
    </row>
    <row r="77" spans="1:5" x14ac:dyDescent="0.55000000000000004">
      <c r="A77" t="s">
        <v>28</v>
      </c>
      <c r="B77" t="str">
        <f>Bebyg</f>
        <v>Bebyggelse &amp; infrastruktur</v>
      </c>
      <c r="C77">
        <v>2050</v>
      </c>
      <c r="D77" t="str">
        <f>Jordbund1</f>
        <v>JB1-10</v>
      </c>
      <c r="E77" s="99">
        <f>Arealanvendelse!P35</f>
        <v>178500</v>
      </c>
    </row>
    <row r="78" spans="1:5" x14ac:dyDescent="0.55000000000000004">
      <c r="A78" t="s">
        <v>28</v>
      </c>
      <c r="B78" t="str">
        <f>Afgrøder</f>
        <v>Landbrugsafgrøder</v>
      </c>
      <c r="C78">
        <v>2050</v>
      </c>
      <c r="D78" t="str">
        <f>Jordbund1</f>
        <v>JB1-10</v>
      </c>
      <c r="E78" s="99">
        <f>Arealanvendelse!P36</f>
        <v>546439.83433051687</v>
      </c>
    </row>
    <row r="79" spans="1:5" x14ac:dyDescent="0.55000000000000004">
      <c r="A79" t="s">
        <v>28</v>
      </c>
      <c r="B79" t="str">
        <f>SkovAreal</f>
        <v>Skov</v>
      </c>
      <c r="C79">
        <v>2050</v>
      </c>
      <c r="D79" t="str">
        <f>Jordbund1</f>
        <v>JB1-10</v>
      </c>
      <c r="E79" s="99">
        <f>Arealanvendelse!P37</f>
        <v>132960.5678393351</v>
      </c>
    </row>
    <row r="80" spans="1:5" x14ac:dyDescent="0.55000000000000004">
      <c r="A80" t="s">
        <v>28</v>
      </c>
      <c r="B80" t="str">
        <f>NaturAreal</f>
        <v>Natur</v>
      </c>
      <c r="C80">
        <v>2050</v>
      </c>
      <c r="D80" t="str">
        <f>Jordbund1</f>
        <v>JB1-10</v>
      </c>
      <c r="E80" s="99">
        <f>Arealanvendelse!P38</f>
        <v>71807.284735979716</v>
      </c>
    </row>
    <row r="81" spans="1:5" x14ac:dyDescent="0.55000000000000004">
      <c r="A81" t="s">
        <v>28</v>
      </c>
      <c r="B81" t="str">
        <f>IKareal</f>
        <v>Ikke klassificeret</v>
      </c>
      <c r="C81">
        <v>2050</v>
      </c>
      <c r="D81" t="str">
        <f>Jordbund1</f>
        <v>JB1-10</v>
      </c>
      <c r="E81" s="99">
        <f>Arealanvendelse!P39</f>
        <v>19220</v>
      </c>
    </row>
    <row r="82" spans="1:5" x14ac:dyDescent="0.55000000000000004">
      <c r="A82" t="s">
        <v>28</v>
      </c>
      <c r="B82" t="str">
        <f>Bebyg</f>
        <v>Bebyggelse &amp; infrastruktur</v>
      </c>
      <c r="C82">
        <v>2050</v>
      </c>
      <c r="D82" t="str">
        <f>Organ6</f>
        <v>OC6</v>
      </c>
      <c r="E82" s="99">
        <f>Arealanvendelse!Q35</f>
        <v>0</v>
      </c>
    </row>
    <row r="83" spans="1:5" x14ac:dyDescent="0.55000000000000004">
      <c r="A83" t="s">
        <v>28</v>
      </c>
      <c r="B83" t="str">
        <f>Afgrøder</f>
        <v>Landbrugsafgrøder</v>
      </c>
      <c r="C83">
        <v>2050</v>
      </c>
      <c r="D83" t="str">
        <f>Organ6</f>
        <v>OC6</v>
      </c>
      <c r="E83" s="99">
        <f>Arealanvendelse!Q36</f>
        <v>9048.4595958207792</v>
      </c>
    </row>
    <row r="84" spans="1:5" x14ac:dyDescent="0.55000000000000004">
      <c r="A84" t="s">
        <v>28</v>
      </c>
      <c r="B84" t="str">
        <f>SkovAreal</f>
        <v>Skov</v>
      </c>
      <c r="C84">
        <v>2050</v>
      </c>
      <c r="D84" t="str">
        <f>Organ6</f>
        <v>OC6</v>
      </c>
      <c r="E84" s="99">
        <f>Arealanvendelse!Q37</f>
        <v>0</v>
      </c>
    </row>
    <row r="85" spans="1:5" x14ac:dyDescent="0.55000000000000004">
      <c r="A85" t="s">
        <v>28</v>
      </c>
      <c r="B85" t="str">
        <f>NaturAreal</f>
        <v>Natur</v>
      </c>
      <c r="C85">
        <v>2050</v>
      </c>
      <c r="D85" t="str">
        <f>Organ6</f>
        <v>OC6</v>
      </c>
      <c r="E85" s="99">
        <f>Arealanvendelse!Q38</f>
        <v>6713.0342916543959</v>
      </c>
    </row>
    <row r="86" spans="1:5" x14ac:dyDescent="0.55000000000000004">
      <c r="A86" t="s">
        <v>28</v>
      </c>
      <c r="B86" t="str">
        <f>IKareal</f>
        <v>Ikke klassificeret</v>
      </c>
      <c r="C86">
        <v>2050</v>
      </c>
      <c r="D86" t="str">
        <f>Organ6</f>
        <v>OC6</v>
      </c>
      <c r="E86" s="99">
        <f>Arealanvendelse!Q39</f>
        <v>0</v>
      </c>
    </row>
    <row r="87" spans="1:5" x14ac:dyDescent="0.55000000000000004">
      <c r="A87" t="s">
        <v>28</v>
      </c>
      <c r="B87" t="str">
        <f>Bebyg</f>
        <v>Bebyggelse &amp; infrastruktur</v>
      </c>
      <c r="C87">
        <v>2050</v>
      </c>
      <c r="D87" t="str">
        <f>Organ12</f>
        <v>OC12</v>
      </c>
      <c r="E87" s="99">
        <f>Arealanvendelse!R35</f>
        <v>0</v>
      </c>
    </row>
    <row r="88" spans="1:5" x14ac:dyDescent="0.55000000000000004">
      <c r="A88" t="s">
        <v>28</v>
      </c>
      <c r="B88" t="str">
        <f>Afgrøder</f>
        <v>Landbrugsafgrøder</v>
      </c>
      <c r="C88">
        <v>2050</v>
      </c>
      <c r="D88" t="str">
        <f>Organ12</f>
        <v>OC12</v>
      </c>
      <c r="E88" s="99">
        <f>Arealanvendelse!R36</f>
        <v>6881.7406521536668</v>
      </c>
    </row>
    <row r="89" spans="1:5" x14ac:dyDescent="0.55000000000000004">
      <c r="A89" t="s">
        <v>28</v>
      </c>
      <c r="B89" t="str">
        <f>SkovAreal</f>
        <v>Skov</v>
      </c>
      <c r="C89">
        <v>2050</v>
      </c>
      <c r="D89" t="str">
        <f>Organ12</f>
        <v>OC12</v>
      </c>
      <c r="E89" s="99">
        <f>Arealanvendelse!R37</f>
        <v>0</v>
      </c>
    </row>
    <row r="90" spans="1:5" x14ac:dyDescent="0.55000000000000004">
      <c r="A90" t="s">
        <v>28</v>
      </c>
      <c r="B90" t="str">
        <f>NaturAreal</f>
        <v>Natur</v>
      </c>
      <c r="C90">
        <v>2050</v>
      </c>
      <c r="D90" t="str">
        <f>Organ12</f>
        <v>OC12</v>
      </c>
      <c r="E90" s="99">
        <f>Arealanvendelse!R38</f>
        <v>5669.0785545395274</v>
      </c>
    </row>
    <row r="91" spans="1:5" x14ac:dyDescent="0.55000000000000004">
      <c r="A91" t="s">
        <v>28</v>
      </c>
      <c r="B91" t="str">
        <f>IKareal</f>
        <v>Ikke klassificeret</v>
      </c>
      <c r="C91">
        <v>2050</v>
      </c>
      <c r="D91" t="str">
        <f>Organ12</f>
        <v>OC12</v>
      </c>
      <c r="E91" s="99">
        <f>Arealanvendelse!R39</f>
        <v>0</v>
      </c>
    </row>
  </sheetData>
  <phoneticPr fontId="10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BF45-84C7-44F3-A365-1EE9B79FF650}">
  <sheetPr codeName="Sheet15">
    <tabColor theme="2" tint="-9.9978637043366805E-2"/>
  </sheetPr>
  <dimension ref="A1:P505"/>
  <sheetViews>
    <sheetView workbookViewId="0">
      <selection activeCell="B5" sqref="B5:AG23"/>
    </sheetView>
  </sheetViews>
  <sheetFormatPr defaultRowHeight="14.4" x14ac:dyDescent="0.55000000000000004"/>
  <sheetData>
    <row r="1" spans="1:16" x14ac:dyDescent="0.55000000000000004">
      <c r="A1" t="s">
        <v>64</v>
      </c>
      <c r="B1" t="s">
        <v>57</v>
      </c>
      <c r="C1" t="s">
        <v>58</v>
      </c>
      <c r="D1" t="s">
        <v>59</v>
      </c>
      <c r="E1" t="s">
        <v>63</v>
      </c>
      <c r="F1" t="s">
        <v>90</v>
      </c>
      <c r="G1" t="s">
        <v>86</v>
      </c>
      <c r="H1" t="s">
        <v>87</v>
      </c>
      <c r="I1" t="s">
        <v>73</v>
      </c>
      <c r="J1" t="s">
        <v>89</v>
      </c>
      <c r="L1" t="s">
        <v>64</v>
      </c>
      <c r="M1" t="s">
        <v>83</v>
      </c>
      <c r="N1" t="s">
        <v>58</v>
      </c>
      <c r="O1" t="s">
        <v>82</v>
      </c>
      <c r="P1" t="s">
        <v>78</v>
      </c>
    </row>
    <row r="2" spans="1:16" x14ac:dyDescent="0.55000000000000004">
      <c r="A2" t="s">
        <v>23</v>
      </c>
      <c r="B2" s="1" t="str">
        <f>[1]Afgrødefordeling!$C$2</f>
        <v>Korn</v>
      </c>
      <c r="C2">
        <v>2019</v>
      </c>
      <c r="D2" t="s">
        <v>7</v>
      </c>
      <c r="E2" s="172" t="str">
        <f t="shared" ref="E2:E33" si="0">Jordbund1</f>
        <v>JB1-10</v>
      </c>
      <c r="F2" t="str">
        <f>IF(I2&lt;&gt;0,"Halm",IF(B2&lt;&gt;"Permanent græs",B2,"Græs"))</f>
        <v>Halm</v>
      </c>
      <c r="G2" s="76" cm="1">
        <f t="array" ref="G2">IF(A2="Vestdanmark",IF(D2="Konventionel",IF(C2=2019,SUMPRODUCT((B2='Landbrugsareal - resultat'!$B$5:$B$18)*(INDEX('Landbrugsareal - resultat'!$C$5:$E$18,,MATCH(E2,'Landbrugsareal - resultat'!$C$4:$E$4,0)))),IF(C2=2030,SUMPRODUCT((B2='Landbrugsareal - resultat'!$B$5:$B$18)*(INDEX('Landbrugsareal - resultat'!$F$5:$H$18,,MATCH(E2,'Landbrugsareal - resultat'!$F$4:$H$4,0)))),SUMPRODUCT((B2='Landbrugsareal - resultat'!$B$5:$B$18)*(INDEX('Landbrugsareal - resultat'!$I$5:$K$18,,MATCH(E2,'Landbrugsareal - resultat'!$I$4:$K$4,0)))))),IF(C2=2019,SUMPRODUCT((B2='Landbrugsareal - resultat'!$B$5:$B$18)*(INDEX('Landbrugsareal - resultat'!$L$5:$N$18,,MATCH(E2,'Landbrugsareal - resultat'!$L$4:$N$4,0)))),IF(C2=2030,SUMPRODUCT((B2='Landbrugsareal - resultat'!$B$5:$B$18)*(INDEX('Landbrugsareal - resultat'!$O$5:$Q$18,,MATCH(E2,'Landbrugsareal - resultat'!$O$4:$Q$4,0)))),SUMPRODUCT((B2='Landbrugsareal - resultat'!$B$5:$B$18)*(INDEX('Landbrugsareal - resultat'!$R$5:$T$18,,MATCH(E2,'Landbrugsareal - resultat'!$R$4:$T$4,0))))))),IF(D2="Konventionel",IF(C2=2019,SUMPRODUCT((B2='Landbrugsareal - resultat'!$B$32:$B$45)*(INDEX('Landbrugsareal - resultat'!$C$32:$E$45,,MATCH(E2,'Landbrugsareal - resultat'!$C$4:$E$4,0)))),IF(C2=2030,SUMPRODUCT((B2='Landbrugsareal - resultat'!$B$32:$B$45)*(INDEX('Landbrugsareal - resultat'!$F$32:$H$45,,MATCH(E2,'Landbrugsareal - resultat'!$F$4:$H$4,0)))),SUMPRODUCT((B2='Landbrugsareal - resultat'!$B$32:$B$45)*(INDEX('Landbrugsareal - resultat'!$I$32:$K$45,,MATCH(E2,'Landbrugsareal - resultat'!$I$4:$K$4,0)))))),IF(C2=2019,SUMPRODUCT((B2='Landbrugsareal - resultat'!$B$32:$B$45)*(INDEX('Landbrugsareal - resultat'!$L$32:$N$45,,MATCH(E2,'Landbrugsareal - resultat'!$L$4:$N$4,0)))),IF(C2=2030,SUMPRODUCT((B2='Landbrugsareal - resultat'!$B$32:$B$45)*(INDEX('Landbrugsareal - resultat'!$O$32:$Q$45,,MATCH(E2,'Landbrugsareal - resultat'!$O$4:$Q$4,0)))),SUMPRODUCT((B2='Landbrugsareal - resultat'!$B$32:$B$45)*(INDEX('Landbrugsareal - resultat'!$R$32:$T$45,,MATCH(E2,'Landbrugsareal - resultat'!$R$4:$T$4,0))))))))</f>
        <v>853064.00210361299</v>
      </c>
      <c r="H2">
        <f>G2*VLOOKUP(B2,[1]Afgrødedata!$A$5:$F$18,2,FALSE)*IF(D2="Økologisk",VLOOKUP(B2,[1]Afgrødedata!$A$5:$F$18,4,FALSE),1)*IF(E2&lt;&gt;Jordbund1,IF(E2=Organ6,VLOOKUP(B2,[1]Afgrødedata!$A$5:$F$18,5,FALSE),VLOOKUP(B2,[1]Afgrødedata!$A$5:$F$18,6,FALSE)),1)*0.1</f>
        <v>5979978.6547463275</v>
      </c>
      <c r="I2">
        <f>G2*VLOOKUP(B2,[1]Afgrødedata!$A$5:$F$18,3,FALSE)*IF(D2="Økologisk",VLOOKUP(B2,[1]Afgrødedata!$A$5:$F$18,4,FALSE),1)*IF(E2&lt;&gt;Jordbund1,IF(E2=Organ6,VLOOKUP(B2,[1]Afgrødedata!$A$5:$F$18,5,FALSE),VLOOKUP(B2,[1]Afgrødedata!$A$5:$F$18,6,FALSE)),1)*HLOOKUP(C2,Landbrug!$C$15:$E$17,2,FALSE)*HLOOKUP(C2,Landbrug!$C$15:$E$17,3,FALSE)*0.1</f>
        <v>1951850.0829625644</v>
      </c>
      <c r="J2" s="76">
        <f>IF(I2&lt;&gt;0,I2,H2)</f>
        <v>1951850.0829625644</v>
      </c>
      <c r="L2" t="s">
        <v>23</v>
      </c>
      <c r="M2" t="s">
        <v>22</v>
      </c>
      <c r="N2">
        <v>2019</v>
      </c>
      <c r="O2" t="s">
        <v>7</v>
      </c>
      <c r="P2" s="76">
        <f>'Landbrugsareal - resultat'!C23</f>
        <v>10266966</v>
      </c>
    </row>
    <row r="3" spans="1:16" x14ac:dyDescent="0.55000000000000004">
      <c r="A3" t="s">
        <v>23</v>
      </c>
      <c r="B3" s="1" t="str">
        <f>[1]Afgrødefordeling!$C$3</f>
        <v>Bælgsæd</v>
      </c>
      <c r="C3">
        <v>2019</v>
      </c>
      <c r="D3" t="s">
        <v>7</v>
      </c>
      <c r="E3" s="172" t="str">
        <f t="shared" si="0"/>
        <v>JB1-10</v>
      </c>
      <c r="F3" t="str">
        <f t="shared" ref="F3:F71" si="1">IF(I3&lt;&gt;0,"Halm",IF(B3&lt;&gt;"Permanent græs",B3,"Græs"))</f>
        <v>Halm</v>
      </c>
      <c r="G3" s="76" cm="1">
        <f t="array" ref="G3">IF(A3="Vestdanmark",IF(D3="Konventionel",IF(C3=2019,SUMPRODUCT((B3='Landbrugsareal - resultat'!$B$5:$B$18)*(INDEX('Landbrugsareal - resultat'!$C$5:$E$18,,MATCH(E3,'Landbrugsareal - resultat'!$C$4:$E$4,0)))),IF(C3=2030,SUMPRODUCT((B3='Landbrugsareal - resultat'!$B$5:$B$18)*(INDEX('Landbrugsareal - resultat'!$F$5:$H$18,,MATCH(E3,'Landbrugsareal - resultat'!$F$4:$H$4,0)))),SUMPRODUCT((B3='Landbrugsareal - resultat'!$B$5:$B$18)*(INDEX('Landbrugsareal - resultat'!$I$5:$K$18,,MATCH(E3,'Landbrugsareal - resultat'!$I$4:$K$4,0)))))),IF(C3=2019,SUMPRODUCT((B3='Landbrugsareal - resultat'!$B$5:$B$18)*(INDEX('Landbrugsareal - resultat'!$L$5:$N$18,,MATCH(E3,'Landbrugsareal - resultat'!$L$4:$N$4,0)))),IF(C3=2030,SUMPRODUCT((B3='Landbrugsareal - resultat'!$B$5:$B$18)*(INDEX('Landbrugsareal - resultat'!$O$5:$Q$18,,MATCH(E3,'Landbrugsareal - resultat'!$O$4:$Q$4,0)))),SUMPRODUCT((B3='Landbrugsareal - resultat'!$B$5:$B$18)*(INDEX('Landbrugsareal - resultat'!$R$5:$T$18,,MATCH(E3,'Landbrugsareal - resultat'!$R$4:$T$4,0))))))),IF(D3="Konventionel",IF(C3=2019,SUMPRODUCT((B3='Landbrugsareal - resultat'!$B$32:$B$45)*(INDEX('Landbrugsareal - resultat'!$C$32:$E$45,,MATCH(E3,'Landbrugsareal - resultat'!$C$4:$E$4,0)))),IF(C3=2030,SUMPRODUCT((B3='Landbrugsareal - resultat'!$B$32:$B$45)*(INDEX('Landbrugsareal - resultat'!$F$32:$H$45,,MATCH(E3,'Landbrugsareal - resultat'!$F$4:$H$4,0)))),SUMPRODUCT((B3='Landbrugsareal - resultat'!$B$32:$B$45)*(INDEX('Landbrugsareal - resultat'!$I$32:$K$45,,MATCH(E3,'Landbrugsareal - resultat'!$I$4:$K$4,0)))))),IF(C3=2019,SUMPRODUCT((B3='Landbrugsareal - resultat'!$B$32:$B$45)*(INDEX('Landbrugsareal - resultat'!$L$32:$N$45,,MATCH(E3,'Landbrugsareal - resultat'!$L$4:$N$4,0)))),IF(C3=2030,SUMPRODUCT((B3='Landbrugsareal - resultat'!$B$32:$B$45)*(INDEX('Landbrugsareal - resultat'!$O$32:$Q$45,,MATCH(E3,'Landbrugsareal - resultat'!$O$4:$Q$4,0)))),SUMPRODUCT((B3='Landbrugsareal - resultat'!$B$32:$B$45)*(INDEX('Landbrugsareal - resultat'!$R$32:$T$45,,MATCH(E3,'Landbrugsareal - resultat'!$R$4:$T$4,0))))))))</f>
        <v>58939.484550716581</v>
      </c>
      <c r="H3" s="172">
        <f>G3*VLOOKUP(B3,[1]Afgrødedata!$A$5:$F$18,2,FALSE)*IF(D3="Økologisk",VLOOKUP(B3,[1]Afgrødedata!$A$5:$F$18,4,FALSE),1)*IF(E3&lt;&gt;Jordbund1,IF(E3=Organ6,VLOOKUP(B3,[1]Afgrødedata!$A$5:$F$18,5,FALSE),VLOOKUP(B3,[1]Afgrødedata!$A$5:$F$18,6,FALSE)),1)*0.1</f>
        <v>227506.41036576603</v>
      </c>
      <c r="I3" s="172">
        <f>G3*VLOOKUP(B3,[1]Afgrødedata!$A$5:$F$18,3,FALSE)*IF(D3="Økologisk",VLOOKUP(B3,[1]Afgrødedata!$A$5:$F$18,4,FALSE),1)*IF(E3&lt;&gt;Jordbund1,IF(E3=Organ6,VLOOKUP(B3,[1]Afgrødedata!$A$5:$F$18,5,FALSE),VLOOKUP(B3,[1]Afgrødedata!$A$5:$F$18,6,FALSE)),1)*HLOOKUP(C3,Landbrug!$C$15:$E$17,2,FALSE)*HLOOKUP(C3,Landbrug!$C$15:$E$17,3,FALSE)*0.1</f>
        <v>67541.817252888548</v>
      </c>
      <c r="J3" s="76">
        <f t="shared" ref="J3:J71" si="2">IF(I3&lt;&gt;0,I3,H3)</f>
        <v>67541.817252888548</v>
      </c>
      <c r="L3" t="s">
        <v>23</v>
      </c>
      <c r="M3" t="s">
        <v>3</v>
      </c>
      <c r="N3">
        <v>2019</v>
      </c>
      <c r="O3" t="s">
        <v>7</v>
      </c>
      <c r="P3" s="76">
        <f>'Landbrugsareal - resultat'!C24</f>
        <v>1184629</v>
      </c>
    </row>
    <row r="4" spans="1:16" x14ac:dyDescent="0.55000000000000004">
      <c r="A4" t="s">
        <v>23</v>
      </c>
      <c r="B4" s="1" t="str">
        <f>[1]Afgrødefordeling!$C$4</f>
        <v>Raps</v>
      </c>
      <c r="C4">
        <v>2019</v>
      </c>
      <c r="D4" t="s">
        <v>7</v>
      </c>
      <c r="E4" s="172" t="str">
        <f t="shared" si="0"/>
        <v>JB1-10</v>
      </c>
      <c r="F4" t="str">
        <f t="shared" si="1"/>
        <v>Halm</v>
      </c>
      <c r="G4" s="76" cm="1">
        <f t="array" ref="G4">IF(A4="Vestdanmark",IF(D4="Konventionel",IF(C4=2019,SUMPRODUCT((B4='Landbrugsareal - resultat'!$B$5:$B$18)*(INDEX('Landbrugsareal - resultat'!$C$5:$E$18,,MATCH(E4,'Landbrugsareal - resultat'!$C$4:$E$4,0)))),IF(C4=2030,SUMPRODUCT((B4='Landbrugsareal - resultat'!$B$5:$B$18)*(INDEX('Landbrugsareal - resultat'!$F$5:$H$18,,MATCH(E4,'Landbrugsareal - resultat'!$F$4:$H$4,0)))),SUMPRODUCT((B4='Landbrugsareal - resultat'!$B$5:$B$18)*(INDEX('Landbrugsareal - resultat'!$I$5:$K$18,,MATCH(E4,'Landbrugsareal - resultat'!$I$4:$K$4,0)))))),IF(C4=2019,SUMPRODUCT((B4='Landbrugsareal - resultat'!$B$5:$B$18)*(INDEX('Landbrugsareal - resultat'!$L$5:$N$18,,MATCH(E4,'Landbrugsareal - resultat'!$L$4:$N$4,0)))),IF(C4=2030,SUMPRODUCT((B4='Landbrugsareal - resultat'!$B$5:$B$18)*(INDEX('Landbrugsareal - resultat'!$O$5:$Q$18,,MATCH(E4,'Landbrugsareal - resultat'!$O$4:$Q$4,0)))),SUMPRODUCT((B4='Landbrugsareal - resultat'!$B$5:$B$18)*(INDEX('Landbrugsareal - resultat'!$R$5:$T$18,,MATCH(E4,'Landbrugsareal - resultat'!$R$4:$T$4,0))))))),IF(D4="Konventionel",IF(C4=2019,SUMPRODUCT((B4='Landbrugsareal - resultat'!$B$32:$B$45)*(INDEX('Landbrugsareal - resultat'!$C$32:$E$45,,MATCH(E4,'Landbrugsareal - resultat'!$C$4:$E$4,0)))),IF(C4=2030,SUMPRODUCT((B4='Landbrugsareal - resultat'!$B$32:$B$45)*(INDEX('Landbrugsareal - resultat'!$F$32:$H$45,,MATCH(E4,'Landbrugsareal - resultat'!$F$4:$H$4,0)))),SUMPRODUCT((B4='Landbrugsareal - resultat'!$B$32:$B$45)*(INDEX('Landbrugsareal - resultat'!$I$32:$K$45,,MATCH(E4,'Landbrugsareal - resultat'!$I$4:$K$4,0)))))),IF(C4=2019,SUMPRODUCT((B4='Landbrugsareal - resultat'!$B$32:$B$45)*(INDEX('Landbrugsareal - resultat'!$L$32:$N$45,,MATCH(E4,'Landbrugsareal - resultat'!$L$4:$N$4,0)))),IF(C4=2030,SUMPRODUCT((B4='Landbrugsareal - resultat'!$B$32:$B$45)*(INDEX('Landbrugsareal - resultat'!$O$32:$Q$45,,MATCH(E4,'Landbrugsareal - resultat'!$O$4:$Q$4,0)))),SUMPRODUCT((B4='Landbrugsareal - resultat'!$B$32:$B$45)*(INDEX('Landbrugsareal - resultat'!$R$32:$T$45,,MATCH(E4,'Landbrugsareal - resultat'!$R$4:$T$4,0))))))))</f>
        <v>99115.06241944003</v>
      </c>
      <c r="H4" s="172">
        <f>G4*VLOOKUP(B4,[1]Afgrødedata!$A$5:$F$18,2,FALSE)*IF(D4="Økologisk",VLOOKUP(B4,[1]Afgrødedata!$A$5:$F$18,4,FALSE),1)*IF(E4&lt;&gt;Jordbund1,IF(E4=Organ6,VLOOKUP(B4,[1]Afgrødedata!$A$5:$F$18,5,FALSE),VLOOKUP(B4,[1]Afgrødedata!$A$5:$F$18,6,FALSE)),1)*0.1</f>
        <v>436106.27464553615</v>
      </c>
      <c r="I4" s="172">
        <f>G4*VLOOKUP(B4,[1]Afgrødedata!$A$5:$F$18,3,FALSE)*IF(D4="Økologisk",VLOOKUP(B4,[1]Afgrødedata!$A$5:$F$18,4,FALSE),1)*IF(E4&lt;&gt;Jordbund1,IF(E4=Organ6,VLOOKUP(B4,[1]Afgrødedata!$A$5:$F$18,5,FALSE),VLOOKUP(B4,[1]Afgrødedata!$A$5:$F$18,6,FALSE)),1)*HLOOKUP(C4,Landbrug!$C$15:$E$17,2,FALSE)*HLOOKUP(C4,Landbrug!$C$15:$E$17,3,FALSE)*0.1</f>
        <v>232926.54181955411</v>
      </c>
      <c r="J4" s="76">
        <f t="shared" si="2"/>
        <v>232926.54181955411</v>
      </c>
      <c r="L4" t="s">
        <v>23</v>
      </c>
      <c r="M4" t="s">
        <v>4</v>
      </c>
      <c r="N4">
        <v>2019</v>
      </c>
      <c r="O4" t="s">
        <v>7</v>
      </c>
      <c r="P4" s="76">
        <f>'Landbrugsareal - resultat'!C25</f>
        <v>18212034</v>
      </c>
    </row>
    <row r="5" spans="1:16" x14ac:dyDescent="0.55000000000000004">
      <c r="A5" t="s">
        <v>23</v>
      </c>
      <c r="B5" s="1" t="str">
        <f>[1]Afgrødefordeling!$C$5</f>
        <v>Græs</v>
      </c>
      <c r="C5">
        <v>2019</v>
      </c>
      <c r="D5" t="s">
        <v>7</v>
      </c>
      <c r="E5" s="172" t="str">
        <f t="shared" si="0"/>
        <v>JB1-10</v>
      </c>
      <c r="F5" t="str">
        <f t="shared" si="1"/>
        <v>Græs</v>
      </c>
      <c r="G5" s="76" cm="1">
        <f t="array" ref="G5">IF(A5="Vestdanmark",IF(D5="Konventionel",IF(C5=2019,SUMPRODUCT((B5='Landbrugsareal - resultat'!$B$5:$B$18)*(INDEX('Landbrugsareal - resultat'!$C$5:$E$18,,MATCH(E5,'Landbrugsareal - resultat'!$C$4:$E$4,0)))),IF(C5=2030,SUMPRODUCT((B5='Landbrugsareal - resultat'!$B$5:$B$18)*(INDEX('Landbrugsareal - resultat'!$F$5:$H$18,,MATCH(E5,'Landbrugsareal - resultat'!$F$4:$H$4,0)))),SUMPRODUCT((B5='Landbrugsareal - resultat'!$B$5:$B$18)*(INDEX('Landbrugsareal - resultat'!$I$5:$K$18,,MATCH(E5,'Landbrugsareal - resultat'!$I$4:$K$4,0)))))),IF(C5=2019,SUMPRODUCT((B5='Landbrugsareal - resultat'!$B$5:$B$18)*(INDEX('Landbrugsareal - resultat'!$L$5:$N$18,,MATCH(E5,'Landbrugsareal - resultat'!$L$4:$N$4,0)))),IF(C5=2030,SUMPRODUCT((B5='Landbrugsareal - resultat'!$B$5:$B$18)*(INDEX('Landbrugsareal - resultat'!$O$5:$Q$18,,MATCH(E5,'Landbrugsareal - resultat'!$O$4:$Q$4,0)))),SUMPRODUCT((B5='Landbrugsareal - resultat'!$B$5:$B$18)*(INDEX('Landbrugsareal - resultat'!$R$5:$T$18,,MATCH(E5,'Landbrugsareal - resultat'!$R$4:$T$4,0))))))),IF(D5="Konventionel",IF(C5=2019,SUMPRODUCT((B5='Landbrugsareal - resultat'!$B$32:$B$45)*(INDEX('Landbrugsareal - resultat'!$C$32:$E$45,,MATCH(E5,'Landbrugsareal - resultat'!$C$4:$E$4,0)))),IF(C5=2030,SUMPRODUCT((B5='Landbrugsareal - resultat'!$B$32:$B$45)*(INDEX('Landbrugsareal - resultat'!$F$32:$H$45,,MATCH(E5,'Landbrugsareal - resultat'!$F$4:$H$4,0)))),SUMPRODUCT((B5='Landbrugsareal - resultat'!$B$32:$B$45)*(INDEX('Landbrugsareal - resultat'!$I$32:$K$45,,MATCH(E5,'Landbrugsareal - resultat'!$I$4:$K$4,0)))))),IF(C5=2019,SUMPRODUCT((B5='Landbrugsareal - resultat'!$B$32:$B$45)*(INDEX('Landbrugsareal - resultat'!$L$32:$N$45,,MATCH(E5,'Landbrugsareal - resultat'!$L$4:$N$4,0)))),IF(C5=2030,SUMPRODUCT((B5='Landbrugsareal - resultat'!$B$32:$B$45)*(INDEX('Landbrugsareal - resultat'!$O$32:$Q$45,,MATCH(E5,'Landbrugsareal - resultat'!$O$4:$Q$4,0)))),SUMPRODUCT((B5='Landbrugsareal - resultat'!$B$32:$B$45)*(INDEX('Landbrugsareal - resultat'!$R$32:$T$45,,MATCH(E5,'Landbrugsareal - resultat'!$R$4:$T$4,0))))))))</f>
        <v>188981.25083524975</v>
      </c>
      <c r="H5" s="172">
        <f>G5*VLOOKUP(B5,[1]Afgrødedata!$A$5:$F$18,2,FALSE)*IF(D5="Økologisk",VLOOKUP(B5,[1]Afgrødedata!$A$5:$F$18,4,FALSE),1)*IF(E5&lt;&gt;Jordbund1,IF(E5=Organ6,VLOOKUP(B5,[1]Afgrødedata!$A$5:$F$18,5,FALSE),VLOOKUP(B5,[1]Afgrødedata!$A$5:$F$18,6,FALSE)),1)*0.1</f>
        <v>9377249.6664450932</v>
      </c>
      <c r="I5" s="172">
        <f>G5*VLOOKUP(B5,[1]Afgrødedata!$A$5:$F$18,3,FALSE)*IF(D5="Økologisk",VLOOKUP(B5,[1]Afgrødedata!$A$5:$F$18,4,FALSE),1)*IF(E5&lt;&gt;Jordbund1,IF(E5=Organ6,VLOOKUP(B5,[1]Afgrødedata!$A$5:$F$18,5,FALSE),VLOOKUP(B5,[1]Afgrødedata!$A$5:$F$18,6,FALSE)),1)*HLOOKUP(C5,Landbrug!$C$15:$E$17,2,FALSE)*HLOOKUP(C5,Landbrug!$C$15:$E$17,3,FALSE)*0.1</f>
        <v>0</v>
      </c>
      <c r="J5" s="76">
        <f t="shared" si="2"/>
        <v>9377249.6664450932</v>
      </c>
      <c r="L5" t="s">
        <v>23</v>
      </c>
      <c r="M5" t="s">
        <v>22</v>
      </c>
      <c r="N5">
        <v>2030</v>
      </c>
      <c r="O5" t="s">
        <v>7</v>
      </c>
      <c r="P5" s="76">
        <f>'Landbrugsareal - resultat'!D23</f>
        <v>10081251.358070999</v>
      </c>
    </row>
    <row r="6" spans="1:16" x14ac:dyDescent="0.55000000000000004">
      <c r="A6" t="s">
        <v>23</v>
      </c>
      <c r="B6" s="1" t="str">
        <f>[1]Afgrødefordeling!$C$6</f>
        <v>Grøntsager</v>
      </c>
      <c r="C6">
        <v>2019</v>
      </c>
      <c r="D6" t="s">
        <v>7</v>
      </c>
      <c r="E6" s="172" t="str">
        <f t="shared" si="0"/>
        <v>JB1-10</v>
      </c>
      <c r="F6" t="str">
        <f t="shared" si="1"/>
        <v>Grøntsager</v>
      </c>
      <c r="G6" s="76" cm="1">
        <f t="array" ref="G6">IF(A6="Vestdanmark",IF(D6="Konventionel",IF(C6=2019,SUMPRODUCT((B6='Landbrugsareal - resultat'!$B$5:$B$18)*(INDEX('Landbrugsareal - resultat'!$C$5:$E$18,,MATCH(E6,'Landbrugsareal - resultat'!$C$4:$E$4,0)))),IF(C6=2030,SUMPRODUCT((B6='Landbrugsareal - resultat'!$B$5:$B$18)*(INDEX('Landbrugsareal - resultat'!$F$5:$H$18,,MATCH(E6,'Landbrugsareal - resultat'!$F$4:$H$4,0)))),SUMPRODUCT((B6='Landbrugsareal - resultat'!$B$5:$B$18)*(INDEX('Landbrugsareal - resultat'!$I$5:$K$18,,MATCH(E6,'Landbrugsareal - resultat'!$I$4:$K$4,0)))))),IF(C6=2019,SUMPRODUCT((B6='Landbrugsareal - resultat'!$B$5:$B$18)*(INDEX('Landbrugsareal - resultat'!$L$5:$N$18,,MATCH(E6,'Landbrugsareal - resultat'!$L$4:$N$4,0)))),IF(C6=2030,SUMPRODUCT((B6='Landbrugsareal - resultat'!$B$5:$B$18)*(INDEX('Landbrugsareal - resultat'!$O$5:$Q$18,,MATCH(E6,'Landbrugsareal - resultat'!$O$4:$Q$4,0)))),SUMPRODUCT((B6='Landbrugsareal - resultat'!$B$5:$B$18)*(INDEX('Landbrugsareal - resultat'!$R$5:$T$18,,MATCH(E6,'Landbrugsareal - resultat'!$R$4:$T$4,0))))))),IF(D6="Konventionel",IF(C6=2019,SUMPRODUCT((B6='Landbrugsareal - resultat'!$B$32:$B$45)*(INDEX('Landbrugsareal - resultat'!$C$32:$E$45,,MATCH(E6,'Landbrugsareal - resultat'!$C$4:$E$4,0)))),IF(C6=2030,SUMPRODUCT((B6='Landbrugsareal - resultat'!$B$32:$B$45)*(INDEX('Landbrugsareal - resultat'!$F$32:$H$45,,MATCH(E6,'Landbrugsareal - resultat'!$F$4:$H$4,0)))),SUMPRODUCT((B6='Landbrugsareal - resultat'!$B$32:$B$45)*(INDEX('Landbrugsareal - resultat'!$I$32:$K$45,,MATCH(E6,'Landbrugsareal - resultat'!$I$4:$K$4,0)))))),IF(C6=2019,SUMPRODUCT((B6='Landbrugsareal - resultat'!$B$32:$B$45)*(INDEX('Landbrugsareal - resultat'!$L$32:$N$45,,MATCH(E6,'Landbrugsareal - resultat'!$L$4:$N$4,0)))),IF(C6=2030,SUMPRODUCT((B6='Landbrugsareal - resultat'!$B$32:$B$45)*(INDEX('Landbrugsareal - resultat'!$O$32:$Q$45,,MATCH(E6,'Landbrugsareal - resultat'!$O$4:$Q$4,0)))),SUMPRODUCT((B6='Landbrugsareal - resultat'!$B$32:$B$45)*(INDEX('Landbrugsareal - resultat'!$R$32:$T$45,,MATCH(E6,'Landbrugsareal - resultat'!$R$4:$T$4,0))))))))</f>
        <v>7313.1446192208541</v>
      </c>
      <c r="H6" s="172">
        <f>G6*VLOOKUP(B6,[1]Afgrødedata!$A$5:$F$18,2,FALSE)*IF(D6="Økologisk",VLOOKUP(B6,[1]Afgrødedata!$A$5:$F$18,4,FALSE),1)*IF(E6&lt;&gt;Jordbund1,IF(E6=Organ6,VLOOKUP(B6,[1]Afgrødedata!$A$5:$F$18,5,FALSE),VLOOKUP(B6,[1]Afgrødedata!$A$5:$F$18,6,FALSE)),1)*0.1</f>
        <v>151747.75084883274</v>
      </c>
      <c r="I6" s="172">
        <f>G6*VLOOKUP(B6,[1]Afgrødedata!$A$5:$F$18,3,FALSE)*IF(D6="Økologisk",VLOOKUP(B6,[1]Afgrødedata!$A$5:$F$18,4,FALSE),1)*IF(E6&lt;&gt;Jordbund1,IF(E6=Organ6,VLOOKUP(B6,[1]Afgrødedata!$A$5:$F$18,5,FALSE),VLOOKUP(B6,[1]Afgrødedata!$A$5:$F$18,6,FALSE)),1)*HLOOKUP(C6,Landbrug!$C$15:$E$17,2,FALSE)*HLOOKUP(C6,Landbrug!$C$15:$E$17,3,FALSE)*0.1</f>
        <v>0</v>
      </c>
      <c r="J6" s="76">
        <f t="shared" si="2"/>
        <v>151747.75084883274</v>
      </c>
      <c r="L6" t="s">
        <v>23</v>
      </c>
      <c r="M6" t="s">
        <v>3</v>
      </c>
      <c r="N6">
        <v>2030</v>
      </c>
      <c r="O6" t="s">
        <v>7</v>
      </c>
      <c r="P6" s="76">
        <f>'Landbrugsareal - resultat'!D24</f>
        <v>1152879.1032080106</v>
      </c>
    </row>
    <row r="7" spans="1:16" x14ac:dyDescent="0.55000000000000004">
      <c r="A7" t="s">
        <v>23</v>
      </c>
      <c r="B7" s="1" t="str">
        <f>[1]Afgrødefordeling!$C$7</f>
        <v>Kartofler</v>
      </c>
      <c r="C7">
        <v>2019</v>
      </c>
      <c r="D7" t="s">
        <v>7</v>
      </c>
      <c r="E7" s="172" t="str">
        <f t="shared" si="0"/>
        <v>JB1-10</v>
      </c>
      <c r="F7" t="str">
        <f t="shared" si="1"/>
        <v>Kartofler</v>
      </c>
      <c r="G7" s="76" cm="1">
        <f t="array" ref="G7">IF(A7="Vestdanmark",IF(D7="Konventionel",IF(C7=2019,SUMPRODUCT((B7='Landbrugsareal - resultat'!$B$5:$B$18)*(INDEX('Landbrugsareal - resultat'!$C$5:$E$18,,MATCH(E7,'Landbrugsareal - resultat'!$C$4:$E$4,0)))),IF(C7=2030,SUMPRODUCT((B7='Landbrugsareal - resultat'!$B$5:$B$18)*(INDEX('Landbrugsareal - resultat'!$F$5:$H$18,,MATCH(E7,'Landbrugsareal - resultat'!$F$4:$H$4,0)))),SUMPRODUCT((B7='Landbrugsareal - resultat'!$B$5:$B$18)*(INDEX('Landbrugsareal - resultat'!$I$5:$K$18,,MATCH(E7,'Landbrugsareal - resultat'!$I$4:$K$4,0)))))),IF(C7=2019,SUMPRODUCT((B7='Landbrugsareal - resultat'!$B$5:$B$18)*(INDEX('Landbrugsareal - resultat'!$L$5:$N$18,,MATCH(E7,'Landbrugsareal - resultat'!$L$4:$N$4,0)))),IF(C7=2030,SUMPRODUCT((B7='Landbrugsareal - resultat'!$B$5:$B$18)*(INDEX('Landbrugsareal - resultat'!$O$5:$Q$18,,MATCH(E7,'Landbrugsareal - resultat'!$O$4:$Q$4,0)))),SUMPRODUCT((B7='Landbrugsareal - resultat'!$B$5:$B$18)*(INDEX('Landbrugsareal - resultat'!$R$5:$T$18,,MATCH(E7,'Landbrugsareal - resultat'!$R$4:$T$4,0))))))),IF(D7="Konventionel",IF(C7=2019,SUMPRODUCT((B7='Landbrugsareal - resultat'!$B$32:$B$45)*(INDEX('Landbrugsareal - resultat'!$C$32:$E$45,,MATCH(E7,'Landbrugsareal - resultat'!$C$4:$E$4,0)))),IF(C7=2030,SUMPRODUCT((B7='Landbrugsareal - resultat'!$B$32:$B$45)*(INDEX('Landbrugsareal - resultat'!$F$32:$H$45,,MATCH(E7,'Landbrugsareal - resultat'!$F$4:$H$4,0)))),SUMPRODUCT((B7='Landbrugsareal - resultat'!$B$32:$B$45)*(INDEX('Landbrugsareal - resultat'!$I$32:$K$45,,MATCH(E7,'Landbrugsareal - resultat'!$I$4:$K$4,0)))))),IF(C7=2019,SUMPRODUCT((B7='Landbrugsareal - resultat'!$B$32:$B$45)*(INDEX('Landbrugsareal - resultat'!$L$32:$N$45,,MATCH(E7,'Landbrugsareal - resultat'!$L$4:$N$4,0)))),IF(C7=2030,SUMPRODUCT((B7='Landbrugsareal - resultat'!$B$32:$B$45)*(INDEX('Landbrugsareal - resultat'!$O$32:$Q$45,,MATCH(E7,'Landbrugsareal - resultat'!$O$4:$Q$4,0)))),SUMPRODUCT((B7='Landbrugsareal - resultat'!$B$32:$B$45)*(INDEX('Landbrugsareal - resultat'!$R$32:$T$45,,MATCH(E7,'Landbrugsareal - resultat'!$R$4:$T$4,0))))))))</f>
        <v>43565.33101601588</v>
      </c>
      <c r="H7" s="172">
        <f>G7*VLOOKUP(B7,[1]Afgrødedata!$A$5:$F$18,2,FALSE)*IF(D7="Økologisk",VLOOKUP(B7,[1]Afgrødedata!$A$5:$F$18,4,FALSE),1)*IF(E7&lt;&gt;Jordbund1,IF(E7=Organ6,VLOOKUP(B7,[1]Afgrødedata!$A$5:$F$18,5,FALSE),VLOOKUP(B7,[1]Afgrødedata!$A$5:$F$18,6,FALSE)),1)*0.1</f>
        <v>1850258.7939976689</v>
      </c>
      <c r="I7" s="172">
        <f>G7*VLOOKUP(B7,[1]Afgrødedata!$A$5:$F$18,3,FALSE)*IF(D7="Økologisk",VLOOKUP(B7,[1]Afgrødedata!$A$5:$F$18,4,FALSE),1)*IF(E7&lt;&gt;Jordbund1,IF(E7=Organ6,VLOOKUP(B7,[1]Afgrødedata!$A$5:$F$18,5,FALSE),VLOOKUP(B7,[1]Afgrødedata!$A$5:$F$18,6,FALSE)),1)*HLOOKUP(C7,Landbrug!$C$15:$E$17,2,FALSE)*HLOOKUP(C7,Landbrug!$C$15:$E$17,3,FALSE)*0.1</f>
        <v>0</v>
      </c>
      <c r="J7" s="76">
        <f t="shared" si="2"/>
        <v>1850258.7939976689</v>
      </c>
      <c r="L7" t="s">
        <v>23</v>
      </c>
      <c r="M7" t="s">
        <v>4</v>
      </c>
      <c r="N7">
        <v>2030</v>
      </c>
      <c r="O7" t="s">
        <v>7</v>
      </c>
      <c r="P7" s="76">
        <f>'Landbrugsareal - resultat'!D25</f>
        <v>17790568.192894831</v>
      </c>
    </row>
    <row r="8" spans="1:16" x14ac:dyDescent="0.55000000000000004">
      <c r="A8" t="s">
        <v>23</v>
      </c>
      <c r="B8" s="1" t="str">
        <f>[1]Afgrødefordeling!$C$8</f>
        <v>Roer</v>
      </c>
      <c r="C8">
        <v>2019</v>
      </c>
      <c r="D8" t="s">
        <v>7</v>
      </c>
      <c r="E8" s="172" t="str">
        <f t="shared" si="0"/>
        <v>JB1-10</v>
      </c>
      <c r="F8" t="str">
        <f t="shared" si="1"/>
        <v>Roer</v>
      </c>
      <c r="G8" s="76" cm="1">
        <f t="array" ref="G8">IF(A8="Vestdanmark",IF(D8="Konventionel",IF(C8=2019,SUMPRODUCT((B8='Landbrugsareal - resultat'!$B$5:$B$18)*(INDEX('Landbrugsareal - resultat'!$C$5:$E$18,,MATCH(E8,'Landbrugsareal - resultat'!$C$4:$E$4,0)))),IF(C8=2030,SUMPRODUCT((B8='Landbrugsareal - resultat'!$B$5:$B$18)*(INDEX('Landbrugsareal - resultat'!$F$5:$H$18,,MATCH(E8,'Landbrugsareal - resultat'!$F$4:$H$4,0)))),SUMPRODUCT((B8='Landbrugsareal - resultat'!$B$5:$B$18)*(INDEX('Landbrugsareal - resultat'!$I$5:$K$18,,MATCH(E8,'Landbrugsareal - resultat'!$I$4:$K$4,0)))))),IF(C8=2019,SUMPRODUCT((B8='Landbrugsareal - resultat'!$B$5:$B$18)*(INDEX('Landbrugsareal - resultat'!$L$5:$N$18,,MATCH(E8,'Landbrugsareal - resultat'!$L$4:$N$4,0)))),IF(C8=2030,SUMPRODUCT((B8='Landbrugsareal - resultat'!$B$5:$B$18)*(INDEX('Landbrugsareal - resultat'!$O$5:$Q$18,,MATCH(E8,'Landbrugsareal - resultat'!$O$4:$Q$4,0)))),SUMPRODUCT((B8='Landbrugsareal - resultat'!$B$5:$B$18)*(INDEX('Landbrugsareal - resultat'!$R$5:$T$18,,MATCH(E8,'Landbrugsareal - resultat'!$R$4:$T$4,0))))))),IF(D8="Konventionel",IF(C8=2019,SUMPRODUCT((B8='Landbrugsareal - resultat'!$B$32:$B$45)*(INDEX('Landbrugsareal - resultat'!$C$32:$E$45,,MATCH(E8,'Landbrugsareal - resultat'!$C$4:$E$4,0)))),IF(C8=2030,SUMPRODUCT((B8='Landbrugsareal - resultat'!$B$32:$B$45)*(INDEX('Landbrugsareal - resultat'!$F$32:$H$45,,MATCH(E8,'Landbrugsareal - resultat'!$F$4:$H$4,0)))),SUMPRODUCT((B8='Landbrugsareal - resultat'!$B$32:$B$45)*(INDEX('Landbrugsareal - resultat'!$I$32:$K$45,,MATCH(E8,'Landbrugsareal - resultat'!$I$4:$K$4,0)))))),IF(C8=2019,SUMPRODUCT((B8='Landbrugsareal - resultat'!$B$32:$B$45)*(INDEX('Landbrugsareal - resultat'!$L$32:$N$45,,MATCH(E8,'Landbrugsareal - resultat'!$L$4:$N$4,0)))),IF(C8=2030,SUMPRODUCT((B8='Landbrugsareal - resultat'!$B$32:$B$45)*(INDEX('Landbrugsareal - resultat'!$O$32:$Q$45,,MATCH(E8,'Landbrugsareal - resultat'!$O$4:$Q$4,0)))),SUMPRODUCT((B8='Landbrugsareal - resultat'!$B$32:$B$45)*(INDEX('Landbrugsareal - resultat'!$R$32:$T$45,,MATCH(E8,'Landbrugsareal - resultat'!$R$4:$T$4,0))))))))</f>
        <v>4252.8843446697592</v>
      </c>
      <c r="H8" s="172">
        <f>G8*VLOOKUP(B8,[1]Afgrødedata!$A$5:$F$18,2,FALSE)*IF(D8="Økologisk",VLOOKUP(B8,[1]Afgrødedata!$A$5:$F$18,4,FALSE),1)*IF(E8&lt;&gt;Jordbund1,IF(E8=Organ6,VLOOKUP(B8,[1]Afgrødedata!$A$5:$F$18,5,FALSE),VLOOKUP(B8,[1]Afgrødedata!$A$5:$F$18,6,FALSE)),1)*0.1</f>
        <v>345562.72197585326</v>
      </c>
      <c r="I8" s="172">
        <f>G8*VLOOKUP(B8,[1]Afgrødedata!$A$5:$F$18,3,FALSE)*IF(D8="Økologisk",VLOOKUP(B8,[1]Afgrødedata!$A$5:$F$18,4,FALSE),1)*IF(E8&lt;&gt;Jordbund1,IF(E8=Organ6,VLOOKUP(B8,[1]Afgrødedata!$A$5:$F$18,5,FALSE),VLOOKUP(B8,[1]Afgrødedata!$A$5:$F$18,6,FALSE)),1)*HLOOKUP(C8,Landbrug!$C$15:$E$17,2,FALSE)*HLOOKUP(C8,Landbrug!$C$15:$E$17,3,FALSE)*0.1</f>
        <v>0</v>
      </c>
      <c r="J8" s="76">
        <f t="shared" si="2"/>
        <v>345562.72197585326</v>
      </c>
      <c r="L8" t="s">
        <v>23</v>
      </c>
      <c r="M8" t="s">
        <v>22</v>
      </c>
      <c r="N8">
        <v>2050</v>
      </c>
      <c r="O8" t="s">
        <v>7</v>
      </c>
      <c r="P8" s="76">
        <f>'Landbrugsareal - resultat'!E23</f>
        <v>9651553.6380710006</v>
      </c>
    </row>
    <row r="9" spans="1:16" x14ac:dyDescent="0.55000000000000004">
      <c r="A9" t="s">
        <v>23</v>
      </c>
      <c r="B9" s="1" t="str">
        <f>[1]Afgrødefordeling!$C$9</f>
        <v>Majs</v>
      </c>
      <c r="C9">
        <v>2019</v>
      </c>
      <c r="D9" t="s">
        <v>7</v>
      </c>
      <c r="E9" s="172" t="str">
        <f t="shared" si="0"/>
        <v>JB1-10</v>
      </c>
      <c r="F9" t="str">
        <f t="shared" si="1"/>
        <v>Majs</v>
      </c>
      <c r="G9" s="76" cm="1">
        <f t="array" ref="G9">IF(A9="Vestdanmark",IF(D9="Konventionel",IF(C9=2019,SUMPRODUCT((B9='Landbrugsareal - resultat'!$B$5:$B$18)*(INDEX('Landbrugsareal - resultat'!$C$5:$E$18,,MATCH(E9,'Landbrugsareal - resultat'!$C$4:$E$4,0)))),IF(C9=2030,SUMPRODUCT((B9='Landbrugsareal - resultat'!$B$5:$B$18)*(INDEX('Landbrugsareal - resultat'!$F$5:$H$18,,MATCH(E9,'Landbrugsareal - resultat'!$F$4:$H$4,0)))),SUMPRODUCT((B9='Landbrugsareal - resultat'!$B$5:$B$18)*(INDEX('Landbrugsareal - resultat'!$I$5:$K$18,,MATCH(E9,'Landbrugsareal - resultat'!$I$4:$K$4,0)))))),IF(C9=2019,SUMPRODUCT((B9='Landbrugsareal - resultat'!$B$5:$B$18)*(INDEX('Landbrugsareal - resultat'!$L$5:$N$18,,MATCH(E9,'Landbrugsareal - resultat'!$L$4:$N$4,0)))),IF(C9=2030,SUMPRODUCT((B9='Landbrugsareal - resultat'!$B$5:$B$18)*(INDEX('Landbrugsareal - resultat'!$O$5:$Q$18,,MATCH(E9,'Landbrugsareal - resultat'!$O$4:$Q$4,0)))),SUMPRODUCT((B9='Landbrugsareal - resultat'!$B$5:$B$18)*(INDEX('Landbrugsareal - resultat'!$R$5:$T$18,,MATCH(E9,'Landbrugsareal - resultat'!$R$4:$T$4,0))))))),IF(D9="Konventionel",IF(C9=2019,SUMPRODUCT((B9='Landbrugsareal - resultat'!$B$32:$B$45)*(INDEX('Landbrugsareal - resultat'!$C$32:$E$45,,MATCH(E9,'Landbrugsareal - resultat'!$C$4:$E$4,0)))),IF(C9=2030,SUMPRODUCT((B9='Landbrugsareal - resultat'!$B$32:$B$45)*(INDEX('Landbrugsareal - resultat'!$F$32:$H$45,,MATCH(E9,'Landbrugsareal - resultat'!$F$4:$H$4,0)))),SUMPRODUCT((B9='Landbrugsareal - resultat'!$B$32:$B$45)*(INDEX('Landbrugsareal - resultat'!$I$32:$K$45,,MATCH(E9,'Landbrugsareal - resultat'!$I$4:$K$4,0)))))),IF(C9=2019,SUMPRODUCT((B9='Landbrugsareal - resultat'!$B$32:$B$45)*(INDEX('Landbrugsareal - resultat'!$L$32:$N$45,,MATCH(E9,'Landbrugsareal - resultat'!$L$4:$N$4,0)))),IF(C9=2030,SUMPRODUCT((B9='Landbrugsareal - resultat'!$B$32:$B$45)*(INDEX('Landbrugsareal - resultat'!$O$32:$Q$45,,MATCH(E9,'Landbrugsareal - resultat'!$O$4:$Q$4,0)))),SUMPRODUCT((B9='Landbrugsareal - resultat'!$B$32:$B$45)*(INDEX('Landbrugsareal - resultat'!$R$32:$T$45,,MATCH(E9,'Landbrugsareal - resultat'!$R$4:$T$4,0))))))))</f>
        <v>145638.34626271055</v>
      </c>
      <c r="H9" s="172">
        <f>G9*VLOOKUP(B9,[1]Afgrødedata!$A$5:$F$18,2,FALSE)*IF(D9="Økologisk",VLOOKUP(B9,[1]Afgrødedata!$A$5:$F$18,4,FALSE),1)*IF(E9&lt;&gt;Jordbund1,IF(E9=Organ6,VLOOKUP(B9,[1]Afgrødedata!$A$5:$F$18,5,FALSE),VLOOKUP(B9,[1]Afgrødedata!$A$5:$F$18,6,FALSE)),1)*0.1</f>
        <v>6482362.7921532467</v>
      </c>
      <c r="I9" s="172">
        <f>G9*VLOOKUP(B9,[1]Afgrødedata!$A$5:$F$18,3,FALSE)*IF(D9="Økologisk",VLOOKUP(B9,[1]Afgrødedata!$A$5:$F$18,4,FALSE),1)*IF(E9&lt;&gt;Jordbund1,IF(E9=Organ6,VLOOKUP(B9,[1]Afgrødedata!$A$5:$F$18,5,FALSE),VLOOKUP(B9,[1]Afgrødedata!$A$5:$F$18,6,FALSE)),1)*HLOOKUP(C9,Landbrug!$C$15:$E$17,2,FALSE)*HLOOKUP(C9,Landbrug!$C$15:$E$17,3,FALSE)*0.1</f>
        <v>0</v>
      </c>
      <c r="J9" s="76">
        <f t="shared" si="2"/>
        <v>6482362.7921532467</v>
      </c>
      <c r="L9" t="s">
        <v>23</v>
      </c>
      <c r="M9" t="s">
        <v>3</v>
      </c>
      <c r="N9">
        <v>2050</v>
      </c>
      <c r="O9" t="s">
        <v>7</v>
      </c>
      <c r="P9" s="76">
        <f>'Landbrugsareal - resultat'!E24</f>
        <v>1097180.5432080105</v>
      </c>
    </row>
    <row r="10" spans="1:16" x14ac:dyDescent="0.55000000000000004">
      <c r="A10" t="s">
        <v>23</v>
      </c>
      <c r="B10" s="1" t="str">
        <f>[1]Afgrødefordeling!$C$10</f>
        <v>Frugt</v>
      </c>
      <c r="C10">
        <v>2019</v>
      </c>
      <c r="D10" t="s">
        <v>7</v>
      </c>
      <c r="E10" s="172" t="str">
        <f t="shared" si="0"/>
        <v>JB1-10</v>
      </c>
      <c r="F10" t="str">
        <f t="shared" si="1"/>
        <v>Frugt</v>
      </c>
      <c r="G10" s="76" cm="1">
        <f t="array" ref="G10">IF(A10="Vestdanmark",IF(D10="Konventionel",IF(C10=2019,SUMPRODUCT((B10='Landbrugsareal - resultat'!$B$5:$B$18)*(INDEX('Landbrugsareal - resultat'!$C$5:$E$18,,MATCH(E10,'Landbrugsareal - resultat'!$C$4:$E$4,0)))),IF(C10=2030,SUMPRODUCT((B10='Landbrugsareal - resultat'!$B$5:$B$18)*(INDEX('Landbrugsareal - resultat'!$F$5:$H$18,,MATCH(E10,'Landbrugsareal - resultat'!$F$4:$H$4,0)))),SUMPRODUCT((B10='Landbrugsareal - resultat'!$B$5:$B$18)*(INDEX('Landbrugsareal - resultat'!$I$5:$K$18,,MATCH(E10,'Landbrugsareal - resultat'!$I$4:$K$4,0)))))),IF(C10=2019,SUMPRODUCT((B10='Landbrugsareal - resultat'!$B$5:$B$18)*(INDEX('Landbrugsareal - resultat'!$L$5:$N$18,,MATCH(E10,'Landbrugsareal - resultat'!$L$4:$N$4,0)))),IF(C10=2030,SUMPRODUCT((B10='Landbrugsareal - resultat'!$B$5:$B$18)*(INDEX('Landbrugsareal - resultat'!$O$5:$Q$18,,MATCH(E10,'Landbrugsareal - resultat'!$O$4:$Q$4,0)))),SUMPRODUCT((B10='Landbrugsareal - resultat'!$B$5:$B$18)*(INDEX('Landbrugsareal - resultat'!$R$5:$T$18,,MATCH(E10,'Landbrugsareal - resultat'!$R$4:$T$4,0))))))),IF(D10="Konventionel",IF(C10=2019,SUMPRODUCT((B10='Landbrugsareal - resultat'!$B$32:$B$45)*(INDEX('Landbrugsareal - resultat'!$C$32:$E$45,,MATCH(E10,'Landbrugsareal - resultat'!$C$4:$E$4,0)))),IF(C10=2030,SUMPRODUCT((B10='Landbrugsareal - resultat'!$B$32:$B$45)*(INDEX('Landbrugsareal - resultat'!$F$32:$H$45,,MATCH(E10,'Landbrugsareal - resultat'!$F$4:$H$4,0)))),SUMPRODUCT((B10='Landbrugsareal - resultat'!$B$32:$B$45)*(INDEX('Landbrugsareal - resultat'!$I$32:$K$45,,MATCH(E10,'Landbrugsareal - resultat'!$I$4:$K$4,0)))))),IF(C10=2019,SUMPRODUCT((B10='Landbrugsareal - resultat'!$B$32:$B$45)*(INDEX('Landbrugsareal - resultat'!$L$32:$N$45,,MATCH(E10,'Landbrugsareal - resultat'!$L$4:$N$4,0)))),IF(C10=2030,SUMPRODUCT((B10='Landbrugsareal - resultat'!$B$32:$B$45)*(INDEX('Landbrugsareal - resultat'!$O$32:$Q$45,,MATCH(E10,'Landbrugsareal - resultat'!$O$4:$Q$4,0)))),SUMPRODUCT((B10='Landbrugsareal - resultat'!$B$32:$B$45)*(INDEX('Landbrugsareal - resultat'!$R$32:$T$45,,MATCH(E10,'Landbrugsareal - resultat'!$R$4:$T$4,0))))))))</f>
        <v>2676.1448409922077</v>
      </c>
      <c r="H10" s="172">
        <f>G10*VLOOKUP(B10,[1]Afgrødedata!$A$5:$F$18,2,FALSE)*IF(D10="Økologisk",VLOOKUP(B10,[1]Afgrødedata!$A$5:$F$18,4,FALSE),1)*IF(E10&lt;&gt;Jordbund1,IF(E10=Organ6,VLOOKUP(B10,[1]Afgrødedata!$A$5:$F$18,5,FALSE),VLOOKUP(B10,[1]Afgrødedata!$A$5:$F$18,6,FALSE)),1)*0.1</f>
        <v>22720.469700023848</v>
      </c>
      <c r="I10" s="172">
        <f>G10*VLOOKUP(B10,[1]Afgrødedata!$A$5:$F$18,3,FALSE)*IF(D10="Økologisk",VLOOKUP(B10,[1]Afgrødedata!$A$5:$F$18,4,FALSE),1)*IF(E10&lt;&gt;Jordbund1,IF(E10=Organ6,VLOOKUP(B10,[1]Afgrødedata!$A$5:$F$18,5,FALSE),VLOOKUP(B10,[1]Afgrødedata!$A$5:$F$18,6,FALSE)),1)*HLOOKUP(C10,Landbrug!$C$15:$E$17,2,FALSE)*HLOOKUP(C10,Landbrug!$C$15:$E$17,3,FALSE)*0.1</f>
        <v>0</v>
      </c>
      <c r="J10" s="76">
        <f t="shared" si="2"/>
        <v>22720.469700023848</v>
      </c>
      <c r="L10" t="s">
        <v>23</v>
      </c>
      <c r="M10" t="s">
        <v>4</v>
      </c>
      <c r="N10">
        <v>2050</v>
      </c>
      <c r="O10" t="s">
        <v>7</v>
      </c>
      <c r="P10" s="76">
        <f>'Landbrugsareal - resultat'!E25</f>
        <v>16939594.832894832</v>
      </c>
    </row>
    <row r="11" spans="1:16" x14ac:dyDescent="0.55000000000000004">
      <c r="A11" t="s">
        <v>23</v>
      </c>
      <c r="B11" s="1" t="str">
        <f>[1]Afgrødefordeling!$C$11</f>
        <v>Øvrige</v>
      </c>
      <c r="C11">
        <v>2019</v>
      </c>
      <c r="D11" t="s">
        <v>7</v>
      </c>
      <c r="E11" s="172" t="str">
        <f t="shared" si="0"/>
        <v>JB1-10</v>
      </c>
      <c r="F11" t="str">
        <f t="shared" si="1"/>
        <v>Øvrige</v>
      </c>
      <c r="G11" s="76" cm="1">
        <f t="array" ref="G11">IF(A11="Vestdanmark",IF(D11="Konventionel",IF(C11=2019,SUMPRODUCT((B11='Landbrugsareal - resultat'!$B$5:$B$18)*(INDEX('Landbrugsareal - resultat'!$C$5:$E$18,,MATCH(E11,'Landbrugsareal - resultat'!$C$4:$E$4,0)))),IF(C11=2030,SUMPRODUCT((B11='Landbrugsareal - resultat'!$B$5:$B$18)*(INDEX('Landbrugsareal - resultat'!$F$5:$H$18,,MATCH(E11,'Landbrugsareal - resultat'!$F$4:$H$4,0)))),SUMPRODUCT((B11='Landbrugsareal - resultat'!$B$5:$B$18)*(INDEX('Landbrugsareal - resultat'!$I$5:$K$18,,MATCH(E11,'Landbrugsareal - resultat'!$I$4:$K$4,0)))))),IF(C11=2019,SUMPRODUCT((B11='Landbrugsareal - resultat'!$B$5:$B$18)*(INDEX('Landbrugsareal - resultat'!$L$5:$N$18,,MATCH(E11,'Landbrugsareal - resultat'!$L$4:$N$4,0)))),IF(C11=2030,SUMPRODUCT((B11='Landbrugsareal - resultat'!$B$5:$B$18)*(INDEX('Landbrugsareal - resultat'!$O$5:$Q$18,,MATCH(E11,'Landbrugsareal - resultat'!$O$4:$Q$4,0)))),SUMPRODUCT((B11='Landbrugsareal - resultat'!$B$5:$B$18)*(INDEX('Landbrugsareal - resultat'!$R$5:$T$18,,MATCH(E11,'Landbrugsareal - resultat'!$R$4:$T$4,0))))))),IF(D11="Konventionel",IF(C11=2019,SUMPRODUCT((B11='Landbrugsareal - resultat'!$B$32:$B$45)*(INDEX('Landbrugsareal - resultat'!$C$32:$E$45,,MATCH(E11,'Landbrugsareal - resultat'!$C$4:$E$4,0)))),IF(C11=2030,SUMPRODUCT((B11='Landbrugsareal - resultat'!$B$32:$B$45)*(INDEX('Landbrugsareal - resultat'!$F$32:$H$45,,MATCH(E11,'Landbrugsareal - resultat'!$F$4:$H$4,0)))),SUMPRODUCT((B11='Landbrugsareal - resultat'!$B$32:$B$45)*(INDEX('Landbrugsareal - resultat'!$I$32:$K$45,,MATCH(E11,'Landbrugsareal - resultat'!$I$4:$K$4,0)))))),IF(C11=2019,SUMPRODUCT((B11='Landbrugsareal - resultat'!$B$32:$B$45)*(INDEX('Landbrugsareal - resultat'!$L$32:$N$45,,MATCH(E11,'Landbrugsareal - resultat'!$L$4:$N$4,0)))),IF(C11=2030,SUMPRODUCT((B11='Landbrugsareal - resultat'!$B$32:$B$45)*(INDEX('Landbrugsareal - resultat'!$O$32:$Q$45,,MATCH(E11,'Landbrugsareal - resultat'!$O$4:$Q$4,0)))),SUMPRODUCT((B11='Landbrugsareal - resultat'!$B$32:$B$45)*(INDEX('Landbrugsareal - resultat'!$R$32:$T$45,,MATCH(E11,'Landbrugsareal - resultat'!$R$4:$T$4,0))))))))</f>
        <v>47330.033772765404</v>
      </c>
      <c r="H11" s="172">
        <f>G11*VLOOKUP(B11,[1]Afgrødedata!$A$5:$F$18,2,FALSE)*IF(D11="Økologisk",VLOOKUP(B11,[1]Afgrødedata!$A$5:$F$18,4,FALSE),1)*IF(E11&lt;&gt;Jordbund1,IF(E11=Organ6,VLOOKUP(B11,[1]Afgrødedata!$A$5:$F$18,5,FALSE),VLOOKUP(B11,[1]Afgrødedata!$A$5:$F$18,6,FALSE)),1)*0.1</f>
        <v>1410243.012533868</v>
      </c>
      <c r="I11" s="172">
        <f>G11*VLOOKUP(B11,[1]Afgrødedata!$A$5:$F$18,3,FALSE)*IF(D11="Økologisk",VLOOKUP(B11,[1]Afgrødedata!$A$5:$F$18,4,FALSE),1)*IF(E11&lt;&gt;Jordbund1,IF(E11=Organ6,VLOOKUP(B11,[1]Afgrødedata!$A$5:$F$18,5,FALSE),VLOOKUP(B11,[1]Afgrødedata!$A$5:$F$18,6,FALSE)),1)*HLOOKUP(C11,Landbrug!$C$15:$E$17,2,FALSE)*HLOOKUP(C11,Landbrug!$C$15:$E$17,3,FALSE)*0.1</f>
        <v>0</v>
      </c>
      <c r="J11" s="76">
        <f t="shared" si="2"/>
        <v>1410243.012533868</v>
      </c>
      <c r="L11" t="s">
        <v>23</v>
      </c>
      <c r="M11" t="s">
        <v>22</v>
      </c>
      <c r="N11">
        <v>2019</v>
      </c>
      <c r="O11" t="s">
        <v>8</v>
      </c>
      <c r="P11" s="76">
        <f>'Landbrugsareal - resultat'!F23</f>
        <v>475477</v>
      </c>
    </row>
    <row r="12" spans="1:16" x14ac:dyDescent="0.55000000000000004">
      <c r="A12" t="s">
        <v>23</v>
      </c>
      <c r="B12" s="1" t="str">
        <f>[1]Afgrødefordeling!$C$12</f>
        <v>Frø</v>
      </c>
      <c r="C12">
        <v>2019</v>
      </c>
      <c r="D12" t="s">
        <v>7</v>
      </c>
      <c r="E12" s="172" t="str">
        <f t="shared" si="0"/>
        <v>JB1-10</v>
      </c>
      <c r="F12" t="str">
        <f t="shared" si="1"/>
        <v>Halm</v>
      </c>
      <c r="G12" s="76" cm="1">
        <f t="array" ref="G12">IF(A12="Vestdanmark",IF(D12="Konventionel",IF(C12=2019,SUMPRODUCT((B12='Landbrugsareal - resultat'!$B$5:$B$18)*(INDEX('Landbrugsareal - resultat'!$C$5:$E$18,,MATCH(E12,'Landbrugsareal - resultat'!$C$4:$E$4,0)))),IF(C12=2030,SUMPRODUCT((B12='Landbrugsareal - resultat'!$B$5:$B$18)*(INDEX('Landbrugsareal - resultat'!$F$5:$H$18,,MATCH(E12,'Landbrugsareal - resultat'!$F$4:$H$4,0)))),SUMPRODUCT((B12='Landbrugsareal - resultat'!$B$5:$B$18)*(INDEX('Landbrugsareal - resultat'!$I$5:$K$18,,MATCH(E12,'Landbrugsareal - resultat'!$I$4:$K$4,0)))))),IF(C12=2019,SUMPRODUCT((B12='Landbrugsareal - resultat'!$B$5:$B$18)*(INDEX('Landbrugsareal - resultat'!$L$5:$N$18,,MATCH(E12,'Landbrugsareal - resultat'!$L$4:$N$4,0)))),IF(C12=2030,SUMPRODUCT((B12='Landbrugsareal - resultat'!$B$5:$B$18)*(INDEX('Landbrugsareal - resultat'!$O$5:$Q$18,,MATCH(E12,'Landbrugsareal - resultat'!$O$4:$Q$4,0)))),SUMPRODUCT((B12='Landbrugsareal - resultat'!$B$5:$B$18)*(INDEX('Landbrugsareal - resultat'!$R$5:$T$18,,MATCH(E12,'Landbrugsareal - resultat'!$R$4:$T$4,0))))))),IF(D12="Konventionel",IF(C12=2019,SUMPRODUCT((B12='Landbrugsareal - resultat'!$B$32:$B$45)*(INDEX('Landbrugsareal - resultat'!$C$32:$E$45,,MATCH(E12,'Landbrugsareal - resultat'!$C$4:$E$4,0)))),IF(C12=2030,SUMPRODUCT((B12='Landbrugsareal - resultat'!$B$32:$B$45)*(INDEX('Landbrugsareal - resultat'!$F$32:$H$45,,MATCH(E12,'Landbrugsareal - resultat'!$F$4:$H$4,0)))),SUMPRODUCT((B12='Landbrugsareal - resultat'!$B$32:$B$45)*(INDEX('Landbrugsareal - resultat'!$I$32:$K$45,,MATCH(E12,'Landbrugsareal - resultat'!$I$4:$K$4,0)))))),IF(C12=2019,SUMPRODUCT((B12='Landbrugsareal - resultat'!$B$32:$B$45)*(INDEX('Landbrugsareal - resultat'!$L$32:$N$45,,MATCH(E12,'Landbrugsareal - resultat'!$L$4:$N$4,0)))),IF(C12=2030,SUMPRODUCT((B12='Landbrugsareal - resultat'!$B$32:$B$45)*(INDEX('Landbrugsareal - resultat'!$O$32:$Q$45,,MATCH(E12,'Landbrugsareal - resultat'!$O$4:$Q$4,0)))),SUMPRODUCT((B12='Landbrugsareal - resultat'!$B$32:$B$45)*(INDEX('Landbrugsareal - resultat'!$R$32:$T$45,,MATCH(E12,'Landbrugsareal - resultat'!$R$4:$T$4,0))))))))</f>
        <v>49787.032963432102</v>
      </c>
      <c r="H12" s="172">
        <f>G12*VLOOKUP(B12,[1]Afgrødedata!$A$5:$F$18,2,FALSE)*IF(D12="Økologisk",VLOOKUP(B12,[1]Afgrødedata!$A$5:$F$18,4,FALSE),1)*IF(E12&lt;&gt;Jordbund1,IF(E12=Organ6,VLOOKUP(B12,[1]Afgrødedata!$A$5:$F$18,5,FALSE),VLOOKUP(B12,[1]Afgrødedata!$A$5:$F$18,6,FALSE)),1)*0.1</f>
        <v>711399.98164280283</v>
      </c>
      <c r="I12" s="172">
        <f>G12*VLOOKUP(B12,[1]Afgrødedata!$A$5:$F$18,3,FALSE)*IF(D12="Økologisk",VLOOKUP(B12,[1]Afgrødedata!$A$5:$F$18,4,FALSE),1)*IF(E12&lt;&gt;Jordbund1,IF(E12=Organ6,VLOOKUP(B12,[1]Afgrødedata!$A$5:$F$18,5,FALSE),VLOOKUP(B12,[1]Afgrødedata!$A$5:$F$18,6,FALSE)),1)*HLOOKUP(C12,Landbrug!$C$15:$E$17,2,FALSE)*HLOOKUP(C12,Landbrug!$C$15:$E$17,3,FALSE)*0.1</f>
        <v>118184.45884859514</v>
      </c>
      <c r="J12" s="76">
        <f t="shared" si="2"/>
        <v>118184.45884859514</v>
      </c>
      <c r="L12" t="s">
        <v>23</v>
      </c>
      <c r="M12" t="s">
        <v>3</v>
      </c>
      <c r="N12">
        <v>2019</v>
      </c>
      <c r="O12" t="s">
        <v>8</v>
      </c>
      <c r="P12" s="76">
        <f>'Landbrugsareal - resultat'!F24</f>
        <v>207835</v>
      </c>
    </row>
    <row r="13" spans="1:16" x14ac:dyDescent="0.55000000000000004">
      <c r="A13" t="s">
        <v>23</v>
      </c>
      <c r="B13" s="1" t="str">
        <f>[1]Afgrødefordeling!$C$13</f>
        <v>Juletræer</v>
      </c>
      <c r="C13">
        <v>2019</v>
      </c>
      <c r="D13" t="s">
        <v>7</v>
      </c>
      <c r="E13" s="172" t="str">
        <f t="shared" si="0"/>
        <v>JB1-10</v>
      </c>
      <c r="F13" t="str">
        <f t="shared" si="1"/>
        <v>Juletræer</v>
      </c>
      <c r="G13" s="76" cm="1">
        <f t="array" ref="G13">IF(A13="Vestdanmark",IF(D13="Konventionel",IF(C13=2019,SUMPRODUCT((B13='Landbrugsareal - resultat'!$B$5:$B$18)*(INDEX('Landbrugsareal - resultat'!$C$5:$E$18,,MATCH(E13,'Landbrugsareal - resultat'!$C$4:$E$4,0)))),IF(C13=2030,SUMPRODUCT((B13='Landbrugsareal - resultat'!$B$5:$B$18)*(INDEX('Landbrugsareal - resultat'!$F$5:$H$18,,MATCH(E13,'Landbrugsareal - resultat'!$F$4:$H$4,0)))),SUMPRODUCT((B13='Landbrugsareal - resultat'!$B$5:$B$18)*(INDEX('Landbrugsareal - resultat'!$I$5:$K$18,,MATCH(E13,'Landbrugsareal - resultat'!$I$4:$K$4,0)))))),IF(C13=2019,SUMPRODUCT((B13='Landbrugsareal - resultat'!$B$5:$B$18)*(INDEX('Landbrugsareal - resultat'!$L$5:$N$18,,MATCH(E13,'Landbrugsareal - resultat'!$L$4:$N$4,0)))),IF(C13=2030,SUMPRODUCT((B13='Landbrugsareal - resultat'!$B$5:$B$18)*(INDEX('Landbrugsareal - resultat'!$O$5:$Q$18,,MATCH(E13,'Landbrugsareal - resultat'!$O$4:$Q$4,0)))),SUMPRODUCT((B13='Landbrugsareal - resultat'!$B$5:$B$18)*(INDEX('Landbrugsareal - resultat'!$R$5:$T$18,,MATCH(E13,'Landbrugsareal - resultat'!$R$4:$T$4,0))))))),IF(D13="Konventionel",IF(C13=2019,SUMPRODUCT((B13='Landbrugsareal - resultat'!$B$32:$B$45)*(INDEX('Landbrugsareal - resultat'!$C$32:$E$45,,MATCH(E13,'Landbrugsareal - resultat'!$C$4:$E$4,0)))),IF(C13=2030,SUMPRODUCT((B13='Landbrugsareal - resultat'!$B$32:$B$45)*(INDEX('Landbrugsareal - resultat'!$F$32:$H$45,,MATCH(E13,'Landbrugsareal - resultat'!$F$4:$H$4,0)))),SUMPRODUCT((B13='Landbrugsareal - resultat'!$B$32:$B$45)*(INDEX('Landbrugsareal - resultat'!$I$32:$K$45,,MATCH(E13,'Landbrugsareal - resultat'!$I$4:$K$4,0)))))),IF(C13=2019,SUMPRODUCT((B13='Landbrugsareal - resultat'!$B$32:$B$45)*(INDEX('Landbrugsareal - resultat'!$L$32:$N$45,,MATCH(E13,'Landbrugsareal - resultat'!$L$4:$N$4,0)))),IF(C13=2030,SUMPRODUCT((B13='Landbrugsareal - resultat'!$B$32:$B$45)*(INDEX('Landbrugsareal - resultat'!$O$32:$Q$45,,MATCH(E13,'Landbrugsareal - resultat'!$O$4:$Q$4,0)))),SUMPRODUCT((B13='Landbrugsareal - resultat'!$B$32:$B$45)*(INDEX('Landbrugsareal - resultat'!$R$32:$T$45,,MATCH(E13,'Landbrugsareal - resultat'!$R$4:$T$4,0))))))))</f>
        <v>13422.322311297707</v>
      </c>
      <c r="H13" s="172">
        <f>G13*VLOOKUP(B13,[1]Afgrødedata!$A$5:$F$18,2,FALSE)*IF(D13="Økologisk",VLOOKUP(B13,[1]Afgrødedata!$A$5:$F$18,4,FALSE),1)*IF(E13&lt;&gt;Jordbund1,IF(E13=Organ6,VLOOKUP(B13,[1]Afgrødedata!$A$5:$F$18,5,FALSE),VLOOKUP(B13,[1]Afgrødedata!$A$5:$F$18,6,FALSE)),1)*0.1</f>
        <v>671116.11556488543</v>
      </c>
      <c r="I13" s="172">
        <f>G13*VLOOKUP(B13,[1]Afgrødedata!$A$5:$F$18,3,FALSE)*IF(D13="Økologisk",VLOOKUP(B13,[1]Afgrødedata!$A$5:$F$18,4,FALSE),1)*IF(E13&lt;&gt;Jordbund1,IF(E13=Organ6,VLOOKUP(B13,[1]Afgrødedata!$A$5:$F$18,5,FALSE),VLOOKUP(B13,[1]Afgrødedata!$A$5:$F$18,6,FALSE)),1)*HLOOKUP(C13,Landbrug!$C$15:$E$17,2,FALSE)*HLOOKUP(C13,Landbrug!$C$15:$E$17,3,FALSE)*0.1</f>
        <v>0</v>
      </c>
      <c r="J13" s="76">
        <f t="shared" si="2"/>
        <v>671116.11556488543</v>
      </c>
      <c r="L13" t="s">
        <v>23</v>
      </c>
      <c r="M13" t="s">
        <v>4</v>
      </c>
      <c r="N13">
        <v>2019</v>
      </c>
      <c r="O13" t="s">
        <v>8</v>
      </c>
      <c r="P13" s="76">
        <f>'Landbrugsareal - resultat'!F25</f>
        <v>3062300</v>
      </c>
    </row>
    <row r="14" spans="1:16" x14ac:dyDescent="0.55000000000000004">
      <c r="A14" t="s">
        <v>23</v>
      </c>
      <c r="B14" s="1" t="str">
        <f>[1]Afgrødefordeling!$C$14</f>
        <v>Pil &amp; poppel</v>
      </c>
      <c r="C14">
        <v>2019</v>
      </c>
      <c r="D14" t="s">
        <v>7</v>
      </c>
      <c r="E14" s="172" t="str">
        <f t="shared" si="0"/>
        <v>JB1-10</v>
      </c>
      <c r="F14" t="str">
        <f>IF(I14&lt;&gt;0,"Halm",IF(B14&lt;&gt;"Permanent græs",B14,"Græs"))</f>
        <v>Pil &amp; poppel</v>
      </c>
      <c r="G14" s="76" cm="1">
        <f t="array" ref="G14">IF(A14="Vestdanmark",IF(D14="Konventionel",IF(C14=2019,SUMPRODUCT((B14='Landbrugsareal - resultat'!$B$5:$B$18)*(INDEX('Landbrugsareal - resultat'!$C$5:$E$18,,MATCH(E14,'Landbrugsareal - resultat'!$C$4:$E$4,0)))),IF(C14=2030,SUMPRODUCT((B14='Landbrugsareal - resultat'!$B$5:$B$18)*(INDEX('Landbrugsareal - resultat'!$F$5:$H$18,,MATCH(E14,'Landbrugsareal - resultat'!$F$4:$H$4,0)))),SUMPRODUCT((B14='Landbrugsareal - resultat'!$B$5:$B$18)*(INDEX('Landbrugsareal - resultat'!$I$5:$K$18,,MATCH(E14,'Landbrugsareal - resultat'!$I$4:$K$4,0)))))),IF(C14=2019,SUMPRODUCT((B14='Landbrugsareal - resultat'!$B$5:$B$18)*(INDEX('Landbrugsareal - resultat'!$L$5:$N$18,,MATCH(E14,'Landbrugsareal - resultat'!$L$4:$N$4,0)))),IF(C14=2030,SUMPRODUCT((B14='Landbrugsareal - resultat'!$B$5:$B$18)*(INDEX('Landbrugsareal - resultat'!$O$5:$Q$18,,MATCH(E14,'Landbrugsareal - resultat'!$O$4:$Q$4,0)))),SUMPRODUCT((B14='Landbrugsareal - resultat'!$B$5:$B$18)*(INDEX('Landbrugsareal - resultat'!$R$5:$T$18,,MATCH(E14,'Landbrugsareal - resultat'!$R$4:$T$4,0))))))),IF(D14="Konventionel",IF(C14=2019,SUMPRODUCT((B14='Landbrugsareal - resultat'!$B$32:$B$45)*(INDEX('Landbrugsareal - resultat'!$C$32:$E$45,,MATCH(E14,'Landbrugsareal - resultat'!$C$4:$E$4,0)))),IF(C14=2030,SUMPRODUCT((B14='Landbrugsareal - resultat'!$B$32:$B$45)*(INDEX('Landbrugsareal - resultat'!$F$32:$H$45,,MATCH(E14,'Landbrugsareal - resultat'!$F$4:$H$4,0)))),SUMPRODUCT((B14='Landbrugsareal - resultat'!$B$32:$B$45)*(INDEX('Landbrugsareal - resultat'!$I$32:$K$45,,MATCH(E14,'Landbrugsareal - resultat'!$I$4:$K$4,0)))))),IF(C14=2019,SUMPRODUCT((B14='Landbrugsareal - resultat'!$B$32:$B$45)*(INDEX('Landbrugsareal - resultat'!$L$32:$N$45,,MATCH(E14,'Landbrugsareal - resultat'!$L$4:$N$4,0)))),IF(C14=2030,SUMPRODUCT((B14='Landbrugsareal - resultat'!$B$32:$B$45)*(INDEX('Landbrugsareal - resultat'!$O$32:$Q$45,,MATCH(E14,'Landbrugsareal - resultat'!$O$4:$Q$4,0)))),SUMPRODUCT((B14='Landbrugsareal - resultat'!$B$32:$B$45)*(INDEX('Landbrugsareal - resultat'!$R$32:$T$45,,MATCH(E14,'Landbrugsareal - resultat'!$R$4:$T$4,0))))))))</f>
        <v>4937.1607996010098</v>
      </c>
      <c r="H14" s="172">
        <f>G14*VLOOKUP(B14,[1]Afgrødedata!$A$5:$F$18,2,FALSE)*IF(D14="Økologisk",VLOOKUP(B14,[1]Afgrødedata!$A$5:$F$18,4,FALSE),1)*IF(E14&lt;&gt;Jordbund1,IF(E14=Organ6,VLOOKUP(B14,[1]Afgrødedata!$A$5:$F$18,5,FALSE),VLOOKUP(B14,[1]Afgrødedata!$A$5:$F$18,6,FALSE)),1)*0.1</f>
        <v>120418.55608782951</v>
      </c>
      <c r="I14" s="172">
        <f>G14*VLOOKUP(B14,[1]Afgrødedata!$A$5:$F$18,3,FALSE)*IF(D14="Økologisk",VLOOKUP(B14,[1]Afgrødedata!$A$5:$F$18,4,FALSE),1)*IF(E14&lt;&gt;Jordbund1,IF(E14=Organ6,VLOOKUP(B14,[1]Afgrødedata!$A$5:$F$18,5,FALSE),VLOOKUP(B14,[1]Afgrødedata!$A$5:$F$18,6,FALSE)),1)*HLOOKUP(C14,Landbrug!$C$15:$E$17,2,FALSE)*HLOOKUP(C14,Landbrug!$C$15:$E$17,3,FALSE)*0.1</f>
        <v>0</v>
      </c>
      <c r="J14" s="76">
        <f t="shared" ref="J14" si="3">IF(I14&lt;&gt;0,I14,H14)</f>
        <v>120418.55608782951</v>
      </c>
      <c r="L14" t="s">
        <v>23</v>
      </c>
      <c r="M14" t="s">
        <v>22</v>
      </c>
      <c r="N14">
        <v>2030</v>
      </c>
      <c r="O14" t="s">
        <v>8</v>
      </c>
      <c r="P14" s="76">
        <f>'Landbrugsareal - resultat'!G23</f>
        <v>661191.6419289998</v>
      </c>
    </row>
    <row r="15" spans="1:16" x14ac:dyDescent="0.55000000000000004">
      <c r="A15" t="s">
        <v>23</v>
      </c>
      <c r="B15" s="1" t="str">
        <f>[1]Afgrødefordeling!$C$15</f>
        <v>Permanent græs</v>
      </c>
      <c r="C15">
        <v>2019</v>
      </c>
      <c r="D15" t="s">
        <v>7</v>
      </c>
      <c r="E15" s="172" t="str">
        <f t="shared" si="0"/>
        <v>JB1-10</v>
      </c>
      <c r="F15" t="str">
        <f t="shared" si="1"/>
        <v>Græs</v>
      </c>
      <c r="G15" s="76" cm="1">
        <f t="array" ref="G15">IF(A15="Vestdanmark",IF(D15="Konventionel",IF(C15=2019,SUMPRODUCT((B15='Landbrugsareal - resultat'!$B$5:$B$18)*(INDEX('Landbrugsareal - resultat'!$C$5:$E$18,,MATCH(E15,'Landbrugsareal - resultat'!$C$4:$E$4,0)))),IF(C15=2030,SUMPRODUCT((B15='Landbrugsareal - resultat'!$B$5:$B$18)*(INDEX('Landbrugsareal - resultat'!$F$5:$H$18,,MATCH(E15,'Landbrugsareal - resultat'!$F$4:$H$4,0)))),SUMPRODUCT((B15='Landbrugsareal - resultat'!$B$5:$B$18)*(INDEX('Landbrugsareal - resultat'!$I$5:$K$18,,MATCH(E15,'Landbrugsareal - resultat'!$I$4:$K$4,0)))))),IF(C15=2019,SUMPRODUCT((B15='Landbrugsareal - resultat'!$B$5:$B$18)*(INDEX('Landbrugsareal - resultat'!$L$5:$N$18,,MATCH(E15,'Landbrugsareal - resultat'!$L$4:$N$4,0)))),IF(C15=2030,SUMPRODUCT((B15='Landbrugsareal - resultat'!$B$5:$B$18)*(INDEX('Landbrugsareal - resultat'!$O$5:$Q$18,,MATCH(E15,'Landbrugsareal - resultat'!$O$4:$Q$4,0)))),SUMPRODUCT((B15='Landbrugsareal - resultat'!$B$5:$B$18)*(INDEX('Landbrugsareal - resultat'!$R$5:$T$18,,MATCH(E15,'Landbrugsareal - resultat'!$R$4:$T$4,0))))))),IF(D15="Konventionel",IF(C15=2019,SUMPRODUCT((B15='Landbrugsareal - resultat'!$B$32:$B$45)*(INDEX('Landbrugsareal - resultat'!$C$32:$E$45,,MATCH(E15,'Landbrugsareal - resultat'!$C$4:$E$4,0)))),IF(C15=2030,SUMPRODUCT((B15='Landbrugsareal - resultat'!$B$32:$B$45)*(INDEX('Landbrugsareal - resultat'!$F$32:$H$45,,MATCH(E15,'Landbrugsareal - resultat'!$F$4:$H$4,0)))),SUMPRODUCT((B15='Landbrugsareal - resultat'!$B$32:$B$45)*(INDEX('Landbrugsareal - resultat'!$I$32:$K$45,,MATCH(E15,'Landbrugsareal - resultat'!$I$4:$K$4,0)))))),IF(C15=2019,SUMPRODUCT((B15='Landbrugsareal - resultat'!$B$32:$B$45)*(INDEX('Landbrugsareal - resultat'!$L$32:$N$45,,MATCH(E15,'Landbrugsareal - resultat'!$L$4:$N$4,0)))),IF(C15=2030,SUMPRODUCT((B15='Landbrugsareal - resultat'!$B$32:$B$45)*(INDEX('Landbrugsareal - resultat'!$O$32:$Q$45,,MATCH(E15,'Landbrugsareal - resultat'!$O$4:$Q$4,0)))),SUMPRODUCT((B15='Landbrugsareal - resultat'!$B$32:$B$45)*(INDEX('Landbrugsareal - resultat'!$R$32:$T$45,,MATCH(E15,'Landbrugsareal - resultat'!$R$4:$T$4,0))))))))</f>
        <v>119003.01274629038</v>
      </c>
      <c r="H15" s="172">
        <f>G15*VLOOKUP(B15,[1]Afgrødedata!$A$5:$F$18,2,FALSE)*IF(D15="Økologisk",VLOOKUP(B15,[1]Afgrødedata!$A$5:$F$18,4,FALSE),1)*IF(E15&lt;&gt;Jordbund1,IF(E15=Organ6,VLOOKUP(B15,[1]Afgrødedata!$A$5:$F$18,5,FALSE),VLOOKUP(B15,[1]Afgrødedata!$A$5:$F$18,6,FALSE)),1)*0.1</f>
        <v>1641051.5457713446</v>
      </c>
      <c r="I15" s="172">
        <f>G15*VLOOKUP(B15,[1]Afgrødedata!$A$5:$F$18,3,FALSE)*IF(D15="Økologisk",VLOOKUP(B15,[1]Afgrødedata!$A$5:$F$18,4,FALSE),1)*IF(E15&lt;&gt;Jordbund1,IF(E15=Organ6,VLOOKUP(B15,[1]Afgrødedata!$A$5:$F$18,5,FALSE),VLOOKUP(B15,[1]Afgrødedata!$A$5:$F$18,6,FALSE)),1)*HLOOKUP(C15,Landbrug!$C$15:$E$17,2,FALSE)*HLOOKUP(C15,Landbrug!$C$15:$E$17,3,FALSE)*0.1</f>
        <v>0</v>
      </c>
      <c r="J15" s="76">
        <f t="shared" si="2"/>
        <v>1641051.5457713446</v>
      </c>
      <c r="L15" t="s">
        <v>23</v>
      </c>
      <c r="M15" t="s">
        <v>3</v>
      </c>
      <c r="N15">
        <v>2030</v>
      </c>
      <c r="O15" t="s">
        <v>8</v>
      </c>
      <c r="P15" s="76">
        <f>'Landbrugsareal - resultat'!G24</f>
        <v>239584.89679198936</v>
      </c>
    </row>
    <row r="16" spans="1:16" x14ac:dyDescent="0.55000000000000004">
      <c r="A16" t="s">
        <v>23</v>
      </c>
      <c r="B16" s="1" t="str">
        <f>[1]Afgrødefordeling!$C$2</f>
        <v>Korn</v>
      </c>
      <c r="C16">
        <v>2030</v>
      </c>
      <c r="D16" t="s">
        <v>7</v>
      </c>
      <c r="E16" s="172" t="str">
        <f t="shared" si="0"/>
        <v>JB1-10</v>
      </c>
      <c r="F16" t="str">
        <f t="shared" si="1"/>
        <v>Halm</v>
      </c>
      <c r="G16" s="76" cm="1">
        <f t="array" ref="G16">IF(A16="Vestdanmark",IF(D16="Konventionel",IF(C16=2019,SUMPRODUCT((B16='Landbrugsareal - resultat'!$B$5:$B$18)*(INDEX('Landbrugsareal - resultat'!$C$5:$E$18,,MATCH(E16,'Landbrugsareal - resultat'!$C$4:$E$4,0)))),IF(C16=2030,SUMPRODUCT((B16='Landbrugsareal - resultat'!$B$5:$B$18)*(INDEX('Landbrugsareal - resultat'!$F$5:$H$18,,MATCH(E16,'Landbrugsareal - resultat'!$F$4:$H$4,0)))),SUMPRODUCT((B16='Landbrugsareal - resultat'!$B$5:$B$18)*(INDEX('Landbrugsareal - resultat'!$I$5:$K$18,,MATCH(E16,'Landbrugsareal - resultat'!$I$4:$K$4,0)))))),IF(C16=2019,SUMPRODUCT((B16='Landbrugsareal - resultat'!$B$5:$B$18)*(INDEX('Landbrugsareal - resultat'!$L$5:$N$18,,MATCH(E16,'Landbrugsareal - resultat'!$L$4:$N$4,0)))),IF(C16=2030,SUMPRODUCT((B16='Landbrugsareal - resultat'!$B$5:$B$18)*(INDEX('Landbrugsareal - resultat'!$O$5:$Q$18,,MATCH(E16,'Landbrugsareal - resultat'!$O$4:$Q$4,0)))),SUMPRODUCT((B16='Landbrugsareal - resultat'!$B$5:$B$18)*(INDEX('Landbrugsareal - resultat'!$R$5:$T$18,,MATCH(E16,'Landbrugsareal - resultat'!$R$4:$T$4,0))))))),IF(D16="Konventionel",IF(C16=2019,SUMPRODUCT((B16='Landbrugsareal - resultat'!$B$32:$B$45)*(INDEX('Landbrugsareal - resultat'!$C$32:$E$45,,MATCH(E16,'Landbrugsareal - resultat'!$C$4:$E$4,0)))),IF(C16=2030,SUMPRODUCT((B16='Landbrugsareal - resultat'!$B$32:$B$45)*(INDEX('Landbrugsareal - resultat'!$F$32:$H$45,,MATCH(E16,'Landbrugsareal - resultat'!$F$4:$H$4,0)))),SUMPRODUCT((B16='Landbrugsareal - resultat'!$B$32:$B$45)*(INDEX('Landbrugsareal - resultat'!$I$32:$K$45,,MATCH(E16,'Landbrugsareal - resultat'!$I$4:$K$4,0)))))),IF(C16=2019,SUMPRODUCT((B16='Landbrugsareal - resultat'!$B$32:$B$45)*(INDEX('Landbrugsareal - resultat'!$L$32:$N$45,,MATCH(E16,'Landbrugsareal - resultat'!$L$4:$N$4,0)))),IF(C16=2030,SUMPRODUCT((B16='Landbrugsareal - resultat'!$B$32:$B$45)*(INDEX('Landbrugsareal - resultat'!$O$32:$Q$45,,MATCH(E16,'Landbrugsareal - resultat'!$O$4:$Q$4,0)))),SUMPRODUCT((B16='Landbrugsareal - resultat'!$B$32:$B$45)*(INDEX('Landbrugsareal - resultat'!$R$32:$T$45,,MATCH(E16,'Landbrugsareal - resultat'!$R$4:$T$4,0))))))))</f>
        <v>887019.9002401476</v>
      </c>
      <c r="H16" s="172">
        <f>G16*VLOOKUP(B16,[1]Afgrødedata!$A$5:$F$18,2,FALSE)*IF(D16="Økologisk",VLOOKUP(B16,[1]Afgrødedata!$A$5:$F$18,4,FALSE),1)*IF(E16&lt;&gt;Jordbund1,IF(E16=Organ6,VLOOKUP(B16,[1]Afgrødedata!$A$5:$F$18,5,FALSE),VLOOKUP(B16,[1]Afgrødedata!$A$5:$F$18,6,FALSE)),1)*0.1</f>
        <v>6218009.5006834343</v>
      </c>
      <c r="I16" s="172">
        <f>G16*VLOOKUP(B16,[1]Afgrødedata!$A$5:$F$18,3,FALSE)*IF(D16="Økologisk",VLOOKUP(B16,[1]Afgrødedata!$A$5:$F$18,4,FALSE),1)*IF(E16&lt;&gt;Jordbund1,IF(E16=Organ6,VLOOKUP(B16,[1]Afgrødedata!$A$5:$F$18,5,FALSE),VLOOKUP(B16,[1]Afgrødedata!$A$5:$F$18,6,FALSE)),1)*HLOOKUP(C16,Landbrug!$C$15:$E$17,2,FALSE)*HLOOKUP(C16,Landbrug!$C$15:$E$17,3,FALSE)*0.1</f>
        <v>2017744.0829717745</v>
      </c>
      <c r="J16" s="76">
        <f t="shared" si="2"/>
        <v>2017744.0829717745</v>
      </c>
      <c r="L16" t="s">
        <v>23</v>
      </c>
      <c r="M16" t="s">
        <v>4</v>
      </c>
      <c r="N16">
        <v>2030</v>
      </c>
      <c r="O16" t="s">
        <v>8</v>
      </c>
      <c r="P16" s="76">
        <f>'Landbrugsareal - resultat'!G25</f>
        <v>3483765.8071051692</v>
      </c>
    </row>
    <row r="17" spans="1:16" x14ac:dyDescent="0.55000000000000004">
      <c r="A17" t="s">
        <v>23</v>
      </c>
      <c r="B17" s="1" t="str">
        <f>[1]Afgrødefordeling!$C$3</f>
        <v>Bælgsæd</v>
      </c>
      <c r="C17">
        <v>2030</v>
      </c>
      <c r="D17" t="s">
        <v>7</v>
      </c>
      <c r="E17" s="172" t="str">
        <f t="shared" si="0"/>
        <v>JB1-10</v>
      </c>
      <c r="F17" t="str">
        <f t="shared" si="1"/>
        <v>Halm</v>
      </c>
      <c r="G17" s="76" cm="1">
        <f t="array" ref="G17">IF(A17="Vestdanmark",IF(D17="Konventionel",IF(C17=2019,SUMPRODUCT((B17='Landbrugsareal - resultat'!$B$5:$B$18)*(INDEX('Landbrugsareal - resultat'!$C$5:$E$18,,MATCH(E17,'Landbrugsareal - resultat'!$C$4:$E$4,0)))),IF(C17=2030,SUMPRODUCT((B17='Landbrugsareal - resultat'!$B$5:$B$18)*(INDEX('Landbrugsareal - resultat'!$F$5:$H$18,,MATCH(E17,'Landbrugsareal - resultat'!$F$4:$H$4,0)))),SUMPRODUCT((B17='Landbrugsareal - resultat'!$B$5:$B$18)*(INDEX('Landbrugsareal - resultat'!$I$5:$K$18,,MATCH(E17,'Landbrugsareal - resultat'!$I$4:$K$4,0)))))),IF(C17=2019,SUMPRODUCT((B17='Landbrugsareal - resultat'!$B$5:$B$18)*(INDEX('Landbrugsareal - resultat'!$L$5:$N$18,,MATCH(E17,'Landbrugsareal - resultat'!$L$4:$N$4,0)))),IF(C17=2030,SUMPRODUCT((B17='Landbrugsareal - resultat'!$B$5:$B$18)*(INDEX('Landbrugsareal - resultat'!$O$5:$Q$18,,MATCH(E17,'Landbrugsareal - resultat'!$O$4:$Q$4,0)))),SUMPRODUCT((B17='Landbrugsareal - resultat'!$B$5:$B$18)*(INDEX('Landbrugsareal - resultat'!$R$5:$T$18,,MATCH(E17,'Landbrugsareal - resultat'!$R$4:$T$4,0))))))),IF(D17="Konventionel",IF(C17=2019,SUMPRODUCT((B17='Landbrugsareal - resultat'!$B$32:$B$45)*(INDEX('Landbrugsareal - resultat'!$C$32:$E$45,,MATCH(E17,'Landbrugsareal - resultat'!$C$4:$E$4,0)))),IF(C17=2030,SUMPRODUCT((B17='Landbrugsareal - resultat'!$B$32:$B$45)*(INDEX('Landbrugsareal - resultat'!$F$32:$H$45,,MATCH(E17,'Landbrugsareal - resultat'!$F$4:$H$4,0)))),SUMPRODUCT((B17='Landbrugsareal - resultat'!$B$32:$B$45)*(INDEX('Landbrugsareal - resultat'!$I$32:$K$45,,MATCH(E17,'Landbrugsareal - resultat'!$I$4:$K$4,0)))))),IF(C17=2019,SUMPRODUCT((B17='Landbrugsareal - resultat'!$B$32:$B$45)*(INDEX('Landbrugsareal - resultat'!$L$32:$N$45,,MATCH(E17,'Landbrugsareal - resultat'!$L$4:$N$4,0)))),IF(C17=2030,SUMPRODUCT((B17='Landbrugsareal - resultat'!$B$32:$B$45)*(INDEX('Landbrugsareal - resultat'!$O$32:$Q$45,,MATCH(E17,'Landbrugsareal - resultat'!$O$4:$Q$4,0)))),SUMPRODUCT((B17='Landbrugsareal - resultat'!$B$32:$B$45)*(INDEX('Landbrugsareal - resultat'!$R$32:$T$45,,MATCH(E17,'Landbrugsareal - resultat'!$R$4:$T$4,0))))))))</f>
        <v>56914.161564160306</v>
      </c>
      <c r="H17" s="172">
        <f>G17*VLOOKUP(B17,[1]Afgrødedata!$A$5:$F$18,2,FALSE)*IF(D17="Økologisk",VLOOKUP(B17,[1]Afgrødedata!$A$5:$F$18,4,FALSE),1)*IF(E17&lt;&gt;Jordbund1,IF(E17=Organ6,VLOOKUP(B17,[1]Afgrødedata!$A$5:$F$18,5,FALSE),VLOOKUP(B17,[1]Afgrødedata!$A$5:$F$18,6,FALSE)),1)*0.1</f>
        <v>219688.66363765878</v>
      </c>
      <c r="I17" s="172">
        <f>G17*VLOOKUP(B17,[1]Afgrødedata!$A$5:$F$18,3,FALSE)*IF(D17="Økologisk",VLOOKUP(B17,[1]Afgrødedata!$A$5:$F$18,4,FALSE),1)*IF(E17&lt;&gt;Jordbund1,IF(E17=Organ6,VLOOKUP(B17,[1]Afgrødedata!$A$5:$F$18,5,FALSE),VLOOKUP(B17,[1]Afgrødedata!$A$5:$F$18,6,FALSE)),1)*HLOOKUP(C17,Landbrug!$C$15:$E$17,2,FALSE)*HLOOKUP(C17,Landbrug!$C$15:$E$17,3,FALSE)*0.1</f>
        <v>64841.735128432192</v>
      </c>
      <c r="J17" s="76">
        <f t="shared" si="2"/>
        <v>64841.735128432192</v>
      </c>
      <c r="L17" t="s">
        <v>23</v>
      </c>
      <c r="M17" t="s">
        <v>22</v>
      </c>
      <c r="N17">
        <v>2050</v>
      </c>
      <c r="O17" t="s">
        <v>8</v>
      </c>
      <c r="P17" s="76">
        <f>'Landbrugsareal - resultat'!H23</f>
        <v>1090889.3619289997</v>
      </c>
    </row>
    <row r="18" spans="1:16" x14ac:dyDescent="0.55000000000000004">
      <c r="A18" t="s">
        <v>23</v>
      </c>
      <c r="B18" s="1" t="str">
        <f>[1]Afgrødefordeling!$C$4</f>
        <v>Raps</v>
      </c>
      <c r="C18">
        <v>2030</v>
      </c>
      <c r="D18" t="s">
        <v>7</v>
      </c>
      <c r="E18" s="172" t="str">
        <f t="shared" si="0"/>
        <v>JB1-10</v>
      </c>
      <c r="F18" t="str">
        <f t="shared" si="1"/>
        <v>Halm</v>
      </c>
      <c r="G18" s="76" cm="1">
        <f t="array" ref="G18">IF(A18="Vestdanmark",IF(D18="Konventionel",IF(C18=2019,SUMPRODUCT((B18='Landbrugsareal - resultat'!$B$5:$B$18)*(INDEX('Landbrugsareal - resultat'!$C$5:$E$18,,MATCH(E18,'Landbrugsareal - resultat'!$C$4:$E$4,0)))),IF(C18=2030,SUMPRODUCT((B18='Landbrugsareal - resultat'!$B$5:$B$18)*(INDEX('Landbrugsareal - resultat'!$F$5:$H$18,,MATCH(E18,'Landbrugsareal - resultat'!$F$4:$H$4,0)))),SUMPRODUCT((B18='Landbrugsareal - resultat'!$B$5:$B$18)*(INDEX('Landbrugsareal - resultat'!$I$5:$K$18,,MATCH(E18,'Landbrugsareal - resultat'!$I$4:$K$4,0)))))),IF(C18=2019,SUMPRODUCT((B18='Landbrugsareal - resultat'!$B$5:$B$18)*(INDEX('Landbrugsareal - resultat'!$L$5:$N$18,,MATCH(E18,'Landbrugsareal - resultat'!$L$4:$N$4,0)))),IF(C18=2030,SUMPRODUCT((B18='Landbrugsareal - resultat'!$B$5:$B$18)*(INDEX('Landbrugsareal - resultat'!$O$5:$Q$18,,MATCH(E18,'Landbrugsareal - resultat'!$O$4:$Q$4,0)))),SUMPRODUCT((B18='Landbrugsareal - resultat'!$B$5:$B$18)*(INDEX('Landbrugsareal - resultat'!$R$5:$T$18,,MATCH(E18,'Landbrugsareal - resultat'!$R$4:$T$4,0))))))),IF(D18="Konventionel",IF(C18=2019,SUMPRODUCT((B18='Landbrugsareal - resultat'!$B$32:$B$45)*(INDEX('Landbrugsareal - resultat'!$C$32:$E$45,,MATCH(E18,'Landbrugsareal - resultat'!$C$4:$E$4,0)))),IF(C18=2030,SUMPRODUCT((B18='Landbrugsareal - resultat'!$B$32:$B$45)*(INDEX('Landbrugsareal - resultat'!$F$32:$H$45,,MATCH(E18,'Landbrugsareal - resultat'!$F$4:$H$4,0)))),SUMPRODUCT((B18='Landbrugsareal - resultat'!$B$32:$B$45)*(INDEX('Landbrugsareal - resultat'!$I$32:$K$45,,MATCH(E18,'Landbrugsareal - resultat'!$I$4:$K$4,0)))))),IF(C18=2019,SUMPRODUCT((B18='Landbrugsareal - resultat'!$B$32:$B$45)*(INDEX('Landbrugsareal - resultat'!$L$32:$N$45,,MATCH(E18,'Landbrugsareal - resultat'!$L$4:$N$4,0)))),IF(C18=2030,SUMPRODUCT((B18='Landbrugsareal - resultat'!$B$32:$B$45)*(INDEX('Landbrugsareal - resultat'!$O$32:$Q$45,,MATCH(E18,'Landbrugsareal - resultat'!$O$4:$Q$4,0)))),SUMPRODUCT((B18='Landbrugsareal - resultat'!$B$32:$B$45)*(INDEX('Landbrugsareal - resultat'!$R$32:$T$45,,MATCH(E18,'Landbrugsareal - resultat'!$R$4:$T$4,0))))))))</f>
        <v>95709.195948732828</v>
      </c>
      <c r="H18" s="172">
        <f>G18*VLOOKUP(B18,[1]Afgrødedata!$A$5:$F$18,2,FALSE)*IF(D18="Økologisk",VLOOKUP(B18,[1]Afgrødedata!$A$5:$F$18,4,FALSE),1)*IF(E18&lt;&gt;Jordbund1,IF(E18=Organ6,VLOOKUP(B18,[1]Afgrødedata!$A$5:$F$18,5,FALSE),VLOOKUP(B18,[1]Afgrødedata!$A$5:$F$18,6,FALSE)),1)*0.1</f>
        <v>421120.46217442444</v>
      </c>
      <c r="I18" s="172">
        <f>G18*VLOOKUP(B18,[1]Afgrødedata!$A$5:$F$18,3,FALSE)*IF(D18="Økologisk",VLOOKUP(B18,[1]Afgrødedata!$A$5:$F$18,4,FALSE),1)*IF(E18&lt;&gt;Jordbund1,IF(E18=Organ6,VLOOKUP(B18,[1]Afgrødedata!$A$5:$F$18,5,FALSE),VLOOKUP(B18,[1]Afgrødedata!$A$5:$F$18,6,FALSE)),1)*HLOOKUP(C18,Landbrug!$C$15:$E$17,2,FALSE)*HLOOKUP(C18,Landbrug!$C$15:$E$17,3,FALSE)*0.1</f>
        <v>223614.96541461936</v>
      </c>
      <c r="J18" s="76">
        <f t="shared" si="2"/>
        <v>223614.96541461936</v>
      </c>
      <c r="L18" t="s">
        <v>23</v>
      </c>
      <c r="M18" t="s">
        <v>3</v>
      </c>
      <c r="N18">
        <v>2050</v>
      </c>
      <c r="O18" t="s">
        <v>8</v>
      </c>
      <c r="P18" s="76">
        <f>'Landbrugsareal - resultat'!H24</f>
        <v>295283.45679198933</v>
      </c>
    </row>
    <row r="19" spans="1:16" x14ac:dyDescent="0.55000000000000004">
      <c r="A19" t="s">
        <v>23</v>
      </c>
      <c r="B19" s="1" t="str">
        <f>[1]Afgrødefordeling!$C$5</f>
        <v>Græs</v>
      </c>
      <c r="C19">
        <v>2030</v>
      </c>
      <c r="D19" t="s">
        <v>7</v>
      </c>
      <c r="E19" s="172" t="str">
        <f t="shared" si="0"/>
        <v>JB1-10</v>
      </c>
      <c r="F19" t="str">
        <f t="shared" si="1"/>
        <v>Græs</v>
      </c>
      <c r="G19" s="76" cm="1">
        <f t="array" ref="G19">IF(A19="Vestdanmark",IF(D19="Konventionel",IF(C19=2019,SUMPRODUCT((B19='Landbrugsareal - resultat'!$B$5:$B$18)*(INDEX('Landbrugsareal - resultat'!$C$5:$E$18,,MATCH(E19,'Landbrugsareal - resultat'!$C$4:$E$4,0)))),IF(C19=2030,SUMPRODUCT((B19='Landbrugsareal - resultat'!$B$5:$B$18)*(INDEX('Landbrugsareal - resultat'!$F$5:$H$18,,MATCH(E19,'Landbrugsareal - resultat'!$F$4:$H$4,0)))),SUMPRODUCT((B19='Landbrugsareal - resultat'!$B$5:$B$18)*(INDEX('Landbrugsareal - resultat'!$I$5:$K$18,,MATCH(E19,'Landbrugsareal - resultat'!$I$4:$K$4,0)))))),IF(C19=2019,SUMPRODUCT((B19='Landbrugsareal - resultat'!$B$5:$B$18)*(INDEX('Landbrugsareal - resultat'!$L$5:$N$18,,MATCH(E19,'Landbrugsareal - resultat'!$L$4:$N$4,0)))),IF(C19=2030,SUMPRODUCT((B19='Landbrugsareal - resultat'!$B$5:$B$18)*(INDEX('Landbrugsareal - resultat'!$O$5:$Q$18,,MATCH(E19,'Landbrugsareal - resultat'!$O$4:$Q$4,0)))),SUMPRODUCT((B19='Landbrugsareal - resultat'!$B$5:$B$18)*(INDEX('Landbrugsareal - resultat'!$R$5:$T$18,,MATCH(E19,'Landbrugsareal - resultat'!$R$4:$T$4,0))))))),IF(D19="Konventionel",IF(C19=2019,SUMPRODUCT((B19='Landbrugsareal - resultat'!$B$32:$B$45)*(INDEX('Landbrugsareal - resultat'!$C$32:$E$45,,MATCH(E19,'Landbrugsareal - resultat'!$C$4:$E$4,0)))),IF(C19=2030,SUMPRODUCT((B19='Landbrugsareal - resultat'!$B$32:$B$45)*(INDEX('Landbrugsareal - resultat'!$F$32:$H$45,,MATCH(E19,'Landbrugsareal - resultat'!$F$4:$H$4,0)))),SUMPRODUCT((B19='Landbrugsareal - resultat'!$B$32:$B$45)*(INDEX('Landbrugsareal - resultat'!$I$32:$K$45,,MATCH(E19,'Landbrugsareal - resultat'!$I$4:$K$4,0)))))),IF(C19=2019,SUMPRODUCT((B19='Landbrugsareal - resultat'!$B$32:$B$45)*(INDEX('Landbrugsareal - resultat'!$L$32:$N$45,,MATCH(E19,'Landbrugsareal - resultat'!$L$4:$N$4,0)))),IF(C19=2030,SUMPRODUCT((B19='Landbrugsareal - resultat'!$B$32:$B$45)*(INDEX('Landbrugsareal - resultat'!$O$32:$Q$45,,MATCH(E19,'Landbrugsareal - resultat'!$O$4:$Q$4,0)))),SUMPRODUCT((B19='Landbrugsareal - resultat'!$B$32:$B$45)*(INDEX('Landbrugsareal - resultat'!$R$32:$T$45,,MATCH(E19,'Landbrugsareal - resultat'!$R$4:$T$4,0))))))))</f>
        <v>182487.33467255518</v>
      </c>
      <c r="H19" s="172">
        <f>G19*VLOOKUP(B19,[1]Afgrødedata!$A$5:$F$18,2,FALSE)*IF(D19="Økologisk",VLOOKUP(B19,[1]Afgrødedata!$A$5:$F$18,4,FALSE),1)*IF(E19&lt;&gt;Jordbund1,IF(E19=Organ6,VLOOKUP(B19,[1]Afgrødedata!$A$5:$F$18,5,FALSE),VLOOKUP(B19,[1]Afgrødedata!$A$5:$F$18,6,FALSE)),1)*0.1</f>
        <v>9055021.5464521889</v>
      </c>
      <c r="I19" s="172">
        <f>G19*VLOOKUP(B19,[1]Afgrødedata!$A$5:$F$18,3,FALSE)*IF(D19="Økologisk",VLOOKUP(B19,[1]Afgrødedata!$A$5:$F$18,4,FALSE),1)*IF(E19&lt;&gt;Jordbund1,IF(E19=Organ6,VLOOKUP(B19,[1]Afgrødedata!$A$5:$F$18,5,FALSE),VLOOKUP(B19,[1]Afgrødedata!$A$5:$F$18,6,FALSE)),1)*HLOOKUP(C19,Landbrug!$C$15:$E$17,2,FALSE)*HLOOKUP(C19,Landbrug!$C$15:$E$17,3,FALSE)*0.1</f>
        <v>0</v>
      </c>
      <c r="J19" s="76">
        <f t="shared" si="2"/>
        <v>9055021.5464521889</v>
      </c>
      <c r="L19" t="s">
        <v>23</v>
      </c>
      <c r="M19" t="s">
        <v>4</v>
      </c>
      <c r="N19">
        <v>2050</v>
      </c>
      <c r="O19" t="s">
        <v>8</v>
      </c>
      <c r="P19" s="76">
        <f>'Landbrugsareal - resultat'!H25</f>
        <v>4334739.167105169</v>
      </c>
    </row>
    <row r="20" spans="1:16" x14ac:dyDescent="0.55000000000000004">
      <c r="A20" t="s">
        <v>23</v>
      </c>
      <c r="B20" s="1" t="str">
        <f>[1]Afgrødefordeling!$C$6</f>
        <v>Grøntsager</v>
      </c>
      <c r="C20">
        <v>2030</v>
      </c>
      <c r="D20" t="s">
        <v>7</v>
      </c>
      <c r="E20" s="172" t="str">
        <f t="shared" si="0"/>
        <v>JB1-10</v>
      </c>
      <c r="F20" t="str">
        <f t="shared" si="1"/>
        <v>Grøntsager</v>
      </c>
      <c r="G20" s="76" cm="1">
        <f t="array" ref="G20">IF(A20="Vestdanmark",IF(D20="Konventionel",IF(C20=2019,SUMPRODUCT((B20='Landbrugsareal - resultat'!$B$5:$B$18)*(INDEX('Landbrugsareal - resultat'!$C$5:$E$18,,MATCH(E20,'Landbrugsareal - resultat'!$C$4:$E$4,0)))),IF(C20=2030,SUMPRODUCT((B20='Landbrugsareal - resultat'!$B$5:$B$18)*(INDEX('Landbrugsareal - resultat'!$F$5:$H$18,,MATCH(E20,'Landbrugsareal - resultat'!$F$4:$H$4,0)))),SUMPRODUCT((B20='Landbrugsareal - resultat'!$B$5:$B$18)*(INDEX('Landbrugsareal - resultat'!$I$5:$K$18,,MATCH(E20,'Landbrugsareal - resultat'!$I$4:$K$4,0)))))),IF(C20=2019,SUMPRODUCT((B20='Landbrugsareal - resultat'!$B$5:$B$18)*(INDEX('Landbrugsareal - resultat'!$L$5:$N$18,,MATCH(E20,'Landbrugsareal - resultat'!$L$4:$N$4,0)))),IF(C20=2030,SUMPRODUCT((B20='Landbrugsareal - resultat'!$B$5:$B$18)*(INDEX('Landbrugsareal - resultat'!$O$5:$Q$18,,MATCH(E20,'Landbrugsareal - resultat'!$O$4:$Q$4,0)))),SUMPRODUCT((B20='Landbrugsareal - resultat'!$B$5:$B$18)*(INDEX('Landbrugsareal - resultat'!$R$5:$T$18,,MATCH(E20,'Landbrugsareal - resultat'!$R$4:$T$4,0))))))),IF(D20="Konventionel",IF(C20=2019,SUMPRODUCT((B20='Landbrugsareal - resultat'!$B$32:$B$45)*(INDEX('Landbrugsareal - resultat'!$C$32:$E$45,,MATCH(E20,'Landbrugsareal - resultat'!$C$4:$E$4,0)))),IF(C20=2030,SUMPRODUCT((B20='Landbrugsareal - resultat'!$B$32:$B$45)*(INDEX('Landbrugsareal - resultat'!$F$32:$H$45,,MATCH(E20,'Landbrugsareal - resultat'!$F$4:$H$4,0)))),SUMPRODUCT((B20='Landbrugsareal - resultat'!$B$32:$B$45)*(INDEX('Landbrugsareal - resultat'!$I$32:$K$45,,MATCH(E20,'Landbrugsareal - resultat'!$I$4:$K$4,0)))))),IF(C20=2019,SUMPRODUCT((B20='Landbrugsareal - resultat'!$B$32:$B$45)*(INDEX('Landbrugsareal - resultat'!$L$32:$N$45,,MATCH(E20,'Landbrugsareal - resultat'!$L$4:$N$4,0)))),IF(C20=2030,SUMPRODUCT((B20='Landbrugsareal - resultat'!$B$32:$B$45)*(INDEX('Landbrugsareal - resultat'!$O$32:$Q$45,,MATCH(E20,'Landbrugsareal - resultat'!$O$4:$Q$4,0)))),SUMPRODUCT((B20='Landbrugsareal - resultat'!$B$32:$B$45)*(INDEX('Landbrugsareal - resultat'!$R$32:$T$45,,MATCH(E20,'Landbrugsareal - resultat'!$R$4:$T$4,0))))))))</f>
        <v>7061.8448324272804</v>
      </c>
      <c r="H20" s="172">
        <f>G20*VLOOKUP(B20,[1]Afgrødedata!$A$5:$F$18,2,FALSE)*IF(D20="Økologisk",VLOOKUP(B20,[1]Afgrødedata!$A$5:$F$18,4,FALSE),1)*IF(E20&lt;&gt;Jordbund1,IF(E20=Organ6,VLOOKUP(B20,[1]Afgrødedata!$A$5:$F$18,5,FALSE),VLOOKUP(B20,[1]Afgrødedata!$A$5:$F$18,6,FALSE)),1)*0.1</f>
        <v>146533.28027286608</v>
      </c>
      <c r="I20" s="172">
        <f>G20*VLOOKUP(B20,[1]Afgrødedata!$A$5:$F$18,3,FALSE)*IF(D20="Økologisk",VLOOKUP(B20,[1]Afgrødedata!$A$5:$F$18,4,FALSE),1)*IF(E20&lt;&gt;Jordbund1,IF(E20=Organ6,VLOOKUP(B20,[1]Afgrødedata!$A$5:$F$18,5,FALSE),VLOOKUP(B20,[1]Afgrødedata!$A$5:$F$18,6,FALSE)),1)*HLOOKUP(C20,Landbrug!$C$15:$E$17,2,FALSE)*HLOOKUP(C20,Landbrug!$C$15:$E$17,3,FALSE)*0.1</f>
        <v>0</v>
      </c>
      <c r="J20" s="76">
        <f t="shared" si="2"/>
        <v>146533.28027286608</v>
      </c>
      <c r="L20" t="s">
        <v>24</v>
      </c>
      <c r="M20" t="s">
        <v>22</v>
      </c>
      <c r="N20">
        <v>2019</v>
      </c>
      <c r="O20" t="s">
        <v>7</v>
      </c>
      <c r="P20" s="76">
        <f>'Landbrugsareal - resultat'!C50</f>
        <v>1541102</v>
      </c>
    </row>
    <row r="21" spans="1:16" x14ac:dyDescent="0.55000000000000004">
      <c r="A21" t="s">
        <v>23</v>
      </c>
      <c r="B21" s="1" t="str">
        <f>[1]Afgrødefordeling!$C$7</f>
        <v>Kartofler</v>
      </c>
      <c r="C21">
        <v>2030</v>
      </c>
      <c r="D21" t="s">
        <v>7</v>
      </c>
      <c r="E21" s="172" t="str">
        <f t="shared" si="0"/>
        <v>JB1-10</v>
      </c>
      <c r="F21" t="str">
        <f t="shared" si="1"/>
        <v>Kartofler</v>
      </c>
      <c r="G21" s="76" cm="1">
        <f t="array" ref="G21">IF(A21="Vestdanmark",IF(D21="Konventionel",IF(C21=2019,SUMPRODUCT((B21='Landbrugsareal - resultat'!$B$5:$B$18)*(INDEX('Landbrugsareal - resultat'!$C$5:$E$18,,MATCH(E21,'Landbrugsareal - resultat'!$C$4:$E$4,0)))),IF(C21=2030,SUMPRODUCT((B21='Landbrugsareal - resultat'!$B$5:$B$18)*(INDEX('Landbrugsareal - resultat'!$F$5:$H$18,,MATCH(E21,'Landbrugsareal - resultat'!$F$4:$H$4,0)))),SUMPRODUCT((B21='Landbrugsareal - resultat'!$B$5:$B$18)*(INDEX('Landbrugsareal - resultat'!$I$5:$K$18,,MATCH(E21,'Landbrugsareal - resultat'!$I$4:$K$4,0)))))),IF(C21=2019,SUMPRODUCT((B21='Landbrugsareal - resultat'!$B$5:$B$18)*(INDEX('Landbrugsareal - resultat'!$L$5:$N$18,,MATCH(E21,'Landbrugsareal - resultat'!$L$4:$N$4,0)))),IF(C21=2030,SUMPRODUCT((B21='Landbrugsareal - resultat'!$B$5:$B$18)*(INDEX('Landbrugsareal - resultat'!$O$5:$Q$18,,MATCH(E21,'Landbrugsareal - resultat'!$O$4:$Q$4,0)))),SUMPRODUCT((B21='Landbrugsareal - resultat'!$B$5:$B$18)*(INDEX('Landbrugsareal - resultat'!$R$5:$T$18,,MATCH(E21,'Landbrugsareal - resultat'!$R$4:$T$4,0))))))),IF(D21="Konventionel",IF(C21=2019,SUMPRODUCT((B21='Landbrugsareal - resultat'!$B$32:$B$45)*(INDEX('Landbrugsareal - resultat'!$C$32:$E$45,,MATCH(E21,'Landbrugsareal - resultat'!$C$4:$E$4,0)))),IF(C21=2030,SUMPRODUCT((B21='Landbrugsareal - resultat'!$B$32:$B$45)*(INDEX('Landbrugsareal - resultat'!$F$32:$H$45,,MATCH(E21,'Landbrugsareal - resultat'!$F$4:$H$4,0)))),SUMPRODUCT((B21='Landbrugsareal - resultat'!$B$32:$B$45)*(INDEX('Landbrugsareal - resultat'!$I$32:$K$45,,MATCH(E21,'Landbrugsareal - resultat'!$I$4:$K$4,0)))))),IF(C21=2019,SUMPRODUCT((B21='Landbrugsareal - resultat'!$B$32:$B$45)*(INDEX('Landbrugsareal - resultat'!$L$32:$N$45,,MATCH(E21,'Landbrugsareal - resultat'!$L$4:$N$4,0)))),IF(C21=2030,SUMPRODUCT((B21='Landbrugsareal - resultat'!$B$32:$B$45)*(INDEX('Landbrugsareal - resultat'!$O$32:$Q$45,,MATCH(E21,'Landbrugsareal - resultat'!$O$4:$Q$4,0)))),SUMPRODUCT((B21='Landbrugsareal - resultat'!$B$32:$B$45)*(INDEX('Landbrugsareal - resultat'!$R$32:$T$45,,MATCH(E21,'Landbrugsareal - resultat'!$R$4:$T$4,0))))))))</f>
        <v>42068.306279606026</v>
      </c>
      <c r="H21" s="172">
        <f>G21*VLOOKUP(B21,[1]Afgrødedata!$A$5:$F$18,2,FALSE)*IF(D21="Økologisk",VLOOKUP(B21,[1]Afgrødedata!$A$5:$F$18,4,FALSE),1)*IF(E21&lt;&gt;Jordbund1,IF(E21=Organ6,VLOOKUP(B21,[1]Afgrødedata!$A$5:$F$18,5,FALSE),VLOOKUP(B21,[1]Afgrødedata!$A$5:$F$18,6,FALSE)),1)*0.1</f>
        <v>1786678.8069121563</v>
      </c>
      <c r="I21" s="172">
        <f>G21*VLOOKUP(B21,[1]Afgrødedata!$A$5:$F$18,3,FALSE)*IF(D21="Økologisk",VLOOKUP(B21,[1]Afgrødedata!$A$5:$F$18,4,FALSE),1)*IF(E21&lt;&gt;Jordbund1,IF(E21=Organ6,VLOOKUP(B21,[1]Afgrødedata!$A$5:$F$18,5,FALSE),VLOOKUP(B21,[1]Afgrødedata!$A$5:$F$18,6,FALSE)),1)*HLOOKUP(C21,Landbrug!$C$15:$E$17,2,FALSE)*HLOOKUP(C21,Landbrug!$C$15:$E$17,3,FALSE)*0.1</f>
        <v>0</v>
      </c>
      <c r="J21" s="76">
        <f t="shared" si="2"/>
        <v>1786678.8069121563</v>
      </c>
      <c r="L21" t="s">
        <v>24</v>
      </c>
      <c r="M21" t="s">
        <v>3</v>
      </c>
      <c r="N21">
        <v>2019</v>
      </c>
      <c r="O21" t="s">
        <v>7</v>
      </c>
      <c r="P21" s="76">
        <f>'Landbrugsareal - resultat'!C51</f>
        <v>82455</v>
      </c>
    </row>
    <row r="22" spans="1:16" x14ac:dyDescent="0.55000000000000004">
      <c r="A22" t="s">
        <v>23</v>
      </c>
      <c r="B22" s="1" t="str">
        <f>[1]Afgrødefordeling!$C$8</f>
        <v>Roer</v>
      </c>
      <c r="C22">
        <v>2030</v>
      </c>
      <c r="D22" t="s">
        <v>7</v>
      </c>
      <c r="E22" s="172" t="str">
        <f t="shared" si="0"/>
        <v>JB1-10</v>
      </c>
      <c r="F22" t="str">
        <f t="shared" si="1"/>
        <v>Roer</v>
      </c>
      <c r="G22" s="76" cm="1">
        <f t="array" ref="G22">IF(A22="Vestdanmark",IF(D22="Konventionel",IF(C22=2019,SUMPRODUCT((B22='Landbrugsareal - resultat'!$B$5:$B$18)*(INDEX('Landbrugsareal - resultat'!$C$5:$E$18,,MATCH(E22,'Landbrugsareal - resultat'!$C$4:$E$4,0)))),IF(C22=2030,SUMPRODUCT((B22='Landbrugsareal - resultat'!$B$5:$B$18)*(INDEX('Landbrugsareal - resultat'!$F$5:$H$18,,MATCH(E22,'Landbrugsareal - resultat'!$F$4:$H$4,0)))),SUMPRODUCT((B22='Landbrugsareal - resultat'!$B$5:$B$18)*(INDEX('Landbrugsareal - resultat'!$I$5:$K$18,,MATCH(E22,'Landbrugsareal - resultat'!$I$4:$K$4,0)))))),IF(C22=2019,SUMPRODUCT((B22='Landbrugsareal - resultat'!$B$5:$B$18)*(INDEX('Landbrugsareal - resultat'!$L$5:$N$18,,MATCH(E22,'Landbrugsareal - resultat'!$L$4:$N$4,0)))),IF(C22=2030,SUMPRODUCT((B22='Landbrugsareal - resultat'!$B$5:$B$18)*(INDEX('Landbrugsareal - resultat'!$O$5:$Q$18,,MATCH(E22,'Landbrugsareal - resultat'!$O$4:$Q$4,0)))),SUMPRODUCT((B22='Landbrugsareal - resultat'!$B$5:$B$18)*(INDEX('Landbrugsareal - resultat'!$R$5:$T$18,,MATCH(E22,'Landbrugsareal - resultat'!$R$4:$T$4,0))))))),IF(D22="Konventionel",IF(C22=2019,SUMPRODUCT((B22='Landbrugsareal - resultat'!$B$32:$B$45)*(INDEX('Landbrugsareal - resultat'!$C$32:$E$45,,MATCH(E22,'Landbrugsareal - resultat'!$C$4:$E$4,0)))),IF(C22=2030,SUMPRODUCT((B22='Landbrugsareal - resultat'!$B$32:$B$45)*(INDEX('Landbrugsareal - resultat'!$F$32:$H$45,,MATCH(E22,'Landbrugsareal - resultat'!$F$4:$H$4,0)))),SUMPRODUCT((B22='Landbrugsareal - resultat'!$B$32:$B$45)*(INDEX('Landbrugsareal - resultat'!$I$32:$K$45,,MATCH(E22,'Landbrugsareal - resultat'!$I$4:$K$4,0)))))),IF(C22=2019,SUMPRODUCT((B22='Landbrugsareal - resultat'!$B$32:$B$45)*(INDEX('Landbrugsareal - resultat'!$L$32:$N$45,,MATCH(E22,'Landbrugsareal - resultat'!$L$4:$N$4,0)))),IF(C22=2030,SUMPRODUCT((B22='Landbrugsareal - resultat'!$B$32:$B$45)*(INDEX('Landbrugsareal - resultat'!$O$32:$Q$45,,MATCH(E22,'Landbrugsareal - resultat'!$O$4:$Q$4,0)))),SUMPRODUCT((B22='Landbrugsareal - resultat'!$B$32:$B$45)*(INDEX('Landbrugsareal - resultat'!$R$32:$T$45,,MATCH(E22,'Landbrugsareal - resultat'!$R$4:$T$4,0))))))))</f>
        <v>4106.7435277270333</v>
      </c>
      <c r="H22" s="172">
        <f>G22*VLOOKUP(B22,[1]Afgrødedata!$A$5:$F$18,2,FALSE)*IF(D22="Økologisk",VLOOKUP(B22,[1]Afgrødedata!$A$5:$F$18,4,FALSE),1)*IF(E22&lt;&gt;Jordbund1,IF(E22=Organ6,VLOOKUP(B22,[1]Afgrødedata!$A$5:$F$18,5,FALSE),VLOOKUP(B22,[1]Afgrødedata!$A$5:$F$18,6,FALSE)),1)*0.1</f>
        <v>333688.23529770103</v>
      </c>
      <c r="I22" s="172">
        <f>G22*VLOOKUP(B22,[1]Afgrødedata!$A$5:$F$18,3,FALSE)*IF(D22="Økologisk",VLOOKUP(B22,[1]Afgrødedata!$A$5:$F$18,4,FALSE),1)*IF(E22&lt;&gt;Jordbund1,IF(E22=Organ6,VLOOKUP(B22,[1]Afgrødedata!$A$5:$F$18,5,FALSE),VLOOKUP(B22,[1]Afgrødedata!$A$5:$F$18,6,FALSE)),1)*HLOOKUP(C22,Landbrug!$C$15:$E$17,2,FALSE)*HLOOKUP(C22,Landbrug!$C$15:$E$17,3,FALSE)*0.1</f>
        <v>0</v>
      </c>
      <c r="J22" s="76">
        <f t="shared" si="2"/>
        <v>333688.23529770103</v>
      </c>
      <c r="L22" t="s">
        <v>24</v>
      </c>
      <c r="M22" t="s">
        <v>4</v>
      </c>
      <c r="N22">
        <v>2019</v>
      </c>
      <c r="O22" t="s">
        <v>7</v>
      </c>
      <c r="P22" s="76">
        <f>'Landbrugsareal - resultat'!C52</f>
        <v>1570560</v>
      </c>
    </row>
    <row r="23" spans="1:16" x14ac:dyDescent="0.55000000000000004">
      <c r="A23" t="s">
        <v>23</v>
      </c>
      <c r="B23" s="1" t="str">
        <f>[1]Afgrødefordeling!$C$9</f>
        <v>Majs</v>
      </c>
      <c r="C23">
        <v>2030</v>
      </c>
      <c r="D23" t="s">
        <v>7</v>
      </c>
      <c r="E23" s="172" t="str">
        <f t="shared" si="0"/>
        <v>JB1-10</v>
      </c>
      <c r="F23" t="str">
        <f t="shared" si="1"/>
        <v>Majs</v>
      </c>
      <c r="G23" s="76" cm="1">
        <f t="array" ref="G23">IF(A23="Vestdanmark",IF(D23="Konventionel",IF(C23=2019,SUMPRODUCT((B23='Landbrugsareal - resultat'!$B$5:$B$18)*(INDEX('Landbrugsareal - resultat'!$C$5:$E$18,,MATCH(E23,'Landbrugsareal - resultat'!$C$4:$E$4,0)))),IF(C23=2030,SUMPRODUCT((B23='Landbrugsareal - resultat'!$B$5:$B$18)*(INDEX('Landbrugsareal - resultat'!$F$5:$H$18,,MATCH(E23,'Landbrugsareal - resultat'!$F$4:$H$4,0)))),SUMPRODUCT((B23='Landbrugsareal - resultat'!$B$5:$B$18)*(INDEX('Landbrugsareal - resultat'!$I$5:$K$18,,MATCH(E23,'Landbrugsareal - resultat'!$I$4:$K$4,0)))))),IF(C23=2019,SUMPRODUCT((B23='Landbrugsareal - resultat'!$B$5:$B$18)*(INDEX('Landbrugsareal - resultat'!$L$5:$N$18,,MATCH(E23,'Landbrugsareal - resultat'!$L$4:$N$4,0)))),IF(C23=2030,SUMPRODUCT((B23='Landbrugsareal - resultat'!$B$5:$B$18)*(INDEX('Landbrugsareal - resultat'!$O$5:$Q$18,,MATCH(E23,'Landbrugsareal - resultat'!$O$4:$Q$4,0)))),SUMPRODUCT((B23='Landbrugsareal - resultat'!$B$5:$B$18)*(INDEX('Landbrugsareal - resultat'!$R$5:$T$18,,MATCH(E23,'Landbrugsareal - resultat'!$R$4:$T$4,0))))))),IF(D23="Konventionel",IF(C23=2019,SUMPRODUCT((B23='Landbrugsareal - resultat'!$B$32:$B$45)*(INDEX('Landbrugsareal - resultat'!$C$32:$E$45,,MATCH(E23,'Landbrugsareal - resultat'!$C$4:$E$4,0)))),IF(C23=2030,SUMPRODUCT((B23='Landbrugsareal - resultat'!$B$32:$B$45)*(INDEX('Landbrugsareal - resultat'!$F$32:$H$45,,MATCH(E23,'Landbrugsareal - resultat'!$F$4:$H$4,0)))),SUMPRODUCT((B23='Landbrugsareal - resultat'!$B$32:$B$45)*(INDEX('Landbrugsareal - resultat'!$I$32:$K$45,,MATCH(E23,'Landbrugsareal - resultat'!$I$4:$K$4,0)))))),IF(C23=2019,SUMPRODUCT((B23='Landbrugsareal - resultat'!$B$32:$B$45)*(INDEX('Landbrugsareal - resultat'!$L$32:$N$45,,MATCH(E23,'Landbrugsareal - resultat'!$L$4:$N$4,0)))),IF(C23=2030,SUMPRODUCT((B23='Landbrugsareal - resultat'!$B$32:$B$45)*(INDEX('Landbrugsareal - resultat'!$O$32:$Q$45,,MATCH(E23,'Landbrugsareal - resultat'!$O$4:$Q$4,0)))),SUMPRODUCT((B23='Landbrugsareal - resultat'!$B$32:$B$45)*(INDEX('Landbrugsareal - resultat'!$R$32:$T$45,,MATCH(E23,'Landbrugsareal - resultat'!$R$4:$T$4,0))))))))</f>
        <v>140633.81165134837</v>
      </c>
      <c r="H23" s="172">
        <f>G23*VLOOKUP(B23,[1]Afgrødedata!$A$5:$F$18,2,FALSE)*IF(D23="Økologisk",VLOOKUP(B23,[1]Afgrødedata!$A$5:$F$18,4,FALSE),1)*IF(E23&lt;&gt;Jordbund1,IF(E23=Organ6,VLOOKUP(B23,[1]Afgrødedata!$A$5:$F$18,5,FALSE),VLOOKUP(B23,[1]Afgrødedata!$A$5:$F$18,6,FALSE)),1)*0.1</f>
        <v>6259610.9566015163</v>
      </c>
      <c r="I23" s="172">
        <f>G23*VLOOKUP(B23,[1]Afgrødedata!$A$5:$F$18,3,FALSE)*IF(D23="Økologisk",VLOOKUP(B23,[1]Afgrødedata!$A$5:$F$18,4,FALSE),1)*IF(E23&lt;&gt;Jordbund1,IF(E23=Organ6,VLOOKUP(B23,[1]Afgrødedata!$A$5:$F$18,5,FALSE),VLOOKUP(B23,[1]Afgrødedata!$A$5:$F$18,6,FALSE)),1)*HLOOKUP(C23,Landbrug!$C$15:$E$17,2,FALSE)*HLOOKUP(C23,Landbrug!$C$15:$E$17,3,FALSE)*0.1</f>
        <v>0</v>
      </c>
      <c r="J23" s="76">
        <f t="shared" si="2"/>
        <v>6259610.9566015163</v>
      </c>
      <c r="L23" t="s">
        <v>24</v>
      </c>
      <c r="M23" t="s">
        <v>22</v>
      </c>
      <c r="N23">
        <v>2030</v>
      </c>
      <c r="O23" t="s">
        <v>7</v>
      </c>
      <c r="P23" s="76">
        <f>'Landbrugsareal - resultat'!D50</f>
        <v>1532729.9904525669</v>
      </c>
    </row>
    <row r="24" spans="1:16" x14ac:dyDescent="0.55000000000000004">
      <c r="A24" t="s">
        <v>23</v>
      </c>
      <c r="B24" s="1" t="str">
        <f>[1]Afgrødefordeling!$C$10</f>
        <v>Frugt</v>
      </c>
      <c r="C24">
        <v>2030</v>
      </c>
      <c r="D24" t="s">
        <v>7</v>
      </c>
      <c r="E24" s="172" t="str">
        <f t="shared" si="0"/>
        <v>JB1-10</v>
      </c>
      <c r="F24" t="str">
        <f t="shared" si="1"/>
        <v>Frugt</v>
      </c>
      <c r="G24" s="76" cm="1">
        <f t="array" ref="G24">IF(A24="Vestdanmark",IF(D24="Konventionel",IF(C24=2019,SUMPRODUCT((B24='Landbrugsareal - resultat'!$B$5:$B$18)*(INDEX('Landbrugsareal - resultat'!$C$5:$E$18,,MATCH(E24,'Landbrugsareal - resultat'!$C$4:$E$4,0)))),IF(C24=2030,SUMPRODUCT((B24='Landbrugsareal - resultat'!$B$5:$B$18)*(INDEX('Landbrugsareal - resultat'!$F$5:$H$18,,MATCH(E24,'Landbrugsareal - resultat'!$F$4:$H$4,0)))),SUMPRODUCT((B24='Landbrugsareal - resultat'!$B$5:$B$18)*(INDEX('Landbrugsareal - resultat'!$I$5:$K$18,,MATCH(E24,'Landbrugsareal - resultat'!$I$4:$K$4,0)))))),IF(C24=2019,SUMPRODUCT((B24='Landbrugsareal - resultat'!$B$5:$B$18)*(INDEX('Landbrugsareal - resultat'!$L$5:$N$18,,MATCH(E24,'Landbrugsareal - resultat'!$L$4:$N$4,0)))),IF(C24=2030,SUMPRODUCT((B24='Landbrugsareal - resultat'!$B$5:$B$18)*(INDEX('Landbrugsareal - resultat'!$O$5:$Q$18,,MATCH(E24,'Landbrugsareal - resultat'!$O$4:$Q$4,0)))),SUMPRODUCT((B24='Landbrugsareal - resultat'!$B$5:$B$18)*(INDEX('Landbrugsareal - resultat'!$R$5:$T$18,,MATCH(E24,'Landbrugsareal - resultat'!$R$4:$T$4,0))))))),IF(D24="Konventionel",IF(C24=2019,SUMPRODUCT((B24='Landbrugsareal - resultat'!$B$32:$B$45)*(INDEX('Landbrugsareal - resultat'!$C$32:$E$45,,MATCH(E24,'Landbrugsareal - resultat'!$C$4:$E$4,0)))),IF(C24=2030,SUMPRODUCT((B24='Landbrugsareal - resultat'!$B$32:$B$45)*(INDEX('Landbrugsareal - resultat'!$F$32:$H$45,,MATCH(E24,'Landbrugsareal - resultat'!$F$4:$H$4,0)))),SUMPRODUCT((B24='Landbrugsareal - resultat'!$B$32:$B$45)*(INDEX('Landbrugsareal - resultat'!$I$32:$K$45,,MATCH(E24,'Landbrugsareal - resultat'!$I$4:$K$4,0)))))),IF(C24=2019,SUMPRODUCT((B24='Landbrugsareal - resultat'!$B$32:$B$45)*(INDEX('Landbrugsareal - resultat'!$L$32:$N$45,,MATCH(E24,'Landbrugsareal - resultat'!$L$4:$N$4,0)))),IF(C24=2030,SUMPRODUCT((B24='Landbrugsareal - resultat'!$B$32:$B$45)*(INDEX('Landbrugsareal - resultat'!$O$32:$Q$45,,MATCH(E24,'Landbrugsareal - resultat'!$O$4:$Q$4,0)))),SUMPRODUCT((B24='Landbrugsareal - resultat'!$B$32:$B$45)*(INDEX('Landbrugsareal - resultat'!$R$32:$T$45,,MATCH(E24,'Landbrugsareal - resultat'!$R$4:$T$4,0))))))))</f>
        <v>2584.1851351493174</v>
      </c>
      <c r="H24" s="172">
        <f>G24*VLOOKUP(B24,[1]Afgrødedata!$A$5:$F$18,2,FALSE)*IF(D24="Økologisk",VLOOKUP(B24,[1]Afgrødedata!$A$5:$F$18,4,FALSE),1)*IF(E24&lt;&gt;Jordbund1,IF(E24=Organ6,VLOOKUP(B24,[1]Afgrødedata!$A$5:$F$18,5,FALSE),VLOOKUP(B24,[1]Afgrødedata!$A$5:$F$18,6,FALSE)),1)*0.1</f>
        <v>21939.731797417709</v>
      </c>
      <c r="I24" s="172">
        <f>G24*VLOOKUP(B24,[1]Afgrødedata!$A$5:$F$18,3,FALSE)*IF(D24="Økologisk",VLOOKUP(B24,[1]Afgrødedata!$A$5:$F$18,4,FALSE),1)*IF(E24&lt;&gt;Jordbund1,IF(E24=Organ6,VLOOKUP(B24,[1]Afgrødedata!$A$5:$F$18,5,FALSE),VLOOKUP(B24,[1]Afgrødedata!$A$5:$F$18,6,FALSE)),1)*HLOOKUP(C24,Landbrug!$C$15:$E$17,2,FALSE)*HLOOKUP(C24,Landbrug!$C$15:$E$17,3,FALSE)*0.1</f>
        <v>0</v>
      </c>
      <c r="J24" s="76">
        <f t="shared" si="2"/>
        <v>21939.731797417709</v>
      </c>
      <c r="L24" t="s">
        <v>24</v>
      </c>
      <c r="M24" t="s">
        <v>3</v>
      </c>
      <c r="N24">
        <v>2030</v>
      </c>
      <c r="O24" t="s">
        <v>7</v>
      </c>
      <c r="P24" s="76">
        <f>'Landbrugsareal - resultat'!D51</f>
        <v>80080.142534636136</v>
      </c>
    </row>
    <row r="25" spans="1:16" x14ac:dyDescent="0.55000000000000004">
      <c r="A25" t="s">
        <v>23</v>
      </c>
      <c r="B25" s="1" t="str">
        <f>[1]Afgrødefordeling!$C$11</f>
        <v>Øvrige</v>
      </c>
      <c r="C25">
        <v>2030</v>
      </c>
      <c r="D25" t="s">
        <v>7</v>
      </c>
      <c r="E25" s="172" t="str">
        <f t="shared" si="0"/>
        <v>JB1-10</v>
      </c>
      <c r="F25" t="str">
        <f t="shared" si="1"/>
        <v>Øvrige</v>
      </c>
      <c r="G25" s="76" cm="1">
        <f t="array" ref="G25">IF(A25="Vestdanmark",IF(D25="Konventionel",IF(C25=2019,SUMPRODUCT((B25='Landbrugsareal - resultat'!$B$5:$B$18)*(INDEX('Landbrugsareal - resultat'!$C$5:$E$18,,MATCH(E25,'Landbrugsareal - resultat'!$C$4:$E$4,0)))),IF(C25=2030,SUMPRODUCT((B25='Landbrugsareal - resultat'!$B$5:$B$18)*(INDEX('Landbrugsareal - resultat'!$F$5:$H$18,,MATCH(E25,'Landbrugsareal - resultat'!$F$4:$H$4,0)))),SUMPRODUCT((B25='Landbrugsareal - resultat'!$B$5:$B$18)*(INDEX('Landbrugsareal - resultat'!$I$5:$K$18,,MATCH(E25,'Landbrugsareal - resultat'!$I$4:$K$4,0)))))),IF(C25=2019,SUMPRODUCT((B25='Landbrugsareal - resultat'!$B$5:$B$18)*(INDEX('Landbrugsareal - resultat'!$L$5:$N$18,,MATCH(E25,'Landbrugsareal - resultat'!$L$4:$N$4,0)))),IF(C25=2030,SUMPRODUCT((B25='Landbrugsareal - resultat'!$B$5:$B$18)*(INDEX('Landbrugsareal - resultat'!$O$5:$Q$18,,MATCH(E25,'Landbrugsareal - resultat'!$O$4:$Q$4,0)))),SUMPRODUCT((B25='Landbrugsareal - resultat'!$B$5:$B$18)*(INDEX('Landbrugsareal - resultat'!$R$5:$T$18,,MATCH(E25,'Landbrugsareal - resultat'!$R$4:$T$4,0))))))),IF(D25="Konventionel",IF(C25=2019,SUMPRODUCT((B25='Landbrugsareal - resultat'!$B$32:$B$45)*(INDEX('Landbrugsareal - resultat'!$C$32:$E$45,,MATCH(E25,'Landbrugsareal - resultat'!$C$4:$E$4,0)))),IF(C25=2030,SUMPRODUCT((B25='Landbrugsareal - resultat'!$B$32:$B$45)*(INDEX('Landbrugsareal - resultat'!$F$32:$H$45,,MATCH(E25,'Landbrugsareal - resultat'!$F$4:$H$4,0)))),SUMPRODUCT((B25='Landbrugsareal - resultat'!$B$32:$B$45)*(INDEX('Landbrugsareal - resultat'!$I$32:$K$45,,MATCH(E25,'Landbrugsareal - resultat'!$I$4:$K$4,0)))))),IF(C25=2019,SUMPRODUCT((B25='Landbrugsareal - resultat'!$B$32:$B$45)*(INDEX('Landbrugsareal - resultat'!$L$32:$N$45,,MATCH(E25,'Landbrugsareal - resultat'!$L$4:$N$4,0)))),IF(C25=2030,SUMPRODUCT((B25='Landbrugsareal - resultat'!$B$32:$B$45)*(INDEX('Landbrugsareal - resultat'!$O$32:$Q$45,,MATCH(E25,'Landbrugsareal - resultat'!$O$4:$Q$4,0)))),SUMPRODUCT((B25='Landbrugsareal - resultat'!$B$32:$B$45)*(INDEX('Landbrugsareal - resultat'!$R$32:$T$45,,MATCH(E25,'Landbrugsareal - resultat'!$R$4:$T$4,0))))))))</f>
        <v>45703.64348304407</v>
      </c>
      <c r="H25" s="172">
        <f>G25*VLOOKUP(B25,[1]Afgrødedata!$A$5:$F$18,2,FALSE)*IF(D25="Økologisk",VLOOKUP(B25,[1]Afgrødedata!$A$5:$F$18,4,FALSE),1)*IF(E25&lt;&gt;Jordbund1,IF(E25=Organ6,VLOOKUP(B25,[1]Afgrødedata!$A$5:$F$18,5,FALSE),VLOOKUP(B25,[1]Afgrødedata!$A$5:$F$18,6,FALSE)),1)*0.1</f>
        <v>1361783.1793390682</v>
      </c>
      <c r="I25" s="172">
        <f>G25*VLOOKUP(B25,[1]Afgrødedata!$A$5:$F$18,3,FALSE)*IF(D25="Økologisk",VLOOKUP(B25,[1]Afgrødedata!$A$5:$F$18,4,FALSE),1)*IF(E25&lt;&gt;Jordbund1,IF(E25=Organ6,VLOOKUP(B25,[1]Afgrødedata!$A$5:$F$18,5,FALSE),VLOOKUP(B25,[1]Afgrødedata!$A$5:$F$18,6,FALSE)),1)*HLOOKUP(C25,Landbrug!$C$15:$E$17,2,FALSE)*HLOOKUP(C25,Landbrug!$C$15:$E$17,3,FALSE)*0.1</f>
        <v>0</v>
      </c>
      <c r="J25" s="76">
        <f t="shared" si="2"/>
        <v>1361783.1793390682</v>
      </c>
      <c r="L25" t="s">
        <v>24</v>
      </c>
      <c r="M25" t="s">
        <v>4</v>
      </c>
      <c r="N25">
        <v>2030</v>
      </c>
      <c r="O25" t="s">
        <v>7</v>
      </c>
      <c r="P25" s="76">
        <f>'Landbrugsareal - resultat'!D52</f>
        <v>1537834.5897597643</v>
      </c>
    </row>
    <row r="26" spans="1:16" x14ac:dyDescent="0.55000000000000004">
      <c r="A26" t="s">
        <v>23</v>
      </c>
      <c r="B26" s="1" t="str">
        <f>[1]Afgrødefordeling!$C$12</f>
        <v>Frø</v>
      </c>
      <c r="C26">
        <v>2030</v>
      </c>
      <c r="D26" t="s">
        <v>7</v>
      </c>
      <c r="E26" s="172" t="str">
        <f t="shared" si="0"/>
        <v>JB1-10</v>
      </c>
      <c r="F26" t="str">
        <f t="shared" si="1"/>
        <v>Halm</v>
      </c>
      <c r="G26" s="76" cm="1">
        <f t="array" ref="G26">IF(A26="Vestdanmark",IF(D26="Konventionel",IF(C26=2019,SUMPRODUCT((B26='Landbrugsareal - resultat'!$B$5:$B$18)*(INDEX('Landbrugsareal - resultat'!$C$5:$E$18,,MATCH(E26,'Landbrugsareal - resultat'!$C$4:$E$4,0)))),IF(C26=2030,SUMPRODUCT((B26='Landbrugsareal - resultat'!$B$5:$B$18)*(INDEX('Landbrugsareal - resultat'!$F$5:$H$18,,MATCH(E26,'Landbrugsareal - resultat'!$F$4:$H$4,0)))),SUMPRODUCT((B26='Landbrugsareal - resultat'!$B$5:$B$18)*(INDEX('Landbrugsareal - resultat'!$I$5:$K$18,,MATCH(E26,'Landbrugsareal - resultat'!$I$4:$K$4,0)))))),IF(C26=2019,SUMPRODUCT((B26='Landbrugsareal - resultat'!$B$5:$B$18)*(INDEX('Landbrugsareal - resultat'!$L$5:$N$18,,MATCH(E26,'Landbrugsareal - resultat'!$L$4:$N$4,0)))),IF(C26=2030,SUMPRODUCT((B26='Landbrugsareal - resultat'!$B$5:$B$18)*(INDEX('Landbrugsareal - resultat'!$O$5:$Q$18,,MATCH(E26,'Landbrugsareal - resultat'!$O$4:$Q$4,0)))),SUMPRODUCT((B26='Landbrugsareal - resultat'!$B$5:$B$18)*(INDEX('Landbrugsareal - resultat'!$R$5:$T$18,,MATCH(E26,'Landbrugsareal - resultat'!$R$4:$T$4,0))))))),IF(D26="Konventionel",IF(C26=2019,SUMPRODUCT((B26='Landbrugsareal - resultat'!$B$32:$B$45)*(INDEX('Landbrugsareal - resultat'!$C$32:$E$45,,MATCH(E26,'Landbrugsareal - resultat'!$C$4:$E$4,0)))),IF(C26=2030,SUMPRODUCT((B26='Landbrugsareal - resultat'!$B$32:$B$45)*(INDEX('Landbrugsareal - resultat'!$F$32:$H$45,,MATCH(E26,'Landbrugsareal - resultat'!$F$4:$H$4,0)))),SUMPRODUCT((B26='Landbrugsareal - resultat'!$B$32:$B$45)*(INDEX('Landbrugsareal - resultat'!$I$32:$K$45,,MATCH(E26,'Landbrugsareal - resultat'!$I$4:$K$4,0)))))),IF(C26=2019,SUMPRODUCT((B26='Landbrugsareal - resultat'!$B$32:$B$45)*(INDEX('Landbrugsareal - resultat'!$L$32:$N$45,,MATCH(E26,'Landbrugsareal - resultat'!$L$4:$N$4,0)))),IF(C26=2030,SUMPRODUCT((B26='Landbrugsareal - resultat'!$B$32:$B$45)*(INDEX('Landbrugsareal - resultat'!$O$32:$Q$45,,MATCH(E26,'Landbrugsareal - resultat'!$O$4:$Q$4,0)))),SUMPRODUCT((B26='Landbrugsareal - resultat'!$B$32:$B$45)*(INDEX('Landbrugsareal - resultat'!$R$32:$T$45,,MATCH(E26,'Landbrugsareal - resultat'!$R$4:$T$4,0))))))))</f>
        <v>48076.213415858583</v>
      </c>
      <c r="H26" s="172">
        <f>G26*VLOOKUP(B26,[1]Afgrødedata!$A$5:$F$18,2,FALSE)*IF(D26="Økologisk",VLOOKUP(B26,[1]Afgrødedata!$A$5:$F$18,4,FALSE),1)*IF(E26&lt;&gt;Jordbund1,IF(E26=Organ6,VLOOKUP(B26,[1]Afgrødedata!$A$5:$F$18,5,FALSE),VLOOKUP(B26,[1]Afgrødedata!$A$5:$F$18,6,FALSE)),1)*0.1</f>
        <v>686954.31934290484</v>
      </c>
      <c r="I26" s="172">
        <f>G26*VLOOKUP(B26,[1]Afgrødedata!$A$5:$F$18,3,FALSE)*IF(D26="Økologisk",VLOOKUP(B26,[1]Afgrødedata!$A$5:$F$18,4,FALSE),1)*IF(E26&lt;&gt;Jordbund1,IF(E26=Organ6,VLOOKUP(B26,[1]Afgrødedata!$A$5:$F$18,5,FALSE),VLOOKUP(B26,[1]Afgrødedata!$A$5:$F$18,6,FALSE)),1)*HLOOKUP(C26,Landbrug!$C$15:$E$17,2,FALSE)*HLOOKUP(C26,Landbrug!$C$15:$E$17,3,FALSE)*0.1</f>
        <v>113459.86366142624</v>
      </c>
      <c r="J26" s="76">
        <f t="shared" si="2"/>
        <v>113459.86366142624</v>
      </c>
      <c r="L26" t="s">
        <v>24</v>
      </c>
      <c r="M26" t="s">
        <v>22</v>
      </c>
      <c r="N26">
        <v>2050</v>
      </c>
      <c r="O26" t="s">
        <v>7</v>
      </c>
      <c r="P26" s="76">
        <f>'Landbrugsareal - resultat'!E50</f>
        <v>1517250.402620316</v>
      </c>
    </row>
    <row r="27" spans="1:16" x14ac:dyDescent="0.55000000000000004">
      <c r="A27" t="s">
        <v>23</v>
      </c>
      <c r="B27" s="1" t="str">
        <f>[1]Afgrødefordeling!$C$13</f>
        <v>Juletræer</v>
      </c>
      <c r="C27">
        <v>2030</v>
      </c>
      <c r="D27" t="s">
        <v>7</v>
      </c>
      <c r="E27" s="172" t="str">
        <f t="shared" si="0"/>
        <v>JB1-10</v>
      </c>
      <c r="F27" t="str">
        <f t="shared" si="1"/>
        <v>Juletræer</v>
      </c>
      <c r="G27" s="76" cm="1">
        <f t="array" ref="G27">IF(A27="Vestdanmark",IF(D27="Konventionel",IF(C27=2019,SUMPRODUCT((B27='Landbrugsareal - resultat'!$B$5:$B$18)*(INDEX('Landbrugsareal - resultat'!$C$5:$E$18,,MATCH(E27,'Landbrugsareal - resultat'!$C$4:$E$4,0)))),IF(C27=2030,SUMPRODUCT((B27='Landbrugsareal - resultat'!$B$5:$B$18)*(INDEX('Landbrugsareal - resultat'!$F$5:$H$18,,MATCH(E27,'Landbrugsareal - resultat'!$F$4:$H$4,0)))),SUMPRODUCT((B27='Landbrugsareal - resultat'!$B$5:$B$18)*(INDEX('Landbrugsareal - resultat'!$I$5:$K$18,,MATCH(E27,'Landbrugsareal - resultat'!$I$4:$K$4,0)))))),IF(C27=2019,SUMPRODUCT((B27='Landbrugsareal - resultat'!$B$5:$B$18)*(INDEX('Landbrugsareal - resultat'!$L$5:$N$18,,MATCH(E27,'Landbrugsareal - resultat'!$L$4:$N$4,0)))),IF(C27=2030,SUMPRODUCT((B27='Landbrugsareal - resultat'!$B$5:$B$18)*(INDEX('Landbrugsareal - resultat'!$O$5:$Q$18,,MATCH(E27,'Landbrugsareal - resultat'!$O$4:$Q$4,0)))),SUMPRODUCT((B27='Landbrugsareal - resultat'!$B$5:$B$18)*(INDEX('Landbrugsareal - resultat'!$R$5:$T$18,,MATCH(E27,'Landbrugsareal - resultat'!$R$4:$T$4,0))))))),IF(D27="Konventionel",IF(C27=2019,SUMPRODUCT((B27='Landbrugsareal - resultat'!$B$32:$B$45)*(INDEX('Landbrugsareal - resultat'!$C$32:$E$45,,MATCH(E27,'Landbrugsareal - resultat'!$C$4:$E$4,0)))),IF(C27=2030,SUMPRODUCT((B27='Landbrugsareal - resultat'!$B$32:$B$45)*(INDEX('Landbrugsareal - resultat'!$F$32:$H$45,,MATCH(E27,'Landbrugsareal - resultat'!$F$4:$H$4,0)))),SUMPRODUCT((B27='Landbrugsareal - resultat'!$B$32:$B$45)*(INDEX('Landbrugsareal - resultat'!$I$32:$K$45,,MATCH(E27,'Landbrugsareal - resultat'!$I$4:$K$4,0)))))),IF(C27=2019,SUMPRODUCT((B27='Landbrugsareal - resultat'!$B$32:$B$45)*(INDEX('Landbrugsareal - resultat'!$L$32:$N$45,,MATCH(E27,'Landbrugsareal - resultat'!$L$4:$N$4,0)))),IF(C27=2030,SUMPRODUCT((B27='Landbrugsareal - resultat'!$B$32:$B$45)*(INDEX('Landbrugsareal - resultat'!$O$32:$Q$45,,MATCH(E27,'Landbrugsareal - resultat'!$O$4:$Q$4,0)))),SUMPRODUCT((B27='Landbrugsareal - resultat'!$B$32:$B$45)*(INDEX('Landbrugsareal - resultat'!$R$32:$T$45,,MATCH(E27,'Landbrugsareal - resultat'!$R$4:$T$4,0))))))))</f>
        <v>12961.094356603833</v>
      </c>
      <c r="H27" s="172">
        <f>G27*VLOOKUP(B27,[1]Afgrødedata!$A$5:$F$18,2,FALSE)*IF(D27="Økologisk",VLOOKUP(B27,[1]Afgrødedata!$A$5:$F$18,4,FALSE),1)*IF(E27&lt;&gt;Jordbund1,IF(E27=Organ6,VLOOKUP(B27,[1]Afgrødedata!$A$5:$F$18,5,FALSE),VLOOKUP(B27,[1]Afgrødedata!$A$5:$F$18,6,FALSE)),1)*0.1</f>
        <v>648054.71783019172</v>
      </c>
      <c r="I27" s="172">
        <f>G27*VLOOKUP(B27,[1]Afgrødedata!$A$5:$F$18,3,FALSE)*IF(D27="Økologisk",VLOOKUP(B27,[1]Afgrødedata!$A$5:$F$18,4,FALSE),1)*IF(E27&lt;&gt;Jordbund1,IF(E27=Organ6,VLOOKUP(B27,[1]Afgrødedata!$A$5:$F$18,5,FALSE),VLOOKUP(B27,[1]Afgrødedata!$A$5:$F$18,6,FALSE)),1)*HLOOKUP(C27,Landbrug!$C$15:$E$17,2,FALSE)*HLOOKUP(C27,Landbrug!$C$15:$E$17,3,FALSE)*0.1</f>
        <v>0</v>
      </c>
      <c r="J27" s="76">
        <f t="shared" si="2"/>
        <v>648054.71783019172</v>
      </c>
      <c r="L27" t="s">
        <v>24</v>
      </c>
      <c r="M27" t="s">
        <v>3</v>
      </c>
      <c r="N27">
        <v>2050</v>
      </c>
      <c r="O27" t="s">
        <v>7</v>
      </c>
      <c r="P27" s="76">
        <f>'Landbrugsareal - resultat'!E51</f>
        <v>75689.10421630925</v>
      </c>
    </row>
    <row r="28" spans="1:16" x14ac:dyDescent="0.55000000000000004">
      <c r="A28" t="s">
        <v>23</v>
      </c>
      <c r="B28" s="1" t="str">
        <f>[1]Afgrødefordeling!$C$14</f>
        <v>Pil &amp; poppel</v>
      </c>
      <c r="C28">
        <v>2030</v>
      </c>
      <c r="D28" t="s">
        <v>7</v>
      </c>
      <c r="E28" s="172" t="str">
        <f t="shared" si="0"/>
        <v>JB1-10</v>
      </c>
      <c r="F28" t="str">
        <f t="shared" ref="F28" si="4">IF(I28&lt;&gt;0,"Halm",IF(B28&lt;&gt;"Permanent græs",B28,"Græs"))</f>
        <v>Pil &amp; poppel</v>
      </c>
      <c r="G28" s="76" cm="1">
        <f t="array" ref="G28">IF(A28="Vestdanmark",IF(D28="Konventionel",IF(C28=2019,SUMPRODUCT((B28='Landbrugsareal - resultat'!$B$5:$B$18)*(INDEX('Landbrugsareal - resultat'!$C$5:$E$18,,MATCH(E28,'Landbrugsareal - resultat'!$C$4:$E$4,0)))),IF(C28=2030,SUMPRODUCT((B28='Landbrugsareal - resultat'!$B$5:$B$18)*(INDEX('Landbrugsareal - resultat'!$F$5:$H$18,,MATCH(E28,'Landbrugsareal - resultat'!$F$4:$H$4,0)))),SUMPRODUCT((B28='Landbrugsareal - resultat'!$B$5:$B$18)*(INDEX('Landbrugsareal - resultat'!$I$5:$K$18,,MATCH(E28,'Landbrugsareal - resultat'!$I$4:$K$4,0)))))),IF(C28=2019,SUMPRODUCT((B28='Landbrugsareal - resultat'!$B$5:$B$18)*(INDEX('Landbrugsareal - resultat'!$L$5:$N$18,,MATCH(E28,'Landbrugsareal - resultat'!$L$4:$N$4,0)))),IF(C28=2030,SUMPRODUCT((B28='Landbrugsareal - resultat'!$B$5:$B$18)*(INDEX('Landbrugsareal - resultat'!$O$5:$Q$18,,MATCH(E28,'Landbrugsareal - resultat'!$O$4:$Q$4,0)))),SUMPRODUCT((B28='Landbrugsareal - resultat'!$B$5:$B$18)*(INDEX('Landbrugsareal - resultat'!$R$5:$T$18,,MATCH(E28,'Landbrugsareal - resultat'!$R$4:$T$4,0))))))),IF(D28="Konventionel",IF(C28=2019,SUMPRODUCT((B28='Landbrugsareal - resultat'!$B$32:$B$45)*(INDEX('Landbrugsareal - resultat'!$C$32:$E$45,,MATCH(E28,'Landbrugsareal - resultat'!$C$4:$E$4,0)))),IF(C28=2030,SUMPRODUCT((B28='Landbrugsareal - resultat'!$B$32:$B$45)*(INDEX('Landbrugsareal - resultat'!$F$32:$H$45,,MATCH(E28,'Landbrugsareal - resultat'!$F$4:$H$4,0)))),SUMPRODUCT((B28='Landbrugsareal - resultat'!$B$32:$B$45)*(INDEX('Landbrugsareal - resultat'!$I$32:$K$45,,MATCH(E28,'Landbrugsareal - resultat'!$I$4:$K$4,0)))))),IF(C28=2019,SUMPRODUCT((B28='Landbrugsareal - resultat'!$B$32:$B$45)*(INDEX('Landbrugsareal - resultat'!$L$32:$N$45,,MATCH(E28,'Landbrugsareal - resultat'!$L$4:$N$4,0)))),IF(C28=2030,SUMPRODUCT((B28='Landbrugsareal - resultat'!$B$32:$B$45)*(INDEX('Landbrugsareal - resultat'!$O$32:$Q$45,,MATCH(E28,'Landbrugsareal - resultat'!$O$4:$Q$4,0)))),SUMPRODUCT((B28='Landbrugsareal - resultat'!$B$32:$B$45)*(INDEX('Landbrugsareal - resultat'!$R$32:$T$45,,MATCH(E28,'Landbrugsareal - resultat'!$R$4:$T$4,0))))))))</f>
        <v>4767.5063594242874</v>
      </c>
      <c r="H28" s="172">
        <f>G28*VLOOKUP(B28,[1]Afgrødedata!$A$5:$F$18,2,FALSE)*IF(D28="Økologisk",VLOOKUP(B28,[1]Afgrødedata!$A$5:$F$18,4,FALSE),1)*IF(E28&lt;&gt;Jordbund1,IF(E28=Organ6,VLOOKUP(B28,[1]Afgrødedata!$A$5:$F$18,5,FALSE),VLOOKUP(B28,[1]Afgrødedata!$A$5:$F$18,6,FALSE)),1)*0.1</f>
        <v>116280.6429127875</v>
      </c>
      <c r="I28" s="172">
        <f>G28*VLOOKUP(B28,[1]Afgrødedata!$A$5:$F$18,3,FALSE)*IF(D28="Økologisk",VLOOKUP(B28,[1]Afgrødedata!$A$5:$F$18,4,FALSE),1)*IF(E28&lt;&gt;Jordbund1,IF(E28=Organ6,VLOOKUP(B28,[1]Afgrødedata!$A$5:$F$18,5,FALSE),VLOOKUP(B28,[1]Afgrødedata!$A$5:$F$18,6,FALSE)),1)*HLOOKUP(C28,Landbrug!$C$15:$E$17,2,FALSE)*HLOOKUP(C28,Landbrug!$C$15:$E$17,3,FALSE)*0.1</f>
        <v>0</v>
      </c>
      <c r="J28" s="76">
        <f t="shared" ref="J28" si="5">IF(I28&lt;&gt;0,I28,H28)</f>
        <v>116280.6429127875</v>
      </c>
      <c r="L28" t="s">
        <v>24</v>
      </c>
      <c r="M28" t="s">
        <v>4</v>
      </c>
      <c r="N28">
        <v>2050</v>
      </c>
      <c r="O28" t="s">
        <v>7</v>
      </c>
      <c r="P28" s="76">
        <f>'Landbrugsareal - resultat'!E52</f>
        <v>1477326.3140238035</v>
      </c>
    </row>
    <row r="29" spans="1:16" x14ac:dyDescent="0.55000000000000004">
      <c r="A29" t="s">
        <v>23</v>
      </c>
      <c r="B29" s="1" t="str">
        <f>[1]Afgrødefordeling!$C$15</f>
        <v>Permanent græs</v>
      </c>
      <c r="C29">
        <v>2030</v>
      </c>
      <c r="D29" t="s">
        <v>7</v>
      </c>
      <c r="E29" s="172" t="str">
        <f t="shared" si="0"/>
        <v>JB1-10</v>
      </c>
      <c r="F29" t="str">
        <f t="shared" si="1"/>
        <v>Græs</v>
      </c>
      <c r="G29" s="76" cm="1">
        <f t="array" ref="G29">IF(A29="Vestdanmark",IF(D29="Konventionel",IF(C29=2019,SUMPRODUCT((B29='Landbrugsareal - resultat'!$B$5:$B$18)*(INDEX('Landbrugsareal - resultat'!$C$5:$E$18,,MATCH(E29,'Landbrugsareal - resultat'!$C$4:$E$4,0)))),IF(C29=2030,SUMPRODUCT((B29='Landbrugsareal - resultat'!$B$5:$B$18)*(INDEX('Landbrugsareal - resultat'!$F$5:$H$18,,MATCH(E29,'Landbrugsareal - resultat'!$F$4:$H$4,0)))),SUMPRODUCT((B29='Landbrugsareal - resultat'!$B$5:$B$18)*(INDEX('Landbrugsareal - resultat'!$I$5:$K$18,,MATCH(E29,'Landbrugsareal - resultat'!$I$4:$K$4,0)))))),IF(C29=2019,SUMPRODUCT((B29='Landbrugsareal - resultat'!$B$5:$B$18)*(INDEX('Landbrugsareal - resultat'!$L$5:$N$18,,MATCH(E29,'Landbrugsareal - resultat'!$L$4:$N$4,0)))),IF(C29=2030,SUMPRODUCT((B29='Landbrugsareal - resultat'!$B$5:$B$18)*(INDEX('Landbrugsareal - resultat'!$O$5:$Q$18,,MATCH(E29,'Landbrugsareal - resultat'!$O$4:$Q$4,0)))),SUMPRODUCT((B29='Landbrugsareal - resultat'!$B$5:$B$18)*(INDEX('Landbrugsareal - resultat'!$R$5:$T$18,,MATCH(E29,'Landbrugsareal - resultat'!$R$4:$T$4,0))))))),IF(D29="Konventionel",IF(C29=2019,SUMPRODUCT((B29='Landbrugsareal - resultat'!$B$32:$B$45)*(INDEX('Landbrugsareal - resultat'!$C$32:$E$45,,MATCH(E29,'Landbrugsareal - resultat'!$C$4:$E$4,0)))),IF(C29=2030,SUMPRODUCT((B29='Landbrugsareal - resultat'!$B$32:$B$45)*(INDEX('Landbrugsareal - resultat'!$F$32:$H$45,,MATCH(E29,'Landbrugsareal - resultat'!$F$4:$H$4,0)))),SUMPRODUCT((B29='Landbrugsareal - resultat'!$B$32:$B$45)*(INDEX('Landbrugsareal - resultat'!$I$32:$K$45,,MATCH(E29,'Landbrugsareal - resultat'!$I$4:$K$4,0)))))),IF(C29=2019,SUMPRODUCT((B29='Landbrugsareal - resultat'!$B$32:$B$45)*(INDEX('Landbrugsareal - resultat'!$L$32:$N$45,,MATCH(E29,'Landbrugsareal - resultat'!$L$4:$N$4,0)))),IF(C29=2030,SUMPRODUCT((B29='Landbrugsareal - resultat'!$B$32:$B$45)*(INDEX('Landbrugsareal - resultat'!$O$32:$Q$45,,MATCH(E29,'Landbrugsareal - resultat'!$O$4:$Q$4,0)))),SUMPRODUCT((B29='Landbrugsareal - resultat'!$B$32:$B$45)*(INDEX('Landbrugsareal - resultat'!$R$32:$T$45,,MATCH(E29,'Landbrugsareal - resultat'!$R$4:$T$4,0))))))))</f>
        <v>114913.74153834289</v>
      </c>
      <c r="H29" s="172">
        <f>G29*VLOOKUP(B29,[1]Afgrødedata!$A$5:$F$18,2,FALSE)*IF(D29="Økologisk",VLOOKUP(B29,[1]Afgrødedata!$A$5:$F$18,4,FALSE),1)*IF(E29&lt;&gt;Jordbund1,IF(E29=Organ6,VLOOKUP(B29,[1]Afgrødedata!$A$5:$F$18,5,FALSE),VLOOKUP(B29,[1]Afgrødedata!$A$5:$F$18,6,FALSE)),1)*0.1</f>
        <v>1584660.4958137486</v>
      </c>
      <c r="I29" s="172">
        <f>G29*VLOOKUP(B29,[1]Afgrødedata!$A$5:$F$18,3,FALSE)*IF(D29="Økologisk",VLOOKUP(B29,[1]Afgrødedata!$A$5:$F$18,4,FALSE),1)*IF(E29&lt;&gt;Jordbund1,IF(E29=Organ6,VLOOKUP(B29,[1]Afgrødedata!$A$5:$F$18,5,FALSE),VLOOKUP(B29,[1]Afgrødedata!$A$5:$F$18,6,FALSE)),1)*HLOOKUP(C29,Landbrug!$C$15:$E$17,2,FALSE)*HLOOKUP(C29,Landbrug!$C$15:$E$17,3,FALSE)*0.1</f>
        <v>0</v>
      </c>
      <c r="J29" s="76">
        <f t="shared" si="2"/>
        <v>1584660.4958137486</v>
      </c>
      <c r="L29" t="s">
        <v>24</v>
      </c>
      <c r="M29" t="s">
        <v>22</v>
      </c>
      <c r="N29">
        <v>2019</v>
      </c>
      <c r="O29" t="s">
        <v>8</v>
      </c>
      <c r="P29" s="76">
        <f>'Landbrugsareal - resultat'!F50</f>
        <v>15447</v>
      </c>
    </row>
    <row r="30" spans="1:16" x14ac:dyDescent="0.55000000000000004">
      <c r="A30" t="s">
        <v>23</v>
      </c>
      <c r="B30" s="1" t="str">
        <f>[1]Afgrødefordeling!$C$2</f>
        <v>Korn</v>
      </c>
      <c r="C30">
        <v>2050</v>
      </c>
      <c r="D30" t="s">
        <v>7</v>
      </c>
      <c r="E30" s="172" t="str">
        <f t="shared" si="0"/>
        <v>JB1-10</v>
      </c>
      <c r="F30" t="str">
        <f t="shared" si="1"/>
        <v>Halm</v>
      </c>
      <c r="G30" s="76" cm="1">
        <f t="array" ref="G30">IF(A30="Vestdanmark",IF(D30="Konventionel",IF(C30=2019,SUMPRODUCT((B30='Landbrugsareal - resultat'!$B$5:$B$18)*(INDEX('Landbrugsareal - resultat'!$C$5:$E$18,,MATCH(E30,'Landbrugsareal - resultat'!$C$4:$E$4,0)))),IF(C30=2030,SUMPRODUCT((B30='Landbrugsareal - resultat'!$B$5:$B$18)*(INDEX('Landbrugsareal - resultat'!$F$5:$H$18,,MATCH(E30,'Landbrugsareal - resultat'!$F$4:$H$4,0)))),SUMPRODUCT((B30='Landbrugsareal - resultat'!$B$5:$B$18)*(INDEX('Landbrugsareal - resultat'!$I$5:$K$18,,MATCH(E30,'Landbrugsareal - resultat'!$I$4:$K$4,0)))))),IF(C30=2019,SUMPRODUCT((B30='Landbrugsareal - resultat'!$B$5:$B$18)*(INDEX('Landbrugsareal - resultat'!$L$5:$N$18,,MATCH(E30,'Landbrugsareal - resultat'!$L$4:$N$4,0)))),IF(C30=2030,SUMPRODUCT((B30='Landbrugsareal - resultat'!$B$5:$B$18)*(INDEX('Landbrugsareal - resultat'!$O$5:$Q$18,,MATCH(E30,'Landbrugsareal - resultat'!$O$4:$Q$4,0)))),SUMPRODUCT((B30='Landbrugsareal - resultat'!$B$5:$B$18)*(INDEX('Landbrugsareal - resultat'!$R$5:$T$18,,MATCH(E30,'Landbrugsareal - resultat'!$R$4:$T$4,0))))))),IF(D30="Konventionel",IF(C30=2019,SUMPRODUCT((B30='Landbrugsareal - resultat'!$B$32:$B$45)*(INDEX('Landbrugsareal - resultat'!$C$32:$E$45,,MATCH(E30,'Landbrugsareal - resultat'!$C$4:$E$4,0)))),IF(C30=2030,SUMPRODUCT((B30='Landbrugsareal - resultat'!$B$32:$B$45)*(INDEX('Landbrugsareal - resultat'!$F$32:$H$45,,MATCH(E30,'Landbrugsareal - resultat'!$F$4:$H$4,0)))),SUMPRODUCT((B30='Landbrugsareal - resultat'!$B$32:$B$45)*(INDEX('Landbrugsareal - resultat'!$I$32:$K$45,,MATCH(E30,'Landbrugsareal - resultat'!$I$4:$K$4,0)))))),IF(C30=2019,SUMPRODUCT((B30='Landbrugsareal - resultat'!$B$32:$B$45)*(INDEX('Landbrugsareal - resultat'!$L$32:$N$45,,MATCH(E30,'Landbrugsareal - resultat'!$L$4:$N$4,0)))),IF(C30=2030,SUMPRODUCT((B30='Landbrugsareal - resultat'!$B$32:$B$45)*(INDEX('Landbrugsareal - resultat'!$O$32:$Q$45,,MATCH(E30,'Landbrugsareal - resultat'!$O$4:$Q$4,0)))),SUMPRODUCT((B30='Landbrugsareal - resultat'!$B$32:$B$45)*(INDEX('Landbrugsareal - resultat'!$R$32:$T$45,,MATCH(E30,'Landbrugsareal - resultat'!$R$4:$T$4,0))))))))</f>
        <v>770919.64193441265</v>
      </c>
      <c r="H30" s="172">
        <f>G30*VLOOKUP(B30,[1]Afgrødedata!$A$5:$F$18,2,FALSE)*IF(D30="Økologisk",VLOOKUP(B30,[1]Afgrødedata!$A$5:$F$18,4,FALSE),1)*IF(E30&lt;&gt;Jordbund1,IF(E30=Organ6,VLOOKUP(B30,[1]Afgrødedata!$A$5:$F$18,5,FALSE),VLOOKUP(B30,[1]Afgrødedata!$A$5:$F$18,6,FALSE)),1)*0.1</f>
        <v>5404146.6899602329</v>
      </c>
      <c r="I30" s="172">
        <f>G30*VLOOKUP(B30,[1]Afgrødedata!$A$5:$F$18,3,FALSE)*IF(D30="Økologisk",VLOOKUP(B30,[1]Afgrødedata!$A$5:$F$18,4,FALSE),1)*IF(E30&lt;&gt;Jordbund1,IF(E30=Organ6,VLOOKUP(B30,[1]Afgrødedata!$A$5:$F$18,5,FALSE),VLOOKUP(B30,[1]Afgrødedata!$A$5:$F$18,6,FALSE)),1)*HLOOKUP(C30,Landbrug!$C$15:$E$17,2,FALSE)*HLOOKUP(C30,Landbrug!$C$15:$E$17,3,FALSE)*0.1</f>
        <v>1753645.6008920954</v>
      </c>
      <c r="J30" s="76">
        <f t="shared" si="2"/>
        <v>1753645.6008920954</v>
      </c>
      <c r="L30" t="s">
        <v>24</v>
      </c>
      <c r="M30" t="s">
        <v>3</v>
      </c>
      <c r="N30">
        <v>2019</v>
      </c>
      <c r="O30" t="s">
        <v>8</v>
      </c>
      <c r="P30" s="76">
        <f>'Landbrugsareal - resultat'!F51</f>
        <v>16513</v>
      </c>
    </row>
    <row r="31" spans="1:16" x14ac:dyDescent="0.55000000000000004">
      <c r="A31" t="s">
        <v>23</v>
      </c>
      <c r="B31" s="1" t="str">
        <f>[1]Afgrødefordeling!$C$3</f>
        <v>Bælgsæd</v>
      </c>
      <c r="C31">
        <v>2050</v>
      </c>
      <c r="D31" t="s">
        <v>7</v>
      </c>
      <c r="E31" s="172" t="str">
        <f t="shared" si="0"/>
        <v>JB1-10</v>
      </c>
      <c r="F31" t="str">
        <f t="shared" si="1"/>
        <v>Halm</v>
      </c>
      <c r="G31" s="76" cm="1">
        <f t="array" ref="G31">IF(A31="Vestdanmark",IF(D31="Konventionel",IF(C31=2019,SUMPRODUCT((B31='Landbrugsareal - resultat'!$B$5:$B$18)*(INDEX('Landbrugsareal - resultat'!$C$5:$E$18,,MATCH(E31,'Landbrugsareal - resultat'!$C$4:$E$4,0)))),IF(C31=2030,SUMPRODUCT((B31='Landbrugsareal - resultat'!$B$5:$B$18)*(INDEX('Landbrugsareal - resultat'!$F$5:$H$18,,MATCH(E31,'Landbrugsareal - resultat'!$F$4:$H$4,0)))),SUMPRODUCT((B31='Landbrugsareal - resultat'!$B$5:$B$18)*(INDEX('Landbrugsareal - resultat'!$I$5:$K$18,,MATCH(E31,'Landbrugsareal - resultat'!$I$4:$K$4,0)))))),IF(C31=2019,SUMPRODUCT((B31='Landbrugsareal - resultat'!$B$5:$B$18)*(INDEX('Landbrugsareal - resultat'!$L$5:$N$18,,MATCH(E31,'Landbrugsareal - resultat'!$L$4:$N$4,0)))),IF(C31=2030,SUMPRODUCT((B31='Landbrugsareal - resultat'!$B$5:$B$18)*(INDEX('Landbrugsareal - resultat'!$O$5:$Q$18,,MATCH(E31,'Landbrugsareal - resultat'!$O$4:$Q$4,0)))),SUMPRODUCT((B31='Landbrugsareal - resultat'!$B$5:$B$18)*(INDEX('Landbrugsareal - resultat'!$R$5:$T$18,,MATCH(E31,'Landbrugsareal - resultat'!$R$4:$T$4,0))))))),IF(D31="Konventionel",IF(C31=2019,SUMPRODUCT((B31='Landbrugsareal - resultat'!$B$32:$B$45)*(INDEX('Landbrugsareal - resultat'!$C$32:$E$45,,MATCH(E31,'Landbrugsareal - resultat'!$C$4:$E$4,0)))),IF(C31=2030,SUMPRODUCT((B31='Landbrugsareal - resultat'!$B$32:$B$45)*(INDEX('Landbrugsareal - resultat'!$F$32:$H$45,,MATCH(E31,'Landbrugsareal - resultat'!$F$4:$H$4,0)))),SUMPRODUCT((B31='Landbrugsareal - resultat'!$B$32:$B$45)*(INDEX('Landbrugsareal - resultat'!$I$32:$K$45,,MATCH(E31,'Landbrugsareal - resultat'!$I$4:$K$4,0)))))),IF(C31=2019,SUMPRODUCT((B31='Landbrugsareal - resultat'!$B$32:$B$45)*(INDEX('Landbrugsareal - resultat'!$L$32:$N$45,,MATCH(E31,'Landbrugsareal - resultat'!$L$4:$N$4,0)))),IF(C31=2030,SUMPRODUCT((B31='Landbrugsareal - resultat'!$B$32:$B$45)*(INDEX('Landbrugsareal - resultat'!$O$32:$Q$45,,MATCH(E31,'Landbrugsareal - resultat'!$O$4:$Q$4,0)))),SUMPRODUCT((B31='Landbrugsareal - resultat'!$B$32:$B$45)*(INDEX('Landbrugsareal - resultat'!$R$32:$T$45,,MATCH(E31,'Landbrugsareal - resultat'!$R$4:$T$4,0))))))))</f>
        <v>53264.00623351871</v>
      </c>
      <c r="H31" s="172">
        <f>G31*VLOOKUP(B31,[1]Afgrødedata!$A$5:$F$18,2,FALSE)*IF(D31="Økologisk",VLOOKUP(B31,[1]Afgrødedata!$A$5:$F$18,4,FALSE),1)*IF(E31&lt;&gt;Jordbund1,IF(E31=Organ6,VLOOKUP(B31,[1]Afgrødedata!$A$5:$F$18,5,FALSE),VLOOKUP(B31,[1]Afgrødedata!$A$5:$F$18,6,FALSE)),1)*0.1</f>
        <v>205599.06406138223</v>
      </c>
      <c r="I31" s="172">
        <f>G31*VLOOKUP(B31,[1]Afgrødedata!$A$5:$F$18,3,FALSE)*IF(D31="Økologisk",VLOOKUP(B31,[1]Afgrødedata!$A$5:$F$18,4,FALSE),1)*IF(E31&lt;&gt;Jordbund1,IF(E31=Organ6,VLOOKUP(B31,[1]Afgrødedata!$A$5:$F$18,5,FALSE),VLOOKUP(B31,[1]Afgrødedata!$A$5:$F$18,6,FALSE)),1)*HLOOKUP(C31,Landbrug!$C$15:$E$17,2,FALSE)*HLOOKUP(C31,Landbrug!$C$15:$E$17,3,FALSE)*0.1</f>
        <v>60683.14966178553</v>
      </c>
      <c r="J31" s="76">
        <f t="shared" si="2"/>
        <v>60683.14966178553</v>
      </c>
      <c r="L31" t="s">
        <v>24</v>
      </c>
      <c r="M31" t="s">
        <v>4</v>
      </c>
      <c r="N31">
        <v>2019</v>
      </c>
      <c r="O31" t="s">
        <v>8</v>
      </c>
      <c r="P31" s="76">
        <f>'Landbrugsareal - resultat'!F52</f>
        <v>214987</v>
      </c>
    </row>
    <row r="32" spans="1:16" x14ac:dyDescent="0.55000000000000004">
      <c r="A32" t="s">
        <v>23</v>
      </c>
      <c r="B32" s="1" t="str">
        <f>[1]Afgrødefordeling!$C$4</f>
        <v>Raps</v>
      </c>
      <c r="C32">
        <v>2050</v>
      </c>
      <c r="D32" t="s">
        <v>7</v>
      </c>
      <c r="E32" s="172" t="str">
        <f t="shared" si="0"/>
        <v>JB1-10</v>
      </c>
      <c r="F32" t="str">
        <f t="shared" si="1"/>
        <v>Halm</v>
      </c>
      <c r="G32" s="76" cm="1">
        <f t="array" ref="G32">IF(A32="Vestdanmark",IF(D32="Konventionel",IF(C32=2019,SUMPRODUCT((B32='Landbrugsareal - resultat'!$B$5:$B$18)*(INDEX('Landbrugsareal - resultat'!$C$5:$E$18,,MATCH(E32,'Landbrugsareal - resultat'!$C$4:$E$4,0)))),IF(C32=2030,SUMPRODUCT((B32='Landbrugsareal - resultat'!$B$5:$B$18)*(INDEX('Landbrugsareal - resultat'!$F$5:$H$18,,MATCH(E32,'Landbrugsareal - resultat'!$F$4:$H$4,0)))),SUMPRODUCT((B32='Landbrugsareal - resultat'!$B$5:$B$18)*(INDEX('Landbrugsareal - resultat'!$I$5:$K$18,,MATCH(E32,'Landbrugsareal - resultat'!$I$4:$K$4,0)))))),IF(C32=2019,SUMPRODUCT((B32='Landbrugsareal - resultat'!$B$5:$B$18)*(INDEX('Landbrugsareal - resultat'!$L$5:$N$18,,MATCH(E32,'Landbrugsareal - resultat'!$L$4:$N$4,0)))),IF(C32=2030,SUMPRODUCT((B32='Landbrugsareal - resultat'!$B$5:$B$18)*(INDEX('Landbrugsareal - resultat'!$O$5:$Q$18,,MATCH(E32,'Landbrugsareal - resultat'!$O$4:$Q$4,0)))),SUMPRODUCT((B32='Landbrugsareal - resultat'!$B$5:$B$18)*(INDEX('Landbrugsareal - resultat'!$R$5:$T$18,,MATCH(E32,'Landbrugsareal - resultat'!$R$4:$T$4,0))))))),IF(D32="Konventionel",IF(C32=2019,SUMPRODUCT((B32='Landbrugsareal - resultat'!$B$32:$B$45)*(INDEX('Landbrugsareal - resultat'!$C$32:$E$45,,MATCH(E32,'Landbrugsareal - resultat'!$C$4:$E$4,0)))),IF(C32=2030,SUMPRODUCT((B32='Landbrugsareal - resultat'!$B$32:$B$45)*(INDEX('Landbrugsareal - resultat'!$F$32:$H$45,,MATCH(E32,'Landbrugsareal - resultat'!$F$4:$H$4,0)))),SUMPRODUCT((B32='Landbrugsareal - resultat'!$B$32:$B$45)*(INDEX('Landbrugsareal - resultat'!$I$32:$K$45,,MATCH(E32,'Landbrugsareal - resultat'!$I$4:$K$4,0)))))),IF(C32=2019,SUMPRODUCT((B32='Landbrugsareal - resultat'!$B$32:$B$45)*(INDEX('Landbrugsareal - resultat'!$L$32:$N$45,,MATCH(E32,'Landbrugsareal - resultat'!$L$4:$N$4,0)))),IF(C32=2030,SUMPRODUCT((B32='Landbrugsareal - resultat'!$B$32:$B$45)*(INDEX('Landbrugsareal - resultat'!$O$32:$Q$45,,MATCH(E32,'Landbrugsareal - resultat'!$O$4:$Q$4,0)))),SUMPRODUCT((B32='Landbrugsareal - resultat'!$B$32:$B$45)*(INDEX('Landbrugsareal - resultat'!$R$32:$T$45,,MATCH(E32,'Landbrugsareal - resultat'!$R$4:$T$4,0))))))))</f>
        <v>89570.944550794622</v>
      </c>
      <c r="H32" s="172">
        <f>G32*VLOOKUP(B32,[1]Afgrødedata!$A$5:$F$18,2,FALSE)*IF(D32="Økologisk",VLOOKUP(B32,[1]Afgrødedata!$A$5:$F$18,4,FALSE),1)*IF(E32&lt;&gt;Jordbund1,IF(E32=Organ6,VLOOKUP(B32,[1]Afgrødedata!$A$5:$F$18,5,FALSE),VLOOKUP(B32,[1]Afgrødedata!$A$5:$F$18,6,FALSE)),1)*0.1</f>
        <v>394112.15602349635</v>
      </c>
      <c r="I32" s="172">
        <f>G32*VLOOKUP(B32,[1]Afgrødedata!$A$5:$F$18,3,FALSE)*IF(D32="Økologisk",VLOOKUP(B32,[1]Afgrødedata!$A$5:$F$18,4,FALSE),1)*IF(E32&lt;&gt;Jordbund1,IF(E32=Organ6,VLOOKUP(B32,[1]Afgrødedata!$A$5:$F$18,5,FALSE),VLOOKUP(B32,[1]Afgrødedata!$A$5:$F$18,6,FALSE)),1)*HLOOKUP(C32,Landbrug!$C$15:$E$17,2,FALSE)*HLOOKUP(C32,Landbrug!$C$15:$E$17,3,FALSE)*0.1</f>
        <v>209273.55484847655</v>
      </c>
      <c r="J32" s="76">
        <f t="shared" si="2"/>
        <v>209273.55484847655</v>
      </c>
      <c r="L32" t="s">
        <v>24</v>
      </c>
      <c r="M32" t="s">
        <v>22</v>
      </c>
      <c r="N32">
        <v>2030</v>
      </c>
      <c r="O32" t="s">
        <v>8</v>
      </c>
      <c r="P32" s="76">
        <f>'Landbrugsareal - resultat'!G50</f>
        <v>23819.009547433063</v>
      </c>
    </row>
    <row r="33" spans="1:16" x14ac:dyDescent="0.55000000000000004">
      <c r="A33" t="s">
        <v>23</v>
      </c>
      <c r="B33" s="1" t="str">
        <f>[1]Afgrødefordeling!$C$5</f>
        <v>Græs</v>
      </c>
      <c r="C33">
        <v>2050</v>
      </c>
      <c r="D33" t="s">
        <v>7</v>
      </c>
      <c r="E33" s="172" t="str">
        <f t="shared" si="0"/>
        <v>JB1-10</v>
      </c>
      <c r="F33" t="str">
        <f t="shared" si="1"/>
        <v>Græs</v>
      </c>
      <c r="G33" s="76" cm="1">
        <f t="array" ref="G33">IF(A33="Vestdanmark",IF(D33="Konventionel",IF(C33=2019,SUMPRODUCT((B33='Landbrugsareal - resultat'!$B$5:$B$18)*(INDEX('Landbrugsareal - resultat'!$C$5:$E$18,,MATCH(E33,'Landbrugsareal - resultat'!$C$4:$E$4,0)))),IF(C33=2030,SUMPRODUCT((B33='Landbrugsareal - resultat'!$B$5:$B$18)*(INDEX('Landbrugsareal - resultat'!$F$5:$H$18,,MATCH(E33,'Landbrugsareal - resultat'!$F$4:$H$4,0)))),SUMPRODUCT((B33='Landbrugsareal - resultat'!$B$5:$B$18)*(INDEX('Landbrugsareal - resultat'!$I$5:$K$18,,MATCH(E33,'Landbrugsareal - resultat'!$I$4:$K$4,0)))))),IF(C33=2019,SUMPRODUCT((B33='Landbrugsareal - resultat'!$B$5:$B$18)*(INDEX('Landbrugsareal - resultat'!$L$5:$N$18,,MATCH(E33,'Landbrugsareal - resultat'!$L$4:$N$4,0)))),IF(C33=2030,SUMPRODUCT((B33='Landbrugsareal - resultat'!$B$5:$B$18)*(INDEX('Landbrugsareal - resultat'!$O$5:$Q$18,,MATCH(E33,'Landbrugsareal - resultat'!$O$4:$Q$4,0)))),SUMPRODUCT((B33='Landbrugsareal - resultat'!$B$5:$B$18)*(INDEX('Landbrugsareal - resultat'!$R$5:$T$18,,MATCH(E33,'Landbrugsareal - resultat'!$R$4:$T$4,0))))))),IF(D33="Konventionel",IF(C33=2019,SUMPRODUCT((B33='Landbrugsareal - resultat'!$B$32:$B$45)*(INDEX('Landbrugsareal - resultat'!$C$32:$E$45,,MATCH(E33,'Landbrugsareal - resultat'!$C$4:$E$4,0)))),IF(C33=2030,SUMPRODUCT((B33='Landbrugsareal - resultat'!$B$32:$B$45)*(INDEX('Landbrugsareal - resultat'!$F$32:$H$45,,MATCH(E33,'Landbrugsareal - resultat'!$F$4:$H$4,0)))),SUMPRODUCT((B33='Landbrugsareal - resultat'!$B$32:$B$45)*(INDEX('Landbrugsareal - resultat'!$I$32:$K$45,,MATCH(E33,'Landbrugsareal - resultat'!$I$4:$K$4,0)))))),IF(C33=2019,SUMPRODUCT((B33='Landbrugsareal - resultat'!$B$32:$B$45)*(INDEX('Landbrugsareal - resultat'!$L$32:$N$45,,MATCH(E33,'Landbrugsareal - resultat'!$L$4:$N$4,0)))),IF(C33=2030,SUMPRODUCT((B33='Landbrugsareal - resultat'!$B$32:$B$45)*(INDEX('Landbrugsareal - resultat'!$O$32:$Q$45,,MATCH(E33,'Landbrugsareal - resultat'!$O$4:$Q$4,0)))),SUMPRODUCT((B33='Landbrugsareal - resultat'!$B$32:$B$45)*(INDEX('Landbrugsareal - resultat'!$R$32:$T$45,,MATCH(E33,'Landbrugsareal - resultat'!$R$4:$T$4,0))))))))</f>
        <v>170783.61983035918</v>
      </c>
      <c r="H33" s="172">
        <f>G33*VLOOKUP(B33,[1]Afgrødedata!$A$5:$F$18,2,FALSE)*IF(D33="Økologisk",VLOOKUP(B33,[1]Afgrødedata!$A$5:$F$18,4,FALSE),1)*IF(E33&lt;&gt;Jordbund1,IF(E33=Organ6,VLOOKUP(B33,[1]Afgrødedata!$A$5:$F$18,5,FALSE),VLOOKUP(B33,[1]Afgrødedata!$A$5:$F$18,6,FALSE)),1)*0.1</f>
        <v>8474283.2159824222</v>
      </c>
      <c r="I33" s="172">
        <f>G33*VLOOKUP(B33,[1]Afgrødedata!$A$5:$F$18,3,FALSE)*IF(D33="Økologisk",VLOOKUP(B33,[1]Afgrødedata!$A$5:$F$18,4,FALSE),1)*IF(E33&lt;&gt;Jordbund1,IF(E33=Organ6,VLOOKUP(B33,[1]Afgrødedata!$A$5:$F$18,5,FALSE),VLOOKUP(B33,[1]Afgrødedata!$A$5:$F$18,6,FALSE)),1)*HLOOKUP(C33,Landbrug!$C$15:$E$17,2,FALSE)*HLOOKUP(C33,Landbrug!$C$15:$E$17,3,FALSE)*0.1</f>
        <v>0</v>
      </c>
      <c r="J33" s="76">
        <f t="shared" si="2"/>
        <v>8474283.2159824222</v>
      </c>
      <c r="L33" t="s">
        <v>24</v>
      </c>
      <c r="M33" t="s">
        <v>3</v>
      </c>
      <c r="N33">
        <v>2030</v>
      </c>
      <c r="O33" t="s">
        <v>8</v>
      </c>
      <c r="P33" s="76">
        <f>'Landbrugsareal - resultat'!G51</f>
        <v>18887.857465363868</v>
      </c>
    </row>
    <row r="34" spans="1:16" x14ac:dyDescent="0.55000000000000004">
      <c r="A34" t="s">
        <v>23</v>
      </c>
      <c r="B34" s="1" t="str">
        <f>[1]Afgrødefordeling!$C$6</f>
        <v>Grøntsager</v>
      </c>
      <c r="C34">
        <v>2050</v>
      </c>
      <c r="D34" t="s">
        <v>7</v>
      </c>
      <c r="E34" s="172" t="str">
        <f t="shared" ref="E34:E65" si="6">Jordbund1</f>
        <v>JB1-10</v>
      </c>
      <c r="F34" t="str">
        <f t="shared" si="1"/>
        <v>Grøntsager</v>
      </c>
      <c r="G34" s="76" cm="1">
        <f t="array" ref="G34">IF(A34="Vestdanmark",IF(D34="Konventionel",IF(C34=2019,SUMPRODUCT((B34='Landbrugsareal - resultat'!$B$5:$B$18)*(INDEX('Landbrugsareal - resultat'!$C$5:$E$18,,MATCH(E34,'Landbrugsareal - resultat'!$C$4:$E$4,0)))),IF(C34=2030,SUMPRODUCT((B34='Landbrugsareal - resultat'!$B$5:$B$18)*(INDEX('Landbrugsareal - resultat'!$F$5:$H$18,,MATCH(E34,'Landbrugsareal - resultat'!$F$4:$H$4,0)))),SUMPRODUCT((B34='Landbrugsareal - resultat'!$B$5:$B$18)*(INDEX('Landbrugsareal - resultat'!$I$5:$K$18,,MATCH(E34,'Landbrugsareal - resultat'!$I$4:$K$4,0)))))),IF(C34=2019,SUMPRODUCT((B34='Landbrugsareal - resultat'!$B$5:$B$18)*(INDEX('Landbrugsareal - resultat'!$L$5:$N$18,,MATCH(E34,'Landbrugsareal - resultat'!$L$4:$N$4,0)))),IF(C34=2030,SUMPRODUCT((B34='Landbrugsareal - resultat'!$B$5:$B$18)*(INDEX('Landbrugsareal - resultat'!$O$5:$Q$18,,MATCH(E34,'Landbrugsareal - resultat'!$O$4:$Q$4,0)))),SUMPRODUCT((B34='Landbrugsareal - resultat'!$B$5:$B$18)*(INDEX('Landbrugsareal - resultat'!$R$5:$T$18,,MATCH(E34,'Landbrugsareal - resultat'!$R$4:$T$4,0))))))),IF(D34="Konventionel",IF(C34=2019,SUMPRODUCT((B34='Landbrugsareal - resultat'!$B$32:$B$45)*(INDEX('Landbrugsareal - resultat'!$C$32:$E$45,,MATCH(E34,'Landbrugsareal - resultat'!$C$4:$E$4,0)))),IF(C34=2030,SUMPRODUCT((B34='Landbrugsareal - resultat'!$B$32:$B$45)*(INDEX('Landbrugsareal - resultat'!$F$32:$H$45,,MATCH(E34,'Landbrugsareal - resultat'!$F$4:$H$4,0)))),SUMPRODUCT((B34='Landbrugsareal - resultat'!$B$32:$B$45)*(INDEX('Landbrugsareal - resultat'!$I$32:$K$45,,MATCH(E34,'Landbrugsareal - resultat'!$I$4:$K$4,0)))))),IF(C34=2019,SUMPRODUCT((B34='Landbrugsareal - resultat'!$B$32:$B$45)*(INDEX('Landbrugsareal - resultat'!$L$32:$N$45,,MATCH(E34,'Landbrugsareal - resultat'!$L$4:$N$4,0)))),IF(C34=2030,SUMPRODUCT((B34='Landbrugsareal - resultat'!$B$32:$B$45)*(INDEX('Landbrugsareal - resultat'!$O$32:$Q$45,,MATCH(E34,'Landbrugsareal - resultat'!$O$4:$Q$4,0)))),SUMPRODUCT((B34='Landbrugsareal - resultat'!$B$32:$B$45)*(INDEX('Landbrugsareal - resultat'!$R$32:$T$45,,MATCH(E34,'Landbrugsareal - resultat'!$R$4:$T$4,0))))))))</f>
        <v>6608.9376850525514</v>
      </c>
      <c r="H34" s="172">
        <f>G34*VLOOKUP(B34,[1]Afgrødedata!$A$5:$F$18,2,FALSE)*IF(D34="Økologisk",VLOOKUP(B34,[1]Afgrødedata!$A$5:$F$18,4,FALSE),1)*IF(E34&lt;&gt;Jordbund1,IF(E34=Organ6,VLOOKUP(B34,[1]Afgrødedata!$A$5:$F$18,5,FALSE),VLOOKUP(B34,[1]Afgrødedata!$A$5:$F$18,6,FALSE)),1)*0.1</f>
        <v>137135.45696484044</v>
      </c>
      <c r="I34" s="172">
        <f>G34*VLOOKUP(B34,[1]Afgrødedata!$A$5:$F$18,3,FALSE)*IF(D34="Økologisk",VLOOKUP(B34,[1]Afgrødedata!$A$5:$F$18,4,FALSE),1)*IF(E34&lt;&gt;Jordbund1,IF(E34=Organ6,VLOOKUP(B34,[1]Afgrødedata!$A$5:$F$18,5,FALSE),VLOOKUP(B34,[1]Afgrødedata!$A$5:$F$18,6,FALSE)),1)*HLOOKUP(C34,Landbrug!$C$15:$E$17,2,FALSE)*HLOOKUP(C34,Landbrug!$C$15:$E$17,3,FALSE)*0.1</f>
        <v>0</v>
      </c>
      <c r="J34" s="76">
        <f t="shared" si="2"/>
        <v>137135.45696484044</v>
      </c>
      <c r="L34" t="s">
        <v>24</v>
      </c>
      <c r="M34" t="s">
        <v>4</v>
      </c>
      <c r="N34">
        <v>2030</v>
      </c>
      <c r="O34" t="s">
        <v>8</v>
      </c>
      <c r="P34" s="76">
        <f>'Landbrugsareal - resultat'!G52</f>
        <v>247712.41024023574</v>
      </c>
    </row>
    <row r="35" spans="1:16" x14ac:dyDescent="0.55000000000000004">
      <c r="A35" t="s">
        <v>23</v>
      </c>
      <c r="B35" s="1" t="str">
        <f>[1]Afgrødefordeling!$C$7</f>
        <v>Kartofler</v>
      </c>
      <c r="C35">
        <v>2050</v>
      </c>
      <c r="D35" t="s">
        <v>7</v>
      </c>
      <c r="E35" s="172" t="str">
        <f t="shared" si="6"/>
        <v>JB1-10</v>
      </c>
      <c r="F35" t="str">
        <f t="shared" si="1"/>
        <v>Kartofler</v>
      </c>
      <c r="G35" s="76" cm="1">
        <f t="array" ref="G35">IF(A35="Vestdanmark",IF(D35="Konventionel",IF(C35=2019,SUMPRODUCT((B35='Landbrugsareal - resultat'!$B$5:$B$18)*(INDEX('Landbrugsareal - resultat'!$C$5:$E$18,,MATCH(E35,'Landbrugsareal - resultat'!$C$4:$E$4,0)))),IF(C35=2030,SUMPRODUCT((B35='Landbrugsareal - resultat'!$B$5:$B$18)*(INDEX('Landbrugsareal - resultat'!$F$5:$H$18,,MATCH(E35,'Landbrugsareal - resultat'!$F$4:$H$4,0)))),SUMPRODUCT((B35='Landbrugsareal - resultat'!$B$5:$B$18)*(INDEX('Landbrugsareal - resultat'!$I$5:$K$18,,MATCH(E35,'Landbrugsareal - resultat'!$I$4:$K$4,0)))))),IF(C35=2019,SUMPRODUCT((B35='Landbrugsareal - resultat'!$B$5:$B$18)*(INDEX('Landbrugsareal - resultat'!$L$5:$N$18,,MATCH(E35,'Landbrugsareal - resultat'!$L$4:$N$4,0)))),IF(C35=2030,SUMPRODUCT((B35='Landbrugsareal - resultat'!$B$5:$B$18)*(INDEX('Landbrugsareal - resultat'!$O$5:$Q$18,,MATCH(E35,'Landbrugsareal - resultat'!$O$4:$Q$4,0)))),SUMPRODUCT((B35='Landbrugsareal - resultat'!$B$5:$B$18)*(INDEX('Landbrugsareal - resultat'!$R$5:$T$18,,MATCH(E35,'Landbrugsareal - resultat'!$R$4:$T$4,0))))))),IF(D35="Konventionel",IF(C35=2019,SUMPRODUCT((B35='Landbrugsareal - resultat'!$B$32:$B$45)*(INDEX('Landbrugsareal - resultat'!$C$32:$E$45,,MATCH(E35,'Landbrugsareal - resultat'!$C$4:$E$4,0)))),IF(C35=2030,SUMPRODUCT((B35='Landbrugsareal - resultat'!$B$32:$B$45)*(INDEX('Landbrugsareal - resultat'!$F$32:$H$45,,MATCH(E35,'Landbrugsareal - resultat'!$F$4:$H$4,0)))),SUMPRODUCT((B35='Landbrugsareal - resultat'!$B$32:$B$45)*(INDEX('Landbrugsareal - resultat'!$I$32:$K$45,,MATCH(E35,'Landbrugsareal - resultat'!$I$4:$K$4,0)))))),IF(C35=2019,SUMPRODUCT((B35='Landbrugsareal - resultat'!$B$32:$B$45)*(INDEX('Landbrugsareal - resultat'!$L$32:$N$45,,MATCH(E35,'Landbrugsareal - resultat'!$L$4:$N$4,0)))),IF(C35=2030,SUMPRODUCT((B35='Landbrugsareal - resultat'!$B$32:$B$45)*(INDEX('Landbrugsareal - resultat'!$O$32:$Q$45,,MATCH(E35,'Landbrugsareal - resultat'!$O$4:$Q$4,0)))),SUMPRODUCT((B35='Landbrugsareal - resultat'!$B$32:$B$45)*(INDEX('Landbrugsareal - resultat'!$R$32:$T$45,,MATCH(E35,'Landbrugsareal - resultat'!$R$4:$T$4,0))))))))</f>
        <v>39370.280898972756</v>
      </c>
      <c r="H35" s="172">
        <f>G35*VLOOKUP(B35,[1]Afgrødedata!$A$5:$F$18,2,FALSE)*IF(D35="Økologisk",VLOOKUP(B35,[1]Afgrødedata!$A$5:$F$18,4,FALSE),1)*IF(E35&lt;&gt;Jordbund1,IF(E35=Organ6,VLOOKUP(B35,[1]Afgrødedata!$A$5:$F$18,5,FALSE),VLOOKUP(B35,[1]Afgrødedata!$A$5:$F$18,6,FALSE)),1)*0.1</f>
        <v>1672091.2422013455</v>
      </c>
      <c r="I35" s="172">
        <f>G35*VLOOKUP(B35,[1]Afgrødedata!$A$5:$F$18,3,FALSE)*IF(D35="Økologisk",VLOOKUP(B35,[1]Afgrødedata!$A$5:$F$18,4,FALSE),1)*IF(E35&lt;&gt;Jordbund1,IF(E35=Organ6,VLOOKUP(B35,[1]Afgrødedata!$A$5:$F$18,5,FALSE),VLOOKUP(B35,[1]Afgrødedata!$A$5:$F$18,6,FALSE)),1)*HLOOKUP(C35,Landbrug!$C$15:$E$17,2,FALSE)*HLOOKUP(C35,Landbrug!$C$15:$E$17,3,FALSE)*0.1</f>
        <v>0</v>
      </c>
      <c r="J35" s="76">
        <f t="shared" si="2"/>
        <v>1672091.2422013455</v>
      </c>
      <c r="L35" t="s">
        <v>24</v>
      </c>
      <c r="M35" t="s">
        <v>22</v>
      </c>
      <c r="N35">
        <v>2050</v>
      </c>
      <c r="O35" t="s">
        <v>8</v>
      </c>
      <c r="P35" s="76">
        <f>'Landbrugsareal - resultat'!H50</f>
        <v>39298.597379684077</v>
      </c>
    </row>
    <row r="36" spans="1:16" x14ac:dyDescent="0.55000000000000004">
      <c r="A36" t="s">
        <v>23</v>
      </c>
      <c r="B36" s="1" t="str">
        <f>[1]Afgrødefordeling!$C$8</f>
        <v>Roer</v>
      </c>
      <c r="C36">
        <v>2050</v>
      </c>
      <c r="D36" t="s">
        <v>7</v>
      </c>
      <c r="E36" s="172" t="str">
        <f t="shared" si="6"/>
        <v>JB1-10</v>
      </c>
      <c r="F36" t="str">
        <f t="shared" si="1"/>
        <v>Roer</v>
      </c>
      <c r="G36" s="76" cm="1">
        <f t="array" ref="G36">IF(A36="Vestdanmark",IF(D36="Konventionel",IF(C36=2019,SUMPRODUCT((B36='Landbrugsareal - resultat'!$B$5:$B$18)*(INDEX('Landbrugsareal - resultat'!$C$5:$E$18,,MATCH(E36,'Landbrugsareal - resultat'!$C$4:$E$4,0)))),IF(C36=2030,SUMPRODUCT((B36='Landbrugsareal - resultat'!$B$5:$B$18)*(INDEX('Landbrugsareal - resultat'!$F$5:$H$18,,MATCH(E36,'Landbrugsareal - resultat'!$F$4:$H$4,0)))),SUMPRODUCT((B36='Landbrugsareal - resultat'!$B$5:$B$18)*(INDEX('Landbrugsareal - resultat'!$I$5:$K$18,,MATCH(E36,'Landbrugsareal - resultat'!$I$4:$K$4,0)))))),IF(C36=2019,SUMPRODUCT((B36='Landbrugsareal - resultat'!$B$5:$B$18)*(INDEX('Landbrugsareal - resultat'!$L$5:$N$18,,MATCH(E36,'Landbrugsareal - resultat'!$L$4:$N$4,0)))),IF(C36=2030,SUMPRODUCT((B36='Landbrugsareal - resultat'!$B$5:$B$18)*(INDEX('Landbrugsareal - resultat'!$O$5:$Q$18,,MATCH(E36,'Landbrugsareal - resultat'!$O$4:$Q$4,0)))),SUMPRODUCT((B36='Landbrugsareal - resultat'!$B$5:$B$18)*(INDEX('Landbrugsareal - resultat'!$R$5:$T$18,,MATCH(E36,'Landbrugsareal - resultat'!$R$4:$T$4,0))))))),IF(D36="Konventionel",IF(C36=2019,SUMPRODUCT((B36='Landbrugsareal - resultat'!$B$32:$B$45)*(INDEX('Landbrugsareal - resultat'!$C$32:$E$45,,MATCH(E36,'Landbrugsareal - resultat'!$C$4:$E$4,0)))),IF(C36=2030,SUMPRODUCT((B36='Landbrugsareal - resultat'!$B$32:$B$45)*(INDEX('Landbrugsareal - resultat'!$F$32:$H$45,,MATCH(E36,'Landbrugsareal - resultat'!$F$4:$H$4,0)))),SUMPRODUCT((B36='Landbrugsareal - resultat'!$B$32:$B$45)*(INDEX('Landbrugsareal - resultat'!$I$32:$K$45,,MATCH(E36,'Landbrugsareal - resultat'!$I$4:$K$4,0)))))),IF(C36=2019,SUMPRODUCT((B36='Landbrugsareal - resultat'!$B$32:$B$45)*(INDEX('Landbrugsareal - resultat'!$L$32:$N$45,,MATCH(E36,'Landbrugsareal - resultat'!$L$4:$N$4,0)))),IF(C36=2030,SUMPRODUCT((B36='Landbrugsareal - resultat'!$B$32:$B$45)*(INDEX('Landbrugsareal - resultat'!$O$32:$Q$45,,MATCH(E36,'Landbrugsareal - resultat'!$O$4:$Q$4,0)))),SUMPRODUCT((B36='Landbrugsareal - resultat'!$B$32:$B$45)*(INDEX('Landbrugsareal - resultat'!$R$32:$T$45,,MATCH(E36,'Landbrugsareal - resultat'!$R$4:$T$4,0))))))))</f>
        <v>3843.3600153052266</v>
      </c>
      <c r="H36" s="172">
        <f>G36*VLOOKUP(B36,[1]Afgrødedata!$A$5:$F$18,2,FALSE)*IF(D36="Økologisk",VLOOKUP(B36,[1]Afgrødedata!$A$5:$F$18,4,FALSE),1)*IF(E36&lt;&gt;Jordbund1,IF(E36=Organ6,VLOOKUP(B36,[1]Afgrødedata!$A$5:$F$18,5,FALSE),VLOOKUP(B36,[1]Afgrødedata!$A$5:$F$18,6,FALSE)),1)*0.1</f>
        <v>312287.34213912912</v>
      </c>
      <c r="I36" s="172">
        <f>G36*VLOOKUP(B36,[1]Afgrødedata!$A$5:$F$18,3,FALSE)*IF(D36="Økologisk",VLOOKUP(B36,[1]Afgrødedata!$A$5:$F$18,4,FALSE),1)*IF(E36&lt;&gt;Jordbund1,IF(E36=Organ6,VLOOKUP(B36,[1]Afgrødedata!$A$5:$F$18,5,FALSE),VLOOKUP(B36,[1]Afgrødedata!$A$5:$F$18,6,FALSE)),1)*HLOOKUP(C36,Landbrug!$C$15:$E$17,2,FALSE)*HLOOKUP(C36,Landbrug!$C$15:$E$17,3,FALSE)*0.1</f>
        <v>0</v>
      </c>
      <c r="J36" s="76">
        <f t="shared" si="2"/>
        <v>312287.34213912912</v>
      </c>
      <c r="L36" t="s">
        <v>24</v>
      </c>
      <c r="M36" t="s">
        <v>3</v>
      </c>
      <c r="N36">
        <v>2050</v>
      </c>
      <c r="O36" t="s">
        <v>8</v>
      </c>
      <c r="P36" s="76">
        <f>'Landbrugsareal - resultat'!H51</f>
        <v>23278.89578369075</v>
      </c>
    </row>
    <row r="37" spans="1:16" x14ac:dyDescent="0.55000000000000004">
      <c r="A37" t="s">
        <v>23</v>
      </c>
      <c r="B37" s="1" t="str">
        <f>[1]Afgrødefordeling!$C$9</f>
        <v>Majs</v>
      </c>
      <c r="C37">
        <v>2050</v>
      </c>
      <c r="D37" t="s">
        <v>7</v>
      </c>
      <c r="E37" s="172" t="str">
        <f t="shared" si="6"/>
        <v>JB1-10</v>
      </c>
      <c r="F37" t="str">
        <f t="shared" si="1"/>
        <v>Majs</v>
      </c>
      <c r="G37" s="76" cm="1">
        <f t="array" ref="G37">IF(A37="Vestdanmark",IF(D37="Konventionel",IF(C37=2019,SUMPRODUCT((B37='Landbrugsareal - resultat'!$B$5:$B$18)*(INDEX('Landbrugsareal - resultat'!$C$5:$E$18,,MATCH(E37,'Landbrugsareal - resultat'!$C$4:$E$4,0)))),IF(C37=2030,SUMPRODUCT((B37='Landbrugsareal - resultat'!$B$5:$B$18)*(INDEX('Landbrugsareal - resultat'!$F$5:$H$18,,MATCH(E37,'Landbrugsareal - resultat'!$F$4:$H$4,0)))),SUMPRODUCT((B37='Landbrugsareal - resultat'!$B$5:$B$18)*(INDEX('Landbrugsareal - resultat'!$I$5:$K$18,,MATCH(E37,'Landbrugsareal - resultat'!$I$4:$K$4,0)))))),IF(C37=2019,SUMPRODUCT((B37='Landbrugsareal - resultat'!$B$5:$B$18)*(INDEX('Landbrugsareal - resultat'!$L$5:$N$18,,MATCH(E37,'Landbrugsareal - resultat'!$L$4:$N$4,0)))),IF(C37=2030,SUMPRODUCT((B37='Landbrugsareal - resultat'!$B$5:$B$18)*(INDEX('Landbrugsareal - resultat'!$O$5:$Q$18,,MATCH(E37,'Landbrugsareal - resultat'!$O$4:$Q$4,0)))),SUMPRODUCT((B37='Landbrugsareal - resultat'!$B$5:$B$18)*(INDEX('Landbrugsareal - resultat'!$R$5:$T$18,,MATCH(E37,'Landbrugsareal - resultat'!$R$4:$T$4,0))))))),IF(D37="Konventionel",IF(C37=2019,SUMPRODUCT((B37='Landbrugsareal - resultat'!$B$32:$B$45)*(INDEX('Landbrugsareal - resultat'!$C$32:$E$45,,MATCH(E37,'Landbrugsareal - resultat'!$C$4:$E$4,0)))),IF(C37=2030,SUMPRODUCT((B37='Landbrugsareal - resultat'!$B$32:$B$45)*(INDEX('Landbrugsareal - resultat'!$F$32:$H$45,,MATCH(E37,'Landbrugsareal - resultat'!$F$4:$H$4,0)))),SUMPRODUCT((B37='Landbrugsareal - resultat'!$B$32:$B$45)*(INDEX('Landbrugsareal - resultat'!$I$32:$K$45,,MATCH(E37,'Landbrugsareal - resultat'!$I$4:$K$4,0)))))),IF(C37=2019,SUMPRODUCT((B37='Landbrugsareal - resultat'!$B$32:$B$45)*(INDEX('Landbrugsareal - resultat'!$L$32:$N$45,,MATCH(E37,'Landbrugsareal - resultat'!$L$4:$N$4,0)))),IF(C37=2030,SUMPRODUCT((B37='Landbrugsareal - resultat'!$B$32:$B$45)*(INDEX('Landbrugsareal - resultat'!$O$32:$Q$45,,MATCH(E37,'Landbrugsareal - resultat'!$O$4:$Q$4,0)))),SUMPRODUCT((B37='Landbrugsareal - resultat'!$B$32:$B$45)*(INDEX('Landbrugsareal - resultat'!$R$32:$T$45,,MATCH(E37,'Landbrugsareal - resultat'!$R$4:$T$4,0))))))))</f>
        <v>131614.34719540758</v>
      </c>
      <c r="H37" s="172">
        <f>G37*VLOOKUP(B37,[1]Afgrødedata!$A$5:$F$18,2,FALSE)*IF(D37="Økologisk",VLOOKUP(B37,[1]Afgrødedata!$A$5:$F$18,4,FALSE),1)*IF(E37&lt;&gt;Jordbund1,IF(E37=Organ6,VLOOKUP(B37,[1]Afgrødedata!$A$5:$F$18,5,FALSE),VLOOKUP(B37,[1]Afgrødedata!$A$5:$F$18,6,FALSE)),1)*0.1</f>
        <v>5858154.5936675919</v>
      </c>
      <c r="I37" s="172">
        <f>G37*VLOOKUP(B37,[1]Afgrødedata!$A$5:$F$18,3,FALSE)*IF(D37="Økologisk",VLOOKUP(B37,[1]Afgrødedata!$A$5:$F$18,4,FALSE),1)*IF(E37&lt;&gt;Jordbund1,IF(E37=Organ6,VLOOKUP(B37,[1]Afgrødedata!$A$5:$F$18,5,FALSE),VLOOKUP(B37,[1]Afgrødedata!$A$5:$F$18,6,FALSE)),1)*HLOOKUP(C37,Landbrug!$C$15:$E$17,2,FALSE)*HLOOKUP(C37,Landbrug!$C$15:$E$17,3,FALSE)*0.1</f>
        <v>0</v>
      </c>
      <c r="J37" s="76">
        <f t="shared" si="2"/>
        <v>5858154.5936675919</v>
      </c>
      <c r="L37" t="s">
        <v>24</v>
      </c>
      <c r="M37" t="s">
        <v>4</v>
      </c>
      <c r="N37">
        <v>2050</v>
      </c>
      <c r="O37" t="s">
        <v>8</v>
      </c>
      <c r="P37" s="76">
        <f>'Landbrugsareal - resultat'!H52</f>
        <v>308220.6859761966</v>
      </c>
    </row>
    <row r="38" spans="1:16" x14ac:dyDescent="0.55000000000000004">
      <c r="A38" t="s">
        <v>23</v>
      </c>
      <c r="B38" s="1" t="str">
        <f>[1]Afgrødefordeling!$C$10</f>
        <v>Frugt</v>
      </c>
      <c r="C38">
        <v>2050</v>
      </c>
      <c r="D38" t="s">
        <v>7</v>
      </c>
      <c r="E38" s="172" t="str">
        <f t="shared" si="6"/>
        <v>JB1-10</v>
      </c>
      <c r="F38" t="str">
        <f t="shared" si="1"/>
        <v>Frugt</v>
      </c>
      <c r="G38" s="76" cm="1">
        <f t="array" ref="G38">IF(A38="Vestdanmark",IF(D38="Konventionel",IF(C38=2019,SUMPRODUCT((B38='Landbrugsareal - resultat'!$B$5:$B$18)*(INDEX('Landbrugsareal - resultat'!$C$5:$E$18,,MATCH(E38,'Landbrugsareal - resultat'!$C$4:$E$4,0)))),IF(C38=2030,SUMPRODUCT((B38='Landbrugsareal - resultat'!$B$5:$B$18)*(INDEX('Landbrugsareal - resultat'!$F$5:$H$18,,MATCH(E38,'Landbrugsareal - resultat'!$F$4:$H$4,0)))),SUMPRODUCT((B38='Landbrugsareal - resultat'!$B$5:$B$18)*(INDEX('Landbrugsareal - resultat'!$I$5:$K$18,,MATCH(E38,'Landbrugsareal - resultat'!$I$4:$K$4,0)))))),IF(C38=2019,SUMPRODUCT((B38='Landbrugsareal - resultat'!$B$5:$B$18)*(INDEX('Landbrugsareal - resultat'!$L$5:$N$18,,MATCH(E38,'Landbrugsareal - resultat'!$L$4:$N$4,0)))),IF(C38=2030,SUMPRODUCT((B38='Landbrugsareal - resultat'!$B$5:$B$18)*(INDEX('Landbrugsareal - resultat'!$O$5:$Q$18,,MATCH(E38,'Landbrugsareal - resultat'!$O$4:$Q$4,0)))),SUMPRODUCT((B38='Landbrugsareal - resultat'!$B$5:$B$18)*(INDEX('Landbrugsareal - resultat'!$R$5:$T$18,,MATCH(E38,'Landbrugsareal - resultat'!$R$4:$T$4,0))))))),IF(D38="Konventionel",IF(C38=2019,SUMPRODUCT((B38='Landbrugsareal - resultat'!$B$32:$B$45)*(INDEX('Landbrugsareal - resultat'!$C$32:$E$45,,MATCH(E38,'Landbrugsareal - resultat'!$C$4:$E$4,0)))),IF(C38=2030,SUMPRODUCT((B38='Landbrugsareal - resultat'!$B$32:$B$45)*(INDEX('Landbrugsareal - resultat'!$F$32:$H$45,,MATCH(E38,'Landbrugsareal - resultat'!$F$4:$H$4,0)))),SUMPRODUCT((B38='Landbrugsareal - resultat'!$B$32:$B$45)*(INDEX('Landbrugsareal - resultat'!$I$32:$K$45,,MATCH(E38,'Landbrugsareal - resultat'!$I$4:$K$4,0)))))),IF(C38=2019,SUMPRODUCT((B38='Landbrugsareal - resultat'!$B$32:$B$45)*(INDEX('Landbrugsareal - resultat'!$L$32:$N$45,,MATCH(E38,'Landbrugsareal - resultat'!$L$4:$N$4,0)))),IF(C38=2030,SUMPRODUCT((B38='Landbrugsareal - resultat'!$B$32:$B$45)*(INDEX('Landbrugsareal - resultat'!$O$32:$Q$45,,MATCH(E38,'Landbrugsareal - resultat'!$O$4:$Q$4,0)))),SUMPRODUCT((B38='Landbrugsareal - resultat'!$B$32:$B$45)*(INDEX('Landbrugsareal - resultat'!$R$32:$T$45,,MATCH(E38,'Landbrugsareal - resultat'!$R$4:$T$4,0))))))))</f>
        <v>2418.4499844031116</v>
      </c>
      <c r="H38" s="172">
        <f>G38*VLOOKUP(B38,[1]Afgrødedata!$A$5:$F$18,2,FALSE)*IF(D38="Økologisk",VLOOKUP(B38,[1]Afgrødedata!$A$5:$F$18,4,FALSE),1)*IF(E38&lt;&gt;Jordbund1,IF(E38=Organ6,VLOOKUP(B38,[1]Afgrødedata!$A$5:$F$18,5,FALSE),VLOOKUP(B38,[1]Afgrødedata!$A$5:$F$18,6,FALSE)),1)*0.1</f>
        <v>20532.640367582419</v>
      </c>
      <c r="I38" s="172">
        <f>G38*VLOOKUP(B38,[1]Afgrødedata!$A$5:$F$18,3,FALSE)*IF(D38="Økologisk",VLOOKUP(B38,[1]Afgrødedata!$A$5:$F$18,4,FALSE),1)*IF(E38&lt;&gt;Jordbund1,IF(E38=Organ6,VLOOKUP(B38,[1]Afgrødedata!$A$5:$F$18,5,FALSE),VLOOKUP(B38,[1]Afgrødedata!$A$5:$F$18,6,FALSE)),1)*HLOOKUP(C38,Landbrug!$C$15:$E$17,2,FALSE)*HLOOKUP(C38,Landbrug!$C$15:$E$17,3,FALSE)*0.1</f>
        <v>0</v>
      </c>
      <c r="J38" s="76">
        <f t="shared" si="2"/>
        <v>20532.640367582419</v>
      </c>
    </row>
    <row r="39" spans="1:16" x14ac:dyDescent="0.55000000000000004">
      <c r="A39" t="s">
        <v>23</v>
      </c>
      <c r="B39" s="1" t="str">
        <f>[1]Afgrødefordeling!$C$11</f>
        <v>Øvrige</v>
      </c>
      <c r="C39">
        <v>2050</v>
      </c>
      <c r="D39" t="s">
        <v>7</v>
      </c>
      <c r="E39" s="172" t="str">
        <f t="shared" si="6"/>
        <v>JB1-10</v>
      </c>
      <c r="F39" t="str">
        <f t="shared" si="1"/>
        <v>Øvrige</v>
      </c>
      <c r="G39" s="76" cm="1">
        <f t="array" ref="G39">IF(A39="Vestdanmark",IF(D39="Konventionel",IF(C39=2019,SUMPRODUCT((B39='Landbrugsareal - resultat'!$B$5:$B$18)*(INDEX('Landbrugsareal - resultat'!$C$5:$E$18,,MATCH(E39,'Landbrugsareal - resultat'!$C$4:$E$4,0)))),IF(C39=2030,SUMPRODUCT((B39='Landbrugsareal - resultat'!$B$5:$B$18)*(INDEX('Landbrugsareal - resultat'!$F$5:$H$18,,MATCH(E39,'Landbrugsareal - resultat'!$F$4:$H$4,0)))),SUMPRODUCT((B39='Landbrugsareal - resultat'!$B$5:$B$18)*(INDEX('Landbrugsareal - resultat'!$I$5:$K$18,,MATCH(E39,'Landbrugsareal - resultat'!$I$4:$K$4,0)))))),IF(C39=2019,SUMPRODUCT((B39='Landbrugsareal - resultat'!$B$5:$B$18)*(INDEX('Landbrugsareal - resultat'!$L$5:$N$18,,MATCH(E39,'Landbrugsareal - resultat'!$L$4:$N$4,0)))),IF(C39=2030,SUMPRODUCT((B39='Landbrugsareal - resultat'!$B$5:$B$18)*(INDEX('Landbrugsareal - resultat'!$O$5:$Q$18,,MATCH(E39,'Landbrugsareal - resultat'!$O$4:$Q$4,0)))),SUMPRODUCT((B39='Landbrugsareal - resultat'!$B$5:$B$18)*(INDEX('Landbrugsareal - resultat'!$R$5:$T$18,,MATCH(E39,'Landbrugsareal - resultat'!$R$4:$T$4,0))))))),IF(D39="Konventionel",IF(C39=2019,SUMPRODUCT((B39='Landbrugsareal - resultat'!$B$32:$B$45)*(INDEX('Landbrugsareal - resultat'!$C$32:$E$45,,MATCH(E39,'Landbrugsareal - resultat'!$C$4:$E$4,0)))),IF(C39=2030,SUMPRODUCT((B39='Landbrugsareal - resultat'!$B$32:$B$45)*(INDEX('Landbrugsareal - resultat'!$F$32:$H$45,,MATCH(E39,'Landbrugsareal - resultat'!$F$4:$H$4,0)))),SUMPRODUCT((B39='Landbrugsareal - resultat'!$B$32:$B$45)*(INDEX('Landbrugsareal - resultat'!$I$32:$K$45,,MATCH(E39,'Landbrugsareal - resultat'!$I$4:$K$4,0)))))),IF(C39=2019,SUMPRODUCT((B39='Landbrugsareal - resultat'!$B$32:$B$45)*(INDEX('Landbrugsareal - resultat'!$L$32:$N$45,,MATCH(E39,'Landbrugsareal - resultat'!$L$4:$N$4,0)))),IF(C39=2030,SUMPRODUCT((B39='Landbrugsareal - resultat'!$B$32:$B$45)*(INDEX('Landbrugsareal - resultat'!$O$32:$Q$45,,MATCH(E39,'Landbrugsareal - resultat'!$O$4:$Q$4,0)))),SUMPRODUCT((B39='Landbrugsareal - resultat'!$B$32:$B$45)*(INDEX('Landbrugsareal - resultat'!$R$32:$T$45,,MATCH(E39,'Landbrugsareal - resultat'!$R$4:$T$4,0))))))))</f>
        <v>42772.467949494108</v>
      </c>
      <c r="H39" s="172">
        <f>G39*VLOOKUP(B39,[1]Afgrødedata!$A$5:$F$18,2,FALSE)*IF(D39="Økologisk",VLOOKUP(B39,[1]Afgrødedata!$A$5:$F$18,4,FALSE),1)*IF(E39&lt;&gt;Jordbund1,IF(E39=Organ6,VLOOKUP(B39,[1]Afgrødedata!$A$5:$F$18,5,FALSE),VLOOKUP(B39,[1]Afgrødedata!$A$5:$F$18,6,FALSE)),1)*0.1</f>
        <v>1274446.0387288358</v>
      </c>
      <c r="I39" s="172">
        <f>G39*VLOOKUP(B39,[1]Afgrødedata!$A$5:$F$18,3,FALSE)*IF(D39="Økologisk",VLOOKUP(B39,[1]Afgrødedata!$A$5:$F$18,4,FALSE),1)*IF(E39&lt;&gt;Jordbund1,IF(E39=Organ6,VLOOKUP(B39,[1]Afgrødedata!$A$5:$F$18,5,FALSE),VLOOKUP(B39,[1]Afgrødedata!$A$5:$F$18,6,FALSE)),1)*HLOOKUP(C39,Landbrug!$C$15:$E$17,2,FALSE)*HLOOKUP(C39,Landbrug!$C$15:$E$17,3,FALSE)*0.1</f>
        <v>0</v>
      </c>
      <c r="J39" s="76">
        <f t="shared" si="2"/>
        <v>1274446.0387288358</v>
      </c>
    </row>
    <row r="40" spans="1:16" x14ac:dyDescent="0.55000000000000004">
      <c r="A40" t="s">
        <v>23</v>
      </c>
      <c r="B40" s="1" t="str">
        <f>[1]Afgrødefordeling!$C$12</f>
        <v>Frø</v>
      </c>
      <c r="C40">
        <v>2050</v>
      </c>
      <c r="D40" t="s">
        <v>7</v>
      </c>
      <c r="E40" s="172" t="str">
        <f t="shared" si="6"/>
        <v>JB1-10</v>
      </c>
      <c r="F40" t="str">
        <f t="shared" si="1"/>
        <v>Halm</v>
      </c>
      <c r="G40" s="76" cm="1">
        <f t="array" ref="G40">IF(A40="Vestdanmark",IF(D40="Konventionel",IF(C40=2019,SUMPRODUCT((B40='Landbrugsareal - resultat'!$B$5:$B$18)*(INDEX('Landbrugsareal - resultat'!$C$5:$E$18,,MATCH(E40,'Landbrugsareal - resultat'!$C$4:$E$4,0)))),IF(C40=2030,SUMPRODUCT((B40='Landbrugsareal - resultat'!$B$5:$B$18)*(INDEX('Landbrugsareal - resultat'!$F$5:$H$18,,MATCH(E40,'Landbrugsareal - resultat'!$F$4:$H$4,0)))),SUMPRODUCT((B40='Landbrugsareal - resultat'!$B$5:$B$18)*(INDEX('Landbrugsareal - resultat'!$I$5:$K$18,,MATCH(E40,'Landbrugsareal - resultat'!$I$4:$K$4,0)))))),IF(C40=2019,SUMPRODUCT((B40='Landbrugsareal - resultat'!$B$5:$B$18)*(INDEX('Landbrugsareal - resultat'!$L$5:$N$18,,MATCH(E40,'Landbrugsareal - resultat'!$L$4:$N$4,0)))),IF(C40=2030,SUMPRODUCT((B40='Landbrugsareal - resultat'!$B$5:$B$18)*(INDEX('Landbrugsareal - resultat'!$O$5:$Q$18,,MATCH(E40,'Landbrugsareal - resultat'!$O$4:$Q$4,0)))),SUMPRODUCT((B40='Landbrugsareal - resultat'!$B$5:$B$18)*(INDEX('Landbrugsareal - resultat'!$R$5:$T$18,,MATCH(E40,'Landbrugsareal - resultat'!$R$4:$T$4,0))))))),IF(D40="Konventionel",IF(C40=2019,SUMPRODUCT((B40='Landbrugsareal - resultat'!$B$32:$B$45)*(INDEX('Landbrugsareal - resultat'!$C$32:$E$45,,MATCH(E40,'Landbrugsareal - resultat'!$C$4:$E$4,0)))),IF(C40=2030,SUMPRODUCT((B40='Landbrugsareal - resultat'!$B$32:$B$45)*(INDEX('Landbrugsareal - resultat'!$F$32:$H$45,,MATCH(E40,'Landbrugsareal - resultat'!$F$4:$H$4,0)))),SUMPRODUCT((B40='Landbrugsareal - resultat'!$B$32:$B$45)*(INDEX('Landbrugsareal - resultat'!$I$32:$K$45,,MATCH(E40,'Landbrugsareal - resultat'!$I$4:$K$4,0)))))),IF(C40=2019,SUMPRODUCT((B40='Landbrugsareal - resultat'!$B$32:$B$45)*(INDEX('Landbrugsareal - resultat'!$L$32:$N$45,,MATCH(E40,'Landbrugsareal - resultat'!$L$4:$N$4,0)))),IF(C40=2030,SUMPRODUCT((B40='Landbrugsareal - resultat'!$B$32:$B$45)*(INDEX('Landbrugsareal - resultat'!$O$32:$Q$45,,MATCH(E40,'Landbrugsareal - resultat'!$O$4:$Q$4,0)))),SUMPRODUCT((B40='Landbrugsareal - resultat'!$B$32:$B$45)*(INDEX('Landbrugsareal - resultat'!$R$32:$T$45,,MATCH(E40,'Landbrugsareal - resultat'!$R$4:$T$4,0))))))))</f>
        <v>44992.874544580809</v>
      </c>
      <c r="H40" s="172">
        <f>G40*VLOOKUP(B40,[1]Afgrødedata!$A$5:$F$18,2,FALSE)*IF(D40="Økologisk",VLOOKUP(B40,[1]Afgrødedata!$A$5:$F$18,4,FALSE),1)*IF(E40&lt;&gt;Jordbund1,IF(E40=Organ6,VLOOKUP(B40,[1]Afgrødedata!$A$5:$F$18,5,FALSE),VLOOKUP(B40,[1]Afgrødedata!$A$5:$F$18,6,FALSE)),1)*0.1</f>
        <v>642896.91953688243</v>
      </c>
      <c r="I40" s="172">
        <f>G40*VLOOKUP(B40,[1]Afgrødedata!$A$5:$F$18,3,FALSE)*IF(D40="Økologisk",VLOOKUP(B40,[1]Afgrødedata!$A$5:$F$18,4,FALSE),1)*IF(E40&lt;&gt;Jordbund1,IF(E40=Organ6,VLOOKUP(B40,[1]Afgrødedata!$A$5:$F$18,5,FALSE),VLOOKUP(B40,[1]Afgrødedata!$A$5:$F$18,6,FALSE)),1)*HLOOKUP(C40,Landbrug!$C$15:$E$17,2,FALSE)*HLOOKUP(C40,Landbrug!$C$15:$E$17,3,FALSE)*0.1</f>
        <v>106183.18392521072</v>
      </c>
      <c r="J40" s="76">
        <f t="shared" si="2"/>
        <v>106183.18392521072</v>
      </c>
    </row>
    <row r="41" spans="1:16" x14ac:dyDescent="0.55000000000000004">
      <c r="A41" t="s">
        <v>23</v>
      </c>
      <c r="B41" s="1" t="str">
        <f>[1]Afgrødefordeling!$C$13</f>
        <v>Juletræer</v>
      </c>
      <c r="C41">
        <v>2050</v>
      </c>
      <c r="D41" t="s">
        <v>7</v>
      </c>
      <c r="E41" s="172" t="str">
        <f t="shared" si="6"/>
        <v>JB1-10</v>
      </c>
      <c r="F41" t="str">
        <f t="shared" si="1"/>
        <v>Juletræer</v>
      </c>
      <c r="G41" s="76" cm="1">
        <f t="array" ref="G41">IF(A41="Vestdanmark",IF(D41="Konventionel",IF(C41=2019,SUMPRODUCT((B41='Landbrugsareal - resultat'!$B$5:$B$18)*(INDEX('Landbrugsareal - resultat'!$C$5:$E$18,,MATCH(E41,'Landbrugsareal - resultat'!$C$4:$E$4,0)))),IF(C41=2030,SUMPRODUCT((B41='Landbrugsareal - resultat'!$B$5:$B$18)*(INDEX('Landbrugsareal - resultat'!$F$5:$H$18,,MATCH(E41,'Landbrugsareal - resultat'!$F$4:$H$4,0)))),SUMPRODUCT((B41='Landbrugsareal - resultat'!$B$5:$B$18)*(INDEX('Landbrugsareal - resultat'!$I$5:$K$18,,MATCH(E41,'Landbrugsareal - resultat'!$I$4:$K$4,0)))))),IF(C41=2019,SUMPRODUCT((B41='Landbrugsareal - resultat'!$B$5:$B$18)*(INDEX('Landbrugsareal - resultat'!$L$5:$N$18,,MATCH(E41,'Landbrugsareal - resultat'!$L$4:$N$4,0)))),IF(C41=2030,SUMPRODUCT((B41='Landbrugsareal - resultat'!$B$5:$B$18)*(INDEX('Landbrugsareal - resultat'!$O$5:$Q$18,,MATCH(E41,'Landbrugsareal - resultat'!$O$4:$Q$4,0)))),SUMPRODUCT((B41='Landbrugsareal - resultat'!$B$5:$B$18)*(INDEX('Landbrugsareal - resultat'!$R$5:$T$18,,MATCH(E41,'Landbrugsareal - resultat'!$R$4:$T$4,0))))))),IF(D41="Konventionel",IF(C41=2019,SUMPRODUCT((B41='Landbrugsareal - resultat'!$B$32:$B$45)*(INDEX('Landbrugsareal - resultat'!$C$32:$E$45,,MATCH(E41,'Landbrugsareal - resultat'!$C$4:$E$4,0)))),IF(C41=2030,SUMPRODUCT((B41='Landbrugsareal - resultat'!$B$32:$B$45)*(INDEX('Landbrugsareal - resultat'!$F$32:$H$45,,MATCH(E41,'Landbrugsareal - resultat'!$F$4:$H$4,0)))),SUMPRODUCT((B41='Landbrugsareal - resultat'!$B$32:$B$45)*(INDEX('Landbrugsareal - resultat'!$I$32:$K$45,,MATCH(E41,'Landbrugsareal - resultat'!$I$4:$K$4,0)))))),IF(C41=2019,SUMPRODUCT((B41='Landbrugsareal - resultat'!$B$32:$B$45)*(INDEX('Landbrugsareal - resultat'!$L$32:$N$45,,MATCH(E41,'Landbrugsareal - resultat'!$L$4:$N$4,0)))),IF(C41=2030,SUMPRODUCT((B41='Landbrugsareal - resultat'!$B$32:$B$45)*(INDEX('Landbrugsareal - resultat'!$O$32:$Q$45,,MATCH(E41,'Landbrugsareal - resultat'!$O$4:$Q$4,0)))),SUMPRODUCT((B41='Landbrugsareal - resultat'!$B$32:$B$45)*(INDEX('Landbrugsareal - resultat'!$R$32:$T$45,,MATCH(E41,'Landbrugsareal - resultat'!$R$4:$T$4,0))))))))</f>
        <v>12129.842408819752</v>
      </c>
      <c r="H41" s="172">
        <f>G41*VLOOKUP(B41,[1]Afgrødedata!$A$5:$F$18,2,FALSE)*IF(D41="Økologisk",VLOOKUP(B41,[1]Afgrødedata!$A$5:$F$18,4,FALSE),1)*IF(E41&lt;&gt;Jordbund1,IF(E41=Organ6,VLOOKUP(B41,[1]Afgrødedata!$A$5:$F$18,5,FALSE),VLOOKUP(B41,[1]Afgrødedata!$A$5:$F$18,6,FALSE)),1)*0.1</f>
        <v>606492.12044098764</v>
      </c>
      <c r="I41" s="172">
        <f>G41*VLOOKUP(B41,[1]Afgrødedata!$A$5:$F$18,3,FALSE)*IF(D41="Økologisk",VLOOKUP(B41,[1]Afgrødedata!$A$5:$F$18,4,FALSE),1)*IF(E41&lt;&gt;Jordbund1,IF(E41=Organ6,VLOOKUP(B41,[1]Afgrødedata!$A$5:$F$18,5,FALSE),VLOOKUP(B41,[1]Afgrødedata!$A$5:$F$18,6,FALSE)),1)*HLOOKUP(C41,Landbrug!$C$15:$E$17,2,FALSE)*HLOOKUP(C41,Landbrug!$C$15:$E$17,3,FALSE)*0.1</f>
        <v>0</v>
      </c>
      <c r="J41" s="76">
        <f t="shared" si="2"/>
        <v>606492.12044098764</v>
      </c>
    </row>
    <row r="42" spans="1:16" x14ac:dyDescent="0.55000000000000004">
      <c r="A42" t="s">
        <v>23</v>
      </c>
      <c r="B42" s="1" t="str">
        <f>[1]Afgrødefordeling!$C$14</f>
        <v>Pil &amp; poppel</v>
      </c>
      <c r="C42">
        <v>2050</v>
      </c>
      <c r="D42" t="s">
        <v>7</v>
      </c>
      <c r="E42" s="172" t="str">
        <f t="shared" si="6"/>
        <v>JB1-10</v>
      </c>
      <c r="F42" t="str">
        <f t="shared" ref="F42" si="7">IF(I42&lt;&gt;0,"Halm",IF(B42&lt;&gt;"Permanent græs",B42,"Græs"))</f>
        <v>Pil &amp; poppel</v>
      </c>
      <c r="G42" s="76" cm="1">
        <f t="array" ref="G42">IF(A42="Vestdanmark",IF(D42="Konventionel",IF(C42=2019,SUMPRODUCT((B42='Landbrugsareal - resultat'!$B$5:$B$18)*(INDEX('Landbrugsareal - resultat'!$C$5:$E$18,,MATCH(E42,'Landbrugsareal - resultat'!$C$4:$E$4,0)))),IF(C42=2030,SUMPRODUCT((B42='Landbrugsareal - resultat'!$B$5:$B$18)*(INDEX('Landbrugsareal - resultat'!$F$5:$H$18,,MATCH(E42,'Landbrugsareal - resultat'!$F$4:$H$4,0)))),SUMPRODUCT((B42='Landbrugsareal - resultat'!$B$5:$B$18)*(INDEX('Landbrugsareal - resultat'!$I$5:$K$18,,MATCH(E42,'Landbrugsareal - resultat'!$I$4:$K$4,0)))))),IF(C42=2019,SUMPRODUCT((B42='Landbrugsareal - resultat'!$B$5:$B$18)*(INDEX('Landbrugsareal - resultat'!$L$5:$N$18,,MATCH(E42,'Landbrugsareal - resultat'!$L$4:$N$4,0)))),IF(C42=2030,SUMPRODUCT((B42='Landbrugsareal - resultat'!$B$5:$B$18)*(INDEX('Landbrugsareal - resultat'!$O$5:$Q$18,,MATCH(E42,'Landbrugsareal - resultat'!$O$4:$Q$4,0)))),SUMPRODUCT((B42='Landbrugsareal - resultat'!$B$5:$B$18)*(INDEX('Landbrugsareal - resultat'!$R$5:$T$18,,MATCH(E42,'Landbrugsareal - resultat'!$R$4:$T$4,0))))))),IF(D42="Konventionel",IF(C42=2019,SUMPRODUCT((B42='Landbrugsareal - resultat'!$B$32:$B$45)*(INDEX('Landbrugsareal - resultat'!$C$32:$E$45,,MATCH(E42,'Landbrugsareal - resultat'!$C$4:$E$4,0)))),IF(C42=2030,SUMPRODUCT((B42='Landbrugsareal - resultat'!$B$32:$B$45)*(INDEX('Landbrugsareal - resultat'!$F$32:$H$45,,MATCH(E42,'Landbrugsareal - resultat'!$F$4:$H$4,0)))),SUMPRODUCT((B42='Landbrugsareal - resultat'!$B$32:$B$45)*(INDEX('Landbrugsareal - resultat'!$I$32:$K$45,,MATCH(E42,'Landbrugsareal - resultat'!$I$4:$K$4,0)))))),IF(C42=2019,SUMPRODUCT((B42='Landbrugsareal - resultat'!$B$32:$B$45)*(INDEX('Landbrugsareal - resultat'!$L$32:$N$45,,MATCH(E42,'Landbrugsareal - resultat'!$L$4:$N$4,0)))),IF(C42=2030,SUMPRODUCT((B42='Landbrugsareal - resultat'!$B$32:$B$45)*(INDEX('Landbrugsareal - resultat'!$O$32:$Q$45,,MATCH(E42,'Landbrugsareal - resultat'!$O$4:$Q$4,0)))),SUMPRODUCT((B42='Landbrugsareal - resultat'!$B$32:$B$45)*(INDEX('Landbrugsareal - resultat'!$R$32:$T$45,,MATCH(E42,'Landbrugsareal - resultat'!$R$4:$T$4,0))))))))</f>
        <v>4461.7452224161889</v>
      </c>
      <c r="H42" s="172">
        <f>G42*VLOOKUP(B42,[1]Afgrødedata!$A$5:$F$18,2,FALSE)*IF(D42="Økologisk",VLOOKUP(B42,[1]Afgrødedata!$A$5:$F$18,4,FALSE),1)*IF(E42&lt;&gt;Jordbund1,IF(E42=Organ6,VLOOKUP(B42,[1]Afgrødedata!$A$5:$F$18,5,FALSE),VLOOKUP(B42,[1]Afgrødedata!$A$5:$F$18,6,FALSE)),1)*0.1</f>
        <v>108823.05420527291</v>
      </c>
      <c r="I42" s="172">
        <f>G42*VLOOKUP(B42,[1]Afgrødedata!$A$5:$F$18,3,FALSE)*IF(D42="Økologisk",VLOOKUP(B42,[1]Afgrødedata!$A$5:$F$18,4,FALSE),1)*IF(E42&lt;&gt;Jordbund1,IF(E42=Organ6,VLOOKUP(B42,[1]Afgrødedata!$A$5:$F$18,5,FALSE),VLOOKUP(B42,[1]Afgrødedata!$A$5:$F$18,6,FALSE)),1)*HLOOKUP(C42,Landbrug!$C$15:$E$17,2,FALSE)*HLOOKUP(C42,Landbrug!$C$15:$E$17,3,FALSE)*0.1</f>
        <v>0</v>
      </c>
      <c r="J42" s="76">
        <f t="shared" ref="J42" si="8">IF(I42&lt;&gt;0,I42,H42)</f>
        <v>108823.05420527291</v>
      </c>
    </row>
    <row r="43" spans="1:16" x14ac:dyDescent="0.55000000000000004">
      <c r="A43" t="s">
        <v>23</v>
      </c>
      <c r="B43" s="1" t="str">
        <f>[1]Afgrødefordeling!$C$15</f>
        <v>Permanent græs</v>
      </c>
      <c r="C43">
        <v>2050</v>
      </c>
      <c r="D43" t="s">
        <v>7</v>
      </c>
      <c r="E43" s="172" t="str">
        <f t="shared" si="6"/>
        <v>JB1-10</v>
      </c>
      <c r="F43" t="str">
        <f t="shared" si="1"/>
        <v>Græs</v>
      </c>
      <c r="G43" s="76" cm="1">
        <f t="array" ref="G43">IF(A43="Vestdanmark",IF(D43="Konventionel",IF(C43=2019,SUMPRODUCT((B43='Landbrugsareal - resultat'!$B$5:$B$18)*(INDEX('Landbrugsareal - resultat'!$C$5:$E$18,,MATCH(E43,'Landbrugsareal - resultat'!$C$4:$E$4,0)))),IF(C43=2030,SUMPRODUCT((B43='Landbrugsareal - resultat'!$B$5:$B$18)*(INDEX('Landbrugsareal - resultat'!$F$5:$H$18,,MATCH(E43,'Landbrugsareal - resultat'!$F$4:$H$4,0)))),SUMPRODUCT((B43='Landbrugsareal - resultat'!$B$5:$B$18)*(INDEX('Landbrugsareal - resultat'!$I$5:$K$18,,MATCH(E43,'Landbrugsareal - resultat'!$I$4:$K$4,0)))))),IF(C43=2019,SUMPRODUCT((B43='Landbrugsareal - resultat'!$B$5:$B$18)*(INDEX('Landbrugsareal - resultat'!$L$5:$N$18,,MATCH(E43,'Landbrugsareal - resultat'!$L$4:$N$4,0)))),IF(C43=2030,SUMPRODUCT((B43='Landbrugsareal - resultat'!$B$5:$B$18)*(INDEX('Landbrugsareal - resultat'!$O$5:$Q$18,,MATCH(E43,'Landbrugsareal - resultat'!$O$4:$Q$4,0)))),SUMPRODUCT((B43='Landbrugsareal - resultat'!$B$5:$B$18)*(INDEX('Landbrugsareal - resultat'!$R$5:$T$18,,MATCH(E43,'Landbrugsareal - resultat'!$R$4:$T$4,0))))))),IF(D43="Konventionel",IF(C43=2019,SUMPRODUCT((B43='Landbrugsareal - resultat'!$B$32:$B$45)*(INDEX('Landbrugsareal - resultat'!$C$32:$E$45,,MATCH(E43,'Landbrugsareal - resultat'!$C$4:$E$4,0)))),IF(C43=2030,SUMPRODUCT((B43='Landbrugsareal - resultat'!$B$32:$B$45)*(INDEX('Landbrugsareal - resultat'!$F$32:$H$45,,MATCH(E43,'Landbrugsareal - resultat'!$F$4:$H$4,0)))),SUMPRODUCT((B43='Landbrugsareal - resultat'!$B$32:$B$45)*(INDEX('Landbrugsareal - resultat'!$I$32:$K$45,,MATCH(E43,'Landbrugsareal - resultat'!$I$4:$K$4,0)))))),IF(C43=2019,SUMPRODUCT((B43='Landbrugsareal - resultat'!$B$32:$B$45)*(INDEX('Landbrugsareal - resultat'!$L$32:$N$45,,MATCH(E43,'Landbrugsareal - resultat'!$L$4:$N$4,0)))),IF(C43=2030,SUMPRODUCT((B43='Landbrugsareal - resultat'!$B$32:$B$45)*(INDEX('Landbrugsareal - resultat'!$O$32:$Q$45,,MATCH(E43,'Landbrugsareal - resultat'!$O$4:$Q$4,0)))),SUMPRODUCT((B43='Landbrugsareal - resultat'!$B$32:$B$45)*(INDEX('Landbrugsareal - resultat'!$R$32:$T$45,,MATCH(E43,'Landbrugsareal - resultat'!$R$4:$T$4,0))))))))</f>
        <v>107543.81822378619</v>
      </c>
      <c r="H43" s="172">
        <f>G43*VLOOKUP(B43,[1]Afgrødedata!$A$5:$F$18,2,FALSE)*IF(D43="Økologisk",VLOOKUP(B43,[1]Afgrødedata!$A$5:$F$18,4,FALSE),1)*IF(E43&lt;&gt;Jordbund1,IF(E43=Organ6,VLOOKUP(B43,[1]Afgrødedata!$A$5:$F$18,5,FALSE),VLOOKUP(B43,[1]Afgrødedata!$A$5:$F$18,6,FALSE)),1)*0.1</f>
        <v>1483029.2533060117</v>
      </c>
      <c r="I43" s="172">
        <f>G43*VLOOKUP(B43,[1]Afgrødedata!$A$5:$F$18,3,FALSE)*IF(D43="Økologisk",VLOOKUP(B43,[1]Afgrødedata!$A$5:$F$18,4,FALSE),1)*IF(E43&lt;&gt;Jordbund1,IF(E43=Organ6,VLOOKUP(B43,[1]Afgrødedata!$A$5:$F$18,5,FALSE),VLOOKUP(B43,[1]Afgrødedata!$A$5:$F$18,6,FALSE)),1)*HLOOKUP(C43,Landbrug!$C$15:$E$17,2,FALSE)*HLOOKUP(C43,Landbrug!$C$15:$E$17,3,FALSE)*0.1</f>
        <v>0</v>
      </c>
      <c r="J43" s="76">
        <f t="shared" si="2"/>
        <v>1483029.2533060117</v>
      </c>
    </row>
    <row r="44" spans="1:16" x14ac:dyDescent="0.55000000000000004">
      <c r="A44" t="s">
        <v>23</v>
      </c>
      <c r="B44" s="1" t="str">
        <f>[1]Afgrødefordeling!$C$2</f>
        <v>Korn</v>
      </c>
      <c r="C44">
        <v>2019</v>
      </c>
      <c r="D44" t="s">
        <v>8</v>
      </c>
      <c r="E44" s="172" t="str">
        <f t="shared" si="6"/>
        <v>JB1-10</v>
      </c>
      <c r="F44" t="str">
        <f t="shared" si="1"/>
        <v>Halm</v>
      </c>
      <c r="G44" s="76" cm="1">
        <f t="array" ref="G44">IF(A44="Vestdanmark",IF(D44="Konventionel",IF(C44=2019,SUMPRODUCT((B44='Landbrugsareal - resultat'!$B$5:$B$18)*(INDEX('Landbrugsareal - resultat'!$C$5:$E$18,,MATCH(E44,'Landbrugsareal - resultat'!$C$4:$E$4,0)))),IF(C44=2030,SUMPRODUCT((B44='Landbrugsareal - resultat'!$B$5:$B$18)*(INDEX('Landbrugsareal - resultat'!$F$5:$H$18,,MATCH(E44,'Landbrugsareal - resultat'!$F$4:$H$4,0)))),SUMPRODUCT((B44='Landbrugsareal - resultat'!$B$5:$B$18)*(INDEX('Landbrugsareal - resultat'!$I$5:$K$18,,MATCH(E44,'Landbrugsareal - resultat'!$I$4:$K$4,0)))))),IF(C44=2019,SUMPRODUCT((B44='Landbrugsareal - resultat'!$B$5:$B$18)*(INDEX('Landbrugsareal - resultat'!$L$5:$N$18,,MATCH(E44,'Landbrugsareal - resultat'!$L$4:$N$4,0)))),IF(C44=2030,SUMPRODUCT((B44='Landbrugsareal - resultat'!$B$5:$B$18)*(INDEX('Landbrugsareal - resultat'!$O$5:$Q$18,,MATCH(E44,'Landbrugsareal - resultat'!$O$4:$Q$4,0)))),SUMPRODUCT((B44='Landbrugsareal - resultat'!$B$5:$B$18)*(INDEX('Landbrugsareal - resultat'!$R$5:$T$18,,MATCH(E44,'Landbrugsareal - resultat'!$R$4:$T$4,0))))))),IF(D44="Konventionel",IF(C44=2019,SUMPRODUCT((B44='Landbrugsareal - resultat'!$B$32:$B$45)*(INDEX('Landbrugsareal - resultat'!$C$32:$E$45,,MATCH(E44,'Landbrugsareal - resultat'!$C$4:$E$4,0)))),IF(C44=2030,SUMPRODUCT((B44='Landbrugsareal - resultat'!$B$32:$B$45)*(INDEX('Landbrugsareal - resultat'!$F$32:$H$45,,MATCH(E44,'Landbrugsareal - resultat'!$F$4:$H$4,0)))),SUMPRODUCT((B44='Landbrugsareal - resultat'!$B$32:$B$45)*(INDEX('Landbrugsareal - resultat'!$I$32:$K$45,,MATCH(E44,'Landbrugsareal - resultat'!$I$4:$K$4,0)))))),IF(C44=2019,SUMPRODUCT((B44='Landbrugsareal - resultat'!$B$32:$B$45)*(INDEX('Landbrugsareal - resultat'!$L$32:$N$45,,MATCH(E44,'Landbrugsareal - resultat'!$L$4:$N$4,0)))),IF(C44=2030,SUMPRODUCT((B44='Landbrugsareal - resultat'!$B$32:$B$45)*(INDEX('Landbrugsareal - resultat'!$O$32:$Q$45,,MATCH(E44,'Landbrugsareal - resultat'!$O$4:$Q$4,0)))),SUMPRODUCT((B44='Landbrugsareal - resultat'!$B$32:$B$45)*(INDEX('Landbrugsareal - resultat'!$R$32:$T$45,,MATCH(E44,'Landbrugsareal - resultat'!$R$4:$T$4,0))))))))</f>
        <v>109074.05508995618</v>
      </c>
      <c r="H44" s="172">
        <f>G44*VLOOKUP(B44,[1]Afgrødedata!$A$5:$F$18,2,FALSE)*IF(D44="Økologisk",VLOOKUP(B44,[1]Afgrødedata!$A$5:$F$18,4,FALSE),1)*IF(E44&lt;&gt;Jordbund1,IF(E44=Organ6,VLOOKUP(B44,[1]Afgrødedata!$A$5:$F$18,5,FALSE),VLOOKUP(B44,[1]Afgrødedata!$A$5:$F$18,6,FALSE)),1)*0.1</f>
        <v>512288.11454099719</v>
      </c>
      <c r="I44" s="172">
        <f>G44*VLOOKUP(B44,[1]Afgrødedata!$A$5:$F$18,3,FALSE)*IF(D44="Økologisk",VLOOKUP(B44,[1]Afgrødedata!$A$5:$F$18,4,FALSE),1)*IF(E44&lt;&gt;Jordbund1,IF(E44=Organ6,VLOOKUP(B44,[1]Afgrødedata!$A$5:$F$18,5,FALSE),VLOOKUP(B44,[1]Afgrødedata!$A$5:$F$18,6,FALSE)),1)*HLOOKUP(C44,Landbrug!$C$15:$E$17,2,FALSE)*HLOOKUP(C44,Landbrug!$C$15:$E$17,3,FALSE)*0.1</f>
        <v>167209.55986589516</v>
      </c>
      <c r="J44" s="76">
        <f t="shared" si="2"/>
        <v>167209.55986589516</v>
      </c>
    </row>
    <row r="45" spans="1:16" x14ac:dyDescent="0.55000000000000004">
      <c r="A45" t="s">
        <v>23</v>
      </c>
      <c r="B45" s="1" t="str">
        <f>[1]Afgrødefordeling!$C$3</f>
        <v>Bælgsæd</v>
      </c>
      <c r="C45">
        <v>2019</v>
      </c>
      <c r="D45" t="s">
        <v>8</v>
      </c>
      <c r="E45" s="172" t="str">
        <f t="shared" si="6"/>
        <v>JB1-10</v>
      </c>
      <c r="F45" t="str">
        <f t="shared" si="1"/>
        <v>Halm</v>
      </c>
      <c r="G45" s="76" cm="1">
        <f t="array" ref="G45">IF(A45="Vestdanmark",IF(D45="Konventionel",IF(C45=2019,SUMPRODUCT((B45='Landbrugsareal - resultat'!$B$5:$B$18)*(INDEX('Landbrugsareal - resultat'!$C$5:$E$18,,MATCH(E45,'Landbrugsareal - resultat'!$C$4:$E$4,0)))),IF(C45=2030,SUMPRODUCT((B45='Landbrugsareal - resultat'!$B$5:$B$18)*(INDEX('Landbrugsareal - resultat'!$F$5:$H$18,,MATCH(E45,'Landbrugsareal - resultat'!$F$4:$H$4,0)))),SUMPRODUCT((B45='Landbrugsareal - resultat'!$B$5:$B$18)*(INDEX('Landbrugsareal - resultat'!$I$5:$K$18,,MATCH(E45,'Landbrugsareal - resultat'!$I$4:$K$4,0)))))),IF(C45=2019,SUMPRODUCT((B45='Landbrugsareal - resultat'!$B$5:$B$18)*(INDEX('Landbrugsareal - resultat'!$L$5:$N$18,,MATCH(E45,'Landbrugsareal - resultat'!$L$4:$N$4,0)))),IF(C45=2030,SUMPRODUCT((B45='Landbrugsareal - resultat'!$B$5:$B$18)*(INDEX('Landbrugsareal - resultat'!$O$5:$Q$18,,MATCH(E45,'Landbrugsareal - resultat'!$O$4:$Q$4,0)))),SUMPRODUCT((B45='Landbrugsareal - resultat'!$B$5:$B$18)*(INDEX('Landbrugsareal - resultat'!$R$5:$T$18,,MATCH(E45,'Landbrugsareal - resultat'!$R$4:$T$4,0))))))),IF(D45="Konventionel",IF(C45=2019,SUMPRODUCT((B45='Landbrugsareal - resultat'!$B$32:$B$45)*(INDEX('Landbrugsareal - resultat'!$C$32:$E$45,,MATCH(E45,'Landbrugsareal - resultat'!$C$4:$E$4,0)))),IF(C45=2030,SUMPRODUCT((B45='Landbrugsareal - resultat'!$B$32:$B$45)*(INDEX('Landbrugsareal - resultat'!$F$32:$H$45,,MATCH(E45,'Landbrugsareal - resultat'!$F$4:$H$4,0)))),SUMPRODUCT((B45='Landbrugsareal - resultat'!$B$32:$B$45)*(INDEX('Landbrugsareal - resultat'!$I$32:$K$45,,MATCH(E45,'Landbrugsareal - resultat'!$I$4:$K$4,0)))))),IF(C45=2019,SUMPRODUCT((B45='Landbrugsareal - resultat'!$B$32:$B$45)*(INDEX('Landbrugsareal - resultat'!$L$32:$N$45,,MATCH(E45,'Landbrugsareal - resultat'!$L$4:$N$4,0)))),IF(C45=2030,SUMPRODUCT((B45='Landbrugsareal - resultat'!$B$32:$B$45)*(INDEX('Landbrugsareal - resultat'!$O$32:$Q$45,,MATCH(E45,'Landbrugsareal - resultat'!$O$4:$Q$4,0)))),SUMPRODUCT((B45='Landbrugsareal - resultat'!$B$32:$B$45)*(INDEX('Landbrugsareal - resultat'!$R$32:$T$45,,MATCH(E45,'Landbrugsareal - resultat'!$R$4:$T$4,0))))))))</f>
        <v>7536.0917457605292</v>
      </c>
      <c r="H45" s="172">
        <f>G45*VLOOKUP(B45,[1]Afgrødedata!$A$5:$F$18,2,FALSE)*IF(D45="Økologisk",VLOOKUP(B45,[1]Afgrødedata!$A$5:$F$18,4,FALSE),1)*IF(E45&lt;&gt;Jordbund1,IF(E45=Organ6,VLOOKUP(B45,[1]Afgrødedata!$A$5:$F$18,5,FALSE),VLOOKUP(B45,[1]Afgrødedata!$A$5:$F$18,6,FALSE)),1)*0.1</f>
        <v>16580.909059022317</v>
      </c>
      <c r="I45" s="172">
        <f>G45*VLOOKUP(B45,[1]Afgrødedata!$A$5:$F$18,3,FALSE)*IF(D45="Økologisk",VLOOKUP(B45,[1]Afgrødedata!$A$5:$F$18,4,FALSE),1)*IF(E45&lt;&gt;Jordbund1,IF(E45=Organ6,VLOOKUP(B45,[1]Afgrødedata!$A$5:$F$18,5,FALSE),VLOOKUP(B45,[1]Afgrødedata!$A$5:$F$18,6,FALSE)),1)*HLOOKUP(C45,Landbrug!$C$15:$E$17,2,FALSE)*HLOOKUP(C45,Landbrug!$C$15:$E$17,3,FALSE)*0.1</f>
        <v>4922.5194479169131</v>
      </c>
      <c r="J45" s="76">
        <f t="shared" si="2"/>
        <v>4922.5194479169131</v>
      </c>
    </row>
    <row r="46" spans="1:16" x14ac:dyDescent="0.55000000000000004">
      <c r="A46" t="s">
        <v>23</v>
      </c>
      <c r="B46" s="1" t="str">
        <f>[1]Afgrødefordeling!$C$4</f>
        <v>Raps</v>
      </c>
      <c r="C46">
        <v>2019</v>
      </c>
      <c r="D46" t="s">
        <v>8</v>
      </c>
      <c r="E46" s="172" t="str">
        <f t="shared" si="6"/>
        <v>JB1-10</v>
      </c>
      <c r="F46" t="str">
        <f t="shared" si="1"/>
        <v>Halm</v>
      </c>
      <c r="G46" s="76" cm="1">
        <f t="array" ref="G46">IF(A46="Vestdanmark",IF(D46="Konventionel",IF(C46=2019,SUMPRODUCT((B46='Landbrugsareal - resultat'!$B$5:$B$18)*(INDEX('Landbrugsareal - resultat'!$C$5:$E$18,,MATCH(E46,'Landbrugsareal - resultat'!$C$4:$E$4,0)))),IF(C46=2030,SUMPRODUCT((B46='Landbrugsareal - resultat'!$B$5:$B$18)*(INDEX('Landbrugsareal - resultat'!$F$5:$H$18,,MATCH(E46,'Landbrugsareal - resultat'!$F$4:$H$4,0)))),SUMPRODUCT((B46='Landbrugsareal - resultat'!$B$5:$B$18)*(INDEX('Landbrugsareal - resultat'!$I$5:$K$18,,MATCH(E46,'Landbrugsareal - resultat'!$I$4:$K$4,0)))))),IF(C46=2019,SUMPRODUCT((B46='Landbrugsareal - resultat'!$B$5:$B$18)*(INDEX('Landbrugsareal - resultat'!$L$5:$N$18,,MATCH(E46,'Landbrugsareal - resultat'!$L$4:$N$4,0)))),IF(C46=2030,SUMPRODUCT((B46='Landbrugsareal - resultat'!$B$5:$B$18)*(INDEX('Landbrugsareal - resultat'!$O$5:$Q$18,,MATCH(E46,'Landbrugsareal - resultat'!$O$4:$Q$4,0)))),SUMPRODUCT((B46='Landbrugsareal - resultat'!$B$5:$B$18)*(INDEX('Landbrugsareal - resultat'!$R$5:$T$18,,MATCH(E46,'Landbrugsareal - resultat'!$R$4:$T$4,0))))))),IF(D46="Konventionel",IF(C46=2019,SUMPRODUCT((B46='Landbrugsareal - resultat'!$B$32:$B$45)*(INDEX('Landbrugsareal - resultat'!$C$32:$E$45,,MATCH(E46,'Landbrugsareal - resultat'!$C$4:$E$4,0)))),IF(C46=2030,SUMPRODUCT((B46='Landbrugsareal - resultat'!$B$32:$B$45)*(INDEX('Landbrugsareal - resultat'!$F$32:$H$45,,MATCH(E46,'Landbrugsareal - resultat'!$F$4:$H$4,0)))),SUMPRODUCT((B46='Landbrugsareal - resultat'!$B$32:$B$45)*(INDEX('Landbrugsareal - resultat'!$I$32:$K$45,,MATCH(E46,'Landbrugsareal - resultat'!$I$4:$K$4,0)))))),IF(C46=2019,SUMPRODUCT((B46='Landbrugsareal - resultat'!$B$32:$B$45)*(INDEX('Landbrugsareal - resultat'!$L$32:$N$45,,MATCH(E46,'Landbrugsareal - resultat'!$L$4:$N$4,0)))),IF(C46=2030,SUMPRODUCT((B46='Landbrugsareal - resultat'!$B$32:$B$45)*(INDEX('Landbrugsareal - resultat'!$O$32:$Q$45,,MATCH(E46,'Landbrugsareal - resultat'!$O$4:$Q$4,0)))),SUMPRODUCT((B46='Landbrugsareal - resultat'!$B$32:$B$45)*(INDEX('Landbrugsareal - resultat'!$R$32:$T$45,,MATCH(E46,'Landbrugsareal - resultat'!$R$4:$T$4,0))))))))</f>
        <v>12673.001969281737</v>
      </c>
      <c r="H46" s="172">
        <f>G46*VLOOKUP(B46,[1]Afgrødedata!$A$5:$F$18,2,FALSE)*IF(D46="Økologisk",VLOOKUP(B46,[1]Afgrødedata!$A$5:$F$18,4,FALSE),1)*IF(E46&lt;&gt;Jordbund1,IF(E46=Organ6,VLOOKUP(B46,[1]Afgrødedata!$A$5:$F$18,5,FALSE),VLOOKUP(B46,[1]Afgrødedata!$A$5:$F$18,6,FALSE)),1)*0.1</f>
        <v>30668.664765661812</v>
      </c>
      <c r="I46" s="172">
        <f>G46*VLOOKUP(B46,[1]Afgrødedata!$A$5:$F$18,3,FALSE)*IF(D46="Økologisk",VLOOKUP(B46,[1]Afgrødedata!$A$5:$F$18,4,FALSE),1)*IF(E46&lt;&gt;Jordbund1,IF(E46=Organ6,VLOOKUP(B46,[1]Afgrødedata!$A$5:$F$18,5,FALSE),VLOOKUP(B46,[1]Afgrødedata!$A$5:$F$18,6,FALSE)),1)*HLOOKUP(C46,Landbrug!$C$15:$E$17,2,FALSE)*HLOOKUP(C46,Landbrug!$C$15:$E$17,3,FALSE)*0.1</f>
        <v>16380.287194663799</v>
      </c>
      <c r="J46" s="76">
        <f t="shared" si="2"/>
        <v>16380.287194663799</v>
      </c>
    </row>
    <row r="47" spans="1:16" x14ac:dyDescent="0.55000000000000004">
      <c r="A47" t="s">
        <v>23</v>
      </c>
      <c r="B47" s="1" t="str">
        <f>[1]Afgrødefordeling!$C$5</f>
        <v>Græs</v>
      </c>
      <c r="C47">
        <v>2019</v>
      </c>
      <c r="D47" t="s">
        <v>8</v>
      </c>
      <c r="E47" s="172" t="str">
        <f t="shared" si="6"/>
        <v>JB1-10</v>
      </c>
      <c r="F47" t="str">
        <f t="shared" si="1"/>
        <v>Græs</v>
      </c>
      <c r="G47" s="76" cm="1">
        <f t="array" ref="G47">IF(A47="Vestdanmark",IF(D47="Konventionel",IF(C47=2019,SUMPRODUCT((B47='Landbrugsareal - resultat'!$B$5:$B$18)*(INDEX('Landbrugsareal - resultat'!$C$5:$E$18,,MATCH(E47,'Landbrugsareal - resultat'!$C$4:$E$4,0)))),IF(C47=2030,SUMPRODUCT((B47='Landbrugsareal - resultat'!$B$5:$B$18)*(INDEX('Landbrugsareal - resultat'!$F$5:$H$18,,MATCH(E47,'Landbrugsareal - resultat'!$F$4:$H$4,0)))),SUMPRODUCT((B47='Landbrugsareal - resultat'!$B$5:$B$18)*(INDEX('Landbrugsareal - resultat'!$I$5:$K$18,,MATCH(E47,'Landbrugsareal - resultat'!$I$4:$K$4,0)))))),IF(C47=2019,SUMPRODUCT((B47='Landbrugsareal - resultat'!$B$5:$B$18)*(INDEX('Landbrugsareal - resultat'!$L$5:$N$18,,MATCH(E47,'Landbrugsareal - resultat'!$L$4:$N$4,0)))),IF(C47=2030,SUMPRODUCT((B47='Landbrugsareal - resultat'!$B$5:$B$18)*(INDEX('Landbrugsareal - resultat'!$O$5:$Q$18,,MATCH(E47,'Landbrugsareal - resultat'!$O$4:$Q$4,0)))),SUMPRODUCT((B47='Landbrugsareal - resultat'!$B$5:$B$18)*(INDEX('Landbrugsareal - resultat'!$R$5:$T$18,,MATCH(E47,'Landbrugsareal - resultat'!$R$4:$T$4,0))))))),IF(D47="Konventionel",IF(C47=2019,SUMPRODUCT((B47='Landbrugsareal - resultat'!$B$32:$B$45)*(INDEX('Landbrugsareal - resultat'!$C$32:$E$45,,MATCH(E47,'Landbrugsareal - resultat'!$C$4:$E$4,0)))),IF(C47=2030,SUMPRODUCT((B47='Landbrugsareal - resultat'!$B$32:$B$45)*(INDEX('Landbrugsareal - resultat'!$F$32:$H$45,,MATCH(E47,'Landbrugsareal - resultat'!$F$4:$H$4,0)))),SUMPRODUCT((B47='Landbrugsareal - resultat'!$B$32:$B$45)*(INDEX('Landbrugsareal - resultat'!$I$32:$K$45,,MATCH(E47,'Landbrugsareal - resultat'!$I$4:$K$4,0)))))),IF(C47=2019,SUMPRODUCT((B47='Landbrugsareal - resultat'!$B$32:$B$45)*(INDEX('Landbrugsareal - resultat'!$L$32:$N$45,,MATCH(E47,'Landbrugsareal - resultat'!$L$4:$N$4,0)))),IF(C47=2030,SUMPRODUCT((B47='Landbrugsareal - resultat'!$B$32:$B$45)*(INDEX('Landbrugsareal - resultat'!$O$32:$Q$45,,MATCH(E47,'Landbrugsareal - resultat'!$O$4:$Q$4,0)))),SUMPRODUCT((B47='Landbrugsareal - resultat'!$B$32:$B$45)*(INDEX('Landbrugsareal - resultat'!$R$32:$T$45,,MATCH(E47,'Landbrugsareal - resultat'!$R$4:$T$4,0))))))))</f>
        <v>24163.428903039348</v>
      </c>
      <c r="H47" s="172">
        <f>G47*VLOOKUP(B47,[1]Afgrødedata!$A$5:$F$18,2,FALSE)*IF(D47="Økologisk",VLOOKUP(B47,[1]Afgrødedata!$A$5:$F$18,4,FALSE),1)*IF(E47&lt;&gt;Jordbund1,IF(E47=Organ6,VLOOKUP(B47,[1]Afgrødedata!$A$5:$F$18,5,FALSE),VLOOKUP(B47,[1]Afgrødedata!$A$5:$F$18,6,FALSE)),1)*0.1</f>
        <v>935211.68689167371</v>
      </c>
      <c r="I47" s="172">
        <f>G47*VLOOKUP(B47,[1]Afgrødedata!$A$5:$F$18,3,FALSE)*IF(D47="Økologisk",VLOOKUP(B47,[1]Afgrødedata!$A$5:$F$18,4,FALSE),1)*IF(E47&lt;&gt;Jordbund1,IF(E47=Organ6,VLOOKUP(B47,[1]Afgrødedata!$A$5:$F$18,5,FALSE),VLOOKUP(B47,[1]Afgrødedata!$A$5:$F$18,6,FALSE)),1)*HLOOKUP(C47,Landbrug!$C$15:$E$17,2,FALSE)*HLOOKUP(C47,Landbrug!$C$15:$E$17,3,FALSE)*0.1</f>
        <v>0</v>
      </c>
      <c r="J47" s="76">
        <f t="shared" si="2"/>
        <v>935211.68689167371</v>
      </c>
    </row>
    <row r="48" spans="1:16" x14ac:dyDescent="0.55000000000000004">
      <c r="A48" t="s">
        <v>23</v>
      </c>
      <c r="B48" s="1" t="str">
        <f>[1]Afgrødefordeling!$C$6</f>
        <v>Grøntsager</v>
      </c>
      <c r="C48">
        <v>2019</v>
      </c>
      <c r="D48" t="s">
        <v>8</v>
      </c>
      <c r="E48" s="172" t="str">
        <f t="shared" si="6"/>
        <v>JB1-10</v>
      </c>
      <c r="F48" t="str">
        <f t="shared" si="1"/>
        <v>Grøntsager</v>
      </c>
      <c r="G48" s="76" cm="1">
        <f t="array" ref="G48">IF(A48="Vestdanmark",IF(D48="Konventionel",IF(C48=2019,SUMPRODUCT((B48='Landbrugsareal - resultat'!$B$5:$B$18)*(INDEX('Landbrugsareal - resultat'!$C$5:$E$18,,MATCH(E48,'Landbrugsareal - resultat'!$C$4:$E$4,0)))),IF(C48=2030,SUMPRODUCT((B48='Landbrugsareal - resultat'!$B$5:$B$18)*(INDEX('Landbrugsareal - resultat'!$F$5:$H$18,,MATCH(E48,'Landbrugsareal - resultat'!$F$4:$H$4,0)))),SUMPRODUCT((B48='Landbrugsareal - resultat'!$B$5:$B$18)*(INDEX('Landbrugsareal - resultat'!$I$5:$K$18,,MATCH(E48,'Landbrugsareal - resultat'!$I$4:$K$4,0)))))),IF(C48=2019,SUMPRODUCT((B48='Landbrugsareal - resultat'!$B$5:$B$18)*(INDEX('Landbrugsareal - resultat'!$L$5:$N$18,,MATCH(E48,'Landbrugsareal - resultat'!$L$4:$N$4,0)))),IF(C48=2030,SUMPRODUCT((B48='Landbrugsareal - resultat'!$B$5:$B$18)*(INDEX('Landbrugsareal - resultat'!$O$5:$Q$18,,MATCH(E48,'Landbrugsareal - resultat'!$O$4:$Q$4,0)))),SUMPRODUCT((B48='Landbrugsareal - resultat'!$B$5:$B$18)*(INDEX('Landbrugsareal - resultat'!$R$5:$T$18,,MATCH(E48,'Landbrugsareal - resultat'!$R$4:$T$4,0))))))),IF(D48="Konventionel",IF(C48=2019,SUMPRODUCT((B48='Landbrugsareal - resultat'!$B$32:$B$45)*(INDEX('Landbrugsareal - resultat'!$C$32:$E$45,,MATCH(E48,'Landbrugsareal - resultat'!$C$4:$E$4,0)))),IF(C48=2030,SUMPRODUCT((B48='Landbrugsareal - resultat'!$B$32:$B$45)*(INDEX('Landbrugsareal - resultat'!$F$32:$H$45,,MATCH(E48,'Landbrugsareal - resultat'!$F$4:$H$4,0)))),SUMPRODUCT((B48='Landbrugsareal - resultat'!$B$32:$B$45)*(INDEX('Landbrugsareal - resultat'!$I$32:$K$45,,MATCH(E48,'Landbrugsareal - resultat'!$I$4:$K$4,0)))))),IF(C48=2019,SUMPRODUCT((B48='Landbrugsareal - resultat'!$B$32:$B$45)*(INDEX('Landbrugsareal - resultat'!$L$32:$N$45,,MATCH(E48,'Landbrugsareal - resultat'!$L$4:$N$4,0)))),IF(C48=2030,SUMPRODUCT((B48='Landbrugsareal - resultat'!$B$32:$B$45)*(INDEX('Landbrugsareal - resultat'!$O$32:$Q$45,,MATCH(E48,'Landbrugsareal - resultat'!$O$4:$Q$4,0)))),SUMPRODUCT((B48='Landbrugsareal - resultat'!$B$32:$B$45)*(INDEX('Landbrugsareal - resultat'!$R$32:$T$45,,MATCH(E48,'Landbrugsareal - resultat'!$R$4:$T$4,0))))))))</f>
        <v>935.06974518991217</v>
      </c>
      <c r="H48" s="172">
        <f>G48*VLOOKUP(B48,[1]Afgrødedata!$A$5:$F$18,2,FALSE)*IF(D48="Økologisk",VLOOKUP(B48,[1]Afgrødedata!$A$5:$F$18,4,FALSE),1)*IF(E48&lt;&gt;Jordbund1,IF(E48=Organ6,VLOOKUP(B48,[1]Afgrødedata!$A$5:$F$18,5,FALSE),VLOOKUP(B48,[1]Afgrødedata!$A$5:$F$18,6,FALSE)),1)*0.1</f>
        <v>11059.537411233687</v>
      </c>
      <c r="I48" s="172">
        <f>G48*VLOOKUP(B48,[1]Afgrødedata!$A$5:$F$18,3,FALSE)*IF(D48="Økologisk",VLOOKUP(B48,[1]Afgrødedata!$A$5:$F$18,4,FALSE),1)*IF(E48&lt;&gt;Jordbund1,IF(E48=Organ6,VLOOKUP(B48,[1]Afgrødedata!$A$5:$F$18,5,FALSE),VLOOKUP(B48,[1]Afgrødedata!$A$5:$F$18,6,FALSE)),1)*HLOOKUP(C48,Landbrug!$C$15:$E$17,2,FALSE)*HLOOKUP(C48,Landbrug!$C$15:$E$17,3,FALSE)*0.1</f>
        <v>0</v>
      </c>
      <c r="J48" s="76">
        <f t="shared" si="2"/>
        <v>11059.537411233687</v>
      </c>
    </row>
    <row r="49" spans="1:10" x14ac:dyDescent="0.55000000000000004">
      <c r="A49" t="s">
        <v>23</v>
      </c>
      <c r="B49" s="1" t="str">
        <f>[1]Afgrødefordeling!$C$7</f>
        <v>Kartofler</v>
      </c>
      <c r="C49">
        <v>2019</v>
      </c>
      <c r="D49" t="s">
        <v>8</v>
      </c>
      <c r="E49" s="172" t="str">
        <f t="shared" si="6"/>
        <v>JB1-10</v>
      </c>
      <c r="F49" t="str">
        <f t="shared" si="1"/>
        <v>Kartofler</v>
      </c>
      <c r="G49" s="76" cm="1">
        <f t="array" ref="G49">IF(A49="Vestdanmark",IF(D49="Konventionel",IF(C49=2019,SUMPRODUCT((B49='Landbrugsareal - resultat'!$B$5:$B$18)*(INDEX('Landbrugsareal - resultat'!$C$5:$E$18,,MATCH(E49,'Landbrugsareal - resultat'!$C$4:$E$4,0)))),IF(C49=2030,SUMPRODUCT((B49='Landbrugsareal - resultat'!$B$5:$B$18)*(INDEX('Landbrugsareal - resultat'!$F$5:$H$18,,MATCH(E49,'Landbrugsareal - resultat'!$F$4:$H$4,0)))),SUMPRODUCT((B49='Landbrugsareal - resultat'!$B$5:$B$18)*(INDEX('Landbrugsareal - resultat'!$I$5:$K$18,,MATCH(E49,'Landbrugsareal - resultat'!$I$4:$K$4,0)))))),IF(C49=2019,SUMPRODUCT((B49='Landbrugsareal - resultat'!$B$5:$B$18)*(INDEX('Landbrugsareal - resultat'!$L$5:$N$18,,MATCH(E49,'Landbrugsareal - resultat'!$L$4:$N$4,0)))),IF(C49=2030,SUMPRODUCT((B49='Landbrugsareal - resultat'!$B$5:$B$18)*(INDEX('Landbrugsareal - resultat'!$O$5:$Q$18,,MATCH(E49,'Landbrugsareal - resultat'!$O$4:$Q$4,0)))),SUMPRODUCT((B49='Landbrugsareal - resultat'!$B$5:$B$18)*(INDEX('Landbrugsareal - resultat'!$R$5:$T$18,,MATCH(E49,'Landbrugsareal - resultat'!$R$4:$T$4,0))))))),IF(D49="Konventionel",IF(C49=2019,SUMPRODUCT((B49='Landbrugsareal - resultat'!$B$32:$B$45)*(INDEX('Landbrugsareal - resultat'!$C$32:$E$45,,MATCH(E49,'Landbrugsareal - resultat'!$C$4:$E$4,0)))),IF(C49=2030,SUMPRODUCT((B49='Landbrugsareal - resultat'!$B$32:$B$45)*(INDEX('Landbrugsareal - resultat'!$F$32:$H$45,,MATCH(E49,'Landbrugsareal - resultat'!$F$4:$H$4,0)))),SUMPRODUCT((B49='Landbrugsareal - resultat'!$B$32:$B$45)*(INDEX('Landbrugsareal - resultat'!$I$32:$K$45,,MATCH(E49,'Landbrugsareal - resultat'!$I$4:$K$4,0)))))),IF(C49=2019,SUMPRODUCT((B49='Landbrugsareal - resultat'!$B$32:$B$45)*(INDEX('Landbrugsareal - resultat'!$L$32:$N$45,,MATCH(E49,'Landbrugsareal - resultat'!$L$4:$N$4,0)))),IF(C49=2030,SUMPRODUCT((B49='Landbrugsareal - resultat'!$B$32:$B$45)*(INDEX('Landbrugsareal - resultat'!$O$32:$Q$45,,MATCH(E49,'Landbrugsareal - resultat'!$O$4:$Q$4,0)))),SUMPRODUCT((B49='Landbrugsareal - resultat'!$B$32:$B$45)*(INDEX('Landbrugsareal - resultat'!$R$32:$T$45,,MATCH(E49,'Landbrugsareal - resultat'!$R$4:$T$4,0))))))))</f>
        <v>5570.3291939822529</v>
      </c>
      <c r="H49" s="172">
        <f>G49*VLOOKUP(B49,[1]Afgrødedata!$A$5:$F$18,2,FALSE)*IF(D49="Økologisk",VLOOKUP(B49,[1]Afgrødedata!$A$5:$F$18,4,FALSE),1)*IF(E49&lt;&gt;Jordbund1,IF(E49=Organ6,VLOOKUP(B49,[1]Afgrødedata!$A$5:$F$18,5,FALSE),VLOOKUP(B49,[1]Afgrødedata!$A$5:$F$18,6,FALSE)),1)*0.1</f>
        <v>134848.82799393893</v>
      </c>
      <c r="I49" s="172">
        <f>G49*VLOOKUP(B49,[1]Afgrødedata!$A$5:$F$18,3,FALSE)*IF(D49="Økologisk",VLOOKUP(B49,[1]Afgrødedata!$A$5:$F$18,4,FALSE),1)*IF(E49&lt;&gt;Jordbund1,IF(E49=Organ6,VLOOKUP(B49,[1]Afgrødedata!$A$5:$F$18,5,FALSE),VLOOKUP(B49,[1]Afgrødedata!$A$5:$F$18,6,FALSE)),1)*HLOOKUP(C49,Landbrug!$C$15:$E$17,2,FALSE)*HLOOKUP(C49,Landbrug!$C$15:$E$17,3,FALSE)*0.1</f>
        <v>0</v>
      </c>
      <c r="J49" s="76">
        <f t="shared" si="2"/>
        <v>134848.82799393893</v>
      </c>
    </row>
    <row r="50" spans="1:10" x14ac:dyDescent="0.55000000000000004">
      <c r="A50" t="s">
        <v>23</v>
      </c>
      <c r="B50" s="1" t="str">
        <f>[1]Afgrødefordeling!$C$8</f>
        <v>Roer</v>
      </c>
      <c r="C50">
        <v>2019</v>
      </c>
      <c r="D50" t="s">
        <v>8</v>
      </c>
      <c r="E50" s="172" t="str">
        <f t="shared" si="6"/>
        <v>JB1-10</v>
      </c>
      <c r="F50" t="str">
        <f t="shared" si="1"/>
        <v>Roer</v>
      </c>
      <c r="G50" s="76" cm="1">
        <f t="array" ref="G50">IF(A50="Vestdanmark",IF(D50="Konventionel",IF(C50=2019,SUMPRODUCT((B50='Landbrugsareal - resultat'!$B$5:$B$18)*(INDEX('Landbrugsareal - resultat'!$C$5:$E$18,,MATCH(E50,'Landbrugsareal - resultat'!$C$4:$E$4,0)))),IF(C50=2030,SUMPRODUCT((B50='Landbrugsareal - resultat'!$B$5:$B$18)*(INDEX('Landbrugsareal - resultat'!$F$5:$H$18,,MATCH(E50,'Landbrugsareal - resultat'!$F$4:$H$4,0)))),SUMPRODUCT((B50='Landbrugsareal - resultat'!$B$5:$B$18)*(INDEX('Landbrugsareal - resultat'!$I$5:$K$18,,MATCH(E50,'Landbrugsareal - resultat'!$I$4:$K$4,0)))))),IF(C50=2019,SUMPRODUCT((B50='Landbrugsareal - resultat'!$B$5:$B$18)*(INDEX('Landbrugsareal - resultat'!$L$5:$N$18,,MATCH(E50,'Landbrugsareal - resultat'!$L$4:$N$4,0)))),IF(C50=2030,SUMPRODUCT((B50='Landbrugsareal - resultat'!$B$5:$B$18)*(INDEX('Landbrugsareal - resultat'!$O$5:$Q$18,,MATCH(E50,'Landbrugsareal - resultat'!$O$4:$Q$4,0)))),SUMPRODUCT((B50='Landbrugsareal - resultat'!$B$5:$B$18)*(INDEX('Landbrugsareal - resultat'!$R$5:$T$18,,MATCH(E50,'Landbrugsareal - resultat'!$R$4:$T$4,0))))))),IF(D50="Konventionel",IF(C50=2019,SUMPRODUCT((B50='Landbrugsareal - resultat'!$B$32:$B$45)*(INDEX('Landbrugsareal - resultat'!$C$32:$E$45,,MATCH(E50,'Landbrugsareal - resultat'!$C$4:$E$4,0)))),IF(C50=2030,SUMPRODUCT((B50='Landbrugsareal - resultat'!$B$32:$B$45)*(INDEX('Landbrugsareal - resultat'!$F$32:$H$45,,MATCH(E50,'Landbrugsareal - resultat'!$F$4:$H$4,0)))),SUMPRODUCT((B50='Landbrugsareal - resultat'!$B$32:$B$45)*(INDEX('Landbrugsareal - resultat'!$I$32:$K$45,,MATCH(E50,'Landbrugsareal - resultat'!$I$4:$K$4,0)))))),IF(C50=2019,SUMPRODUCT((B50='Landbrugsareal - resultat'!$B$32:$B$45)*(INDEX('Landbrugsareal - resultat'!$L$32:$N$45,,MATCH(E50,'Landbrugsareal - resultat'!$L$4:$N$4,0)))),IF(C50=2030,SUMPRODUCT((B50='Landbrugsareal - resultat'!$B$32:$B$45)*(INDEX('Landbrugsareal - resultat'!$O$32:$Q$45,,MATCH(E50,'Landbrugsareal - resultat'!$O$4:$Q$4,0)))),SUMPRODUCT((B50='Landbrugsareal - resultat'!$B$32:$B$45)*(INDEX('Landbrugsareal - resultat'!$R$32:$T$45,,MATCH(E50,'Landbrugsareal - resultat'!$R$4:$T$4,0))))))))</f>
        <v>543.78023238328944</v>
      </c>
      <c r="H50" s="172">
        <f>G50*VLOOKUP(B50,[1]Afgrødedata!$A$5:$F$18,2,FALSE)*IF(D50="Økologisk",VLOOKUP(B50,[1]Afgrødedata!$A$5:$F$18,4,FALSE),1)*IF(E50&lt;&gt;Jordbund1,IF(E50=Organ6,VLOOKUP(B50,[1]Afgrødedata!$A$5:$F$18,5,FALSE),VLOOKUP(B50,[1]Afgrødedata!$A$5:$F$18,6,FALSE)),1)*0.1</f>
        <v>25184.978559760264</v>
      </c>
      <c r="I50" s="172">
        <f>G50*VLOOKUP(B50,[1]Afgrødedata!$A$5:$F$18,3,FALSE)*IF(D50="Økologisk",VLOOKUP(B50,[1]Afgrødedata!$A$5:$F$18,4,FALSE),1)*IF(E50&lt;&gt;Jordbund1,IF(E50=Organ6,VLOOKUP(B50,[1]Afgrødedata!$A$5:$F$18,5,FALSE),VLOOKUP(B50,[1]Afgrødedata!$A$5:$F$18,6,FALSE)),1)*HLOOKUP(C50,Landbrug!$C$15:$E$17,2,FALSE)*HLOOKUP(C50,Landbrug!$C$15:$E$17,3,FALSE)*0.1</f>
        <v>0</v>
      </c>
      <c r="J50" s="76">
        <f t="shared" si="2"/>
        <v>25184.978559760264</v>
      </c>
    </row>
    <row r="51" spans="1:10" x14ac:dyDescent="0.55000000000000004">
      <c r="A51" t="s">
        <v>23</v>
      </c>
      <c r="B51" s="1" t="str">
        <f>[1]Afgrødefordeling!$C$9</f>
        <v>Majs</v>
      </c>
      <c r="C51">
        <v>2019</v>
      </c>
      <c r="D51" t="s">
        <v>8</v>
      </c>
      <c r="E51" s="172" t="str">
        <f t="shared" si="6"/>
        <v>JB1-10</v>
      </c>
      <c r="F51" t="str">
        <f t="shared" si="1"/>
        <v>Majs</v>
      </c>
      <c r="G51" s="76" cm="1">
        <f t="array" ref="G51">IF(A51="Vestdanmark",IF(D51="Konventionel",IF(C51=2019,SUMPRODUCT((B51='Landbrugsareal - resultat'!$B$5:$B$18)*(INDEX('Landbrugsareal - resultat'!$C$5:$E$18,,MATCH(E51,'Landbrugsareal - resultat'!$C$4:$E$4,0)))),IF(C51=2030,SUMPRODUCT((B51='Landbrugsareal - resultat'!$B$5:$B$18)*(INDEX('Landbrugsareal - resultat'!$F$5:$H$18,,MATCH(E51,'Landbrugsareal - resultat'!$F$4:$H$4,0)))),SUMPRODUCT((B51='Landbrugsareal - resultat'!$B$5:$B$18)*(INDEX('Landbrugsareal - resultat'!$I$5:$K$18,,MATCH(E51,'Landbrugsareal - resultat'!$I$4:$K$4,0)))))),IF(C51=2019,SUMPRODUCT((B51='Landbrugsareal - resultat'!$B$5:$B$18)*(INDEX('Landbrugsareal - resultat'!$L$5:$N$18,,MATCH(E51,'Landbrugsareal - resultat'!$L$4:$N$4,0)))),IF(C51=2030,SUMPRODUCT((B51='Landbrugsareal - resultat'!$B$5:$B$18)*(INDEX('Landbrugsareal - resultat'!$O$5:$Q$18,,MATCH(E51,'Landbrugsareal - resultat'!$O$4:$Q$4,0)))),SUMPRODUCT((B51='Landbrugsareal - resultat'!$B$5:$B$18)*(INDEX('Landbrugsareal - resultat'!$R$5:$T$18,,MATCH(E51,'Landbrugsareal - resultat'!$R$4:$T$4,0))))))),IF(D51="Konventionel",IF(C51=2019,SUMPRODUCT((B51='Landbrugsareal - resultat'!$B$32:$B$45)*(INDEX('Landbrugsareal - resultat'!$C$32:$E$45,,MATCH(E51,'Landbrugsareal - resultat'!$C$4:$E$4,0)))),IF(C51=2030,SUMPRODUCT((B51='Landbrugsareal - resultat'!$B$32:$B$45)*(INDEX('Landbrugsareal - resultat'!$F$32:$H$45,,MATCH(E51,'Landbrugsareal - resultat'!$F$4:$H$4,0)))),SUMPRODUCT((B51='Landbrugsareal - resultat'!$B$32:$B$45)*(INDEX('Landbrugsareal - resultat'!$I$32:$K$45,,MATCH(E51,'Landbrugsareal - resultat'!$I$4:$K$4,0)))))),IF(C51=2019,SUMPRODUCT((B51='Landbrugsareal - resultat'!$B$32:$B$45)*(INDEX('Landbrugsareal - resultat'!$L$32:$N$45,,MATCH(E51,'Landbrugsareal - resultat'!$L$4:$N$4,0)))),IF(C51=2030,SUMPRODUCT((B51='Landbrugsareal - resultat'!$B$32:$B$45)*(INDEX('Landbrugsareal - resultat'!$O$32:$Q$45,,MATCH(E51,'Landbrugsareal - resultat'!$O$4:$Q$4,0)))),SUMPRODUCT((B51='Landbrugsareal - resultat'!$B$32:$B$45)*(INDEX('Landbrugsareal - resultat'!$R$32:$T$45,,MATCH(E51,'Landbrugsareal - resultat'!$R$4:$T$4,0))))))))</f>
        <v>18621.539490936779</v>
      </c>
      <c r="H51" s="172">
        <f>G51*VLOOKUP(B51,[1]Afgrødedata!$A$5:$F$18,2,FALSE)*IF(D51="Økologisk",VLOOKUP(B51,[1]Afgrødedata!$A$5:$F$18,4,FALSE),1)*IF(E51&lt;&gt;Jordbund1,IF(E51=Organ6,VLOOKUP(B51,[1]Afgrødedata!$A$5:$F$18,5,FALSE),VLOOKUP(B51,[1]Afgrødedata!$A$5:$F$18,6,FALSE)),1)*0.1</f>
        <v>687941.11987552466</v>
      </c>
      <c r="I51" s="172">
        <f>G51*VLOOKUP(B51,[1]Afgrødedata!$A$5:$F$18,3,FALSE)*IF(D51="Økologisk",VLOOKUP(B51,[1]Afgrødedata!$A$5:$F$18,4,FALSE),1)*IF(E51&lt;&gt;Jordbund1,IF(E51=Organ6,VLOOKUP(B51,[1]Afgrødedata!$A$5:$F$18,5,FALSE),VLOOKUP(B51,[1]Afgrødedata!$A$5:$F$18,6,FALSE)),1)*HLOOKUP(C51,Landbrug!$C$15:$E$17,2,FALSE)*HLOOKUP(C51,Landbrug!$C$15:$E$17,3,FALSE)*0.1</f>
        <v>0</v>
      </c>
      <c r="J51" s="76">
        <f t="shared" si="2"/>
        <v>687941.11987552466</v>
      </c>
    </row>
    <row r="52" spans="1:10" x14ac:dyDescent="0.55000000000000004">
      <c r="A52" t="s">
        <v>23</v>
      </c>
      <c r="B52" s="1" t="str">
        <f>[1]Afgrødefordeling!$C$10</f>
        <v>Frugt</v>
      </c>
      <c r="C52">
        <v>2019</v>
      </c>
      <c r="D52" t="s">
        <v>8</v>
      </c>
      <c r="E52" s="172" t="str">
        <f t="shared" si="6"/>
        <v>JB1-10</v>
      </c>
      <c r="F52" t="str">
        <f t="shared" si="1"/>
        <v>Frugt</v>
      </c>
      <c r="G52" s="76" cm="1">
        <f t="array" ref="G52">IF(A52="Vestdanmark",IF(D52="Konventionel",IF(C52=2019,SUMPRODUCT((B52='Landbrugsareal - resultat'!$B$5:$B$18)*(INDEX('Landbrugsareal - resultat'!$C$5:$E$18,,MATCH(E52,'Landbrugsareal - resultat'!$C$4:$E$4,0)))),IF(C52=2030,SUMPRODUCT((B52='Landbrugsareal - resultat'!$B$5:$B$18)*(INDEX('Landbrugsareal - resultat'!$F$5:$H$18,,MATCH(E52,'Landbrugsareal - resultat'!$F$4:$H$4,0)))),SUMPRODUCT((B52='Landbrugsareal - resultat'!$B$5:$B$18)*(INDEX('Landbrugsareal - resultat'!$I$5:$K$18,,MATCH(E52,'Landbrugsareal - resultat'!$I$4:$K$4,0)))))),IF(C52=2019,SUMPRODUCT((B52='Landbrugsareal - resultat'!$B$5:$B$18)*(INDEX('Landbrugsareal - resultat'!$L$5:$N$18,,MATCH(E52,'Landbrugsareal - resultat'!$L$4:$N$4,0)))),IF(C52=2030,SUMPRODUCT((B52='Landbrugsareal - resultat'!$B$5:$B$18)*(INDEX('Landbrugsareal - resultat'!$O$5:$Q$18,,MATCH(E52,'Landbrugsareal - resultat'!$O$4:$Q$4,0)))),SUMPRODUCT((B52='Landbrugsareal - resultat'!$B$5:$B$18)*(INDEX('Landbrugsareal - resultat'!$R$5:$T$18,,MATCH(E52,'Landbrugsareal - resultat'!$R$4:$T$4,0))))))),IF(D52="Konventionel",IF(C52=2019,SUMPRODUCT((B52='Landbrugsareal - resultat'!$B$32:$B$45)*(INDEX('Landbrugsareal - resultat'!$C$32:$E$45,,MATCH(E52,'Landbrugsareal - resultat'!$C$4:$E$4,0)))),IF(C52=2030,SUMPRODUCT((B52='Landbrugsareal - resultat'!$B$32:$B$45)*(INDEX('Landbrugsareal - resultat'!$F$32:$H$45,,MATCH(E52,'Landbrugsareal - resultat'!$F$4:$H$4,0)))),SUMPRODUCT((B52='Landbrugsareal - resultat'!$B$32:$B$45)*(INDEX('Landbrugsareal - resultat'!$I$32:$K$45,,MATCH(E52,'Landbrugsareal - resultat'!$I$4:$K$4,0)))))),IF(C52=2019,SUMPRODUCT((B52='Landbrugsareal - resultat'!$B$32:$B$45)*(INDEX('Landbrugsareal - resultat'!$L$32:$N$45,,MATCH(E52,'Landbrugsareal - resultat'!$L$4:$N$4,0)))),IF(C52=2030,SUMPRODUCT((B52='Landbrugsareal - resultat'!$B$32:$B$45)*(INDEX('Landbrugsareal - resultat'!$O$32:$Q$45,,MATCH(E52,'Landbrugsareal - resultat'!$O$4:$Q$4,0)))),SUMPRODUCT((B52='Landbrugsareal - resultat'!$B$32:$B$45)*(INDEX('Landbrugsareal - resultat'!$R$32:$T$45,,MATCH(E52,'Landbrugsareal - resultat'!$R$4:$T$4,0))))))))</f>
        <v>342.17593181200988</v>
      </c>
      <c r="H52" s="172">
        <f>G52*VLOOKUP(B52,[1]Afgrødedata!$A$5:$F$18,2,FALSE)*IF(D52="Økologisk",VLOOKUP(B52,[1]Afgrødedata!$A$5:$F$18,4,FALSE),1)*IF(E52&lt;&gt;Jordbund1,IF(E52=Organ6,VLOOKUP(B52,[1]Afgrødedata!$A$5:$F$18,5,FALSE),VLOOKUP(B52,[1]Afgrødedata!$A$5:$F$18,6,FALSE)),1)*0.1</f>
        <v>1655.8919868178593</v>
      </c>
      <c r="I52" s="172">
        <f>G52*VLOOKUP(B52,[1]Afgrødedata!$A$5:$F$18,3,FALSE)*IF(D52="Økologisk",VLOOKUP(B52,[1]Afgrødedata!$A$5:$F$18,4,FALSE),1)*IF(E52&lt;&gt;Jordbund1,IF(E52=Organ6,VLOOKUP(B52,[1]Afgrødedata!$A$5:$F$18,5,FALSE),VLOOKUP(B52,[1]Afgrødedata!$A$5:$F$18,6,FALSE)),1)*HLOOKUP(C52,Landbrug!$C$15:$E$17,2,FALSE)*HLOOKUP(C52,Landbrug!$C$15:$E$17,3,FALSE)*0.1</f>
        <v>0</v>
      </c>
      <c r="J52" s="76">
        <f t="shared" si="2"/>
        <v>1655.8919868178593</v>
      </c>
    </row>
    <row r="53" spans="1:10" x14ac:dyDescent="0.55000000000000004">
      <c r="A53" t="s">
        <v>23</v>
      </c>
      <c r="B53" s="1" t="str">
        <f>[1]Afgrødefordeling!$C$11</f>
        <v>Øvrige</v>
      </c>
      <c r="C53">
        <v>2019</v>
      </c>
      <c r="D53" t="s">
        <v>8</v>
      </c>
      <c r="E53" s="172" t="str">
        <f t="shared" si="6"/>
        <v>JB1-10</v>
      </c>
      <c r="F53" t="str">
        <f t="shared" si="1"/>
        <v>Øvrige</v>
      </c>
      <c r="G53" s="76" cm="1">
        <f t="array" ref="G53">IF(A53="Vestdanmark",IF(D53="Konventionel",IF(C53=2019,SUMPRODUCT((B53='Landbrugsareal - resultat'!$B$5:$B$18)*(INDEX('Landbrugsareal - resultat'!$C$5:$E$18,,MATCH(E53,'Landbrugsareal - resultat'!$C$4:$E$4,0)))),IF(C53=2030,SUMPRODUCT((B53='Landbrugsareal - resultat'!$B$5:$B$18)*(INDEX('Landbrugsareal - resultat'!$F$5:$H$18,,MATCH(E53,'Landbrugsareal - resultat'!$F$4:$H$4,0)))),SUMPRODUCT((B53='Landbrugsareal - resultat'!$B$5:$B$18)*(INDEX('Landbrugsareal - resultat'!$I$5:$K$18,,MATCH(E53,'Landbrugsareal - resultat'!$I$4:$K$4,0)))))),IF(C53=2019,SUMPRODUCT((B53='Landbrugsareal - resultat'!$B$5:$B$18)*(INDEX('Landbrugsareal - resultat'!$L$5:$N$18,,MATCH(E53,'Landbrugsareal - resultat'!$L$4:$N$4,0)))),IF(C53=2030,SUMPRODUCT((B53='Landbrugsareal - resultat'!$B$5:$B$18)*(INDEX('Landbrugsareal - resultat'!$O$5:$Q$18,,MATCH(E53,'Landbrugsareal - resultat'!$O$4:$Q$4,0)))),SUMPRODUCT((B53='Landbrugsareal - resultat'!$B$5:$B$18)*(INDEX('Landbrugsareal - resultat'!$R$5:$T$18,,MATCH(E53,'Landbrugsareal - resultat'!$R$4:$T$4,0))))))),IF(D53="Konventionel",IF(C53=2019,SUMPRODUCT((B53='Landbrugsareal - resultat'!$B$32:$B$45)*(INDEX('Landbrugsareal - resultat'!$C$32:$E$45,,MATCH(E53,'Landbrugsareal - resultat'!$C$4:$E$4,0)))),IF(C53=2030,SUMPRODUCT((B53='Landbrugsareal - resultat'!$B$32:$B$45)*(INDEX('Landbrugsareal - resultat'!$F$32:$H$45,,MATCH(E53,'Landbrugsareal - resultat'!$F$4:$H$4,0)))),SUMPRODUCT((B53='Landbrugsareal - resultat'!$B$32:$B$45)*(INDEX('Landbrugsareal - resultat'!$I$32:$K$45,,MATCH(E53,'Landbrugsareal - resultat'!$I$4:$K$4,0)))))),IF(C53=2019,SUMPRODUCT((B53='Landbrugsareal - resultat'!$B$32:$B$45)*(INDEX('Landbrugsareal - resultat'!$L$32:$N$45,,MATCH(E53,'Landbrugsareal - resultat'!$L$4:$N$4,0)))),IF(C53=2030,SUMPRODUCT((B53='Landbrugsareal - resultat'!$B$32:$B$45)*(INDEX('Landbrugsareal - resultat'!$O$32:$Q$45,,MATCH(E53,'Landbrugsareal - resultat'!$O$4:$Q$4,0)))),SUMPRODUCT((B53='Landbrugsareal - resultat'!$B$32:$B$45)*(INDEX('Landbrugsareal - resultat'!$R$32:$T$45,,MATCH(E53,'Landbrugsareal - resultat'!$R$4:$T$4,0))))))))</f>
        <v>6051.6897892885954</v>
      </c>
      <c r="H53" s="172">
        <f>G53*VLOOKUP(B53,[1]Afgrødedata!$A$5:$F$18,2,FALSE)*IF(D53="Økologisk",VLOOKUP(B53,[1]Afgrødedata!$A$5:$F$18,4,FALSE),1)*IF(E53&lt;&gt;Jordbund1,IF(E53=Organ6,VLOOKUP(B53,[1]Afgrødedata!$A$5:$F$18,5,FALSE),VLOOKUP(B53,[1]Afgrødedata!$A$5:$F$18,6,FALSE)),1)*0.1</f>
        <v>102780.0100417052</v>
      </c>
      <c r="I53" s="172">
        <f>G53*VLOOKUP(B53,[1]Afgrødedata!$A$5:$F$18,3,FALSE)*IF(D53="Økologisk",VLOOKUP(B53,[1]Afgrødedata!$A$5:$F$18,4,FALSE),1)*IF(E53&lt;&gt;Jordbund1,IF(E53=Organ6,VLOOKUP(B53,[1]Afgrødedata!$A$5:$F$18,5,FALSE),VLOOKUP(B53,[1]Afgrødedata!$A$5:$F$18,6,FALSE)),1)*HLOOKUP(C53,Landbrug!$C$15:$E$17,2,FALSE)*HLOOKUP(C53,Landbrug!$C$15:$E$17,3,FALSE)*0.1</f>
        <v>0</v>
      </c>
      <c r="J53" s="76">
        <f t="shared" si="2"/>
        <v>102780.0100417052</v>
      </c>
    </row>
    <row r="54" spans="1:10" x14ac:dyDescent="0.55000000000000004">
      <c r="A54" t="s">
        <v>23</v>
      </c>
      <c r="B54" s="1" t="str">
        <f>[1]Afgrødefordeling!$C$12</f>
        <v>Frø</v>
      </c>
      <c r="C54">
        <v>2019</v>
      </c>
      <c r="D54" t="s">
        <v>8</v>
      </c>
      <c r="E54" s="172" t="str">
        <f t="shared" si="6"/>
        <v>JB1-10</v>
      </c>
      <c r="F54" t="str">
        <f t="shared" si="1"/>
        <v>Halm</v>
      </c>
      <c r="G54" s="76" cm="1">
        <f t="array" ref="G54">IF(A54="Vestdanmark",IF(D54="Konventionel",IF(C54=2019,SUMPRODUCT((B54='Landbrugsareal - resultat'!$B$5:$B$18)*(INDEX('Landbrugsareal - resultat'!$C$5:$E$18,,MATCH(E54,'Landbrugsareal - resultat'!$C$4:$E$4,0)))),IF(C54=2030,SUMPRODUCT((B54='Landbrugsareal - resultat'!$B$5:$B$18)*(INDEX('Landbrugsareal - resultat'!$F$5:$H$18,,MATCH(E54,'Landbrugsareal - resultat'!$F$4:$H$4,0)))),SUMPRODUCT((B54='Landbrugsareal - resultat'!$B$5:$B$18)*(INDEX('Landbrugsareal - resultat'!$I$5:$K$18,,MATCH(E54,'Landbrugsareal - resultat'!$I$4:$K$4,0)))))),IF(C54=2019,SUMPRODUCT((B54='Landbrugsareal - resultat'!$B$5:$B$18)*(INDEX('Landbrugsareal - resultat'!$L$5:$N$18,,MATCH(E54,'Landbrugsareal - resultat'!$L$4:$N$4,0)))),IF(C54=2030,SUMPRODUCT((B54='Landbrugsareal - resultat'!$B$5:$B$18)*(INDEX('Landbrugsareal - resultat'!$O$5:$Q$18,,MATCH(E54,'Landbrugsareal - resultat'!$O$4:$Q$4,0)))),SUMPRODUCT((B54='Landbrugsareal - resultat'!$B$5:$B$18)*(INDEX('Landbrugsareal - resultat'!$R$5:$T$18,,MATCH(E54,'Landbrugsareal - resultat'!$R$4:$T$4,0))))))),IF(D54="Konventionel",IF(C54=2019,SUMPRODUCT((B54='Landbrugsareal - resultat'!$B$32:$B$45)*(INDEX('Landbrugsareal - resultat'!$C$32:$E$45,,MATCH(E54,'Landbrugsareal - resultat'!$C$4:$E$4,0)))),IF(C54=2030,SUMPRODUCT((B54='Landbrugsareal - resultat'!$B$32:$B$45)*(INDEX('Landbrugsareal - resultat'!$F$32:$H$45,,MATCH(E54,'Landbrugsareal - resultat'!$F$4:$H$4,0)))),SUMPRODUCT((B54='Landbrugsareal - resultat'!$B$32:$B$45)*(INDEX('Landbrugsareal - resultat'!$I$32:$K$45,,MATCH(E54,'Landbrugsareal - resultat'!$I$4:$K$4,0)))))),IF(C54=2019,SUMPRODUCT((B54='Landbrugsareal - resultat'!$B$32:$B$45)*(INDEX('Landbrugsareal - resultat'!$L$32:$N$45,,MATCH(E54,'Landbrugsareal - resultat'!$L$4:$N$4,0)))),IF(C54=2030,SUMPRODUCT((B54='Landbrugsareal - resultat'!$B$32:$B$45)*(INDEX('Landbrugsareal - resultat'!$O$32:$Q$45,,MATCH(E54,'Landbrugsareal - resultat'!$O$4:$Q$4,0)))),SUMPRODUCT((B54='Landbrugsareal - resultat'!$B$32:$B$45)*(INDEX('Landbrugsareal - resultat'!$R$32:$T$45,,MATCH(E54,'Landbrugsareal - resultat'!$R$4:$T$4,0))))))))</f>
        <v>6365.8454264012817</v>
      </c>
      <c r="H54" s="172">
        <f>G54*VLOOKUP(B54,[1]Afgrødedata!$A$5:$F$18,2,FALSE)*IF(D54="Økologisk",VLOOKUP(B54,[1]Afgrødedata!$A$5:$F$18,4,FALSE),1)*IF(E54&lt;&gt;Jordbund1,IF(E54=Organ6,VLOOKUP(B54,[1]Afgrødedata!$A$5:$F$18,5,FALSE),VLOOKUP(B54,[1]Afgrødedata!$A$5:$F$18,6,FALSE)),1)*0.1</f>
        <v>51847.586981155291</v>
      </c>
      <c r="I54" s="172">
        <f>G54*VLOOKUP(B54,[1]Afgrødedata!$A$5:$F$18,3,FALSE)*IF(D54="Økologisk",VLOOKUP(B54,[1]Afgrødedata!$A$5:$F$18,4,FALSE),1)*IF(E54&lt;&gt;Jordbund1,IF(E54=Organ6,VLOOKUP(B54,[1]Afgrødedata!$A$5:$F$18,5,FALSE),VLOOKUP(B54,[1]Afgrødedata!$A$5:$F$18,6,FALSE)),1)*HLOOKUP(C54,Landbrug!$C$15:$E$17,2,FALSE)*HLOOKUP(C54,Landbrug!$C$15:$E$17,3,FALSE)*0.1</f>
        <v>8613.4090077190758</v>
      </c>
      <c r="J54" s="76">
        <f t="shared" si="2"/>
        <v>8613.4090077190758</v>
      </c>
    </row>
    <row r="55" spans="1:10" x14ac:dyDescent="0.55000000000000004">
      <c r="A55" t="s">
        <v>23</v>
      </c>
      <c r="B55" s="1" t="str">
        <f>[1]Afgrødefordeling!$C$13</f>
        <v>Juletræer</v>
      </c>
      <c r="C55">
        <v>2019</v>
      </c>
      <c r="D55" t="s">
        <v>8</v>
      </c>
      <c r="E55" s="172" t="str">
        <f t="shared" si="6"/>
        <v>JB1-10</v>
      </c>
      <c r="F55" t="str">
        <f t="shared" si="1"/>
        <v>Juletræer</v>
      </c>
      <c r="G55" s="76" cm="1">
        <f t="array" ref="G55">IF(A55="Vestdanmark",IF(D55="Konventionel",IF(C55=2019,SUMPRODUCT((B55='Landbrugsareal - resultat'!$B$5:$B$18)*(INDEX('Landbrugsareal - resultat'!$C$5:$E$18,,MATCH(E55,'Landbrugsareal - resultat'!$C$4:$E$4,0)))),IF(C55=2030,SUMPRODUCT((B55='Landbrugsareal - resultat'!$B$5:$B$18)*(INDEX('Landbrugsareal - resultat'!$F$5:$H$18,,MATCH(E55,'Landbrugsareal - resultat'!$F$4:$H$4,0)))),SUMPRODUCT((B55='Landbrugsareal - resultat'!$B$5:$B$18)*(INDEX('Landbrugsareal - resultat'!$I$5:$K$18,,MATCH(E55,'Landbrugsareal - resultat'!$I$4:$K$4,0)))))),IF(C55=2019,SUMPRODUCT((B55='Landbrugsareal - resultat'!$B$5:$B$18)*(INDEX('Landbrugsareal - resultat'!$L$5:$N$18,,MATCH(E55,'Landbrugsareal - resultat'!$L$4:$N$4,0)))),IF(C55=2030,SUMPRODUCT((B55='Landbrugsareal - resultat'!$B$5:$B$18)*(INDEX('Landbrugsareal - resultat'!$O$5:$Q$18,,MATCH(E55,'Landbrugsareal - resultat'!$O$4:$Q$4,0)))),SUMPRODUCT((B55='Landbrugsareal - resultat'!$B$5:$B$18)*(INDEX('Landbrugsareal - resultat'!$R$5:$T$18,,MATCH(E55,'Landbrugsareal - resultat'!$R$4:$T$4,0))))))),IF(D55="Konventionel",IF(C55=2019,SUMPRODUCT((B55='Landbrugsareal - resultat'!$B$32:$B$45)*(INDEX('Landbrugsareal - resultat'!$C$32:$E$45,,MATCH(E55,'Landbrugsareal - resultat'!$C$4:$E$4,0)))),IF(C55=2030,SUMPRODUCT((B55='Landbrugsareal - resultat'!$B$32:$B$45)*(INDEX('Landbrugsareal - resultat'!$F$32:$H$45,,MATCH(E55,'Landbrugsareal - resultat'!$F$4:$H$4,0)))),SUMPRODUCT((B55='Landbrugsareal - resultat'!$B$32:$B$45)*(INDEX('Landbrugsareal - resultat'!$I$32:$K$45,,MATCH(E55,'Landbrugsareal - resultat'!$I$4:$K$4,0)))))),IF(C55=2019,SUMPRODUCT((B55='Landbrugsareal - resultat'!$B$32:$B$45)*(INDEX('Landbrugsareal - resultat'!$L$32:$N$45,,MATCH(E55,'Landbrugsareal - resultat'!$L$4:$N$4,0)))),IF(C55=2030,SUMPRODUCT((B55='Landbrugsareal - resultat'!$B$32:$B$45)*(INDEX('Landbrugsareal - resultat'!$O$32:$Q$45,,MATCH(E55,'Landbrugsareal - resultat'!$O$4:$Q$4,0)))),SUMPRODUCT((B55='Landbrugsareal - resultat'!$B$32:$B$45)*(INDEX('Landbrugsareal - resultat'!$R$32:$T$45,,MATCH(E55,'Landbrugsareal - resultat'!$R$4:$T$4,0))))))))</f>
        <v>1716.1984559275936</v>
      </c>
      <c r="H55" s="172">
        <f>G55*VLOOKUP(B55,[1]Afgrødedata!$A$5:$F$18,2,FALSE)*IF(D55="Økologisk",VLOOKUP(B55,[1]Afgrødedata!$A$5:$F$18,4,FALSE),1)*IF(E55&lt;&gt;Jordbund1,IF(E55=Organ6,VLOOKUP(B55,[1]Afgrødedata!$A$5:$F$18,5,FALSE),VLOOKUP(B55,[1]Afgrødedata!$A$5:$F$18,6,FALSE)),1)*0.1</f>
        <v>48911.655993936416</v>
      </c>
      <c r="I55" s="172">
        <f>G55*VLOOKUP(B55,[1]Afgrødedata!$A$5:$F$18,3,FALSE)*IF(D55="Økologisk",VLOOKUP(B55,[1]Afgrødedata!$A$5:$F$18,4,FALSE),1)*IF(E55&lt;&gt;Jordbund1,IF(E55=Organ6,VLOOKUP(B55,[1]Afgrødedata!$A$5:$F$18,5,FALSE),VLOOKUP(B55,[1]Afgrødedata!$A$5:$F$18,6,FALSE)),1)*HLOOKUP(C55,Landbrug!$C$15:$E$17,2,FALSE)*HLOOKUP(C55,Landbrug!$C$15:$E$17,3,FALSE)*0.1</f>
        <v>0</v>
      </c>
      <c r="J55" s="76">
        <f t="shared" si="2"/>
        <v>48911.655993936416</v>
      </c>
    </row>
    <row r="56" spans="1:10" x14ac:dyDescent="0.55000000000000004">
      <c r="A56" t="s">
        <v>23</v>
      </c>
      <c r="B56" s="1" t="str">
        <f>[1]Afgrødefordeling!$C$14</f>
        <v>Pil &amp; poppel</v>
      </c>
      <c r="C56">
        <v>2019</v>
      </c>
      <c r="D56" t="s">
        <v>8</v>
      </c>
      <c r="E56" s="172" t="str">
        <f t="shared" si="6"/>
        <v>JB1-10</v>
      </c>
      <c r="F56" t="str">
        <f t="shared" ref="F56" si="9">IF(I56&lt;&gt;0,"Halm",IF(B56&lt;&gt;"Permanent græs",B56,"Græs"))</f>
        <v>Pil &amp; poppel</v>
      </c>
      <c r="G56" s="76" cm="1">
        <f t="array" ref="G56">IF(A56="Vestdanmark",IF(D56="Konventionel",IF(C56=2019,SUMPRODUCT((B56='Landbrugsareal - resultat'!$B$5:$B$18)*(INDEX('Landbrugsareal - resultat'!$C$5:$E$18,,MATCH(E56,'Landbrugsareal - resultat'!$C$4:$E$4,0)))),IF(C56=2030,SUMPRODUCT((B56='Landbrugsareal - resultat'!$B$5:$B$18)*(INDEX('Landbrugsareal - resultat'!$F$5:$H$18,,MATCH(E56,'Landbrugsareal - resultat'!$F$4:$H$4,0)))),SUMPRODUCT((B56='Landbrugsareal - resultat'!$B$5:$B$18)*(INDEX('Landbrugsareal - resultat'!$I$5:$K$18,,MATCH(E56,'Landbrugsareal - resultat'!$I$4:$K$4,0)))))),IF(C56=2019,SUMPRODUCT((B56='Landbrugsareal - resultat'!$B$5:$B$18)*(INDEX('Landbrugsareal - resultat'!$L$5:$N$18,,MATCH(E56,'Landbrugsareal - resultat'!$L$4:$N$4,0)))),IF(C56=2030,SUMPRODUCT((B56='Landbrugsareal - resultat'!$B$5:$B$18)*(INDEX('Landbrugsareal - resultat'!$O$5:$Q$18,,MATCH(E56,'Landbrugsareal - resultat'!$O$4:$Q$4,0)))),SUMPRODUCT((B56='Landbrugsareal - resultat'!$B$5:$B$18)*(INDEX('Landbrugsareal - resultat'!$R$5:$T$18,,MATCH(E56,'Landbrugsareal - resultat'!$R$4:$T$4,0))))))),IF(D56="Konventionel",IF(C56=2019,SUMPRODUCT((B56='Landbrugsareal - resultat'!$B$32:$B$45)*(INDEX('Landbrugsareal - resultat'!$C$32:$E$45,,MATCH(E56,'Landbrugsareal - resultat'!$C$4:$E$4,0)))),IF(C56=2030,SUMPRODUCT((B56='Landbrugsareal - resultat'!$B$32:$B$45)*(INDEX('Landbrugsareal - resultat'!$F$32:$H$45,,MATCH(E56,'Landbrugsareal - resultat'!$F$4:$H$4,0)))),SUMPRODUCT((B56='Landbrugsareal - resultat'!$B$32:$B$45)*(INDEX('Landbrugsareal - resultat'!$I$32:$K$45,,MATCH(E56,'Landbrugsareal - resultat'!$I$4:$K$4,0)))))),IF(C56=2019,SUMPRODUCT((B56='Landbrugsareal - resultat'!$B$32:$B$45)*(INDEX('Landbrugsareal - resultat'!$L$32:$N$45,,MATCH(E56,'Landbrugsareal - resultat'!$L$4:$N$4,0)))),IF(C56=2030,SUMPRODUCT((B56='Landbrugsareal - resultat'!$B$32:$B$45)*(INDEX('Landbrugsareal - resultat'!$O$32:$Q$45,,MATCH(E56,'Landbrugsareal - resultat'!$O$4:$Q$4,0)))),SUMPRODUCT((B56='Landbrugsareal - resultat'!$B$32:$B$45)*(INDEX('Landbrugsareal - resultat'!$R$32:$T$45,,MATCH(E56,'Landbrugsareal - resultat'!$R$4:$T$4,0))))))))</f>
        <v>631.27285609954106</v>
      </c>
      <c r="H56" s="172">
        <f>G56*VLOOKUP(B56,[1]Afgrødedata!$A$5:$F$18,2,FALSE)*IF(D56="Økologisk",VLOOKUP(B56,[1]Afgrødedata!$A$5:$F$18,4,FALSE),1)*IF(E56&lt;&gt;Jordbund1,IF(E56=Organ6,VLOOKUP(B56,[1]Afgrødedata!$A$5:$F$18,5,FALSE),VLOOKUP(B56,[1]Afgrødedata!$A$5:$F$18,6,FALSE)),1)*0.1</f>
        <v>8776.2323896765465</v>
      </c>
      <c r="I56" s="172">
        <f>G56*VLOOKUP(B56,[1]Afgrødedata!$A$5:$F$18,3,FALSE)*IF(D56="Økologisk",VLOOKUP(B56,[1]Afgrødedata!$A$5:$F$18,4,FALSE),1)*IF(E56&lt;&gt;Jordbund1,IF(E56=Organ6,VLOOKUP(B56,[1]Afgrødedata!$A$5:$F$18,5,FALSE),VLOOKUP(B56,[1]Afgrødedata!$A$5:$F$18,6,FALSE)),1)*HLOOKUP(C56,Landbrug!$C$15:$E$17,2,FALSE)*HLOOKUP(C56,Landbrug!$C$15:$E$17,3,FALSE)*0.1</f>
        <v>0</v>
      </c>
      <c r="J56" s="76">
        <f t="shared" ref="J56" si="10">IF(I56&lt;&gt;0,I56,H56)</f>
        <v>8776.2323896765465</v>
      </c>
    </row>
    <row r="57" spans="1:10" x14ac:dyDescent="0.55000000000000004">
      <c r="A57" t="s">
        <v>23</v>
      </c>
      <c r="B57" s="1" t="str">
        <f>[1]Afgrødefordeling!$C$15</f>
        <v>Permanent græs</v>
      </c>
      <c r="C57">
        <v>2019</v>
      </c>
      <c r="D57" t="s">
        <v>8</v>
      </c>
      <c r="E57" s="172" t="str">
        <f t="shared" si="6"/>
        <v>JB1-10</v>
      </c>
      <c r="F57" t="str">
        <f t="shared" si="1"/>
        <v>Græs</v>
      </c>
      <c r="G57" s="76" cm="1">
        <f t="array" ref="G57">IF(A57="Vestdanmark",IF(D57="Konventionel",IF(C57=2019,SUMPRODUCT((B57='Landbrugsareal - resultat'!$B$5:$B$18)*(INDEX('Landbrugsareal - resultat'!$C$5:$E$18,,MATCH(E57,'Landbrugsareal - resultat'!$C$4:$E$4,0)))),IF(C57=2030,SUMPRODUCT((B57='Landbrugsareal - resultat'!$B$5:$B$18)*(INDEX('Landbrugsareal - resultat'!$F$5:$H$18,,MATCH(E57,'Landbrugsareal - resultat'!$F$4:$H$4,0)))),SUMPRODUCT((B57='Landbrugsareal - resultat'!$B$5:$B$18)*(INDEX('Landbrugsareal - resultat'!$I$5:$K$18,,MATCH(E57,'Landbrugsareal - resultat'!$I$4:$K$4,0)))))),IF(C57=2019,SUMPRODUCT((B57='Landbrugsareal - resultat'!$B$5:$B$18)*(INDEX('Landbrugsareal - resultat'!$L$5:$N$18,,MATCH(E57,'Landbrugsareal - resultat'!$L$4:$N$4,0)))),IF(C57=2030,SUMPRODUCT((B57='Landbrugsareal - resultat'!$B$5:$B$18)*(INDEX('Landbrugsareal - resultat'!$O$5:$Q$18,,MATCH(E57,'Landbrugsareal - resultat'!$O$4:$Q$4,0)))),SUMPRODUCT((B57='Landbrugsareal - resultat'!$B$5:$B$18)*(INDEX('Landbrugsareal - resultat'!$R$5:$T$18,,MATCH(E57,'Landbrugsareal - resultat'!$R$4:$T$4,0))))))),IF(D57="Konventionel",IF(C57=2019,SUMPRODUCT((B57='Landbrugsareal - resultat'!$B$32:$B$45)*(INDEX('Landbrugsareal - resultat'!$C$32:$E$45,,MATCH(E57,'Landbrugsareal - resultat'!$C$4:$E$4,0)))),IF(C57=2030,SUMPRODUCT((B57='Landbrugsareal - resultat'!$B$32:$B$45)*(INDEX('Landbrugsareal - resultat'!$F$32:$H$45,,MATCH(E57,'Landbrugsareal - resultat'!$F$4:$H$4,0)))),SUMPRODUCT((B57='Landbrugsareal - resultat'!$B$32:$B$45)*(INDEX('Landbrugsareal - resultat'!$I$32:$K$45,,MATCH(E57,'Landbrugsareal - resultat'!$I$4:$K$4,0)))))),IF(C57=2019,SUMPRODUCT((B57='Landbrugsareal - resultat'!$B$32:$B$45)*(INDEX('Landbrugsareal - resultat'!$L$32:$N$45,,MATCH(E57,'Landbrugsareal - resultat'!$L$4:$N$4,0)))),IF(C57=2030,SUMPRODUCT((B57='Landbrugsareal - resultat'!$B$32:$B$45)*(INDEX('Landbrugsareal - resultat'!$O$32:$Q$45,,MATCH(E57,'Landbrugsareal - resultat'!$O$4:$Q$4,0)))),SUMPRODUCT((B57='Landbrugsareal - resultat'!$B$32:$B$45)*(INDEX('Landbrugsareal - resultat'!$R$32:$T$45,,MATCH(E57,'Landbrugsareal - resultat'!$R$4:$T$4,0))))))))</f>
        <v>15215.905414073572</v>
      </c>
      <c r="H57" s="172">
        <f>G57*VLOOKUP(B57,[1]Afgrødedata!$A$5:$F$18,2,FALSE)*IF(D57="Økologisk",VLOOKUP(B57,[1]Afgrødedata!$A$5:$F$18,4,FALSE),1)*IF(E57&lt;&gt;Jordbund1,IF(E57=Organ6,VLOOKUP(B57,[1]Afgrødedata!$A$5:$F$18,5,FALSE),VLOOKUP(B57,[1]Afgrødedata!$A$5:$F$18,6,FALSE)),1)*0.1</f>
        <v>209827.33566007458</v>
      </c>
      <c r="I57" s="172">
        <f>G57*VLOOKUP(B57,[1]Afgrødedata!$A$5:$F$18,3,FALSE)*IF(D57="Økologisk",VLOOKUP(B57,[1]Afgrødedata!$A$5:$F$18,4,FALSE),1)*IF(E57&lt;&gt;Jordbund1,IF(E57=Organ6,VLOOKUP(B57,[1]Afgrødedata!$A$5:$F$18,5,FALSE),VLOOKUP(B57,[1]Afgrødedata!$A$5:$F$18,6,FALSE)),1)*HLOOKUP(C57,Landbrug!$C$15:$E$17,2,FALSE)*HLOOKUP(C57,Landbrug!$C$15:$E$17,3,FALSE)*0.1</f>
        <v>0</v>
      </c>
      <c r="J57" s="76">
        <f t="shared" si="2"/>
        <v>209827.33566007458</v>
      </c>
    </row>
    <row r="58" spans="1:10" x14ac:dyDescent="0.55000000000000004">
      <c r="A58" t="s">
        <v>23</v>
      </c>
      <c r="B58" s="1" t="str">
        <f>[1]Afgrødefordeling!$C$2</f>
        <v>Korn</v>
      </c>
      <c r="C58">
        <v>2030</v>
      </c>
      <c r="D58" t="s">
        <v>8</v>
      </c>
      <c r="E58" s="172" t="str">
        <f t="shared" si="6"/>
        <v>JB1-10</v>
      </c>
      <c r="F58" t="str">
        <f t="shared" si="1"/>
        <v>Halm</v>
      </c>
      <c r="G58" s="76" cm="1">
        <f t="array" ref="G58">IF(A58="Vestdanmark",IF(D58="Konventionel",IF(C58=2019,SUMPRODUCT((B58='Landbrugsareal - resultat'!$B$5:$B$18)*(INDEX('Landbrugsareal - resultat'!$C$5:$E$18,,MATCH(E58,'Landbrugsareal - resultat'!$C$4:$E$4,0)))),IF(C58=2030,SUMPRODUCT((B58='Landbrugsareal - resultat'!$B$5:$B$18)*(INDEX('Landbrugsareal - resultat'!$F$5:$H$18,,MATCH(E58,'Landbrugsareal - resultat'!$F$4:$H$4,0)))),SUMPRODUCT((B58='Landbrugsareal - resultat'!$B$5:$B$18)*(INDEX('Landbrugsareal - resultat'!$I$5:$K$18,,MATCH(E58,'Landbrugsareal - resultat'!$I$4:$K$4,0)))))),IF(C58=2019,SUMPRODUCT((B58='Landbrugsareal - resultat'!$B$5:$B$18)*(INDEX('Landbrugsareal - resultat'!$L$5:$N$18,,MATCH(E58,'Landbrugsareal - resultat'!$L$4:$N$4,0)))),IF(C58=2030,SUMPRODUCT((B58='Landbrugsareal - resultat'!$B$5:$B$18)*(INDEX('Landbrugsareal - resultat'!$O$5:$Q$18,,MATCH(E58,'Landbrugsareal - resultat'!$O$4:$Q$4,0)))),SUMPRODUCT((B58='Landbrugsareal - resultat'!$B$5:$B$18)*(INDEX('Landbrugsareal - resultat'!$R$5:$T$18,,MATCH(E58,'Landbrugsareal - resultat'!$R$4:$T$4,0))))))),IF(D58="Konventionel",IF(C58=2019,SUMPRODUCT((B58='Landbrugsareal - resultat'!$B$32:$B$45)*(INDEX('Landbrugsareal - resultat'!$C$32:$E$45,,MATCH(E58,'Landbrugsareal - resultat'!$C$4:$E$4,0)))),IF(C58=2030,SUMPRODUCT((B58='Landbrugsareal - resultat'!$B$32:$B$45)*(INDEX('Landbrugsareal - resultat'!$F$32:$H$45,,MATCH(E58,'Landbrugsareal - resultat'!$F$4:$H$4,0)))),SUMPRODUCT((B58='Landbrugsareal - resultat'!$B$32:$B$45)*(INDEX('Landbrugsareal - resultat'!$I$32:$K$45,,MATCH(E58,'Landbrugsareal - resultat'!$I$4:$K$4,0)))))),IF(C58=2019,SUMPRODUCT((B58='Landbrugsareal - resultat'!$B$32:$B$45)*(INDEX('Landbrugsareal - resultat'!$L$32:$N$45,,MATCH(E58,'Landbrugsareal - resultat'!$L$4:$N$4,0)))),IF(C58=2030,SUMPRODUCT((B58='Landbrugsareal - resultat'!$B$32:$B$45)*(INDEX('Landbrugsareal - resultat'!$O$32:$Q$45,,MATCH(E58,'Landbrugsareal - resultat'!$O$4:$Q$4,0)))),SUMPRODUCT((B58='Landbrugsareal - resultat'!$B$32:$B$45)*(INDEX('Landbrugsareal - resultat'!$R$32:$T$45,,MATCH(E58,'Landbrugsareal - resultat'!$R$4:$T$4,0))))))))</f>
        <v>138436.63182938722</v>
      </c>
      <c r="H58" s="172">
        <f>G58*VLOOKUP(B58,[1]Afgrødedata!$A$5:$F$18,2,FALSE)*IF(D58="Økologisk",VLOOKUP(B58,[1]Afgrødedata!$A$5:$F$18,4,FALSE),1)*IF(E58&lt;&gt;Jordbund1,IF(E58=Organ6,VLOOKUP(B58,[1]Afgrødedata!$A$5:$F$18,5,FALSE),VLOOKUP(B58,[1]Afgrødedata!$A$5:$F$18,6,FALSE)),1)*0.1</f>
        <v>650195.32871308306</v>
      </c>
      <c r="I58" s="172">
        <f>G58*VLOOKUP(B58,[1]Afgrødedata!$A$5:$F$18,3,FALSE)*IF(D58="Økologisk",VLOOKUP(B58,[1]Afgrødedata!$A$5:$F$18,4,FALSE),1)*IF(E58&lt;&gt;Jordbund1,IF(E58=Organ6,VLOOKUP(B58,[1]Afgrødedata!$A$5:$F$18,5,FALSE),VLOOKUP(B58,[1]Afgrødedata!$A$5:$F$18,6,FALSE)),1)*HLOOKUP(C58,Landbrug!$C$15:$E$17,2,FALSE)*HLOOKUP(C58,Landbrug!$C$15:$E$17,3,FALSE)*0.1</f>
        <v>210988.38416739542</v>
      </c>
      <c r="J58" s="76">
        <f t="shared" si="2"/>
        <v>210988.38416739542</v>
      </c>
    </row>
    <row r="59" spans="1:10" x14ac:dyDescent="0.55000000000000004">
      <c r="A59" t="s">
        <v>23</v>
      </c>
      <c r="B59" s="1" t="str">
        <f>[1]Afgrødefordeling!$C$3</f>
        <v>Bælgsæd</v>
      </c>
      <c r="C59">
        <v>2030</v>
      </c>
      <c r="D59" t="s">
        <v>8</v>
      </c>
      <c r="E59" s="172" t="str">
        <f t="shared" si="6"/>
        <v>JB1-10</v>
      </c>
      <c r="F59" t="str">
        <f t="shared" si="1"/>
        <v>Halm</v>
      </c>
      <c r="G59" s="76" cm="1">
        <f t="array" ref="G59">IF(A59="Vestdanmark",IF(D59="Konventionel",IF(C59=2019,SUMPRODUCT((B59='Landbrugsareal - resultat'!$B$5:$B$18)*(INDEX('Landbrugsareal - resultat'!$C$5:$E$18,,MATCH(E59,'Landbrugsareal - resultat'!$C$4:$E$4,0)))),IF(C59=2030,SUMPRODUCT((B59='Landbrugsareal - resultat'!$B$5:$B$18)*(INDEX('Landbrugsareal - resultat'!$F$5:$H$18,,MATCH(E59,'Landbrugsareal - resultat'!$F$4:$H$4,0)))),SUMPRODUCT((B59='Landbrugsareal - resultat'!$B$5:$B$18)*(INDEX('Landbrugsareal - resultat'!$I$5:$K$18,,MATCH(E59,'Landbrugsareal - resultat'!$I$4:$K$4,0)))))),IF(C59=2019,SUMPRODUCT((B59='Landbrugsareal - resultat'!$B$5:$B$18)*(INDEX('Landbrugsareal - resultat'!$L$5:$N$18,,MATCH(E59,'Landbrugsareal - resultat'!$L$4:$N$4,0)))),IF(C59=2030,SUMPRODUCT((B59='Landbrugsareal - resultat'!$B$5:$B$18)*(INDEX('Landbrugsareal - resultat'!$O$5:$Q$18,,MATCH(E59,'Landbrugsareal - resultat'!$O$4:$Q$4,0)))),SUMPRODUCT((B59='Landbrugsareal - resultat'!$B$5:$B$18)*(INDEX('Landbrugsareal - resultat'!$R$5:$T$18,,MATCH(E59,'Landbrugsareal - resultat'!$R$4:$T$4,0))))))),IF(D59="Konventionel",IF(C59=2019,SUMPRODUCT((B59='Landbrugsareal - resultat'!$B$32:$B$45)*(INDEX('Landbrugsareal - resultat'!$C$32:$E$45,,MATCH(E59,'Landbrugsareal - resultat'!$C$4:$E$4,0)))),IF(C59=2030,SUMPRODUCT((B59='Landbrugsareal - resultat'!$B$32:$B$45)*(INDEX('Landbrugsareal - resultat'!$F$32:$H$45,,MATCH(E59,'Landbrugsareal - resultat'!$F$4:$H$4,0)))),SUMPRODUCT((B59='Landbrugsareal - resultat'!$B$32:$B$45)*(INDEX('Landbrugsareal - resultat'!$I$32:$K$45,,MATCH(E59,'Landbrugsareal - resultat'!$I$4:$K$4,0)))))),IF(C59=2019,SUMPRODUCT((B59='Landbrugsareal - resultat'!$B$32:$B$45)*(INDEX('Landbrugsareal - resultat'!$L$32:$N$45,,MATCH(E59,'Landbrugsareal - resultat'!$L$4:$N$4,0)))),IF(C59=2030,SUMPRODUCT((B59='Landbrugsareal - resultat'!$B$32:$B$45)*(INDEX('Landbrugsareal - resultat'!$O$32:$Q$45,,MATCH(E59,'Landbrugsareal - resultat'!$O$4:$Q$4,0)))),SUMPRODUCT((B59='Landbrugsareal - resultat'!$B$32:$B$45)*(INDEX('Landbrugsareal - resultat'!$R$32:$T$45,,MATCH(E59,'Landbrugsareal - resultat'!$R$4:$T$4,0))))))))</f>
        <v>8882.5570071232869</v>
      </c>
      <c r="H59" s="172">
        <f>G59*VLOOKUP(B59,[1]Afgrødedata!$A$5:$F$18,2,FALSE)*IF(D59="Økologisk",VLOOKUP(B59,[1]Afgrødedata!$A$5:$F$18,4,FALSE),1)*IF(E59&lt;&gt;Jordbund1,IF(E59=Organ6,VLOOKUP(B59,[1]Afgrødedata!$A$5:$F$18,5,FALSE),VLOOKUP(B59,[1]Afgrødedata!$A$5:$F$18,6,FALSE)),1)*0.1</f>
        <v>19543.401927072653</v>
      </c>
      <c r="I59" s="172">
        <f>G59*VLOOKUP(B59,[1]Afgrødedata!$A$5:$F$18,3,FALSE)*IF(D59="Økologisk",VLOOKUP(B59,[1]Afgrødedata!$A$5:$F$18,4,FALSE),1)*IF(E59&lt;&gt;Jordbund1,IF(E59=Organ6,VLOOKUP(B59,[1]Afgrødedata!$A$5:$F$18,5,FALSE),VLOOKUP(B59,[1]Afgrødedata!$A$5:$F$18,6,FALSE)),1)*HLOOKUP(C59,Landbrug!$C$15:$E$17,2,FALSE)*HLOOKUP(C59,Landbrug!$C$15:$E$17,3,FALSE)*0.1</f>
        <v>5768.2907724079287</v>
      </c>
      <c r="J59" s="76">
        <f t="shared" si="2"/>
        <v>5768.2907724079287</v>
      </c>
    </row>
    <row r="60" spans="1:10" x14ac:dyDescent="0.55000000000000004">
      <c r="A60" t="s">
        <v>23</v>
      </c>
      <c r="B60" s="1" t="str">
        <f>[1]Afgrødefordeling!$C$4</f>
        <v>Raps</v>
      </c>
      <c r="C60">
        <v>2030</v>
      </c>
      <c r="D60" t="s">
        <v>8</v>
      </c>
      <c r="E60" s="172" t="str">
        <f t="shared" si="6"/>
        <v>JB1-10</v>
      </c>
      <c r="F60" t="str">
        <f t="shared" si="1"/>
        <v>Halm</v>
      </c>
      <c r="G60" s="76" cm="1">
        <f t="array" ref="G60">IF(A60="Vestdanmark",IF(D60="Konventionel",IF(C60=2019,SUMPRODUCT((B60='Landbrugsareal - resultat'!$B$5:$B$18)*(INDEX('Landbrugsareal - resultat'!$C$5:$E$18,,MATCH(E60,'Landbrugsareal - resultat'!$C$4:$E$4,0)))),IF(C60=2030,SUMPRODUCT((B60='Landbrugsareal - resultat'!$B$5:$B$18)*(INDEX('Landbrugsareal - resultat'!$F$5:$H$18,,MATCH(E60,'Landbrugsareal - resultat'!$F$4:$H$4,0)))),SUMPRODUCT((B60='Landbrugsareal - resultat'!$B$5:$B$18)*(INDEX('Landbrugsareal - resultat'!$I$5:$K$18,,MATCH(E60,'Landbrugsareal - resultat'!$I$4:$K$4,0)))))),IF(C60=2019,SUMPRODUCT((B60='Landbrugsareal - resultat'!$B$5:$B$18)*(INDEX('Landbrugsareal - resultat'!$L$5:$N$18,,MATCH(E60,'Landbrugsareal - resultat'!$L$4:$N$4,0)))),IF(C60=2030,SUMPRODUCT((B60='Landbrugsareal - resultat'!$B$5:$B$18)*(INDEX('Landbrugsareal - resultat'!$O$5:$Q$18,,MATCH(E60,'Landbrugsareal - resultat'!$O$4:$Q$4,0)))),SUMPRODUCT((B60='Landbrugsareal - resultat'!$B$5:$B$18)*(INDEX('Landbrugsareal - resultat'!$R$5:$T$18,,MATCH(E60,'Landbrugsareal - resultat'!$R$4:$T$4,0))))))),IF(D60="Konventionel",IF(C60=2019,SUMPRODUCT((B60='Landbrugsareal - resultat'!$B$32:$B$45)*(INDEX('Landbrugsareal - resultat'!$C$32:$E$45,,MATCH(E60,'Landbrugsareal - resultat'!$C$4:$E$4,0)))),IF(C60=2030,SUMPRODUCT((B60='Landbrugsareal - resultat'!$B$32:$B$45)*(INDEX('Landbrugsareal - resultat'!$F$32:$H$45,,MATCH(E60,'Landbrugsareal - resultat'!$F$4:$H$4,0)))),SUMPRODUCT((B60='Landbrugsareal - resultat'!$B$32:$B$45)*(INDEX('Landbrugsareal - resultat'!$I$32:$K$45,,MATCH(E60,'Landbrugsareal - resultat'!$I$4:$K$4,0)))))),IF(C60=2019,SUMPRODUCT((B60='Landbrugsareal - resultat'!$B$32:$B$45)*(INDEX('Landbrugsareal - resultat'!$L$32:$N$45,,MATCH(E60,'Landbrugsareal - resultat'!$L$4:$N$4,0)))),IF(C60=2030,SUMPRODUCT((B60='Landbrugsareal - resultat'!$B$32:$B$45)*(INDEX('Landbrugsareal - resultat'!$O$32:$Q$45,,MATCH(E60,'Landbrugsareal - resultat'!$O$4:$Q$4,0)))),SUMPRODUCT((B60='Landbrugsareal - resultat'!$B$32:$B$45)*(INDEX('Landbrugsareal - resultat'!$R$32:$T$45,,MATCH(E60,'Landbrugsareal - resultat'!$R$4:$T$4,0))))))))</f>
        <v>14937.273356160618</v>
      </c>
      <c r="H60" s="172">
        <f>G60*VLOOKUP(B60,[1]Afgrødedata!$A$5:$F$18,2,FALSE)*IF(D60="Økologisk",VLOOKUP(B60,[1]Afgrødedata!$A$5:$F$18,4,FALSE),1)*IF(E60&lt;&gt;Jordbund1,IF(E60=Organ6,VLOOKUP(B60,[1]Afgrødedata!$A$5:$F$18,5,FALSE),VLOOKUP(B60,[1]Afgrødedata!$A$5:$F$18,6,FALSE)),1)*0.1</f>
        <v>36148.201521908697</v>
      </c>
      <c r="I60" s="172">
        <f>G60*VLOOKUP(B60,[1]Afgrødedata!$A$5:$F$18,3,FALSE)*IF(D60="Økologisk",VLOOKUP(B60,[1]Afgrødedata!$A$5:$F$18,4,FALSE),1)*IF(E60&lt;&gt;Jordbund1,IF(E60=Organ6,VLOOKUP(B60,[1]Afgrødedata!$A$5:$F$18,5,FALSE),VLOOKUP(B60,[1]Afgrødedata!$A$5:$F$18,6,FALSE)),1)*HLOOKUP(C60,Landbrug!$C$15:$E$17,2,FALSE)*HLOOKUP(C60,Landbrug!$C$15:$E$17,3,FALSE)*0.1</f>
        <v>19194.69500813352</v>
      </c>
      <c r="J60" s="76">
        <f t="shared" si="2"/>
        <v>19194.69500813352</v>
      </c>
    </row>
    <row r="61" spans="1:10" x14ac:dyDescent="0.55000000000000004">
      <c r="A61" t="s">
        <v>23</v>
      </c>
      <c r="B61" s="1" t="str">
        <f>[1]Afgrødefordeling!$C$5</f>
        <v>Græs</v>
      </c>
      <c r="C61">
        <v>2030</v>
      </c>
      <c r="D61" t="s">
        <v>8</v>
      </c>
      <c r="E61" s="172" t="str">
        <f t="shared" si="6"/>
        <v>JB1-10</v>
      </c>
      <c r="F61" t="str">
        <f t="shared" si="1"/>
        <v>Græs</v>
      </c>
      <c r="G61" s="76" cm="1">
        <f t="array" ref="G61">IF(A61="Vestdanmark",IF(D61="Konventionel",IF(C61=2019,SUMPRODUCT((B61='Landbrugsareal - resultat'!$B$5:$B$18)*(INDEX('Landbrugsareal - resultat'!$C$5:$E$18,,MATCH(E61,'Landbrugsareal - resultat'!$C$4:$E$4,0)))),IF(C61=2030,SUMPRODUCT((B61='Landbrugsareal - resultat'!$B$5:$B$18)*(INDEX('Landbrugsareal - resultat'!$F$5:$H$18,,MATCH(E61,'Landbrugsareal - resultat'!$F$4:$H$4,0)))),SUMPRODUCT((B61='Landbrugsareal - resultat'!$B$5:$B$18)*(INDEX('Landbrugsareal - resultat'!$I$5:$K$18,,MATCH(E61,'Landbrugsareal - resultat'!$I$4:$K$4,0)))))),IF(C61=2019,SUMPRODUCT((B61='Landbrugsareal - resultat'!$B$5:$B$18)*(INDEX('Landbrugsareal - resultat'!$L$5:$N$18,,MATCH(E61,'Landbrugsareal - resultat'!$L$4:$N$4,0)))),IF(C61=2030,SUMPRODUCT((B61='Landbrugsareal - resultat'!$B$5:$B$18)*(INDEX('Landbrugsareal - resultat'!$O$5:$Q$18,,MATCH(E61,'Landbrugsareal - resultat'!$O$4:$Q$4,0)))),SUMPRODUCT((B61='Landbrugsareal - resultat'!$B$5:$B$18)*(INDEX('Landbrugsareal - resultat'!$R$5:$T$18,,MATCH(E61,'Landbrugsareal - resultat'!$R$4:$T$4,0))))))),IF(D61="Konventionel",IF(C61=2019,SUMPRODUCT((B61='Landbrugsareal - resultat'!$B$32:$B$45)*(INDEX('Landbrugsareal - resultat'!$C$32:$E$45,,MATCH(E61,'Landbrugsareal - resultat'!$C$4:$E$4,0)))),IF(C61=2030,SUMPRODUCT((B61='Landbrugsareal - resultat'!$B$32:$B$45)*(INDEX('Landbrugsareal - resultat'!$F$32:$H$45,,MATCH(E61,'Landbrugsareal - resultat'!$F$4:$H$4,0)))),SUMPRODUCT((B61='Landbrugsareal - resultat'!$B$32:$B$45)*(INDEX('Landbrugsareal - resultat'!$I$32:$K$45,,MATCH(E61,'Landbrugsareal - resultat'!$I$4:$K$4,0)))))),IF(C61=2019,SUMPRODUCT((B61='Landbrugsareal - resultat'!$B$32:$B$45)*(INDEX('Landbrugsareal - resultat'!$L$32:$N$45,,MATCH(E61,'Landbrugsareal - resultat'!$L$4:$N$4,0)))),IF(C61=2030,SUMPRODUCT((B61='Landbrugsareal - resultat'!$B$32:$B$45)*(INDEX('Landbrugsareal - resultat'!$O$32:$Q$45,,MATCH(E61,'Landbrugsareal - resultat'!$O$4:$Q$4,0)))),SUMPRODUCT((B61='Landbrugsareal - resultat'!$B$32:$B$45)*(INDEX('Landbrugsareal - resultat'!$R$32:$T$45,,MATCH(E61,'Landbrugsareal - resultat'!$R$4:$T$4,0))))))))</f>
        <v>28480.682289936361</v>
      </c>
      <c r="H61" s="172">
        <f>G61*VLOOKUP(B61,[1]Afgrødedata!$A$5:$F$18,2,FALSE)*IF(D61="Økologisk",VLOOKUP(B61,[1]Afgrødedata!$A$5:$F$18,4,FALSE),1)*IF(E61&lt;&gt;Jordbund1,IF(E61=Organ6,VLOOKUP(B61,[1]Afgrødedata!$A$5:$F$18,5,FALSE),VLOOKUP(B61,[1]Afgrødedata!$A$5:$F$18,6,FALSE)),1)*0.1</f>
        <v>1102304.9350767811</v>
      </c>
      <c r="I61" s="172">
        <f>G61*VLOOKUP(B61,[1]Afgrødedata!$A$5:$F$18,3,FALSE)*IF(D61="Økologisk",VLOOKUP(B61,[1]Afgrødedata!$A$5:$F$18,4,FALSE),1)*IF(E61&lt;&gt;Jordbund1,IF(E61=Organ6,VLOOKUP(B61,[1]Afgrødedata!$A$5:$F$18,5,FALSE),VLOOKUP(B61,[1]Afgrødedata!$A$5:$F$18,6,FALSE)),1)*HLOOKUP(C61,Landbrug!$C$15:$E$17,2,FALSE)*HLOOKUP(C61,Landbrug!$C$15:$E$17,3,FALSE)*0.1</f>
        <v>0</v>
      </c>
      <c r="J61" s="76">
        <f t="shared" si="2"/>
        <v>1102304.9350767811</v>
      </c>
    </row>
    <row r="62" spans="1:10" x14ac:dyDescent="0.55000000000000004">
      <c r="A62" t="s">
        <v>23</v>
      </c>
      <c r="B62" s="1" t="str">
        <f>[1]Afgrødefordeling!$C$6</f>
        <v>Grøntsager</v>
      </c>
      <c r="C62">
        <v>2030</v>
      </c>
      <c r="D62" t="s">
        <v>8</v>
      </c>
      <c r="E62" s="172" t="str">
        <f t="shared" si="6"/>
        <v>JB1-10</v>
      </c>
      <c r="F62" t="str">
        <f t="shared" si="1"/>
        <v>Grøntsager</v>
      </c>
      <c r="G62" s="76" cm="1">
        <f t="array" ref="G62">IF(A62="Vestdanmark",IF(D62="Konventionel",IF(C62=2019,SUMPRODUCT((B62='Landbrugsareal - resultat'!$B$5:$B$18)*(INDEX('Landbrugsareal - resultat'!$C$5:$E$18,,MATCH(E62,'Landbrugsareal - resultat'!$C$4:$E$4,0)))),IF(C62=2030,SUMPRODUCT((B62='Landbrugsareal - resultat'!$B$5:$B$18)*(INDEX('Landbrugsareal - resultat'!$F$5:$H$18,,MATCH(E62,'Landbrugsareal - resultat'!$F$4:$H$4,0)))),SUMPRODUCT((B62='Landbrugsareal - resultat'!$B$5:$B$18)*(INDEX('Landbrugsareal - resultat'!$I$5:$K$18,,MATCH(E62,'Landbrugsareal - resultat'!$I$4:$K$4,0)))))),IF(C62=2019,SUMPRODUCT((B62='Landbrugsareal - resultat'!$B$5:$B$18)*(INDEX('Landbrugsareal - resultat'!$L$5:$N$18,,MATCH(E62,'Landbrugsareal - resultat'!$L$4:$N$4,0)))),IF(C62=2030,SUMPRODUCT((B62='Landbrugsareal - resultat'!$B$5:$B$18)*(INDEX('Landbrugsareal - resultat'!$O$5:$Q$18,,MATCH(E62,'Landbrugsareal - resultat'!$O$4:$Q$4,0)))),SUMPRODUCT((B62='Landbrugsareal - resultat'!$B$5:$B$18)*(INDEX('Landbrugsareal - resultat'!$R$5:$T$18,,MATCH(E62,'Landbrugsareal - resultat'!$R$4:$T$4,0))))))),IF(D62="Konventionel",IF(C62=2019,SUMPRODUCT((B62='Landbrugsareal - resultat'!$B$32:$B$45)*(INDEX('Landbrugsareal - resultat'!$C$32:$E$45,,MATCH(E62,'Landbrugsareal - resultat'!$C$4:$E$4,0)))),IF(C62=2030,SUMPRODUCT((B62='Landbrugsareal - resultat'!$B$32:$B$45)*(INDEX('Landbrugsareal - resultat'!$F$32:$H$45,,MATCH(E62,'Landbrugsareal - resultat'!$F$4:$H$4,0)))),SUMPRODUCT((B62='Landbrugsareal - resultat'!$B$32:$B$45)*(INDEX('Landbrugsareal - resultat'!$I$32:$K$45,,MATCH(E62,'Landbrugsareal - resultat'!$I$4:$K$4,0)))))),IF(C62=2019,SUMPRODUCT((B62='Landbrugsareal - resultat'!$B$32:$B$45)*(INDEX('Landbrugsareal - resultat'!$L$32:$N$45,,MATCH(E62,'Landbrugsareal - resultat'!$L$4:$N$4,0)))),IF(C62=2030,SUMPRODUCT((B62='Landbrugsareal - resultat'!$B$32:$B$45)*(INDEX('Landbrugsareal - resultat'!$O$32:$Q$45,,MATCH(E62,'Landbrugsareal - resultat'!$O$4:$Q$4,0)))),SUMPRODUCT((B62='Landbrugsareal - resultat'!$B$32:$B$45)*(INDEX('Landbrugsareal - resultat'!$R$32:$T$45,,MATCH(E62,'Landbrugsareal - resultat'!$R$4:$T$4,0))))))))</f>
        <v>1102.1376328065699</v>
      </c>
      <c r="H62" s="172">
        <f>G62*VLOOKUP(B62,[1]Afgrødedata!$A$5:$F$18,2,FALSE)*IF(D62="Økologisk",VLOOKUP(B62,[1]Afgrødedata!$A$5:$F$18,4,FALSE),1)*IF(E62&lt;&gt;Jordbund1,IF(E62=Organ6,VLOOKUP(B62,[1]Afgrødedata!$A$5:$F$18,5,FALSE),VLOOKUP(B62,[1]Afgrødedata!$A$5:$F$18,6,FALSE)),1)*0.1</f>
        <v>13035.532852019704</v>
      </c>
      <c r="I62" s="172">
        <f>G62*VLOOKUP(B62,[1]Afgrødedata!$A$5:$F$18,3,FALSE)*IF(D62="Økologisk",VLOOKUP(B62,[1]Afgrødedata!$A$5:$F$18,4,FALSE),1)*IF(E62&lt;&gt;Jordbund1,IF(E62=Organ6,VLOOKUP(B62,[1]Afgrødedata!$A$5:$F$18,5,FALSE),VLOOKUP(B62,[1]Afgrødedata!$A$5:$F$18,6,FALSE)),1)*HLOOKUP(C62,Landbrug!$C$15:$E$17,2,FALSE)*HLOOKUP(C62,Landbrug!$C$15:$E$17,3,FALSE)*0.1</f>
        <v>0</v>
      </c>
      <c r="J62" s="76">
        <f t="shared" si="2"/>
        <v>13035.532852019704</v>
      </c>
    </row>
    <row r="63" spans="1:10" x14ac:dyDescent="0.55000000000000004">
      <c r="A63" t="s">
        <v>23</v>
      </c>
      <c r="B63" s="1" t="str">
        <f>[1]Afgrødefordeling!$C$7</f>
        <v>Kartofler</v>
      </c>
      <c r="C63">
        <v>2030</v>
      </c>
      <c r="D63" t="s">
        <v>8</v>
      </c>
      <c r="E63" s="172" t="str">
        <f t="shared" si="6"/>
        <v>JB1-10</v>
      </c>
      <c r="F63" t="str">
        <f t="shared" si="1"/>
        <v>Kartofler</v>
      </c>
      <c r="G63" s="76" cm="1">
        <f t="array" ref="G63">IF(A63="Vestdanmark",IF(D63="Konventionel",IF(C63=2019,SUMPRODUCT((B63='Landbrugsareal - resultat'!$B$5:$B$18)*(INDEX('Landbrugsareal - resultat'!$C$5:$E$18,,MATCH(E63,'Landbrugsareal - resultat'!$C$4:$E$4,0)))),IF(C63=2030,SUMPRODUCT((B63='Landbrugsareal - resultat'!$B$5:$B$18)*(INDEX('Landbrugsareal - resultat'!$F$5:$H$18,,MATCH(E63,'Landbrugsareal - resultat'!$F$4:$H$4,0)))),SUMPRODUCT((B63='Landbrugsareal - resultat'!$B$5:$B$18)*(INDEX('Landbrugsareal - resultat'!$I$5:$K$18,,MATCH(E63,'Landbrugsareal - resultat'!$I$4:$K$4,0)))))),IF(C63=2019,SUMPRODUCT((B63='Landbrugsareal - resultat'!$B$5:$B$18)*(INDEX('Landbrugsareal - resultat'!$L$5:$N$18,,MATCH(E63,'Landbrugsareal - resultat'!$L$4:$N$4,0)))),IF(C63=2030,SUMPRODUCT((B63='Landbrugsareal - resultat'!$B$5:$B$18)*(INDEX('Landbrugsareal - resultat'!$O$5:$Q$18,,MATCH(E63,'Landbrugsareal - resultat'!$O$4:$Q$4,0)))),SUMPRODUCT((B63='Landbrugsareal - resultat'!$B$5:$B$18)*(INDEX('Landbrugsareal - resultat'!$R$5:$T$18,,MATCH(E63,'Landbrugsareal - resultat'!$R$4:$T$4,0))))))),IF(D63="Konventionel",IF(C63=2019,SUMPRODUCT((B63='Landbrugsareal - resultat'!$B$32:$B$45)*(INDEX('Landbrugsareal - resultat'!$C$32:$E$45,,MATCH(E63,'Landbrugsareal - resultat'!$C$4:$E$4,0)))),IF(C63=2030,SUMPRODUCT((B63='Landbrugsareal - resultat'!$B$32:$B$45)*(INDEX('Landbrugsareal - resultat'!$F$32:$H$45,,MATCH(E63,'Landbrugsareal - resultat'!$F$4:$H$4,0)))),SUMPRODUCT((B63='Landbrugsareal - resultat'!$B$32:$B$45)*(INDEX('Landbrugsareal - resultat'!$I$32:$K$45,,MATCH(E63,'Landbrugsareal - resultat'!$I$4:$K$4,0)))))),IF(C63=2019,SUMPRODUCT((B63='Landbrugsareal - resultat'!$B$32:$B$45)*(INDEX('Landbrugsareal - resultat'!$L$32:$N$45,,MATCH(E63,'Landbrugsareal - resultat'!$L$4:$N$4,0)))),IF(C63=2030,SUMPRODUCT((B63='Landbrugsareal - resultat'!$B$32:$B$45)*(INDEX('Landbrugsareal - resultat'!$O$32:$Q$45,,MATCH(E63,'Landbrugsareal - resultat'!$O$4:$Q$4,0)))),SUMPRODUCT((B63='Landbrugsareal - resultat'!$B$32:$B$45)*(INDEX('Landbrugsareal - resultat'!$R$32:$T$45,,MATCH(E63,'Landbrugsareal - resultat'!$R$4:$T$4,0))))))))</f>
        <v>6565.5738124240625</v>
      </c>
      <c r="H63" s="172">
        <f>G63*VLOOKUP(B63,[1]Afgrødedata!$A$5:$F$18,2,FALSE)*IF(D63="Økologisk",VLOOKUP(B63,[1]Afgrødedata!$A$5:$F$18,4,FALSE),1)*IF(E63&lt;&gt;Jordbund1,IF(E63=Organ6,VLOOKUP(B63,[1]Afgrødedata!$A$5:$F$18,5,FALSE),VLOOKUP(B63,[1]Afgrødedata!$A$5:$F$18,6,FALSE)),1)*0.1</f>
        <v>158942.12045305254</v>
      </c>
      <c r="I63" s="172">
        <f>G63*VLOOKUP(B63,[1]Afgrødedata!$A$5:$F$18,3,FALSE)*IF(D63="Økologisk",VLOOKUP(B63,[1]Afgrødedata!$A$5:$F$18,4,FALSE),1)*IF(E63&lt;&gt;Jordbund1,IF(E63=Organ6,VLOOKUP(B63,[1]Afgrødedata!$A$5:$F$18,5,FALSE),VLOOKUP(B63,[1]Afgrødedata!$A$5:$F$18,6,FALSE)),1)*HLOOKUP(C63,Landbrug!$C$15:$E$17,2,FALSE)*HLOOKUP(C63,Landbrug!$C$15:$E$17,3,FALSE)*0.1</f>
        <v>0</v>
      </c>
      <c r="J63" s="76">
        <f t="shared" si="2"/>
        <v>158942.12045305254</v>
      </c>
    </row>
    <row r="64" spans="1:10" x14ac:dyDescent="0.55000000000000004">
      <c r="A64" t="s">
        <v>23</v>
      </c>
      <c r="B64" s="1" t="str">
        <f>[1]Afgrødefordeling!$C$8</f>
        <v>Roer</v>
      </c>
      <c r="C64">
        <v>2030</v>
      </c>
      <c r="D64" t="s">
        <v>8</v>
      </c>
      <c r="E64" s="172" t="str">
        <f t="shared" si="6"/>
        <v>JB1-10</v>
      </c>
      <c r="F64" t="str">
        <f t="shared" si="1"/>
        <v>Roer</v>
      </c>
      <c r="G64" s="76" cm="1">
        <f t="array" ref="G64">IF(A64="Vestdanmark",IF(D64="Konventionel",IF(C64=2019,SUMPRODUCT((B64='Landbrugsareal - resultat'!$B$5:$B$18)*(INDEX('Landbrugsareal - resultat'!$C$5:$E$18,,MATCH(E64,'Landbrugsareal - resultat'!$C$4:$E$4,0)))),IF(C64=2030,SUMPRODUCT((B64='Landbrugsareal - resultat'!$B$5:$B$18)*(INDEX('Landbrugsareal - resultat'!$F$5:$H$18,,MATCH(E64,'Landbrugsareal - resultat'!$F$4:$H$4,0)))),SUMPRODUCT((B64='Landbrugsareal - resultat'!$B$5:$B$18)*(INDEX('Landbrugsareal - resultat'!$I$5:$K$18,,MATCH(E64,'Landbrugsareal - resultat'!$I$4:$K$4,0)))))),IF(C64=2019,SUMPRODUCT((B64='Landbrugsareal - resultat'!$B$5:$B$18)*(INDEX('Landbrugsareal - resultat'!$L$5:$N$18,,MATCH(E64,'Landbrugsareal - resultat'!$L$4:$N$4,0)))),IF(C64=2030,SUMPRODUCT((B64='Landbrugsareal - resultat'!$B$5:$B$18)*(INDEX('Landbrugsareal - resultat'!$O$5:$Q$18,,MATCH(E64,'Landbrugsareal - resultat'!$O$4:$Q$4,0)))),SUMPRODUCT((B64='Landbrugsareal - resultat'!$B$5:$B$18)*(INDEX('Landbrugsareal - resultat'!$R$5:$T$18,,MATCH(E64,'Landbrugsareal - resultat'!$R$4:$T$4,0))))))),IF(D64="Konventionel",IF(C64=2019,SUMPRODUCT((B64='Landbrugsareal - resultat'!$B$32:$B$45)*(INDEX('Landbrugsareal - resultat'!$C$32:$E$45,,MATCH(E64,'Landbrugsareal - resultat'!$C$4:$E$4,0)))),IF(C64=2030,SUMPRODUCT((B64='Landbrugsareal - resultat'!$B$32:$B$45)*(INDEX('Landbrugsareal - resultat'!$F$32:$H$45,,MATCH(E64,'Landbrugsareal - resultat'!$F$4:$H$4,0)))),SUMPRODUCT((B64='Landbrugsareal - resultat'!$B$32:$B$45)*(INDEX('Landbrugsareal - resultat'!$I$32:$K$45,,MATCH(E64,'Landbrugsareal - resultat'!$I$4:$K$4,0)))))),IF(C64=2019,SUMPRODUCT((B64='Landbrugsareal - resultat'!$B$32:$B$45)*(INDEX('Landbrugsareal - resultat'!$L$32:$N$45,,MATCH(E64,'Landbrugsareal - resultat'!$L$4:$N$4,0)))),IF(C64=2030,SUMPRODUCT((B64='Landbrugsareal - resultat'!$B$32:$B$45)*(INDEX('Landbrugsareal - resultat'!$O$32:$Q$45,,MATCH(E64,'Landbrugsareal - resultat'!$O$4:$Q$4,0)))),SUMPRODUCT((B64='Landbrugsareal - resultat'!$B$32:$B$45)*(INDEX('Landbrugsareal - resultat'!$R$32:$T$45,,MATCH(E64,'Landbrugsareal - resultat'!$R$4:$T$4,0))))))))</f>
        <v>640.93685114814969</v>
      </c>
      <c r="H64" s="172">
        <f>G64*VLOOKUP(B64,[1]Afgrødedata!$A$5:$F$18,2,FALSE)*IF(D64="Økologisk",VLOOKUP(B64,[1]Afgrødedata!$A$5:$F$18,4,FALSE),1)*IF(E64&lt;&gt;Jordbund1,IF(E64=Organ6,VLOOKUP(B64,[1]Afgrødedata!$A$5:$F$18,5,FALSE),VLOOKUP(B64,[1]Afgrødedata!$A$5:$F$18,6,FALSE)),1)*0.1</f>
        <v>29684.751105385072</v>
      </c>
      <c r="I64" s="172">
        <f>G64*VLOOKUP(B64,[1]Afgrødedata!$A$5:$F$18,3,FALSE)*IF(D64="Økologisk",VLOOKUP(B64,[1]Afgrødedata!$A$5:$F$18,4,FALSE),1)*IF(E64&lt;&gt;Jordbund1,IF(E64=Organ6,VLOOKUP(B64,[1]Afgrødedata!$A$5:$F$18,5,FALSE),VLOOKUP(B64,[1]Afgrødedata!$A$5:$F$18,6,FALSE)),1)*HLOOKUP(C64,Landbrug!$C$15:$E$17,2,FALSE)*HLOOKUP(C64,Landbrug!$C$15:$E$17,3,FALSE)*0.1</f>
        <v>0</v>
      </c>
      <c r="J64" s="76">
        <f t="shared" si="2"/>
        <v>29684.751105385072</v>
      </c>
    </row>
    <row r="65" spans="1:10" x14ac:dyDescent="0.55000000000000004">
      <c r="A65" t="s">
        <v>23</v>
      </c>
      <c r="B65" s="1" t="str">
        <f>[1]Afgrødefordeling!$C$9</f>
        <v>Majs</v>
      </c>
      <c r="C65">
        <v>2030</v>
      </c>
      <c r="D65" t="s">
        <v>8</v>
      </c>
      <c r="E65" s="172" t="str">
        <f t="shared" si="6"/>
        <v>JB1-10</v>
      </c>
      <c r="F65" t="str">
        <f t="shared" si="1"/>
        <v>Majs</v>
      </c>
      <c r="G65" s="76" cm="1">
        <f t="array" ref="G65">IF(A65="Vestdanmark",IF(D65="Konventionel",IF(C65=2019,SUMPRODUCT((B65='Landbrugsareal - resultat'!$B$5:$B$18)*(INDEX('Landbrugsareal - resultat'!$C$5:$E$18,,MATCH(E65,'Landbrugsareal - resultat'!$C$4:$E$4,0)))),IF(C65=2030,SUMPRODUCT((B65='Landbrugsareal - resultat'!$B$5:$B$18)*(INDEX('Landbrugsareal - resultat'!$F$5:$H$18,,MATCH(E65,'Landbrugsareal - resultat'!$F$4:$H$4,0)))),SUMPRODUCT((B65='Landbrugsareal - resultat'!$B$5:$B$18)*(INDEX('Landbrugsareal - resultat'!$I$5:$K$18,,MATCH(E65,'Landbrugsareal - resultat'!$I$4:$K$4,0)))))),IF(C65=2019,SUMPRODUCT((B65='Landbrugsareal - resultat'!$B$5:$B$18)*(INDEX('Landbrugsareal - resultat'!$L$5:$N$18,,MATCH(E65,'Landbrugsareal - resultat'!$L$4:$N$4,0)))),IF(C65=2030,SUMPRODUCT((B65='Landbrugsareal - resultat'!$B$5:$B$18)*(INDEX('Landbrugsareal - resultat'!$O$5:$Q$18,,MATCH(E65,'Landbrugsareal - resultat'!$O$4:$Q$4,0)))),SUMPRODUCT((B65='Landbrugsareal - resultat'!$B$5:$B$18)*(INDEX('Landbrugsareal - resultat'!$R$5:$T$18,,MATCH(E65,'Landbrugsareal - resultat'!$R$4:$T$4,0))))))),IF(D65="Konventionel",IF(C65=2019,SUMPRODUCT((B65='Landbrugsareal - resultat'!$B$32:$B$45)*(INDEX('Landbrugsareal - resultat'!$C$32:$E$45,,MATCH(E65,'Landbrugsareal - resultat'!$C$4:$E$4,0)))),IF(C65=2030,SUMPRODUCT((B65='Landbrugsareal - resultat'!$B$32:$B$45)*(INDEX('Landbrugsareal - resultat'!$F$32:$H$45,,MATCH(E65,'Landbrugsareal - resultat'!$F$4:$H$4,0)))),SUMPRODUCT((B65='Landbrugsareal - resultat'!$B$32:$B$45)*(INDEX('Landbrugsareal - resultat'!$I$32:$K$45,,MATCH(E65,'Landbrugsareal - resultat'!$I$4:$K$4,0)))))),IF(C65=2019,SUMPRODUCT((B65='Landbrugsareal - resultat'!$B$32:$B$45)*(INDEX('Landbrugsareal - resultat'!$L$32:$N$45,,MATCH(E65,'Landbrugsareal - resultat'!$L$4:$N$4,0)))),IF(C65=2030,SUMPRODUCT((B65='Landbrugsareal - resultat'!$B$32:$B$45)*(INDEX('Landbrugsareal - resultat'!$O$32:$Q$45,,MATCH(E65,'Landbrugsareal - resultat'!$O$4:$Q$4,0)))),SUMPRODUCT((B65='Landbrugsareal - resultat'!$B$32:$B$45)*(INDEX('Landbrugsareal - resultat'!$R$32:$T$45,,MATCH(E65,'Landbrugsareal - resultat'!$R$4:$T$4,0))))))))</f>
        <v>21948.629564083272</v>
      </c>
      <c r="H65" s="172">
        <f>G65*VLOOKUP(B65,[1]Afgrødedata!$A$5:$F$18,2,FALSE)*IF(D65="Økologisk",VLOOKUP(B65,[1]Afgrødedata!$A$5:$F$18,4,FALSE),1)*IF(E65&lt;&gt;Jordbund1,IF(E65=Organ6,VLOOKUP(B65,[1]Afgrødedata!$A$5:$F$18,5,FALSE),VLOOKUP(B65,[1]Afgrødedata!$A$5:$F$18,6,FALSE)),1)*0.1</f>
        <v>810854.80657479749</v>
      </c>
      <c r="I65" s="172">
        <f>G65*VLOOKUP(B65,[1]Afgrødedata!$A$5:$F$18,3,FALSE)*IF(D65="Økologisk",VLOOKUP(B65,[1]Afgrødedata!$A$5:$F$18,4,FALSE),1)*IF(E65&lt;&gt;Jordbund1,IF(E65=Organ6,VLOOKUP(B65,[1]Afgrødedata!$A$5:$F$18,5,FALSE),VLOOKUP(B65,[1]Afgrødedata!$A$5:$F$18,6,FALSE)),1)*HLOOKUP(C65,Landbrug!$C$15:$E$17,2,FALSE)*HLOOKUP(C65,Landbrug!$C$15:$E$17,3,FALSE)*0.1</f>
        <v>0</v>
      </c>
      <c r="J65" s="76">
        <f t="shared" si="2"/>
        <v>810854.80657479749</v>
      </c>
    </row>
    <row r="66" spans="1:10" x14ac:dyDescent="0.55000000000000004">
      <c r="A66" t="s">
        <v>23</v>
      </c>
      <c r="B66" s="1" t="str">
        <f>[1]Afgrødefordeling!$C$10</f>
        <v>Frugt</v>
      </c>
      <c r="C66">
        <v>2030</v>
      </c>
      <c r="D66" t="s">
        <v>8</v>
      </c>
      <c r="E66" s="172" t="str">
        <f t="shared" ref="E66:E85" si="11">Jordbund1</f>
        <v>JB1-10</v>
      </c>
      <c r="F66" t="str">
        <f t="shared" si="1"/>
        <v>Frugt</v>
      </c>
      <c r="G66" s="76" cm="1">
        <f t="array" ref="G66">IF(A66="Vestdanmark",IF(D66="Konventionel",IF(C66=2019,SUMPRODUCT((B66='Landbrugsareal - resultat'!$B$5:$B$18)*(INDEX('Landbrugsareal - resultat'!$C$5:$E$18,,MATCH(E66,'Landbrugsareal - resultat'!$C$4:$E$4,0)))),IF(C66=2030,SUMPRODUCT((B66='Landbrugsareal - resultat'!$B$5:$B$18)*(INDEX('Landbrugsareal - resultat'!$F$5:$H$18,,MATCH(E66,'Landbrugsareal - resultat'!$F$4:$H$4,0)))),SUMPRODUCT((B66='Landbrugsareal - resultat'!$B$5:$B$18)*(INDEX('Landbrugsareal - resultat'!$I$5:$K$18,,MATCH(E66,'Landbrugsareal - resultat'!$I$4:$K$4,0)))))),IF(C66=2019,SUMPRODUCT((B66='Landbrugsareal - resultat'!$B$5:$B$18)*(INDEX('Landbrugsareal - resultat'!$L$5:$N$18,,MATCH(E66,'Landbrugsareal - resultat'!$L$4:$N$4,0)))),IF(C66=2030,SUMPRODUCT((B66='Landbrugsareal - resultat'!$B$5:$B$18)*(INDEX('Landbrugsareal - resultat'!$O$5:$Q$18,,MATCH(E66,'Landbrugsareal - resultat'!$O$4:$Q$4,0)))),SUMPRODUCT((B66='Landbrugsareal - resultat'!$B$5:$B$18)*(INDEX('Landbrugsareal - resultat'!$R$5:$T$18,,MATCH(E66,'Landbrugsareal - resultat'!$R$4:$T$4,0))))))),IF(D66="Konventionel",IF(C66=2019,SUMPRODUCT((B66='Landbrugsareal - resultat'!$B$32:$B$45)*(INDEX('Landbrugsareal - resultat'!$C$32:$E$45,,MATCH(E66,'Landbrugsareal - resultat'!$C$4:$E$4,0)))),IF(C66=2030,SUMPRODUCT((B66='Landbrugsareal - resultat'!$B$32:$B$45)*(INDEX('Landbrugsareal - resultat'!$F$32:$H$45,,MATCH(E66,'Landbrugsareal - resultat'!$F$4:$H$4,0)))),SUMPRODUCT((B66='Landbrugsareal - resultat'!$B$32:$B$45)*(INDEX('Landbrugsareal - resultat'!$I$32:$K$45,,MATCH(E66,'Landbrugsareal - resultat'!$I$4:$K$4,0)))))),IF(C66=2019,SUMPRODUCT((B66='Landbrugsareal - resultat'!$B$32:$B$45)*(INDEX('Landbrugsareal - resultat'!$L$32:$N$45,,MATCH(E66,'Landbrugsareal - resultat'!$L$4:$N$4,0)))),IF(C66=2030,SUMPRODUCT((B66='Landbrugsareal - resultat'!$B$32:$B$45)*(INDEX('Landbrugsareal - resultat'!$O$32:$Q$45,,MATCH(E66,'Landbrugsareal - resultat'!$O$4:$Q$4,0)))),SUMPRODUCT((B66='Landbrugsareal - resultat'!$B$32:$B$45)*(INDEX('Landbrugsareal - resultat'!$R$32:$T$45,,MATCH(E66,'Landbrugsareal - resultat'!$R$4:$T$4,0))))))))</f>
        <v>403.3121309192577</v>
      </c>
      <c r="H66" s="172">
        <f>G66*VLOOKUP(B66,[1]Afgrødedata!$A$5:$F$18,2,FALSE)*IF(D66="Økologisk",VLOOKUP(B66,[1]Afgrødedata!$A$5:$F$18,4,FALSE),1)*IF(E66&lt;&gt;Jordbund1,IF(E66=Organ6,VLOOKUP(B66,[1]Afgrødedata!$A$5:$F$18,5,FALSE),VLOOKUP(B66,[1]Afgrødedata!$A$5:$F$18,6,FALSE)),1)*0.1</f>
        <v>1951.7483951575637</v>
      </c>
      <c r="I66" s="172">
        <f>G66*VLOOKUP(B66,[1]Afgrødedata!$A$5:$F$18,3,FALSE)*IF(D66="Økologisk",VLOOKUP(B66,[1]Afgrødedata!$A$5:$F$18,4,FALSE),1)*IF(E66&lt;&gt;Jordbund1,IF(E66=Organ6,VLOOKUP(B66,[1]Afgrødedata!$A$5:$F$18,5,FALSE),VLOOKUP(B66,[1]Afgrødedata!$A$5:$F$18,6,FALSE)),1)*HLOOKUP(C66,Landbrug!$C$15:$E$17,2,FALSE)*HLOOKUP(C66,Landbrug!$C$15:$E$17,3,FALSE)*0.1</f>
        <v>0</v>
      </c>
      <c r="J66" s="76">
        <f t="shared" si="2"/>
        <v>1951.7483951575637</v>
      </c>
    </row>
    <row r="67" spans="1:10" x14ac:dyDescent="0.55000000000000004">
      <c r="A67" t="s">
        <v>23</v>
      </c>
      <c r="B67" s="1" t="str">
        <f>[1]Afgrødefordeling!$C$11</f>
        <v>Øvrige</v>
      </c>
      <c r="C67">
        <v>2030</v>
      </c>
      <c r="D67" t="s">
        <v>8</v>
      </c>
      <c r="E67" s="172" t="str">
        <f t="shared" si="11"/>
        <v>JB1-10</v>
      </c>
      <c r="F67" t="str">
        <f t="shared" si="1"/>
        <v>Øvrige</v>
      </c>
      <c r="G67" s="76" cm="1">
        <f t="array" ref="G67">IF(A67="Vestdanmark",IF(D67="Konventionel",IF(C67=2019,SUMPRODUCT((B67='Landbrugsareal - resultat'!$B$5:$B$18)*(INDEX('Landbrugsareal - resultat'!$C$5:$E$18,,MATCH(E67,'Landbrugsareal - resultat'!$C$4:$E$4,0)))),IF(C67=2030,SUMPRODUCT((B67='Landbrugsareal - resultat'!$B$5:$B$18)*(INDEX('Landbrugsareal - resultat'!$F$5:$H$18,,MATCH(E67,'Landbrugsareal - resultat'!$F$4:$H$4,0)))),SUMPRODUCT((B67='Landbrugsareal - resultat'!$B$5:$B$18)*(INDEX('Landbrugsareal - resultat'!$I$5:$K$18,,MATCH(E67,'Landbrugsareal - resultat'!$I$4:$K$4,0)))))),IF(C67=2019,SUMPRODUCT((B67='Landbrugsareal - resultat'!$B$5:$B$18)*(INDEX('Landbrugsareal - resultat'!$L$5:$N$18,,MATCH(E67,'Landbrugsareal - resultat'!$L$4:$N$4,0)))),IF(C67=2030,SUMPRODUCT((B67='Landbrugsareal - resultat'!$B$5:$B$18)*(INDEX('Landbrugsareal - resultat'!$O$5:$Q$18,,MATCH(E67,'Landbrugsareal - resultat'!$O$4:$Q$4,0)))),SUMPRODUCT((B67='Landbrugsareal - resultat'!$B$5:$B$18)*(INDEX('Landbrugsareal - resultat'!$R$5:$T$18,,MATCH(E67,'Landbrugsareal - resultat'!$R$4:$T$4,0))))))),IF(D67="Konventionel",IF(C67=2019,SUMPRODUCT((B67='Landbrugsareal - resultat'!$B$32:$B$45)*(INDEX('Landbrugsareal - resultat'!$C$32:$E$45,,MATCH(E67,'Landbrugsareal - resultat'!$C$4:$E$4,0)))),IF(C67=2030,SUMPRODUCT((B67='Landbrugsareal - resultat'!$B$32:$B$45)*(INDEX('Landbrugsareal - resultat'!$F$32:$H$45,,MATCH(E67,'Landbrugsareal - resultat'!$F$4:$H$4,0)))),SUMPRODUCT((B67='Landbrugsareal - resultat'!$B$32:$B$45)*(INDEX('Landbrugsareal - resultat'!$I$32:$K$45,,MATCH(E67,'Landbrugsareal - resultat'!$I$4:$K$4,0)))))),IF(C67=2019,SUMPRODUCT((B67='Landbrugsareal - resultat'!$B$32:$B$45)*(INDEX('Landbrugsareal - resultat'!$L$32:$N$45,,MATCH(E67,'Landbrugsareal - resultat'!$L$4:$N$4,0)))),IF(C67=2030,SUMPRODUCT((B67='Landbrugsareal - resultat'!$B$32:$B$45)*(INDEX('Landbrugsareal - resultat'!$O$32:$Q$45,,MATCH(E67,'Landbrugsareal - resultat'!$O$4:$Q$4,0)))),SUMPRODUCT((B67='Landbrugsareal - resultat'!$B$32:$B$45)*(INDEX('Landbrugsareal - resultat'!$R$32:$T$45,,MATCH(E67,'Landbrugsareal - resultat'!$R$4:$T$4,0))))))))</f>
        <v>7132.9385782785548</v>
      </c>
      <c r="H67" s="172">
        <f>G67*VLOOKUP(B67,[1]Afgrødedata!$A$5:$F$18,2,FALSE)*IF(D67="Økologisk",VLOOKUP(B67,[1]Afgrødedata!$A$5:$F$18,4,FALSE),1)*IF(E67&lt;&gt;Jordbund1,IF(E67=Organ6,VLOOKUP(B67,[1]Afgrødedata!$A$5:$F$18,5,FALSE),VLOOKUP(B67,[1]Afgrødedata!$A$5:$F$18,6,FALSE)),1)*0.1</f>
        <v>121143.60190767782</v>
      </c>
      <c r="I67" s="172">
        <f>G67*VLOOKUP(B67,[1]Afgrødedata!$A$5:$F$18,3,FALSE)*IF(D67="Økologisk",VLOOKUP(B67,[1]Afgrødedata!$A$5:$F$18,4,FALSE),1)*IF(E67&lt;&gt;Jordbund1,IF(E67=Organ6,VLOOKUP(B67,[1]Afgrødedata!$A$5:$F$18,5,FALSE),VLOOKUP(B67,[1]Afgrødedata!$A$5:$F$18,6,FALSE)),1)*HLOOKUP(C67,Landbrug!$C$15:$E$17,2,FALSE)*HLOOKUP(C67,Landbrug!$C$15:$E$17,3,FALSE)*0.1</f>
        <v>0</v>
      </c>
      <c r="J67" s="76">
        <f t="shared" si="2"/>
        <v>121143.60190767782</v>
      </c>
    </row>
    <row r="68" spans="1:10" x14ac:dyDescent="0.55000000000000004">
      <c r="A68" t="s">
        <v>23</v>
      </c>
      <c r="B68" s="1" t="str">
        <f>[1]Afgrødefordeling!$C$12</f>
        <v>Frø</v>
      </c>
      <c r="C68">
        <v>2030</v>
      </c>
      <c r="D68" t="s">
        <v>8</v>
      </c>
      <c r="E68" s="172" t="str">
        <f t="shared" si="11"/>
        <v>JB1-10</v>
      </c>
      <c r="F68" t="str">
        <f t="shared" si="1"/>
        <v>Halm</v>
      </c>
      <c r="G68" s="76" cm="1">
        <f t="array" ref="G68">IF(A68="Vestdanmark",IF(D68="Konventionel",IF(C68=2019,SUMPRODUCT((B68='Landbrugsareal - resultat'!$B$5:$B$18)*(INDEX('Landbrugsareal - resultat'!$C$5:$E$18,,MATCH(E68,'Landbrugsareal - resultat'!$C$4:$E$4,0)))),IF(C68=2030,SUMPRODUCT((B68='Landbrugsareal - resultat'!$B$5:$B$18)*(INDEX('Landbrugsareal - resultat'!$F$5:$H$18,,MATCH(E68,'Landbrugsareal - resultat'!$F$4:$H$4,0)))),SUMPRODUCT((B68='Landbrugsareal - resultat'!$B$5:$B$18)*(INDEX('Landbrugsareal - resultat'!$I$5:$K$18,,MATCH(E68,'Landbrugsareal - resultat'!$I$4:$K$4,0)))))),IF(C68=2019,SUMPRODUCT((B68='Landbrugsareal - resultat'!$B$5:$B$18)*(INDEX('Landbrugsareal - resultat'!$L$5:$N$18,,MATCH(E68,'Landbrugsareal - resultat'!$L$4:$N$4,0)))),IF(C68=2030,SUMPRODUCT((B68='Landbrugsareal - resultat'!$B$5:$B$18)*(INDEX('Landbrugsareal - resultat'!$O$5:$Q$18,,MATCH(E68,'Landbrugsareal - resultat'!$O$4:$Q$4,0)))),SUMPRODUCT((B68='Landbrugsareal - resultat'!$B$5:$B$18)*(INDEX('Landbrugsareal - resultat'!$R$5:$T$18,,MATCH(E68,'Landbrugsareal - resultat'!$R$4:$T$4,0))))))),IF(D68="Konventionel",IF(C68=2019,SUMPRODUCT((B68='Landbrugsareal - resultat'!$B$32:$B$45)*(INDEX('Landbrugsareal - resultat'!$C$32:$E$45,,MATCH(E68,'Landbrugsareal - resultat'!$C$4:$E$4,0)))),IF(C68=2030,SUMPRODUCT((B68='Landbrugsareal - resultat'!$B$32:$B$45)*(INDEX('Landbrugsareal - resultat'!$F$32:$H$45,,MATCH(E68,'Landbrugsareal - resultat'!$F$4:$H$4,0)))),SUMPRODUCT((B68='Landbrugsareal - resultat'!$B$32:$B$45)*(INDEX('Landbrugsareal - resultat'!$I$32:$K$45,,MATCH(E68,'Landbrugsareal - resultat'!$I$4:$K$4,0)))))),IF(C68=2019,SUMPRODUCT((B68='Landbrugsareal - resultat'!$B$32:$B$45)*(INDEX('Landbrugsareal - resultat'!$L$32:$N$45,,MATCH(E68,'Landbrugsareal - resultat'!$L$4:$N$4,0)))),IF(C68=2030,SUMPRODUCT((B68='Landbrugsareal - resultat'!$B$32:$B$45)*(INDEX('Landbrugsareal - resultat'!$O$32:$Q$45,,MATCH(E68,'Landbrugsareal - resultat'!$O$4:$Q$4,0)))),SUMPRODUCT((B68='Landbrugsareal - resultat'!$B$32:$B$45)*(INDEX('Landbrugsareal - resultat'!$R$32:$T$45,,MATCH(E68,'Landbrugsareal - resultat'!$R$4:$T$4,0))))))))</f>
        <v>7503.2240591224381</v>
      </c>
      <c r="H68" s="172">
        <f>G68*VLOOKUP(B68,[1]Afgrødedata!$A$5:$F$18,2,FALSE)*IF(D68="Økologisk",VLOOKUP(B68,[1]Afgrødedata!$A$5:$F$18,4,FALSE),1)*IF(E68&lt;&gt;Jordbund1,IF(E68=Organ6,VLOOKUP(B68,[1]Afgrødedata!$A$5:$F$18,5,FALSE),VLOOKUP(B68,[1]Afgrødedata!$A$5:$F$18,6,FALSE)),1)*0.1</f>
        <v>61111.138582007545</v>
      </c>
      <c r="I68" s="172">
        <f>G68*VLOOKUP(B68,[1]Afgrødedata!$A$5:$F$18,3,FALSE)*IF(D68="Økologisk",VLOOKUP(B68,[1]Afgrødedata!$A$5:$F$18,4,FALSE),1)*IF(E68&lt;&gt;Jordbund1,IF(E68=Organ6,VLOOKUP(B68,[1]Afgrødedata!$A$5:$F$18,5,FALSE),VLOOKUP(B68,[1]Afgrødedata!$A$5:$F$18,6,FALSE)),1)*HLOOKUP(C68,Landbrug!$C$15:$E$17,2,FALSE)*HLOOKUP(C68,Landbrug!$C$15:$E$17,3,FALSE)*0.1</f>
        <v>10093.337004331503</v>
      </c>
      <c r="J68" s="76">
        <f t="shared" si="2"/>
        <v>10093.337004331503</v>
      </c>
    </row>
    <row r="69" spans="1:10" x14ac:dyDescent="0.55000000000000004">
      <c r="A69" t="s">
        <v>23</v>
      </c>
      <c r="B69" s="1" t="str">
        <f>[1]Afgrødefordeling!$C$13</f>
        <v>Juletræer</v>
      </c>
      <c r="C69">
        <v>2030</v>
      </c>
      <c r="D69" t="s">
        <v>8</v>
      </c>
      <c r="E69" s="172" t="str">
        <f t="shared" si="11"/>
        <v>JB1-10</v>
      </c>
      <c r="F69" t="str">
        <f t="shared" si="1"/>
        <v>Juletræer</v>
      </c>
      <c r="G69" s="76" cm="1">
        <f t="array" ref="G69">IF(A69="Vestdanmark",IF(D69="Konventionel",IF(C69=2019,SUMPRODUCT((B69='Landbrugsareal - resultat'!$B$5:$B$18)*(INDEX('Landbrugsareal - resultat'!$C$5:$E$18,,MATCH(E69,'Landbrugsareal - resultat'!$C$4:$E$4,0)))),IF(C69=2030,SUMPRODUCT((B69='Landbrugsareal - resultat'!$B$5:$B$18)*(INDEX('Landbrugsareal - resultat'!$F$5:$H$18,,MATCH(E69,'Landbrugsareal - resultat'!$F$4:$H$4,0)))),SUMPRODUCT((B69='Landbrugsareal - resultat'!$B$5:$B$18)*(INDEX('Landbrugsareal - resultat'!$I$5:$K$18,,MATCH(E69,'Landbrugsareal - resultat'!$I$4:$K$4,0)))))),IF(C69=2019,SUMPRODUCT((B69='Landbrugsareal - resultat'!$B$5:$B$18)*(INDEX('Landbrugsareal - resultat'!$L$5:$N$18,,MATCH(E69,'Landbrugsareal - resultat'!$L$4:$N$4,0)))),IF(C69=2030,SUMPRODUCT((B69='Landbrugsareal - resultat'!$B$5:$B$18)*(INDEX('Landbrugsareal - resultat'!$O$5:$Q$18,,MATCH(E69,'Landbrugsareal - resultat'!$O$4:$Q$4,0)))),SUMPRODUCT((B69='Landbrugsareal - resultat'!$B$5:$B$18)*(INDEX('Landbrugsareal - resultat'!$R$5:$T$18,,MATCH(E69,'Landbrugsareal - resultat'!$R$4:$T$4,0))))))),IF(D69="Konventionel",IF(C69=2019,SUMPRODUCT((B69='Landbrugsareal - resultat'!$B$32:$B$45)*(INDEX('Landbrugsareal - resultat'!$C$32:$E$45,,MATCH(E69,'Landbrugsareal - resultat'!$C$4:$E$4,0)))),IF(C69=2030,SUMPRODUCT((B69='Landbrugsareal - resultat'!$B$32:$B$45)*(INDEX('Landbrugsareal - resultat'!$F$32:$H$45,,MATCH(E69,'Landbrugsareal - resultat'!$F$4:$H$4,0)))),SUMPRODUCT((B69='Landbrugsareal - resultat'!$B$32:$B$45)*(INDEX('Landbrugsareal - resultat'!$I$32:$K$45,,MATCH(E69,'Landbrugsareal - resultat'!$I$4:$K$4,0)))))),IF(C69=2019,SUMPRODUCT((B69='Landbrugsareal - resultat'!$B$32:$B$45)*(INDEX('Landbrugsareal - resultat'!$L$32:$N$45,,MATCH(E69,'Landbrugsareal - resultat'!$L$4:$N$4,0)))),IF(C69=2030,SUMPRODUCT((B69='Landbrugsareal - resultat'!$B$32:$B$45)*(INDEX('Landbrugsareal - resultat'!$O$32:$Q$45,,MATCH(E69,'Landbrugsareal - resultat'!$O$4:$Q$4,0)))),SUMPRODUCT((B69='Landbrugsareal - resultat'!$B$32:$B$45)*(INDEX('Landbrugsareal - resultat'!$R$32:$T$45,,MATCH(E69,'Landbrugsareal - resultat'!$R$4:$T$4,0))))))))</f>
        <v>2022.8297550768989</v>
      </c>
      <c r="H69" s="172">
        <f>G69*VLOOKUP(B69,[1]Afgrødedata!$A$5:$F$18,2,FALSE)*IF(D69="Økologisk",VLOOKUP(B69,[1]Afgrødedata!$A$5:$F$18,4,FALSE),1)*IF(E69&lt;&gt;Jordbund1,IF(E69=Organ6,VLOOKUP(B69,[1]Afgrødedata!$A$5:$F$18,5,FALSE),VLOOKUP(B69,[1]Afgrødedata!$A$5:$F$18,6,FALSE)),1)*0.1</f>
        <v>57650.648019691616</v>
      </c>
      <c r="I69" s="172">
        <f>G69*VLOOKUP(B69,[1]Afgrødedata!$A$5:$F$18,3,FALSE)*IF(D69="Økologisk",VLOOKUP(B69,[1]Afgrødedata!$A$5:$F$18,4,FALSE),1)*IF(E69&lt;&gt;Jordbund1,IF(E69=Organ6,VLOOKUP(B69,[1]Afgrødedata!$A$5:$F$18,5,FALSE),VLOOKUP(B69,[1]Afgrødedata!$A$5:$F$18,6,FALSE)),1)*HLOOKUP(C69,Landbrug!$C$15:$E$17,2,FALSE)*HLOOKUP(C69,Landbrug!$C$15:$E$17,3,FALSE)*0.1</f>
        <v>0</v>
      </c>
      <c r="J69" s="76">
        <f t="shared" si="2"/>
        <v>57650.648019691616</v>
      </c>
    </row>
    <row r="70" spans="1:10" x14ac:dyDescent="0.55000000000000004">
      <c r="A70" t="s">
        <v>23</v>
      </c>
      <c r="B70" s="1" t="str">
        <f>[1]Afgrødefordeling!$C$14</f>
        <v>Pil &amp; poppel</v>
      </c>
      <c r="C70">
        <v>2030</v>
      </c>
      <c r="D70" t="s">
        <v>8</v>
      </c>
      <c r="E70" s="172" t="str">
        <f t="shared" si="11"/>
        <v>JB1-10</v>
      </c>
      <c r="F70" t="str">
        <f t="shared" ref="F70" si="12">IF(I70&lt;&gt;0,"Halm",IF(B70&lt;&gt;"Permanent græs",B70,"Græs"))</f>
        <v>Pil &amp; poppel</v>
      </c>
      <c r="G70" s="76" cm="1">
        <f t="array" ref="G70">IF(A70="Vestdanmark",IF(D70="Konventionel",IF(C70=2019,SUMPRODUCT((B70='Landbrugsareal - resultat'!$B$5:$B$18)*(INDEX('Landbrugsareal - resultat'!$C$5:$E$18,,MATCH(E70,'Landbrugsareal - resultat'!$C$4:$E$4,0)))),IF(C70=2030,SUMPRODUCT((B70='Landbrugsareal - resultat'!$B$5:$B$18)*(INDEX('Landbrugsareal - resultat'!$F$5:$H$18,,MATCH(E70,'Landbrugsareal - resultat'!$F$4:$H$4,0)))),SUMPRODUCT((B70='Landbrugsareal - resultat'!$B$5:$B$18)*(INDEX('Landbrugsareal - resultat'!$I$5:$K$18,,MATCH(E70,'Landbrugsareal - resultat'!$I$4:$K$4,0)))))),IF(C70=2019,SUMPRODUCT((B70='Landbrugsareal - resultat'!$B$5:$B$18)*(INDEX('Landbrugsareal - resultat'!$L$5:$N$18,,MATCH(E70,'Landbrugsareal - resultat'!$L$4:$N$4,0)))),IF(C70=2030,SUMPRODUCT((B70='Landbrugsareal - resultat'!$B$5:$B$18)*(INDEX('Landbrugsareal - resultat'!$O$5:$Q$18,,MATCH(E70,'Landbrugsareal - resultat'!$O$4:$Q$4,0)))),SUMPRODUCT((B70='Landbrugsareal - resultat'!$B$5:$B$18)*(INDEX('Landbrugsareal - resultat'!$R$5:$T$18,,MATCH(E70,'Landbrugsareal - resultat'!$R$4:$T$4,0))))))),IF(D70="Konventionel",IF(C70=2019,SUMPRODUCT((B70='Landbrugsareal - resultat'!$B$32:$B$45)*(INDEX('Landbrugsareal - resultat'!$C$32:$E$45,,MATCH(E70,'Landbrugsareal - resultat'!$C$4:$E$4,0)))),IF(C70=2030,SUMPRODUCT((B70='Landbrugsareal - resultat'!$B$32:$B$45)*(INDEX('Landbrugsareal - resultat'!$F$32:$H$45,,MATCH(E70,'Landbrugsareal - resultat'!$F$4:$H$4,0)))),SUMPRODUCT((B70='Landbrugsareal - resultat'!$B$32:$B$45)*(INDEX('Landbrugsareal - resultat'!$I$32:$K$45,,MATCH(E70,'Landbrugsareal - resultat'!$I$4:$K$4,0)))))),IF(C70=2019,SUMPRODUCT((B70='Landbrugsareal - resultat'!$B$32:$B$45)*(INDEX('Landbrugsareal - resultat'!$L$32:$N$45,,MATCH(E70,'Landbrugsareal - resultat'!$L$4:$N$4,0)))),IF(C70=2030,SUMPRODUCT((B70='Landbrugsareal - resultat'!$B$32:$B$45)*(INDEX('Landbrugsareal - resultat'!$O$32:$Q$45,,MATCH(E70,'Landbrugsareal - resultat'!$O$4:$Q$4,0)))),SUMPRODUCT((B70='Landbrugsareal - resultat'!$B$32:$B$45)*(INDEX('Landbrugsareal - resultat'!$R$32:$T$45,,MATCH(E70,'Landbrugsareal - resultat'!$R$4:$T$4,0))))))))</f>
        <v>744.06168615292358</v>
      </c>
      <c r="H70" s="172">
        <f>G70*VLOOKUP(B70,[1]Afgrødedata!$A$5:$F$18,2,FALSE)*IF(D70="Økologisk",VLOOKUP(B70,[1]Afgrødedata!$A$5:$F$18,4,FALSE),1)*IF(E70&lt;&gt;Jordbund1,IF(E70=Organ6,VLOOKUP(B70,[1]Afgrødedata!$A$5:$F$18,5,FALSE),VLOOKUP(B70,[1]Afgrødedata!$A$5:$F$18,6,FALSE)),1)*0.1</f>
        <v>10344.272222126012</v>
      </c>
      <c r="I70" s="172">
        <f>G70*VLOOKUP(B70,[1]Afgrødedata!$A$5:$F$18,3,FALSE)*IF(D70="Økologisk",VLOOKUP(B70,[1]Afgrødedata!$A$5:$F$18,4,FALSE),1)*IF(E70&lt;&gt;Jordbund1,IF(E70=Organ6,VLOOKUP(B70,[1]Afgrødedata!$A$5:$F$18,5,FALSE),VLOOKUP(B70,[1]Afgrødedata!$A$5:$F$18,6,FALSE)),1)*HLOOKUP(C70,Landbrug!$C$15:$E$17,2,FALSE)*HLOOKUP(C70,Landbrug!$C$15:$E$17,3,FALSE)*0.1</f>
        <v>0</v>
      </c>
      <c r="J70" s="76">
        <f t="shared" ref="J70" si="13">IF(I70&lt;&gt;0,I70,H70)</f>
        <v>10344.272222126012</v>
      </c>
    </row>
    <row r="71" spans="1:10" x14ac:dyDescent="0.55000000000000004">
      <c r="A71" t="s">
        <v>23</v>
      </c>
      <c r="B71" s="1" t="str">
        <f>[1]Afgrødefordeling!$C$15</f>
        <v>Permanent græs</v>
      </c>
      <c r="C71">
        <v>2030</v>
      </c>
      <c r="D71" t="s">
        <v>8</v>
      </c>
      <c r="E71" s="172" t="str">
        <f t="shared" si="11"/>
        <v>JB1-10</v>
      </c>
      <c r="F71" t="str">
        <f t="shared" si="1"/>
        <v>Græs</v>
      </c>
      <c r="G71" s="76" cm="1">
        <f t="array" ref="G71">IF(A71="Vestdanmark",IF(D71="Konventionel",IF(C71=2019,SUMPRODUCT((B71='Landbrugsareal - resultat'!$B$5:$B$18)*(INDEX('Landbrugsareal - resultat'!$C$5:$E$18,,MATCH(E71,'Landbrugsareal - resultat'!$C$4:$E$4,0)))),IF(C71=2030,SUMPRODUCT((B71='Landbrugsareal - resultat'!$B$5:$B$18)*(INDEX('Landbrugsareal - resultat'!$F$5:$H$18,,MATCH(E71,'Landbrugsareal - resultat'!$F$4:$H$4,0)))),SUMPRODUCT((B71='Landbrugsareal - resultat'!$B$5:$B$18)*(INDEX('Landbrugsareal - resultat'!$I$5:$K$18,,MATCH(E71,'Landbrugsareal - resultat'!$I$4:$K$4,0)))))),IF(C71=2019,SUMPRODUCT((B71='Landbrugsareal - resultat'!$B$5:$B$18)*(INDEX('Landbrugsareal - resultat'!$L$5:$N$18,,MATCH(E71,'Landbrugsareal - resultat'!$L$4:$N$4,0)))),IF(C71=2030,SUMPRODUCT((B71='Landbrugsareal - resultat'!$B$5:$B$18)*(INDEX('Landbrugsareal - resultat'!$O$5:$Q$18,,MATCH(E71,'Landbrugsareal - resultat'!$O$4:$Q$4,0)))),SUMPRODUCT((B71='Landbrugsareal - resultat'!$B$5:$B$18)*(INDEX('Landbrugsareal - resultat'!$R$5:$T$18,,MATCH(E71,'Landbrugsareal - resultat'!$R$4:$T$4,0))))))),IF(D71="Konventionel",IF(C71=2019,SUMPRODUCT((B71='Landbrugsareal - resultat'!$B$32:$B$45)*(INDEX('Landbrugsareal - resultat'!$C$32:$E$45,,MATCH(E71,'Landbrugsareal - resultat'!$C$4:$E$4,0)))),IF(C71=2030,SUMPRODUCT((B71='Landbrugsareal - resultat'!$B$32:$B$45)*(INDEX('Landbrugsareal - resultat'!$F$32:$H$45,,MATCH(E71,'Landbrugsareal - resultat'!$F$4:$H$4,0)))),SUMPRODUCT((B71='Landbrugsareal - resultat'!$B$32:$B$45)*(INDEX('Landbrugsareal - resultat'!$I$32:$K$45,,MATCH(E71,'Landbrugsareal - resultat'!$I$4:$K$4,0)))))),IF(C71=2019,SUMPRODUCT((B71='Landbrugsareal - resultat'!$B$32:$B$45)*(INDEX('Landbrugsareal - resultat'!$L$32:$N$45,,MATCH(E71,'Landbrugsareal - resultat'!$L$4:$N$4,0)))),IF(C71=2030,SUMPRODUCT((B71='Landbrugsareal - resultat'!$B$32:$B$45)*(INDEX('Landbrugsareal - resultat'!$O$32:$Q$45,,MATCH(E71,'Landbrugsareal - resultat'!$O$4:$Q$4,0)))),SUMPRODUCT((B71='Landbrugsareal - resultat'!$B$32:$B$45)*(INDEX('Landbrugsareal - resultat'!$R$32:$T$45,,MATCH(E71,'Landbrugsareal - resultat'!$R$4:$T$4,0))))))))</f>
        <v>17934.514575348316</v>
      </c>
      <c r="H71" s="172">
        <f>G71*VLOOKUP(B71,[1]Afgrødedata!$A$5:$F$18,2,FALSE)*IF(D71="Økologisk",VLOOKUP(B71,[1]Afgrødedata!$A$5:$F$18,4,FALSE),1)*IF(E71&lt;&gt;Jordbund1,IF(E71=Organ6,VLOOKUP(B71,[1]Afgrødedata!$A$5:$F$18,5,FALSE),VLOOKUP(B71,[1]Afgrødedata!$A$5:$F$18,6,FALSE)),1)*0.1</f>
        <v>247316.95599405328</v>
      </c>
      <c r="I71" s="172">
        <f>G71*VLOOKUP(B71,[1]Afgrødedata!$A$5:$F$18,3,FALSE)*IF(D71="Økologisk",VLOOKUP(B71,[1]Afgrødedata!$A$5:$F$18,4,FALSE),1)*IF(E71&lt;&gt;Jordbund1,IF(E71=Organ6,VLOOKUP(B71,[1]Afgrødedata!$A$5:$F$18,5,FALSE),VLOOKUP(B71,[1]Afgrødedata!$A$5:$F$18,6,FALSE)),1)*HLOOKUP(C71,Landbrug!$C$15:$E$17,2,FALSE)*HLOOKUP(C71,Landbrug!$C$15:$E$17,3,FALSE)*0.1</f>
        <v>0</v>
      </c>
      <c r="J71" s="76">
        <f t="shared" si="2"/>
        <v>247316.95599405328</v>
      </c>
    </row>
    <row r="72" spans="1:10" x14ac:dyDescent="0.55000000000000004">
      <c r="A72" t="s">
        <v>23</v>
      </c>
      <c r="B72" s="1" t="str">
        <f>[1]Afgrødefordeling!$C$2</f>
        <v>Korn</v>
      </c>
      <c r="C72">
        <v>2050</v>
      </c>
      <c r="D72" t="s">
        <v>8</v>
      </c>
      <c r="E72" s="172" t="str">
        <f t="shared" si="11"/>
        <v>JB1-10</v>
      </c>
      <c r="F72" t="str">
        <f t="shared" ref="F72:F139" si="14">IF(I72&lt;&gt;0,"Halm",IF(B72&lt;&gt;"Permanent græs",B72,"Græs"))</f>
        <v>Halm</v>
      </c>
      <c r="G72" s="76" cm="1">
        <f t="array" ref="G72">IF(A72="Vestdanmark",IF(D72="Konventionel",IF(C72=2019,SUMPRODUCT((B72='Landbrugsareal - resultat'!$B$5:$B$18)*(INDEX('Landbrugsareal - resultat'!$C$5:$E$18,,MATCH(E72,'Landbrugsareal - resultat'!$C$4:$E$4,0)))),IF(C72=2030,SUMPRODUCT((B72='Landbrugsareal - resultat'!$B$5:$B$18)*(INDEX('Landbrugsareal - resultat'!$F$5:$H$18,,MATCH(E72,'Landbrugsareal - resultat'!$F$4:$H$4,0)))),SUMPRODUCT((B72='Landbrugsareal - resultat'!$B$5:$B$18)*(INDEX('Landbrugsareal - resultat'!$I$5:$K$18,,MATCH(E72,'Landbrugsareal - resultat'!$I$4:$K$4,0)))))),IF(C72=2019,SUMPRODUCT((B72='Landbrugsareal - resultat'!$B$5:$B$18)*(INDEX('Landbrugsareal - resultat'!$L$5:$N$18,,MATCH(E72,'Landbrugsareal - resultat'!$L$4:$N$4,0)))),IF(C72=2030,SUMPRODUCT((B72='Landbrugsareal - resultat'!$B$5:$B$18)*(INDEX('Landbrugsareal - resultat'!$O$5:$Q$18,,MATCH(E72,'Landbrugsareal - resultat'!$O$4:$Q$4,0)))),SUMPRODUCT((B72='Landbrugsareal - resultat'!$B$5:$B$18)*(INDEX('Landbrugsareal - resultat'!$R$5:$T$18,,MATCH(E72,'Landbrugsareal - resultat'!$R$4:$T$4,0))))))),IF(D72="Konventionel",IF(C72=2019,SUMPRODUCT((B72='Landbrugsareal - resultat'!$B$32:$B$45)*(INDEX('Landbrugsareal - resultat'!$C$32:$E$45,,MATCH(E72,'Landbrugsareal - resultat'!$C$4:$E$4,0)))),IF(C72=2030,SUMPRODUCT((B72='Landbrugsareal - resultat'!$B$32:$B$45)*(INDEX('Landbrugsareal - resultat'!$F$32:$H$45,,MATCH(E72,'Landbrugsareal - resultat'!$F$4:$H$4,0)))),SUMPRODUCT((B72='Landbrugsareal - resultat'!$B$32:$B$45)*(INDEX('Landbrugsareal - resultat'!$I$32:$K$45,,MATCH(E72,'Landbrugsareal - resultat'!$I$4:$K$4,0)))))),IF(C72=2019,SUMPRODUCT((B72='Landbrugsareal - resultat'!$B$32:$B$45)*(INDEX('Landbrugsareal - resultat'!$L$32:$N$45,,MATCH(E72,'Landbrugsareal - resultat'!$L$4:$N$4,0)))),IF(C72=2030,SUMPRODUCT((B72='Landbrugsareal - resultat'!$B$32:$B$45)*(INDEX('Landbrugsareal - resultat'!$O$32:$Q$45,,MATCH(E72,'Landbrugsareal - resultat'!$O$4:$Q$4,0)))),SUMPRODUCT((B72='Landbrugsareal - resultat'!$B$32:$B$45)*(INDEX('Landbrugsareal - resultat'!$R$32:$T$45,,MATCH(E72,'Landbrugsareal - resultat'!$R$4:$T$4,0))))))))</f>
        <v>163528.40889517844</v>
      </c>
      <c r="H72" s="172">
        <f>G72*VLOOKUP(B72,[1]Afgrødedata!$A$5:$F$18,2,FALSE)*IF(D72="Økologisk",VLOOKUP(B72,[1]Afgrødedata!$A$5:$F$18,4,FALSE),1)*IF(E72&lt;&gt;Jordbund1,IF(E72=Organ6,VLOOKUP(B72,[1]Afgrødedata!$A$5:$F$18,5,FALSE),VLOOKUP(B72,[1]Afgrødedata!$A$5:$F$18,6,FALSE)),1)*0.1</f>
        <v>768043.87805798464</v>
      </c>
      <c r="I72" s="172">
        <f>G72*VLOOKUP(B72,[1]Afgrødedata!$A$5:$F$18,3,FALSE)*IF(D72="Økologisk",VLOOKUP(B72,[1]Afgrødedata!$A$5:$F$18,4,FALSE),1)*IF(E72&lt;&gt;Jordbund1,IF(E72=Organ6,VLOOKUP(B72,[1]Afgrødedata!$A$5:$F$18,5,FALSE),VLOOKUP(B72,[1]Afgrødedata!$A$5:$F$18,6,FALSE)),1)*HLOOKUP(C72,Landbrug!$C$15:$E$17,2,FALSE)*HLOOKUP(C72,Landbrug!$C$15:$E$17,3,FALSE)*0.1</f>
        <v>249230.23842981603</v>
      </c>
      <c r="J72" s="76">
        <f t="shared" ref="J72:J139" si="15">IF(I72&lt;&gt;0,I72,H72)</f>
        <v>249230.23842981603</v>
      </c>
    </row>
    <row r="73" spans="1:10" x14ac:dyDescent="0.55000000000000004">
      <c r="A73" t="s">
        <v>23</v>
      </c>
      <c r="B73" s="1" t="str">
        <f>[1]Afgrødefordeling!$C$3</f>
        <v>Bælgsæd</v>
      </c>
      <c r="C73">
        <v>2050</v>
      </c>
      <c r="D73" t="s">
        <v>8</v>
      </c>
      <c r="E73" s="172" t="str">
        <f t="shared" si="11"/>
        <v>JB1-10</v>
      </c>
      <c r="F73" t="str">
        <f t="shared" si="14"/>
        <v>Halm</v>
      </c>
      <c r="G73" s="76" cm="1">
        <f t="array" ref="G73">IF(A73="Vestdanmark",IF(D73="Konventionel",IF(C73=2019,SUMPRODUCT((B73='Landbrugsareal - resultat'!$B$5:$B$18)*(INDEX('Landbrugsareal - resultat'!$C$5:$E$18,,MATCH(E73,'Landbrugsareal - resultat'!$C$4:$E$4,0)))),IF(C73=2030,SUMPRODUCT((B73='Landbrugsareal - resultat'!$B$5:$B$18)*(INDEX('Landbrugsareal - resultat'!$F$5:$H$18,,MATCH(E73,'Landbrugsareal - resultat'!$F$4:$H$4,0)))),SUMPRODUCT((B73='Landbrugsareal - resultat'!$B$5:$B$18)*(INDEX('Landbrugsareal - resultat'!$I$5:$K$18,,MATCH(E73,'Landbrugsareal - resultat'!$I$4:$K$4,0)))))),IF(C73=2019,SUMPRODUCT((B73='Landbrugsareal - resultat'!$B$5:$B$18)*(INDEX('Landbrugsareal - resultat'!$L$5:$N$18,,MATCH(E73,'Landbrugsareal - resultat'!$L$4:$N$4,0)))),IF(C73=2030,SUMPRODUCT((B73='Landbrugsareal - resultat'!$B$5:$B$18)*(INDEX('Landbrugsareal - resultat'!$O$5:$Q$18,,MATCH(E73,'Landbrugsareal - resultat'!$O$4:$Q$4,0)))),SUMPRODUCT((B73='Landbrugsareal - resultat'!$B$5:$B$18)*(INDEX('Landbrugsareal - resultat'!$R$5:$T$18,,MATCH(E73,'Landbrugsareal - resultat'!$R$4:$T$4,0))))))),IF(D73="Konventionel",IF(C73=2019,SUMPRODUCT((B73='Landbrugsareal - resultat'!$B$32:$B$45)*(INDEX('Landbrugsareal - resultat'!$C$32:$E$45,,MATCH(E73,'Landbrugsareal - resultat'!$C$4:$E$4,0)))),IF(C73=2030,SUMPRODUCT((B73='Landbrugsareal - resultat'!$B$32:$B$45)*(INDEX('Landbrugsareal - resultat'!$F$32:$H$45,,MATCH(E73,'Landbrugsareal - resultat'!$F$4:$H$4,0)))),SUMPRODUCT((B73='Landbrugsareal - resultat'!$B$32:$B$45)*(INDEX('Landbrugsareal - resultat'!$I$32:$K$45,,MATCH(E73,'Landbrugsareal - resultat'!$I$4:$K$4,0)))))),IF(C73=2019,SUMPRODUCT((B73='Landbrugsareal - resultat'!$B$32:$B$45)*(INDEX('Landbrugsareal - resultat'!$L$32:$N$45,,MATCH(E73,'Landbrugsareal - resultat'!$L$4:$N$4,0)))),IF(C73=2030,SUMPRODUCT((B73='Landbrugsareal - resultat'!$B$32:$B$45)*(INDEX('Landbrugsareal - resultat'!$O$32:$Q$45,,MATCH(E73,'Landbrugsareal - resultat'!$O$4:$Q$4,0)))),SUMPRODUCT((B73='Landbrugsareal - resultat'!$B$32:$B$45)*(INDEX('Landbrugsareal - resultat'!$R$32:$T$45,,MATCH(E73,'Landbrugsareal - resultat'!$R$4:$T$4,0))))))))</f>
        <v>11298.425564685787</v>
      </c>
      <c r="H73" s="172">
        <f>G73*VLOOKUP(B73,[1]Afgrødedata!$A$5:$F$18,2,FALSE)*IF(D73="Økologisk",VLOOKUP(B73,[1]Afgrødedata!$A$5:$F$18,4,FALSE),1)*IF(E73&lt;&gt;Jordbund1,IF(E73=Organ6,VLOOKUP(B73,[1]Afgrødedata!$A$5:$F$18,5,FALSE),VLOOKUP(B73,[1]Afgrødedata!$A$5:$F$18,6,FALSE)),1)*0.1</f>
        <v>24858.79592742167</v>
      </c>
      <c r="I73" s="172">
        <f>G73*VLOOKUP(B73,[1]Afgrødedata!$A$5:$F$18,3,FALSE)*IF(D73="Økologisk",VLOOKUP(B73,[1]Afgrødedata!$A$5:$F$18,4,FALSE),1)*IF(E73&lt;&gt;Jordbund1,IF(E73=Organ6,VLOOKUP(B73,[1]Afgrødedata!$A$5:$F$18,5,FALSE),VLOOKUP(B73,[1]Afgrødedata!$A$5:$F$18,6,FALSE)),1)*HLOOKUP(C73,Landbrug!$C$15:$E$17,2,FALSE)*HLOOKUP(C73,Landbrug!$C$15:$E$17,3,FALSE)*0.1</f>
        <v>7337.1444591067957</v>
      </c>
      <c r="J73" s="76">
        <f t="shared" si="15"/>
        <v>7337.1444591067957</v>
      </c>
    </row>
    <row r="74" spans="1:10" x14ac:dyDescent="0.55000000000000004">
      <c r="A74" t="s">
        <v>23</v>
      </c>
      <c r="B74" s="1" t="str">
        <f>[1]Afgrødefordeling!$C$4</f>
        <v>Raps</v>
      </c>
      <c r="C74">
        <v>2050</v>
      </c>
      <c r="D74" t="s">
        <v>8</v>
      </c>
      <c r="E74" s="172" t="str">
        <f t="shared" si="11"/>
        <v>JB1-10</v>
      </c>
      <c r="F74" t="str">
        <f t="shared" si="14"/>
        <v>Halm</v>
      </c>
      <c r="G74" s="76" cm="1">
        <f t="array" ref="G74">IF(A74="Vestdanmark",IF(D74="Konventionel",IF(C74=2019,SUMPRODUCT((B74='Landbrugsareal - resultat'!$B$5:$B$18)*(INDEX('Landbrugsareal - resultat'!$C$5:$E$18,,MATCH(E74,'Landbrugsareal - resultat'!$C$4:$E$4,0)))),IF(C74=2030,SUMPRODUCT((B74='Landbrugsareal - resultat'!$B$5:$B$18)*(INDEX('Landbrugsareal - resultat'!$F$5:$H$18,,MATCH(E74,'Landbrugsareal - resultat'!$F$4:$H$4,0)))),SUMPRODUCT((B74='Landbrugsareal - resultat'!$B$5:$B$18)*(INDEX('Landbrugsareal - resultat'!$I$5:$K$18,,MATCH(E74,'Landbrugsareal - resultat'!$I$4:$K$4,0)))))),IF(C74=2019,SUMPRODUCT((B74='Landbrugsareal - resultat'!$B$5:$B$18)*(INDEX('Landbrugsareal - resultat'!$L$5:$N$18,,MATCH(E74,'Landbrugsareal - resultat'!$L$4:$N$4,0)))),IF(C74=2030,SUMPRODUCT((B74='Landbrugsareal - resultat'!$B$5:$B$18)*(INDEX('Landbrugsareal - resultat'!$O$5:$Q$18,,MATCH(E74,'Landbrugsareal - resultat'!$O$4:$Q$4,0)))),SUMPRODUCT((B74='Landbrugsareal - resultat'!$B$5:$B$18)*(INDEX('Landbrugsareal - resultat'!$R$5:$T$18,,MATCH(E74,'Landbrugsareal - resultat'!$R$4:$T$4,0))))))),IF(D74="Konventionel",IF(C74=2019,SUMPRODUCT((B74='Landbrugsareal - resultat'!$B$32:$B$45)*(INDEX('Landbrugsareal - resultat'!$C$32:$E$45,,MATCH(E74,'Landbrugsareal - resultat'!$C$4:$E$4,0)))),IF(C74=2030,SUMPRODUCT((B74='Landbrugsareal - resultat'!$B$32:$B$45)*(INDEX('Landbrugsareal - resultat'!$F$32:$H$45,,MATCH(E74,'Landbrugsareal - resultat'!$F$4:$H$4,0)))),SUMPRODUCT((B74='Landbrugsareal - resultat'!$B$32:$B$45)*(INDEX('Landbrugsareal - resultat'!$I$32:$K$45,,MATCH(E74,'Landbrugsareal - resultat'!$I$4:$K$4,0)))))),IF(C74=2019,SUMPRODUCT((B74='Landbrugsareal - resultat'!$B$32:$B$45)*(INDEX('Landbrugsareal - resultat'!$L$32:$N$45,,MATCH(E74,'Landbrugsareal - resultat'!$L$4:$N$4,0)))),IF(C74=2030,SUMPRODUCT((B74='Landbrugsareal - resultat'!$B$32:$B$45)*(INDEX('Landbrugsareal - resultat'!$O$32:$Q$45,,MATCH(E74,'Landbrugsareal - resultat'!$O$4:$Q$4,0)))),SUMPRODUCT((B74='Landbrugsareal - resultat'!$B$32:$B$45)*(INDEX('Landbrugsareal - resultat'!$R$32:$T$45,,MATCH(E74,'Landbrugsareal - resultat'!$R$4:$T$4,0))))))))</f>
        <v>18999.897328956435</v>
      </c>
      <c r="H74" s="172">
        <f>G74*VLOOKUP(B74,[1]Afgrødedata!$A$5:$F$18,2,FALSE)*IF(D74="Økologisk",VLOOKUP(B74,[1]Afgrødedata!$A$5:$F$18,4,FALSE),1)*IF(E74&lt;&gt;Jordbund1,IF(E74=Organ6,VLOOKUP(B74,[1]Afgrødedata!$A$5:$F$18,5,FALSE),VLOOKUP(B74,[1]Afgrødedata!$A$5:$F$18,6,FALSE)),1)*0.1</f>
        <v>45979.751536074575</v>
      </c>
      <c r="I74" s="172">
        <f>G74*VLOOKUP(B74,[1]Afgrødedata!$A$5:$F$18,3,FALSE)*IF(D74="Økologisk",VLOOKUP(B74,[1]Afgrødedata!$A$5:$F$18,4,FALSE),1)*IF(E74&lt;&gt;Jordbund1,IF(E74=Organ6,VLOOKUP(B74,[1]Afgrødedata!$A$5:$F$18,5,FALSE),VLOOKUP(B74,[1]Afgrødedata!$A$5:$F$18,6,FALSE)),1)*HLOOKUP(C74,Landbrug!$C$15:$E$17,2,FALSE)*HLOOKUP(C74,Landbrug!$C$15:$E$17,3,FALSE)*0.1</f>
        <v>24415.2480656556</v>
      </c>
      <c r="J74" s="76">
        <f t="shared" si="15"/>
        <v>24415.2480656556</v>
      </c>
    </row>
    <row r="75" spans="1:10" x14ac:dyDescent="0.55000000000000004">
      <c r="A75" t="s">
        <v>23</v>
      </c>
      <c r="B75" s="1" t="str">
        <f>[1]Afgrødefordeling!$C$5</f>
        <v>Græs</v>
      </c>
      <c r="C75">
        <v>2050</v>
      </c>
      <c r="D75" t="s">
        <v>8</v>
      </c>
      <c r="E75" s="172" t="str">
        <f t="shared" si="11"/>
        <v>JB1-10</v>
      </c>
      <c r="F75" t="str">
        <f t="shared" si="14"/>
        <v>Græs</v>
      </c>
      <c r="G75" s="76" cm="1">
        <f t="array" ref="G75">IF(A75="Vestdanmark",IF(D75="Konventionel",IF(C75=2019,SUMPRODUCT((B75='Landbrugsareal - resultat'!$B$5:$B$18)*(INDEX('Landbrugsareal - resultat'!$C$5:$E$18,,MATCH(E75,'Landbrugsareal - resultat'!$C$4:$E$4,0)))),IF(C75=2030,SUMPRODUCT((B75='Landbrugsareal - resultat'!$B$5:$B$18)*(INDEX('Landbrugsareal - resultat'!$F$5:$H$18,,MATCH(E75,'Landbrugsareal - resultat'!$F$4:$H$4,0)))),SUMPRODUCT((B75='Landbrugsareal - resultat'!$B$5:$B$18)*(INDEX('Landbrugsareal - resultat'!$I$5:$K$18,,MATCH(E75,'Landbrugsareal - resultat'!$I$4:$K$4,0)))))),IF(C75=2019,SUMPRODUCT((B75='Landbrugsareal - resultat'!$B$5:$B$18)*(INDEX('Landbrugsareal - resultat'!$L$5:$N$18,,MATCH(E75,'Landbrugsareal - resultat'!$L$4:$N$4,0)))),IF(C75=2030,SUMPRODUCT((B75='Landbrugsareal - resultat'!$B$5:$B$18)*(INDEX('Landbrugsareal - resultat'!$O$5:$Q$18,,MATCH(E75,'Landbrugsareal - resultat'!$O$4:$Q$4,0)))),SUMPRODUCT((B75='Landbrugsareal - resultat'!$B$5:$B$18)*(INDEX('Landbrugsareal - resultat'!$R$5:$T$18,,MATCH(E75,'Landbrugsareal - resultat'!$R$4:$T$4,0))))))),IF(D75="Konventionel",IF(C75=2019,SUMPRODUCT((B75='Landbrugsareal - resultat'!$B$32:$B$45)*(INDEX('Landbrugsareal - resultat'!$C$32:$E$45,,MATCH(E75,'Landbrugsareal - resultat'!$C$4:$E$4,0)))),IF(C75=2030,SUMPRODUCT((B75='Landbrugsareal - resultat'!$B$32:$B$45)*(INDEX('Landbrugsareal - resultat'!$F$32:$H$45,,MATCH(E75,'Landbrugsareal - resultat'!$F$4:$H$4,0)))),SUMPRODUCT((B75='Landbrugsareal - resultat'!$B$32:$B$45)*(INDEX('Landbrugsareal - resultat'!$I$32:$K$45,,MATCH(E75,'Landbrugsareal - resultat'!$I$4:$K$4,0)))))),IF(C75=2019,SUMPRODUCT((B75='Landbrugsareal - resultat'!$B$32:$B$45)*(INDEX('Landbrugsareal - resultat'!$L$32:$N$45,,MATCH(E75,'Landbrugsareal - resultat'!$L$4:$N$4,0)))),IF(C75=2030,SUMPRODUCT((B75='Landbrugsareal - resultat'!$B$32:$B$45)*(INDEX('Landbrugsareal - resultat'!$O$32:$Q$45,,MATCH(E75,'Landbrugsareal - resultat'!$O$4:$Q$4,0)))),SUMPRODUCT((B75='Landbrugsareal - resultat'!$B$32:$B$45)*(INDEX('Landbrugsareal - resultat'!$R$32:$T$45,,MATCH(E75,'Landbrugsareal - resultat'!$R$4:$T$4,0))))))))</f>
        <v>36226.828448864071</v>
      </c>
      <c r="H75" s="172">
        <f>G75*VLOOKUP(B75,[1]Afgrødedata!$A$5:$F$18,2,FALSE)*IF(D75="Økologisk",VLOOKUP(B75,[1]Afgrødedata!$A$5:$F$18,4,FALSE),1)*IF(E75&lt;&gt;Jordbund1,IF(E75=Organ6,VLOOKUP(B75,[1]Afgrødedata!$A$5:$F$18,5,FALSE),VLOOKUP(B75,[1]Afgrødedata!$A$5:$F$18,6,FALSE)),1)*0.1</f>
        <v>1402108.6775534553</v>
      </c>
      <c r="I75" s="172">
        <f>G75*VLOOKUP(B75,[1]Afgrødedata!$A$5:$F$18,3,FALSE)*IF(D75="Økologisk",VLOOKUP(B75,[1]Afgrødedata!$A$5:$F$18,4,FALSE),1)*IF(E75&lt;&gt;Jordbund1,IF(E75=Organ6,VLOOKUP(B75,[1]Afgrødedata!$A$5:$F$18,5,FALSE),VLOOKUP(B75,[1]Afgrødedata!$A$5:$F$18,6,FALSE)),1)*HLOOKUP(C75,Landbrug!$C$15:$E$17,2,FALSE)*HLOOKUP(C75,Landbrug!$C$15:$E$17,3,FALSE)*0.1</f>
        <v>0</v>
      </c>
      <c r="J75" s="76">
        <f t="shared" si="15"/>
        <v>1402108.6775534553</v>
      </c>
    </row>
    <row r="76" spans="1:10" x14ac:dyDescent="0.55000000000000004">
      <c r="A76" t="s">
        <v>23</v>
      </c>
      <c r="B76" s="1" t="str">
        <f>[1]Afgrødefordeling!$C$6</f>
        <v>Grøntsager</v>
      </c>
      <c r="C76">
        <v>2050</v>
      </c>
      <c r="D76" t="s">
        <v>8</v>
      </c>
      <c r="E76" s="172" t="str">
        <f t="shared" si="11"/>
        <v>JB1-10</v>
      </c>
      <c r="F76" t="str">
        <f t="shared" si="14"/>
        <v>Grøntsager</v>
      </c>
      <c r="G76" s="76" cm="1">
        <f t="array" ref="G76">IF(A76="Vestdanmark",IF(D76="Konventionel",IF(C76=2019,SUMPRODUCT((B76='Landbrugsareal - resultat'!$B$5:$B$18)*(INDEX('Landbrugsareal - resultat'!$C$5:$E$18,,MATCH(E76,'Landbrugsareal - resultat'!$C$4:$E$4,0)))),IF(C76=2030,SUMPRODUCT((B76='Landbrugsareal - resultat'!$B$5:$B$18)*(INDEX('Landbrugsareal - resultat'!$F$5:$H$18,,MATCH(E76,'Landbrugsareal - resultat'!$F$4:$H$4,0)))),SUMPRODUCT((B76='Landbrugsareal - resultat'!$B$5:$B$18)*(INDEX('Landbrugsareal - resultat'!$I$5:$K$18,,MATCH(E76,'Landbrugsareal - resultat'!$I$4:$K$4,0)))))),IF(C76=2019,SUMPRODUCT((B76='Landbrugsareal - resultat'!$B$5:$B$18)*(INDEX('Landbrugsareal - resultat'!$L$5:$N$18,,MATCH(E76,'Landbrugsareal - resultat'!$L$4:$N$4,0)))),IF(C76=2030,SUMPRODUCT((B76='Landbrugsareal - resultat'!$B$5:$B$18)*(INDEX('Landbrugsareal - resultat'!$O$5:$Q$18,,MATCH(E76,'Landbrugsareal - resultat'!$O$4:$Q$4,0)))),SUMPRODUCT((B76='Landbrugsareal - resultat'!$B$5:$B$18)*(INDEX('Landbrugsareal - resultat'!$R$5:$T$18,,MATCH(E76,'Landbrugsareal - resultat'!$R$4:$T$4,0))))))),IF(D76="Konventionel",IF(C76=2019,SUMPRODUCT((B76='Landbrugsareal - resultat'!$B$32:$B$45)*(INDEX('Landbrugsareal - resultat'!$C$32:$E$45,,MATCH(E76,'Landbrugsareal - resultat'!$C$4:$E$4,0)))),IF(C76=2030,SUMPRODUCT((B76='Landbrugsareal - resultat'!$B$32:$B$45)*(INDEX('Landbrugsareal - resultat'!$F$32:$H$45,,MATCH(E76,'Landbrugsareal - resultat'!$F$4:$H$4,0)))),SUMPRODUCT((B76='Landbrugsareal - resultat'!$B$32:$B$45)*(INDEX('Landbrugsareal - resultat'!$I$32:$K$45,,MATCH(E76,'Landbrugsareal - resultat'!$I$4:$K$4,0)))))),IF(C76=2019,SUMPRODUCT((B76='Landbrugsareal - resultat'!$B$32:$B$45)*(INDEX('Landbrugsareal - resultat'!$L$32:$N$45,,MATCH(E76,'Landbrugsareal - resultat'!$L$4:$N$4,0)))),IF(C76=2030,SUMPRODUCT((B76='Landbrugsareal - resultat'!$B$32:$B$45)*(INDEX('Landbrugsareal - resultat'!$O$32:$Q$45,,MATCH(E76,'Landbrugsareal - resultat'!$O$4:$Q$4,0)))),SUMPRODUCT((B76='Landbrugsareal - resultat'!$B$32:$B$45)*(INDEX('Landbrugsareal - resultat'!$R$32:$T$45,,MATCH(E76,'Landbrugsareal - resultat'!$R$4:$T$4,0))))))))</f>
        <v>1401.8958725869049</v>
      </c>
      <c r="H76" s="172">
        <f>G76*VLOOKUP(B76,[1]Afgrødedata!$A$5:$F$18,2,FALSE)*IF(D76="Økologisk",VLOOKUP(B76,[1]Afgrødedata!$A$5:$F$18,4,FALSE),1)*IF(E76&lt;&gt;Jordbund1,IF(E76=Organ6,VLOOKUP(B76,[1]Afgrødedata!$A$5:$F$18,5,FALSE),VLOOKUP(B76,[1]Afgrødedata!$A$5:$F$18,6,FALSE)),1)*0.1</f>
        <v>16580.923433021617</v>
      </c>
      <c r="I76" s="172">
        <f>G76*VLOOKUP(B76,[1]Afgrødedata!$A$5:$F$18,3,FALSE)*IF(D76="Økologisk",VLOOKUP(B76,[1]Afgrødedata!$A$5:$F$18,4,FALSE),1)*IF(E76&lt;&gt;Jordbund1,IF(E76=Organ6,VLOOKUP(B76,[1]Afgrødedata!$A$5:$F$18,5,FALSE),VLOOKUP(B76,[1]Afgrødedata!$A$5:$F$18,6,FALSE)),1)*HLOOKUP(C76,Landbrug!$C$15:$E$17,2,FALSE)*HLOOKUP(C76,Landbrug!$C$15:$E$17,3,FALSE)*0.1</f>
        <v>0</v>
      </c>
      <c r="J76" s="76">
        <f t="shared" si="15"/>
        <v>16580.923433021617</v>
      </c>
    </row>
    <row r="77" spans="1:10" x14ac:dyDescent="0.55000000000000004">
      <c r="A77" t="s">
        <v>23</v>
      </c>
      <c r="B77" s="1" t="str">
        <f>[1]Afgrødefordeling!$C$7</f>
        <v>Kartofler</v>
      </c>
      <c r="C77">
        <v>2050</v>
      </c>
      <c r="D77" t="s">
        <v>8</v>
      </c>
      <c r="E77" s="172" t="str">
        <f t="shared" si="11"/>
        <v>JB1-10</v>
      </c>
      <c r="F77" t="str">
        <f t="shared" si="14"/>
        <v>Kartofler</v>
      </c>
      <c r="G77" s="76" cm="1">
        <f t="array" ref="G77">IF(A77="Vestdanmark",IF(D77="Konventionel",IF(C77=2019,SUMPRODUCT((B77='Landbrugsareal - resultat'!$B$5:$B$18)*(INDEX('Landbrugsareal - resultat'!$C$5:$E$18,,MATCH(E77,'Landbrugsareal - resultat'!$C$4:$E$4,0)))),IF(C77=2030,SUMPRODUCT((B77='Landbrugsareal - resultat'!$B$5:$B$18)*(INDEX('Landbrugsareal - resultat'!$F$5:$H$18,,MATCH(E77,'Landbrugsareal - resultat'!$F$4:$H$4,0)))),SUMPRODUCT((B77='Landbrugsareal - resultat'!$B$5:$B$18)*(INDEX('Landbrugsareal - resultat'!$I$5:$K$18,,MATCH(E77,'Landbrugsareal - resultat'!$I$4:$K$4,0)))))),IF(C77=2019,SUMPRODUCT((B77='Landbrugsareal - resultat'!$B$5:$B$18)*(INDEX('Landbrugsareal - resultat'!$L$5:$N$18,,MATCH(E77,'Landbrugsareal - resultat'!$L$4:$N$4,0)))),IF(C77=2030,SUMPRODUCT((B77='Landbrugsareal - resultat'!$B$5:$B$18)*(INDEX('Landbrugsareal - resultat'!$O$5:$Q$18,,MATCH(E77,'Landbrugsareal - resultat'!$O$4:$Q$4,0)))),SUMPRODUCT((B77='Landbrugsareal - resultat'!$B$5:$B$18)*(INDEX('Landbrugsareal - resultat'!$R$5:$T$18,,MATCH(E77,'Landbrugsareal - resultat'!$R$4:$T$4,0))))))),IF(D77="Konventionel",IF(C77=2019,SUMPRODUCT((B77='Landbrugsareal - resultat'!$B$32:$B$45)*(INDEX('Landbrugsareal - resultat'!$C$32:$E$45,,MATCH(E77,'Landbrugsareal - resultat'!$C$4:$E$4,0)))),IF(C77=2030,SUMPRODUCT((B77='Landbrugsareal - resultat'!$B$32:$B$45)*(INDEX('Landbrugsareal - resultat'!$F$32:$H$45,,MATCH(E77,'Landbrugsareal - resultat'!$F$4:$H$4,0)))),SUMPRODUCT((B77='Landbrugsareal - resultat'!$B$32:$B$45)*(INDEX('Landbrugsareal - resultat'!$I$32:$K$45,,MATCH(E77,'Landbrugsareal - resultat'!$I$4:$K$4,0)))))),IF(C77=2019,SUMPRODUCT((B77='Landbrugsareal - resultat'!$B$32:$B$45)*(INDEX('Landbrugsareal - resultat'!$L$32:$N$45,,MATCH(E77,'Landbrugsareal - resultat'!$L$4:$N$4,0)))),IF(C77=2030,SUMPRODUCT((B77='Landbrugsareal - resultat'!$B$32:$B$45)*(INDEX('Landbrugsareal - resultat'!$O$32:$Q$45,,MATCH(E77,'Landbrugsareal - resultat'!$O$4:$Q$4,0)))),SUMPRODUCT((B77='Landbrugsareal - resultat'!$B$32:$B$45)*(INDEX('Landbrugsareal - resultat'!$R$32:$T$45,,MATCH(E77,'Landbrugsareal - resultat'!$R$4:$T$4,0))))))))</f>
        <v>8351.2717058427061</v>
      </c>
      <c r="H77" s="172">
        <f>G77*VLOOKUP(B77,[1]Afgrødedata!$A$5:$F$18,2,FALSE)*IF(D77="Økologisk",VLOOKUP(B77,[1]Afgrødedata!$A$5:$F$18,4,FALSE),1)*IF(E77&lt;&gt;Jordbund1,IF(E77=Organ6,VLOOKUP(B77,[1]Afgrødedata!$A$5:$F$18,5,FALSE),VLOOKUP(B77,[1]Afgrødedata!$A$5:$F$18,6,FALSE)),1)*0.1</f>
        <v>202171.03201161724</v>
      </c>
      <c r="I77" s="172">
        <f>G77*VLOOKUP(B77,[1]Afgrødedata!$A$5:$F$18,3,FALSE)*IF(D77="Økologisk",VLOOKUP(B77,[1]Afgrødedata!$A$5:$F$18,4,FALSE),1)*IF(E77&lt;&gt;Jordbund1,IF(E77=Organ6,VLOOKUP(B77,[1]Afgrødedata!$A$5:$F$18,5,FALSE),VLOOKUP(B77,[1]Afgrødedata!$A$5:$F$18,6,FALSE)),1)*HLOOKUP(C77,Landbrug!$C$15:$E$17,2,FALSE)*HLOOKUP(C77,Landbrug!$C$15:$E$17,3,FALSE)*0.1</f>
        <v>0</v>
      </c>
      <c r="J77" s="76">
        <f t="shared" si="15"/>
        <v>202171.03201161724</v>
      </c>
    </row>
    <row r="78" spans="1:10" x14ac:dyDescent="0.55000000000000004">
      <c r="A78" t="s">
        <v>23</v>
      </c>
      <c r="B78" s="1" t="str">
        <f>[1]Afgrødefordeling!$C$8</f>
        <v>Roer</v>
      </c>
      <c r="C78">
        <v>2050</v>
      </c>
      <c r="D78" t="s">
        <v>8</v>
      </c>
      <c r="E78" s="172" t="str">
        <f t="shared" si="11"/>
        <v>JB1-10</v>
      </c>
      <c r="F78" t="str">
        <f t="shared" si="14"/>
        <v>Roer</v>
      </c>
      <c r="G78" s="76" cm="1">
        <f t="array" ref="G78">IF(A78="Vestdanmark",IF(D78="Konventionel",IF(C78=2019,SUMPRODUCT((B78='Landbrugsareal - resultat'!$B$5:$B$18)*(INDEX('Landbrugsareal - resultat'!$C$5:$E$18,,MATCH(E78,'Landbrugsareal - resultat'!$C$4:$E$4,0)))),IF(C78=2030,SUMPRODUCT((B78='Landbrugsareal - resultat'!$B$5:$B$18)*(INDEX('Landbrugsareal - resultat'!$F$5:$H$18,,MATCH(E78,'Landbrugsareal - resultat'!$F$4:$H$4,0)))),SUMPRODUCT((B78='Landbrugsareal - resultat'!$B$5:$B$18)*(INDEX('Landbrugsareal - resultat'!$I$5:$K$18,,MATCH(E78,'Landbrugsareal - resultat'!$I$4:$K$4,0)))))),IF(C78=2019,SUMPRODUCT((B78='Landbrugsareal - resultat'!$B$5:$B$18)*(INDEX('Landbrugsareal - resultat'!$L$5:$N$18,,MATCH(E78,'Landbrugsareal - resultat'!$L$4:$N$4,0)))),IF(C78=2030,SUMPRODUCT((B78='Landbrugsareal - resultat'!$B$5:$B$18)*(INDEX('Landbrugsareal - resultat'!$O$5:$Q$18,,MATCH(E78,'Landbrugsareal - resultat'!$O$4:$Q$4,0)))),SUMPRODUCT((B78='Landbrugsareal - resultat'!$B$5:$B$18)*(INDEX('Landbrugsareal - resultat'!$R$5:$T$18,,MATCH(E78,'Landbrugsareal - resultat'!$R$4:$T$4,0))))))),IF(D78="Konventionel",IF(C78=2019,SUMPRODUCT((B78='Landbrugsareal - resultat'!$B$32:$B$45)*(INDEX('Landbrugsareal - resultat'!$C$32:$E$45,,MATCH(E78,'Landbrugsareal - resultat'!$C$4:$E$4,0)))),IF(C78=2030,SUMPRODUCT((B78='Landbrugsareal - resultat'!$B$32:$B$45)*(INDEX('Landbrugsareal - resultat'!$F$32:$H$45,,MATCH(E78,'Landbrugsareal - resultat'!$F$4:$H$4,0)))),SUMPRODUCT((B78='Landbrugsareal - resultat'!$B$32:$B$45)*(INDEX('Landbrugsareal - resultat'!$I$32:$K$45,,MATCH(E78,'Landbrugsareal - resultat'!$I$4:$K$4,0)))))),IF(C78=2019,SUMPRODUCT((B78='Landbrugsareal - resultat'!$B$32:$B$45)*(INDEX('Landbrugsareal - resultat'!$L$32:$N$45,,MATCH(E78,'Landbrugsareal - resultat'!$L$4:$N$4,0)))),IF(C78=2030,SUMPRODUCT((B78='Landbrugsareal - resultat'!$B$32:$B$45)*(INDEX('Landbrugsareal - resultat'!$O$32:$Q$45,,MATCH(E78,'Landbrugsareal - resultat'!$O$4:$Q$4,0)))),SUMPRODUCT((B78='Landbrugsareal - resultat'!$B$32:$B$45)*(INDEX('Landbrugsareal - resultat'!$R$32:$T$45,,MATCH(E78,'Landbrugsareal - resultat'!$R$4:$T$4,0))))))))</f>
        <v>815.25818506474513</v>
      </c>
      <c r="H78" s="172">
        <f>G78*VLOOKUP(B78,[1]Afgrødedata!$A$5:$F$18,2,FALSE)*IF(D78="Økologisk",VLOOKUP(B78,[1]Afgrødedata!$A$5:$F$18,4,FALSE),1)*IF(E78&lt;&gt;Jordbund1,IF(E78=Organ6,VLOOKUP(B78,[1]Afgrødedata!$A$5:$F$18,5,FALSE),VLOOKUP(B78,[1]Afgrødedata!$A$5:$F$18,6,FALSE)),1)*0.1</f>
        <v>37758.378640458337</v>
      </c>
      <c r="I78" s="172">
        <f>G78*VLOOKUP(B78,[1]Afgrødedata!$A$5:$F$18,3,FALSE)*IF(D78="Økologisk",VLOOKUP(B78,[1]Afgrødedata!$A$5:$F$18,4,FALSE),1)*IF(E78&lt;&gt;Jordbund1,IF(E78=Organ6,VLOOKUP(B78,[1]Afgrødedata!$A$5:$F$18,5,FALSE),VLOOKUP(B78,[1]Afgrødedata!$A$5:$F$18,6,FALSE)),1)*HLOOKUP(C78,Landbrug!$C$15:$E$17,2,FALSE)*HLOOKUP(C78,Landbrug!$C$15:$E$17,3,FALSE)*0.1</f>
        <v>0</v>
      </c>
      <c r="J78" s="76">
        <f t="shared" si="15"/>
        <v>37758.378640458337</v>
      </c>
    </row>
    <row r="79" spans="1:10" x14ac:dyDescent="0.55000000000000004">
      <c r="A79" t="s">
        <v>23</v>
      </c>
      <c r="B79" s="1" t="str">
        <f>[1]Afgrødefordeling!$C$9</f>
        <v>Majs</v>
      </c>
      <c r="C79">
        <v>2050</v>
      </c>
      <c r="D79" t="s">
        <v>8</v>
      </c>
      <c r="E79" s="172" t="str">
        <f t="shared" si="11"/>
        <v>JB1-10</v>
      </c>
      <c r="F79" t="str">
        <f t="shared" si="14"/>
        <v>Majs</v>
      </c>
      <c r="G79" s="76" cm="1">
        <f t="array" ref="G79">IF(A79="Vestdanmark",IF(D79="Konventionel",IF(C79=2019,SUMPRODUCT((B79='Landbrugsareal - resultat'!$B$5:$B$18)*(INDEX('Landbrugsareal - resultat'!$C$5:$E$18,,MATCH(E79,'Landbrugsareal - resultat'!$C$4:$E$4,0)))),IF(C79=2030,SUMPRODUCT((B79='Landbrugsareal - resultat'!$B$5:$B$18)*(INDEX('Landbrugsareal - resultat'!$F$5:$H$18,,MATCH(E79,'Landbrugsareal - resultat'!$F$4:$H$4,0)))),SUMPRODUCT((B79='Landbrugsareal - resultat'!$B$5:$B$18)*(INDEX('Landbrugsareal - resultat'!$I$5:$K$18,,MATCH(E79,'Landbrugsareal - resultat'!$I$4:$K$4,0)))))),IF(C79=2019,SUMPRODUCT((B79='Landbrugsareal - resultat'!$B$5:$B$18)*(INDEX('Landbrugsareal - resultat'!$L$5:$N$18,,MATCH(E79,'Landbrugsareal - resultat'!$L$4:$N$4,0)))),IF(C79=2030,SUMPRODUCT((B79='Landbrugsareal - resultat'!$B$5:$B$18)*(INDEX('Landbrugsareal - resultat'!$O$5:$Q$18,,MATCH(E79,'Landbrugsareal - resultat'!$O$4:$Q$4,0)))),SUMPRODUCT((B79='Landbrugsareal - resultat'!$B$5:$B$18)*(INDEX('Landbrugsareal - resultat'!$R$5:$T$18,,MATCH(E79,'Landbrugsareal - resultat'!$R$4:$T$4,0))))))),IF(D79="Konventionel",IF(C79=2019,SUMPRODUCT((B79='Landbrugsareal - resultat'!$B$32:$B$45)*(INDEX('Landbrugsareal - resultat'!$C$32:$E$45,,MATCH(E79,'Landbrugsareal - resultat'!$C$4:$E$4,0)))),IF(C79=2030,SUMPRODUCT((B79='Landbrugsareal - resultat'!$B$32:$B$45)*(INDEX('Landbrugsareal - resultat'!$F$32:$H$45,,MATCH(E79,'Landbrugsareal - resultat'!$F$4:$H$4,0)))),SUMPRODUCT((B79='Landbrugsareal - resultat'!$B$32:$B$45)*(INDEX('Landbrugsareal - resultat'!$I$32:$K$45,,MATCH(E79,'Landbrugsareal - resultat'!$I$4:$K$4,0)))))),IF(C79=2019,SUMPRODUCT((B79='Landbrugsareal - resultat'!$B$32:$B$45)*(INDEX('Landbrugsareal - resultat'!$L$32:$N$45,,MATCH(E79,'Landbrugsareal - resultat'!$L$4:$N$4,0)))),IF(C79=2030,SUMPRODUCT((B79='Landbrugsareal - resultat'!$B$32:$B$45)*(INDEX('Landbrugsareal - resultat'!$O$32:$Q$45,,MATCH(E79,'Landbrugsareal - resultat'!$O$4:$Q$4,0)))),SUMPRODUCT((B79='Landbrugsareal - resultat'!$B$32:$B$45)*(INDEX('Landbrugsareal - resultat'!$R$32:$T$45,,MATCH(E79,'Landbrugsareal - resultat'!$R$4:$T$4,0))))))))</f>
        <v>27918.194859631913</v>
      </c>
      <c r="H79" s="172">
        <f>G79*VLOOKUP(B79,[1]Afgrødedata!$A$5:$F$18,2,FALSE)*IF(D79="Økologisk",VLOOKUP(B79,[1]Afgrødedata!$A$5:$F$18,4,FALSE),1)*IF(E79&lt;&gt;Jordbund1,IF(E79=Organ6,VLOOKUP(B79,[1]Afgrødedata!$A$5:$F$18,5,FALSE),VLOOKUP(B79,[1]Afgrødedata!$A$5:$F$18,6,FALSE)),1)*0.1</f>
        <v>1031390.2481578398</v>
      </c>
      <c r="I79" s="172">
        <f>G79*VLOOKUP(B79,[1]Afgrødedata!$A$5:$F$18,3,FALSE)*IF(D79="Økologisk",VLOOKUP(B79,[1]Afgrødedata!$A$5:$F$18,4,FALSE),1)*IF(E79&lt;&gt;Jordbund1,IF(E79=Organ6,VLOOKUP(B79,[1]Afgrødedata!$A$5:$F$18,5,FALSE),VLOOKUP(B79,[1]Afgrødedata!$A$5:$F$18,6,FALSE)),1)*HLOOKUP(C79,Landbrug!$C$15:$E$17,2,FALSE)*HLOOKUP(C79,Landbrug!$C$15:$E$17,3,FALSE)*0.1</f>
        <v>0</v>
      </c>
      <c r="J79" s="76">
        <f t="shared" si="15"/>
        <v>1031390.2481578398</v>
      </c>
    </row>
    <row r="80" spans="1:10" x14ac:dyDescent="0.55000000000000004">
      <c r="A80" t="s">
        <v>23</v>
      </c>
      <c r="B80" s="1" t="str">
        <f>[1]Afgrødefordeling!$C$10</f>
        <v>Frugt</v>
      </c>
      <c r="C80">
        <v>2050</v>
      </c>
      <c r="D80" t="s">
        <v>8</v>
      </c>
      <c r="E80" s="172" t="str">
        <f t="shared" si="11"/>
        <v>JB1-10</v>
      </c>
      <c r="F80" t="str">
        <f t="shared" si="14"/>
        <v>Frugt</v>
      </c>
      <c r="G80" s="76" cm="1">
        <f t="array" ref="G80">IF(A80="Vestdanmark",IF(D80="Konventionel",IF(C80=2019,SUMPRODUCT((B80='Landbrugsareal - resultat'!$B$5:$B$18)*(INDEX('Landbrugsareal - resultat'!$C$5:$E$18,,MATCH(E80,'Landbrugsareal - resultat'!$C$4:$E$4,0)))),IF(C80=2030,SUMPRODUCT((B80='Landbrugsareal - resultat'!$B$5:$B$18)*(INDEX('Landbrugsareal - resultat'!$F$5:$H$18,,MATCH(E80,'Landbrugsareal - resultat'!$F$4:$H$4,0)))),SUMPRODUCT((B80='Landbrugsareal - resultat'!$B$5:$B$18)*(INDEX('Landbrugsareal - resultat'!$I$5:$K$18,,MATCH(E80,'Landbrugsareal - resultat'!$I$4:$K$4,0)))))),IF(C80=2019,SUMPRODUCT((B80='Landbrugsareal - resultat'!$B$5:$B$18)*(INDEX('Landbrugsareal - resultat'!$L$5:$N$18,,MATCH(E80,'Landbrugsareal - resultat'!$L$4:$N$4,0)))),IF(C80=2030,SUMPRODUCT((B80='Landbrugsareal - resultat'!$B$5:$B$18)*(INDEX('Landbrugsareal - resultat'!$O$5:$Q$18,,MATCH(E80,'Landbrugsareal - resultat'!$O$4:$Q$4,0)))),SUMPRODUCT((B80='Landbrugsareal - resultat'!$B$5:$B$18)*(INDEX('Landbrugsareal - resultat'!$R$5:$T$18,,MATCH(E80,'Landbrugsareal - resultat'!$R$4:$T$4,0))))))),IF(D80="Konventionel",IF(C80=2019,SUMPRODUCT((B80='Landbrugsareal - resultat'!$B$32:$B$45)*(INDEX('Landbrugsareal - resultat'!$C$32:$E$45,,MATCH(E80,'Landbrugsareal - resultat'!$C$4:$E$4,0)))),IF(C80=2030,SUMPRODUCT((B80='Landbrugsareal - resultat'!$B$32:$B$45)*(INDEX('Landbrugsareal - resultat'!$F$32:$H$45,,MATCH(E80,'Landbrugsareal - resultat'!$F$4:$H$4,0)))),SUMPRODUCT((B80='Landbrugsareal - resultat'!$B$32:$B$45)*(INDEX('Landbrugsareal - resultat'!$I$32:$K$45,,MATCH(E80,'Landbrugsareal - resultat'!$I$4:$K$4,0)))))),IF(C80=2019,SUMPRODUCT((B80='Landbrugsareal - resultat'!$B$32:$B$45)*(INDEX('Landbrugsareal - resultat'!$L$32:$N$45,,MATCH(E80,'Landbrugsareal - resultat'!$L$4:$N$4,0)))),IF(C80=2030,SUMPRODUCT((B80='Landbrugsareal - resultat'!$B$32:$B$45)*(INDEX('Landbrugsareal - resultat'!$O$32:$Q$45,,MATCH(E80,'Landbrugsareal - resultat'!$O$4:$Q$4,0)))),SUMPRODUCT((B80='Landbrugsareal - resultat'!$B$32:$B$45)*(INDEX('Landbrugsareal - resultat'!$R$32:$T$45,,MATCH(E80,'Landbrugsareal - resultat'!$R$4:$T$4,0))))))))</f>
        <v>513.00454214611455</v>
      </c>
      <c r="H80" s="172">
        <f>G80*VLOOKUP(B80,[1]Afgrødedata!$A$5:$F$18,2,FALSE)*IF(D80="Økologisk",VLOOKUP(B80,[1]Afgrødedata!$A$5:$F$18,4,FALSE),1)*IF(E80&lt;&gt;Jordbund1,IF(E80=Organ6,VLOOKUP(B80,[1]Afgrødedata!$A$5:$F$18,5,FALSE),VLOOKUP(B80,[1]Afgrødedata!$A$5:$F$18,6,FALSE)),1)*0.1</f>
        <v>2482.5828808076922</v>
      </c>
      <c r="I80" s="172">
        <f>G80*VLOOKUP(B80,[1]Afgrødedata!$A$5:$F$18,3,FALSE)*IF(D80="Økologisk",VLOOKUP(B80,[1]Afgrødedata!$A$5:$F$18,4,FALSE),1)*IF(E80&lt;&gt;Jordbund1,IF(E80=Organ6,VLOOKUP(B80,[1]Afgrødedata!$A$5:$F$18,5,FALSE),VLOOKUP(B80,[1]Afgrødedata!$A$5:$F$18,6,FALSE)),1)*HLOOKUP(C80,Landbrug!$C$15:$E$17,2,FALSE)*HLOOKUP(C80,Landbrug!$C$15:$E$17,3,FALSE)*0.1</f>
        <v>0</v>
      </c>
      <c r="J80" s="76">
        <f t="shared" si="15"/>
        <v>2482.5828808076922</v>
      </c>
    </row>
    <row r="81" spans="1:10" x14ac:dyDescent="0.55000000000000004">
      <c r="A81" t="s">
        <v>23</v>
      </c>
      <c r="B81" s="1" t="str">
        <f>[1]Afgrødefordeling!$C$11</f>
        <v>Øvrige</v>
      </c>
      <c r="C81">
        <v>2050</v>
      </c>
      <c r="D81" t="s">
        <v>8</v>
      </c>
      <c r="E81" s="172" t="str">
        <f t="shared" si="11"/>
        <v>JB1-10</v>
      </c>
      <c r="F81" t="str">
        <f t="shared" si="14"/>
        <v>Øvrige</v>
      </c>
      <c r="G81" s="76" cm="1">
        <f t="array" ref="G81">IF(A81="Vestdanmark",IF(D81="Konventionel",IF(C81=2019,SUMPRODUCT((B81='Landbrugsareal - resultat'!$B$5:$B$18)*(INDEX('Landbrugsareal - resultat'!$C$5:$E$18,,MATCH(E81,'Landbrugsareal - resultat'!$C$4:$E$4,0)))),IF(C81=2030,SUMPRODUCT((B81='Landbrugsareal - resultat'!$B$5:$B$18)*(INDEX('Landbrugsareal - resultat'!$F$5:$H$18,,MATCH(E81,'Landbrugsareal - resultat'!$F$4:$H$4,0)))),SUMPRODUCT((B81='Landbrugsareal - resultat'!$B$5:$B$18)*(INDEX('Landbrugsareal - resultat'!$I$5:$K$18,,MATCH(E81,'Landbrugsareal - resultat'!$I$4:$K$4,0)))))),IF(C81=2019,SUMPRODUCT((B81='Landbrugsareal - resultat'!$B$5:$B$18)*(INDEX('Landbrugsareal - resultat'!$L$5:$N$18,,MATCH(E81,'Landbrugsareal - resultat'!$L$4:$N$4,0)))),IF(C81=2030,SUMPRODUCT((B81='Landbrugsareal - resultat'!$B$5:$B$18)*(INDEX('Landbrugsareal - resultat'!$O$5:$Q$18,,MATCH(E81,'Landbrugsareal - resultat'!$O$4:$Q$4,0)))),SUMPRODUCT((B81='Landbrugsareal - resultat'!$B$5:$B$18)*(INDEX('Landbrugsareal - resultat'!$R$5:$T$18,,MATCH(E81,'Landbrugsareal - resultat'!$R$4:$T$4,0))))))),IF(D81="Konventionel",IF(C81=2019,SUMPRODUCT((B81='Landbrugsareal - resultat'!$B$32:$B$45)*(INDEX('Landbrugsareal - resultat'!$C$32:$E$45,,MATCH(E81,'Landbrugsareal - resultat'!$C$4:$E$4,0)))),IF(C81=2030,SUMPRODUCT((B81='Landbrugsareal - resultat'!$B$32:$B$45)*(INDEX('Landbrugsareal - resultat'!$F$32:$H$45,,MATCH(E81,'Landbrugsareal - resultat'!$F$4:$H$4,0)))),SUMPRODUCT((B81='Landbrugsareal - resultat'!$B$32:$B$45)*(INDEX('Landbrugsareal - resultat'!$I$32:$K$45,,MATCH(E81,'Landbrugsareal - resultat'!$I$4:$K$4,0)))))),IF(C81=2019,SUMPRODUCT((B81='Landbrugsareal - resultat'!$B$32:$B$45)*(INDEX('Landbrugsareal - resultat'!$L$32:$N$45,,MATCH(E81,'Landbrugsareal - resultat'!$L$4:$N$4,0)))),IF(C81=2030,SUMPRODUCT((B81='Landbrugsareal - resultat'!$B$32:$B$45)*(INDEX('Landbrugsareal - resultat'!$O$32:$Q$45,,MATCH(E81,'Landbrugsareal - resultat'!$O$4:$Q$4,0)))),SUMPRODUCT((B81='Landbrugsareal - resultat'!$B$32:$B$45)*(INDEX('Landbrugsareal - resultat'!$R$32:$T$45,,MATCH(E81,'Landbrugsareal - resultat'!$R$4:$T$4,0))))))))</f>
        <v>9072.9477468623863</v>
      </c>
      <c r="H81" s="172">
        <f>G81*VLOOKUP(B81,[1]Afgrødedata!$A$5:$F$18,2,FALSE)*IF(D81="Økologisk",VLOOKUP(B81,[1]Afgrødedata!$A$5:$F$18,4,FALSE),1)*IF(E81&lt;&gt;Jordbund1,IF(E81=Organ6,VLOOKUP(B81,[1]Afgrødedata!$A$5:$F$18,5,FALSE),VLOOKUP(B81,[1]Afgrødedata!$A$5:$F$18,6,FALSE)),1)*0.1</f>
        <v>154092.11195539558</v>
      </c>
      <c r="I81" s="172">
        <f>G81*VLOOKUP(B81,[1]Afgrødedata!$A$5:$F$18,3,FALSE)*IF(D81="Økologisk",VLOOKUP(B81,[1]Afgrødedata!$A$5:$F$18,4,FALSE),1)*IF(E81&lt;&gt;Jordbund1,IF(E81=Organ6,VLOOKUP(B81,[1]Afgrødedata!$A$5:$F$18,5,FALSE),VLOOKUP(B81,[1]Afgrødedata!$A$5:$F$18,6,FALSE)),1)*HLOOKUP(C81,Landbrug!$C$15:$E$17,2,FALSE)*HLOOKUP(C81,Landbrug!$C$15:$E$17,3,FALSE)*0.1</f>
        <v>0</v>
      </c>
      <c r="J81" s="76">
        <f t="shared" si="15"/>
        <v>154092.11195539558</v>
      </c>
    </row>
    <row r="82" spans="1:10" x14ac:dyDescent="0.55000000000000004">
      <c r="A82" t="s">
        <v>23</v>
      </c>
      <c r="B82" s="1" t="str">
        <f>[1]Afgrødefordeling!$C$12</f>
        <v>Frø</v>
      </c>
      <c r="C82">
        <v>2050</v>
      </c>
      <c r="D82" t="s">
        <v>8</v>
      </c>
      <c r="E82" s="172" t="str">
        <f t="shared" si="11"/>
        <v>JB1-10</v>
      </c>
      <c r="F82" t="str">
        <f t="shared" si="14"/>
        <v>Halm</v>
      </c>
      <c r="G82" s="76" cm="1">
        <f t="array" ref="G82">IF(A82="Vestdanmark",IF(D82="Konventionel",IF(C82=2019,SUMPRODUCT((B82='Landbrugsareal - resultat'!$B$5:$B$18)*(INDEX('Landbrugsareal - resultat'!$C$5:$E$18,,MATCH(E82,'Landbrugsareal - resultat'!$C$4:$E$4,0)))),IF(C82=2030,SUMPRODUCT((B82='Landbrugsareal - resultat'!$B$5:$B$18)*(INDEX('Landbrugsareal - resultat'!$F$5:$H$18,,MATCH(E82,'Landbrugsareal - resultat'!$F$4:$H$4,0)))),SUMPRODUCT((B82='Landbrugsareal - resultat'!$B$5:$B$18)*(INDEX('Landbrugsareal - resultat'!$I$5:$K$18,,MATCH(E82,'Landbrugsareal - resultat'!$I$4:$K$4,0)))))),IF(C82=2019,SUMPRODUCT((B82='Landbrugsareal - resultat'!$B$5:$B$18)*(INDEX('Landbrugsareal - resultat'!$L$5:$N$18,,MATCH(E82,'Landbrugsareal - resultat'!$L$4:$N$4,0)))),IF(C82=2030,SUMPRODUCT((B82='Landbrugsareal - resultat'!$B$5:$B$18)*(INDEX('Landbrugsareal - resultat'!$O$5:$Q$18,,MATCH(E82,'Landbrugsareal - resultat'!$O$4:$Q$4,0)))),SUMPRODUCT((B82='Landbrugsareal - resultat'!$B$5:$B$18)*(INDEX('Landbrugsareal - resultat'!$R$5:$T$18,,MATCH(E82,'Landbrugsareal - resultat'!$R$4:$T$4,0))))))),IF(D82="Konventionel",IF(C82=2019,SUMPRODUCT((B82='Landbrugsareal - resultat'!$B$32:$B$45)*(INDEX('Landbrugsareal - resultat'!$C$32:$E$45,,MATCH(E82,'Landbrugsareal - resultat'!$C$4:$E$4,0)))),IF(C82=2030,SUMPRODUCT((B82='Landbrugsareal - resultat'!$B$32:$B$45)*(INDEX('Landbrugsareal - resultat'!$F$32:$H$45,,MATCH(E82,'Landbrugsareal - resultat'!$F$4:$H$4,0)))),SUMPRODUCT((B82='Landbrugsareal - resultat'!$B$32:$B$45)*(INDEX('Landbrugsareal - resultat'!$I$32:$K$45,,MATCH(E82,'Landbrugsareal - resultat'!$I$4:$K$4,0)))))),IF(C82=2019,SUMPRODUCT((B82='Landbrugsareal - resultat'!$B$32:$B$45)*(INDEX('Landbrugsareal - resultat'!$L$32:$N$45,,MATCH(E82,'Landbrugsareal - resultat'!$L$4:$N$4,0)))),IF(C82=2030,SUMPRODUCT((B82='Landbrugsareal - resultat'!$B$32:$B$45)*(INDEX('Landbrugsareal - resultat'!$O$32:$Q$45,,MATCH(E82,'Landbrugsareal - resultat'!$O$4:$Q$4,0)))),SUMPRODUCT((B82='Landbrugsareal - resultat'!$B$32:$B$45)*(INDEX('Landbrugsareal - resultat'!$R$32:$T$45,,MATCH(E82,'Landbrugsareal - resultat'!$R$4:$T$4,0))))))))</f>
        <v>9543.9430852141104</v>
      </c>
      <c r="H82" s="172">
        <f>G82*VLOOKUP(B82,[1]Afgrødedata!$A$5:$F$18,2,FALSE)*IF(D82="Økologisk",VLOOKUP(B82,[1]Afgrødedata!$A$5:$F$18,4,FALSE),1)*IF(E82&lt;&gt;Jordbund1,IF(E82=Organ6,VLOOKUP(B82,[1]Afgrødedata!$A$5:$F$18,5,FALSE),VLOOKUP(B82,[1]Afgrødedata!$A$5:$F$18,6,FALSE)),1)*0.1</f>
        <v>77732.082089459407</v>
      </c>
      <c r="I82" s="172">
        <f>G82*VLOOKUP(B82,[1]Afgrødedata!$A$5:$F$18,3,FALSE)*IF(D82="Økologisk",VLOOKUP(B82,[1]Afgrødedata!$A$5:$F$18,4,FALSE),1)*IF(E82&lt;&gt;Jordbund1,IF(E82=Organ6,VLOOKUP(B82,[1]Afgrødedata!$A$5:$F$18,5,FALSE),VLOOKUP(B82,[1]Afgrødedata!$A$5:$F$18,6,FALSE)),1)*HLOOKUP(C82,Landbrug!$C$15:$E$17,2,FALSE)*HLOOKUP(C82,Landbrug!$C$15:$E$17,3,FALSE)*0.1</f>
        <v>12838.51223823002</v>
      </c>
      <c r="J82" s="76">
        <f t="shared" si="15"/>
        <v>12838.51223823002</v>
      </c>
    </row>
    <row r="83" spans="1:10" x14ac:dyDescent="0.55000000000000004">
      <c r="A83" t="s">
        <v>23</v>
      </c>
      <c r="B83" s="1" t="str">
        <f>[1]Afgrødefordeling!$C$13</f>
        <v>Juletræer</v>
      </c>
      <c r="C83">
        <v>2050</v>
      </c>
      <c r="D83" t="s">
        <v>8</v>
      </c>
      <c r="E83" s="172" t="str">
        <f t="shared" si="11"/>
        <v>JB1-10</v>
      </c>
      <c r="F83" t="str">
        <f t="shared" si="14"/>
        <v>Juletræer</v>
      </c>
      <c r="G83" s="76" cm="1">
        <f t="array" ref="G83">IF(A83="Vestdanmark",IF(D83="Konventionel",IF(C83=2019,SUMPRODUCT((B83='Landbrugsareal - resultat'!$B$5:$B$18)*(INDEX('Landbrugsareal - resultat'!$C$5:$E$18,,MATCH(E83,'Landbrugsareal - resultat'!$C$4:$E$4,0)))),IF(C83=2030,SUMPRODUCT((B83='Landbrugsareal - resultat'!$B$5:$B$18)*(INDEX('Landbrugsareal - resultat'!$F$5:$H$18,,MATCH(E83,'Landbrugsareal - resultat'!$F$4:$H$4,0)))),SUMPRODUCT((B83='Landbrugsareal - resultat'!$B$5:$B$18)*(INDEX('Landbrugsareal - resultat'!$I$5:$K$18,,MATCH(E83,'Landbrugsareal - resultat'!$I$4:$K$4,0)))))),IF(C83=2019,SUMPRODUCT((B83='Landbrugsareal - resultat'!$B$5:$B$18)*(INDEX('Landbrugsareal - resultat'!$L$5:$N$18,,MATCH(E83,'Landbrugsareal - resultat'!$L$4:$N$4,0)))),IF(C83=2030,SUMPRODUCT((B83='Landbrugsareal - resultat'!$B$5:$B$18)*(INDEX('Landbrugsareal - resultat'!$O$5:$Q$18,,MATCH(E83,'Landbrugsareal - resultat'!$O$4:$Q$4,0)))),SUMPRODUCT((B83='Landbrugsareal - resultat'!$B$5:$B$18)*(INDEX('Landbrugsareal - resultat'!$R$5:$T$18,,MATCH(E83,'Landbrugsareal - resultat'!$R$4:$T$4,0))))))),IF(D83="Konventionel",IF(C83=2019,SUMPRODUCT((B83='Landbrugsareal - resultat'!$B$32:$B$45)*(INDEX('Landbrugsareal - resultat'!$C$32:$E$45,,MATCH(E83,'Landbrugsareal - resultat'!$C$4:$E$4,0)))),IF(C83=2030,SUMPRODUCT((B83='Landbrugsareal - resultat'!$B$32:$B$45)*(INDEX('Landbrugsareal - resultat'!$F$32:$H$45,,MATCH(E83,'Landbrugsareal - resultat'!$F$4:$H$4,0)))),SUMPRODUCT((B83='Landbrugsareal - resultat'!$B$32:$B$45)*(INDEX('Landbrugsareal - resultat'!$I$32:$K$45,,MATCH(E83,'Landbrugsareal - resultat'!$I$4:$K$4,0)))))),IF(C83=2019,SUMPRODUCT((B83='Landbrugsareal - resultat'!$B$32:$B$45)*(INDEX('Landbrugsareal - resultat'!$L$32:$N$45,,MATCH(E83,'Landbrugsareal - resultat'!$L$4:$N$4,0)))),IF(C83=2030,SUMPRODUCT((B83='Landbrugsareal - resultat'!$B$32:$B$45)*(INDEX('Landbrugsareal - resultat'!$O$32:$Q$45,,MATCH(E83,'Landbrugsareal - resultat'!$O$4:$Q$4,0)))),SUMPRODUCT((B83='Landbrugsareal - resultat'!$B$32:$B$45)*(INDEX('Landbrugsareal - resultat'!$R$32:$T$45,,MATCH(E83,'Landbrugsareal - resultat'!$R$4:$T$4,0))))))))</f>
        <v>2572.9968745981287</v>
      </c>
      <c r="H83" s="172">
        <f>G83*VLOOKUP(B83,[1]Afgrødedata!$A$5:$F$18,2,FALSE)*IF(D83="Økologisk",VLOOKUP(B83,[1]Afgrødedata!$A$5:$F$18,4,FALSE),1)*IF(E83&lt;&gt;Jordbund1,IF(E83=Organ6,VLOOKUP(B83,[1]Afgrødedata!$A$5:$F$18,5,FALSE),VLOOKUP(B83,[1]Afgrødedata!$A$5:$F$18,6,FALSE)),1)*0.1</f>
        <v>73330.410926046665</v>
      </c>
      <c r="I83" s="172">
        <f>G83*VLOOKUP(B83,[1]Afgrødedata!$A$5:$F$18,3,FALSE)*IF(D83="Økologisk",VLOOKUP(B83,[1]Afgrødedata!$A$5:$F$18,4,FALSE),1)*IF(E83&lt;&gt;Jordbund1,IF(E83=Organ6,VLOOKUP(B83,[1]Afgrødedata!$A$5:$F$18,5,FALSE),VLOOKUP(B83,[1]Afgrødedata!$A$5:$F$18,6,FALSE)),1)*HLOOKUP(C83,Landbrug!$C$15:$E$17,2,FALSE)*HLOOKUP(C83,Landbrug!$C$15:$E$17,3,FALSE)*0.1</f>
        <v>0</v>
      </c>
      <c r="J83" s="76">
        <f t="shared" si="15"/>
        <v>73330.410926046665</v>
      </c>
    </row>
    <row r="84" spans="1:10" x14ac:dyDescent="0.55000000000000004">
      <c r="A84" t="s">
        <v>23</v>
      </c>
      <c r="B84" s="1" t="str">
        <f>[1]Afgrødefordeling!$C$14</f>
        <v>Pil &amp; poppel</v>
      </c>
      <c r="C84">
        <v>2050</v>
      </c>
      <c r="D84" t="s">
        <v>8</v>
      </c>
      <c r="E84" s="172" t="str">
        <f t="shared" si="11"/>
        <v>JB1-10</v>
      </c>
      <c r="F84" t="str">
        <f t="shared" ref="F84" si="16">IF(I84&lt;&gt;0,"Halm",IF(B84&lt;&gt;"Permanent græs",B84,"Græs"))</f>
        <v>Pil &amp; poppel</v>
      </c>
      <c r="G84" s="76" cm="1">
        <f t="array" ref="G84">IF(A84="Vestdanmark",IF(D84="Konventionel",IF(C84=2019,SUMPRODUCT((B84='Landbrugsareal - resultat'!$B$5:$B$18)*(INDEX('Landbrugsareal - resultat'!$C$5:$E$18,,MATCH(E84,'Landbrugsareal - resultat'!$C$4:$E$4,0)))),IF(C84=2030,SUMPRODUCT((B84='Landbrugsareal - resultat'!$B$5:$B$18)*(INDEX('Landbrugsareal - resultat'!$F$5:$H$18,,MATCH(E84,'Landbrugsareal - resultat'!$F$4:$H$4,0)))),SUMPRODUCT((B84='Landbrugsareal - resultat'!$B$5:$B$18)*(INDEX('Landbrugsareal - resultat'!$I$5:$K$18,,MATCH(E84,'Landbrugsareal - resultat'!$I$4:$K$4,0)))))),IF(C84=2019,SUMPRODUCT((B84='Landbrugsareal - resultat'!$B$5:$B$18)*(INDEX('Landbrugsareal - resultat'!$L$5:$N$18,,MATCH(E84,'Landbrugsareal - resultat'!$L$4:$N$4,0)))),IF(C84=2030,SUMPRODUCT((B84='Landbrugsareal - resultat'!$B$5:$B$18)*(INDEX('Landbrugsareal - resultat'!$O$5:$Q$18,,MATCH(E84,'Landbrugsareal - resultat'!$O$4:$Q$4,0)))),SUMPRODUCT((B84='Landbrugsareal - resultat'!$B$5:$B$18)*(INDEX('Landbrugsareal - resultat'!$R$5:$T$18,,MATCH(E84,'Landbrugsareal - resultat'!$R$4:$T$4,0))))))),IF(D84="Konventionel",IF(C84=2019,SUMPRODUCT((B84='Landbrugsareal - resultat'!$B$32:$B$45)*(INDEX('Landbrugsareal - resultat'!$C$32:$E$45,,MATCH(E84,'Landbrugsareal - resultat'!$C$4:$E$4,0)))),IF(C84=2030,SUMPRODUCT((B84='Landbrugsareal - resultat'!$B$32:$B$45)*(INDEX('Landbrugsareal - resultat'!$F$32:$H$45,,MATCH(E84,'Landbrugsareal - resultat'!$F$4:$H$4,0)))),SUMPRODUCT((B84='Landbrugsareal - resultat'!$B$32:$B$45)*(INDEX('Landbrugsareal - resultat'!$I$32:$K$45,,MATCH(E84,'Landbrugsareal - resultat'!$I$4:$K$4,0)))))),IF(C84=2019,SUMPRODUCT((B84='Landbrugsareal - resultat'!$B$32:$B$45)*(INDEX('Landbrugsareal - resultat'!$L$32:$N$45,,MATCH(E84,'Landbrugsareal - resultat'!$L$4:$N$4,0)))),IF(C84=2030,SUMPRODUCT((B84='Landbrugsareal - resultat'!$B$32:$B$45)*(INDEX('Landbrugsareal - resultat'!$O$32:$Q$45,,MATCH(E84,'Landbrugsareal - resultat'!$O$4:$Q$4,0)))),SUMPRODUCT((B84='Landbrugsareal - resultat'!$B$32:$B$45)*(INDEX('Landbrugsareal - resultat'!$R$32:$T$45,,MATCH(E84,'Landbrugsareal - resultat'!$R$4:$T$4,0))))))))</f>
        <v>946.43080475494912</v>
      </c>
      <c r="H84" s="172">
        <f>G84*VLOOKUP(B84,[1]Afgrødedata!$A$5:$F$18,2,FALSE)*IF(D84="Økologisk",VLOOKUP(B84,[1]Afgrødedata!$A$5:$F$18,4,FALSE),1)*IF(E84&lt;&gt;Jordbund1,IF(E84=Organ6,VLOOKUP(B84,[1]Afgrødedata!$A$5:$F$18,5,FALSE),VLOOKUP(B84,[1]Afgrødedata!$A$5:$F$18,6,FALSE)),1)*0.1</f>
        <v>13157.696553910268</v>
      </c>
      <c r="I84" s="172">
        <f>G84*VLOOKUP(B84,[1]Afgrødedata!$A$5:$F$18,3,FALSE)*IF(D84="Økologisk",VLOOKUP(B84,[1]Afgrødedata!$A$5:$F$18,4,FALSE),1)*IF(E84&lt;&gt;Jordbund1,IF(E84=Organ6,VLOOKUP(B84,[1]Afgrødedata!$A$5:$F$18,5,FALSE),VLOOKUP(B84,[1]Afgrødedata!$A$5:$F$18,6,FALSE)),1)*HLOOKUP(C84,Landbrug!$C$15:$E$17,2,FALSE)*HLOOKUP(C84,Landbrug!$C$15:$E$17,3,FALSE)*0.1</f>
        <v>0</v>
      </c>
      <c r="J84" s="76">
        <f t="shared" ref="J84" si="17">IF(I84&lt;&gt;0,I84,H84)</f>
        <v>13157.696553910268</v>
      </c>
    </row>
    <row r="85" spans="1:10" x14ac:dyDescent="0.55000000000000004">
      <c r="A85" t="s">
        <v>23</v>
      </c>
      <c r="B85" s="1" t="str">
        <f>[1]Afgrødefordeling!$C$15</f>
        <v>Permanent græs</v>
      </c>
      <c r="C85">
        <v>2050</v>
      </c>
      <c r="D85" t="s">
        <v>8</v>
      </c>
      <c r="E85" s="172" t="str">
        <f t="shared" si="11"/>
        <v>JB1-10</v>
      </c>
      <c r="F85" t="str">
        <f t="shared" si="14"/>
        <v>Græs</v>
      </c>
      <c r="G85" s="76" cm="1">
        <f t="array" ref="G85">IF(A85="Vestdanmark",IF(D85="Konventionel",IF(C85=2019,SUMPRODUCT((B85='Landbrugsareal - resultat'!$B$5:$B$18)*(INDEX('Landbrugsareal - resultat'!$C$5:$E$18,,MATCH(E85,'Landbrugsareal - resultat'!$C$4:$E$4,0)))),IF(C85=2030,SUMPRODUCT((B85='Landbrugsareal - resultat'!$B$5:$B$18)*(INDEX('Landbrugsareal - resultat'!$F$5:$H$18,,MATCH(E85,'Landbrugsareal - resultat'!$F$4:$H$4,0)))),SUMPRODUCT((B85='Landbrugsareal - resultat'!$B$5:$B$18)*(INDEX('Landbrugsareal - resultat'!$I$5:$K$18,,MATCH(E85,'Landbrugsareal - resultat'!$I$4:$K$4,0)))))),IF(C85=2019,SUMPRODUCT((B85='Landbrugsareal - resultat'!$B$5:$B$18)*(INDEX('Landbrugsareal - resultat'!$L$5:$N$18,,MATCH(E85,'Landbrugsareal - resultat'!$L$4:$N$4,0)))),IF(C85=2030,SUMPRODUCT((B85='Landbrugsareal - resultat'!$B$5:$B$18)*(INDEX('Landbrugsareal - resultat'!$O$5:$Q$18,,MATCH(E85,'Landbrugsareal - resultat'!$O$4:$Q$4,0)))),SUMPRODUCT((B85='Landbrugsareal - resultat'!$B$5:$B$18)*(INDEX('Landbrugsareal - resultat'!$R$5:$T$18,,MATCH(E85,'Landbrugsareal - resultat'!$R$4:$T$4,0))))))),IF(D85="Konventionel",IF(C85=2019,SUMPRODUCT((B85='Landbrugsareal - resultat'!$B$32:$B$45)*(INDEX('Landbrugsareal - resultat'!$C$32:$E$45,,MATCH(E85,'Landbrugsareal - resultat'!$C$4:$E$4,0)))),IF(C85=2030,SUMPRODUCT((B85='Landbrugsareal - resultat'!$B$32:$B$45)*(INDEX('Landbrugsareal - resultat'!$F$32:$H$45,,MATCH(E85,'Landbrugsareal - resultat'!$F$4:$H$4,0)))),SUMPRODUCT((B85='Landbrugsareal - resultat'!$B$32:$B$45)*(INDEX('Landbrugsareal - resultat'!$I$32:$K$45,,MATCH(E85,'Landbrugsareal - resultat'!$I$4:$K$4,0)))))),IF(C85=2019,SUMPRODUCT((B85='Landbrugsareal - resultat'!$B$32:$B$45)*(INDEX('Landbrugsareal - resultat'!$L$32:$N$45,,MATCH(E85,'Landbrugsareal - resultat'!$L$4:$N$4,0)))),IF(C85=2030,SUMPRODUCT((B85='Landbrugsareal - resultat'!$B$32:$B$45)*(INDEX('Landbrugsareal - resultat'!$O$32:$Q$45,,MATCH(E85,'Landbrugsareal - resultat'!$O$4:$Q$4,0)))),SUMPRODUCT((B85='Landbrugsareal - resultat'!$B$32:$B$45)*(INDEX('Landbrugsareal - resultat'!$R$32:$T$45,,MATCH(E85,'Landbrugsareal - resultat'!$R$4:$T$4,0))))))))</f>
        <v>22812.325077772828</v>
      </c>
      <c r="H85" s="172">
        <f>G85*VLOOKUP(B85,[1]Afgrødedata!$A$5:$F$18,2,FALSE)*IF(D85="Økologisk",VLOOKUP(B85,[1]Afgrødedata!$A$5:$F$18,4,FALSE),1)*IF(E85&lt;&gt;Jordbund1,IF(E85=Organ6,VLOOKUP(B85,[1]Afgrødedata!$A$5:$F$18,5,FALSE),VLOOKUP(B85,[1]Afgrødedata!$A$5:$F$18,6,FALSE)),1)*0.1</f>
        <v>314581.96282248734</v>
      </c>
      <c r="I85" s="172">
        <f>G85*VLOOKUP(B85,[1]Afgrødedata!$A$5:$F$18,3,FALSE)*IF(D85="Økologisk",VLOOKUP(B85,[1]Afgrødedata!$A$5:$F$18,4,FALSE),1)*IF(E85&lt;&gt;Jordbund1,IF(E85=Organ6,VLOOKUP(B85,[1]Afgrødedata!$A$5:$F$18,5,FALSE),VLOOKUP(B85,[1]Afgrødedata!$A$5:$F$18,6,FALSE)),1)*HLOOKUP(C85,Landbrug!$C$15:$E$17,2,FALSE)*HLOOKUP(C85,Landbrug!$C$15:$E$17,3,FALSE)*0.1</f>
        <v>0</v>
      </c>
      <c r="J85" s="76">
        <f t="shared" si="15"/>
        <v>314581.96282248734</v>
      </c>
    </row>
    <row r="86" spans="1:10" x14ac:dyDescent="0.55000000000000004">
      <c r="A86" t="s">
        <v>23</v>
      </c>
      <c r="B86" s="1" t="str">
        <f>[1]Afgrødefordeling!$C$2</f>
        <v>Korn</v>
      </c>
      <c r="C86">
        <v>2019</v>
      </c>
      <c r="D86" t="s">
        <v>7</v>
      </c>
      <c r="E86" s="172" t="str">
        <f t="shared" ref="E86:E117" si="18">Organ6</f>
        <v>OC6</v>
      </c>
      <c r="F86" t="str">
        <f t="shared" si="14"/>
        <v>Halm</v>
      </c>
      <c r="G86" s="76" cm="1">
        <f t="array" ref="G86">IF(A86="Vestdanmark",IF(D86="Konventionel",IF(C86=2019,SUMPRODUCT((B86='Landbrugsareal - resultat'!$B$5:$B$18)*(INDEX('Landbrugsareal - resultat'!$C$5:$E$18,,MATCH(E86,'Landbrugsareal - resultat'!$C$4:$E$4,0)))),IF(C86=2030,SUMPRODUCT((B86='Landbrugsareal - resultat'!$B$5:$B$18)*(INDEX('Landbrugsareal - resultat'!$F$5:$H$18,,MATCH(E86,'Landbrugsareal - resultat'!$F$4:$H$4,0)))),SUMPRODUCT((B86='Landbrugsareal - resultat'!$B$5:$B$18)*(INDEX('Landbrugsareal - resultat'!$I$5:$K$18,,MATCH(E86,'Landbrugsareal - resultat'!$I$4:$K$4,0)))))),IF(C86=2019,SUMPRODUCT((B86='Landbrugsareal - resultat'!$B$5:$B$18)*(INDEX('Landbrugsareal - resultat'!$L$5:$N$18,,MATCH(E86,'Landbrugsareal - resultat'!$L$4:$N$4,0)))),IF(C86=2030,SUMPRODUCT((B86='Landbrugsareal - resultat'!$B$5:$B$18)*(INDEX('Landbrugsareal - resultat'!$O$5:$Q$18,,MATCH(E86,'Landbrugsareal - resultat'!$O$4:$Q$4,0)))),SUMPRODUCT((B86='Landbrugsareal - resultat'!$B$5:$B$18)*(INDEX('Landbrugsareal - resultat'!$R$5:$T$18,,MATCH(E86,'Landbrugsareal - resultat'!$R$4:$T$4,0))))))),IF(D86="Konventionel",IF(C86=2019,SUMPRODUCT((B86='Landbrugsareal - resultat'!$B$32:$B$45)*(INDEX('Landbrugsareal - resultat'!$C$32:$E$45,,MATCH(E86,'Landbrugsareal - resultat'!$C$4:$E$4,0)))),IF(C86=2030,SUMPRODUCT((B86='Landbrugsareal - resultat'!$B$32:$B$45)*(INDEX('Landbrugsareal - resultat'!$F$32:$H$45,,MATCH(E86,'Landbrugsareal - resultat'!$F$4:$H$4,0)))),SUMPRODUCT((B86='Landbrugsareal - resultat'!$B$32:$B$45)*(INDEX('Landbrugsareal - resultat'!$I$32:$K$45,,MATCH(E86,'Landbrugsareal - resultat'!$I$4:$K$4,0)))))),IF(C86=2019,SUMPRODUCT((B86='Landbrugsareal - resultat'!$B$32:$B$45)*(INDEX('Landbrugsareal - resultat'!$L$32:$N$45,,MATCH(E86,'Landbrugsareal - resultat'!$L$4:$N$4,0)))),IF(C86=2030,SUMPRODUCT((B86='Landbrugsareal - resultat'!$B$32:$B$45)*(INDEX('Landbrugsareal - resultat'!$O$32:$Q$45,,MATCH(E86,'Landbrugsareal - resultat'!$O$4:$Q$4,0)))),SUMPRODUCT((B86='Landbrugsareal - resultat'!$B$32:$B$45)*(INDEX('Landbrugsareal - resultat'!$R$32:$T$45,,MATCH(E86,'Landbrugsareal - resultat'!$R$4:$T$4,0))))))))</f>
        <v>23536.994348302134</v>
      </c>
      <c r="H86" s="172">
        <f>G86*VLOOKUP(B86,[1]Afgrødedata!$A$5:$F$18,2,FALSE)*IF(D86="Økologisk",VLOOKUP(B86,[1]Afgrødedata!$A$5:$F$18,4,FALSE),1)*IF(E86&lt;&gt;Jordbund1,IF(E86=Organ6,VLOOKUP(B86,[1]Afgrødedata!$A$5:$F$18,5,FALSE),VLOOKUP(B86,[1]Afgrødedata!$A$5:$F$18,6,FALSE)),1)*0.1</f>
        <v>197993.19645791754</v>
      </c>
      <c r="I86" s="172">
        <f>G86*VLOOKUP(B86,[1]Afgrødedata!$A$5:$F$18,3,FALSE)*IF(D86="Økologisk",VLOOKUP(B86,[1]Afgrødedata!$A$5:$F$18,4,FALSE),1)*IF(E86&lt;&gt;Jordbund1,IF(E86=Organ6,VLOOKUP(B86,[1]Afgrødedata!$A$5:$F$18,5,FALSE),VLOOKUP(B86,[1]Afgrødedata!$A$5:$F$18,6,FALSE)),1)*HLOOKUP(C86,Landbrug!$C$15:$E$17,2,FALSE)*HLOOKUP(C86,Landbrug!$C$15:$E$17,3,FALSE)*0.1</f>
        <v>64624.484340873154</v>
      </c>
      <c r="J86" s="76">
        <f t="shared" si="15"/>
        <v>64624.484340873154</v>
      </c>
    </row>
    <row r="87" spans="1:10" x14ac:dyDescent="0.55000000000000004">
      <c r="A87" t="s">
        <v>23</v>
      </c>
      <c r="B87" s="1" t="str">
        <f>[1]Afgrødefordeling!$C$3</f>
        <v>Bælgsæd</v>
      </c>
      <c r="C87">
        <v>2019</v>
      </c>
      <c r="D87" t="s">
        <v>7</v>
      </c>
      <c r="E87" s="172" t="str">
        <f t="shared" si="18"/>
        <v>OC6</v>
      </c>
      <c r="F87" t="str">
        <f t="shared" si="14"/>
        <v>Halm</v>
      </c>
      <c r="G87" s="76" cm="1">
        <f t="array" ref="G87">IF(A87="Vestdanmark",IF(D87="Konventionel",IF(C87=2019,SUMPRODUCT((B87='Landbrugsareal - resultat'!$B$5:$B$18)*(INDEX('Landbrugsareal - resultat'!$C$5:$E$18,,MATCH(E87,'Landbrugsareal - resultat'!$C$4:$E$4,0)))),IF(C87=2030,SUMPRODUCT((B87='Landbrugsareal - resultat'!$B$5:$B$18)*(INDEX('Landbrugsareal - resultat'!$F$5:$H$18,,MATCH(E87,'Landbrugsareal - resultat'!$F$4:$H$4,0)))),SUMPRODUCT((B87='Landbrugsareal - resultat'!$B$5:$B$18)*(INDEX('Landbrugsareal - resultat'!$I$5:$K$18,,MATCH(E87,'Landbrugsareal - resultat'!$I$4:$K$4,0)))))),IF(C87=2019,SUMPRODUCT((B87='Landbrugsareal - resultat'!$B$5:$B$18)*(INDEX('Landbrugsareal - resultat'!$L$5:$N$18,,MATCH(E87,'Landbrugsareal - resultat'!$L$4:$N$4,0)))),IF(C87=2030,SUMPRODUCT((B87='Landbrugsareal - resultat'!$B$5:$B$18)*(INDEX('Landbrugsareal - resultat'!$O$5:$Q$18,,MATCH(E87,'Landbrugsareal - resultat'!$O$4:$Q$4,0)))),SUMPRODUCT((B87='Landbrugsareal - resultat'!$B$5:$B$18)*(INDEX('Landbrugsareal - resultat'!$R$5:$T$18,,MATCH(E87,'Landbrugsareal - resultat'!$R$4:$T$4,0))))))),IF(D87="Konventionel",IF(C87=2019,SUMPRODUCT((B87='Landbrugsareal - resultat'!$B$32:$B$45)*(INDEX('Landbrugsareal - resultat'!$C$32:$E$45,,MATCH(E87,'Landbrugsareal - resultat'!$C$4:$E$4,0)))),IF(C87=2030,SUMPRODUCT((B87='Landbrugsareal - resultat'!$B$32:$B$45)*(INDEX('Landbrugsareal - resultat'!$F$32:$H$45,,MATCH(E87,'Landbrugsareal - resultat'!$F$4:$H$4,0)))),SUMPRODUCT((B87='Landbrugsareal - resultat'!$B$32:$B$45)*(INDEX('Landbrugsareal - resultat'!$I$32:$K$45,,MATCH(E87,'Landbrugsareal - resultat'!$I$4:$K$4,0)))))),IF(C87=2019,SUMPRODUCT((B87='Landbrugsareal - resultat'!$B$32:$B$45)*(INDEX('Landbrugsareal - resultat'!$L$32:$N$45,,MATCH(E87,'Landbrugsareal - resultat'!$L$4:$N$4,0)))),IF(C87=2030,SUMPRODUCT((B87='Landbrugsareal - resultat'!$B$32:$B$45)*(INDEX('Landbrugsareal - resultat'!$O$32:$Q$45,,MATCH(E87,'Landbrugsareal - resultat'!$O$4:$Q$4,0)))),SUMPRODUCT((B87='Landbrugsareal - resultat'!$B$32:$B$45)*(INDEX('Landbrugsareal - resultat'!$R$32:$T$45,,MATCH(E87,'Landbrugsareal - resultat'!$R$4:$T$4,0))))))))</f>
        <v>2017.6900814622547</v>
      </c>
      <c r="H87" s="172">
        <f>G87*VLOOKUP(B87,[1]Afgrødedata!$A$5:$F$18,2,FALSE)*IF(D87="Økologisk",VLOOKUP(B87,[1]Afgrødedata!$A$5:$F$18,4,FALSE),1)*IF(E87&lt;&gt;Jordbund1,IF(E87=Organ6,VLOOKUP(B87,[1]Afgrødedata!$A$5:$F$18,5,FALSE),VLOOKUP(B87,[1]Afgrødedata!$A$5:$F$18,6,FALSE)),1)*0.1</f>
        <v>9345.9404573331649</v>
      </c>
      <c r="I87" s="172">
        <f>G87*VLOOKUP(B87,[1]Afgrødedata!$A$5:$F$18,3,FALSE)*IF(D87="Økologisk",VLOOKUP(B87,[1]Afgrødedata!$A$5:$F$18,4,FALSE),1)*IF(E87&lt;&gt;Jordbund1,IF(E87=Organ6,VLOOKUP(B87,[1]Afgrødedata!$A$5:$F$18,5,FALSE),VLOOKUP(B87,[1]Afgrødedata!$A$5:$F$18,6,FALSE)),1)*HLOOKUP(C87,Landbrug!$C$15:$E$17,2,FALSE)*HLOOKUP(C87,Landbrug!$C$15:$E$17,3,FALSE)*0.1</f>
        <v>2774.6110600167958</v>
      </c>
      <c r="J87" s="76">
        <f t="shared" si="15"/>
        <v>2774.6110600167958</v>
      </c>
    </row>
    <row r="88" spans="1:10" x14ac:dyDescent="0.55000000000000004">
      <c r="A88" t="s">
        <v>23</v>
      </c>
      <c r="B88" s="1" t="str">
        <f>[1]Afgrødefordeling!$C$4</f>
        <v>Raps</v>
      </c>
      <c r="C88">
        <v>2019</v>
      </c>
      <c r="D88" t="s">
        <v>7</v>
      </c>
      <c r="E88" s="172" t="str">
        <f t="shared" si="18"/>
        <v>OC6</v>
      </c>
      <c r="F88" t="str">
        <f t="shared" si="14"/>
        <v>Halm</v>
      </c>
      <c r="G88" s="76" cm="1">
        <f t="array" ref="G88">IF(A88="Vestdanmark",IF(D88="Konventionel",IF(C88=2019,SUMPRODUCT((B88='Landbrugsareal - resultat'!$B$5:$B$18)*(INDEX('Landbrugsareal - resultat'!$C$5:$E$18,,MATCH(E88,'Landbrugsareal - resultat'!$C$4:$E$4,0)))),IF(C88=2030,SUMPRODUCT((B88='Landbrugsareal - resultat'!$B$5:$B$18)*(INDEX('Landbrugsareal - resultat'!$F$5:$H$18,,MATCH(E88,'Landbrugsareal - resultat'!$F$4:$H$4,0)))),SUMPRODUCT((B88='Landbrugsareal - resultat'!$B$5:$B$18)*(INDEX('Landbrugsareal - resultat'!$I$5:$K$18,,MATCH(E88,'Landbrugsareal - resultat'!$I$4:$K$4,0)))))),IF(C88=2019,SUMPRODUCT((B88='Landbrugsareal - resultat'!$B$5:$B$18)*(INDEX('Landbrugsareal - resultat'!$L$5:$N$18,,MATCH(E88,'Landbrugsareal - resultat'!$L$4:$N$4,0)))),IF(C88=2030,SUMPRODUCT((B88='Landbrugsareal - resultat'!$B$5:$B$18)*(INDEX('Landbrugsareal - resultat'!$O$5:$Q$18,,MATCH(E88,'Landbrugsareal - resultat'!$O$4:$Q$4,0)))),SUMPRODUCT((B88='Landbrugsareal - resultat'!$B$5:$B$18)*(INDEX('Landbrugsareal - resultat'!$R$5:$T$18,,MATCH(E88,'Landbrugsareal - resultat'!$R$4:$T$4,0))))))),IF(D88="Konventionel",IF(C88=2019,SUMPRODUCT((B88='Landbrugsareal - resultat'!$B$32:$B$45)*(INDEX('Landbrugsareal - resultat'!$C$32:$E$45,,MATCH(E88,'Landbrugsareal - resultat'!$C$4:$E$4,0)))),IF(C88=2030,SUMPRODUCT((B88='Landbrugsareal - resultat'!$B$32:$B$45)*(INDEX('Landbrugsareal - resultat'!$F$32:$H$45,,MATCH(E88,'Landbrugsareal - resultat'!$F$4:$H$4,0)))),SUMPRODUCT((B88='Landbrugsareal - resultat'!$B$32:$B$45)*(INDEX('Landbrugsareal - resultat'!$I$32:$K$45,,MATCH(E88,'Landbrugsareal - resultat'!$I$4:$K$4,0)))))),IF(C88=2019,SUMPRODUCT((B88='Landbrugsareal - resultat'!$B$32:$B$45)*(INDEX('Landbrugsareal - resultat'!$L$32:$N$45,,MATCH(E88,'Landbrugsareal - resultat'!$L$4:$N$4,0)))),IF(C88=2030,SUMPRODUCT((B88='Landbrugsareal - resultat'!$B$32:$B$45)*(INDEX('Landbrugsareal - resultat'!$O$32:$Q$45,,MATCH(E88,'Landbrugsareal - resultat'!$O$4:$Q$4,0)))),SUMPRODUCT((B88='Landbrugsareal - resultat'!$B$32:$B$45)*(INDEX('Landbrugsareal - resultat'!$R$32:$T$45,,MATCH(E88,'Landbrugsareal - resultat'!$R$4:$T$4,0))))))))</f>
        <v>2160.5082355894242</v>
      </c>
      <c r="H88" s="172">
        <f>G88*VLOOKUP(B88,[1]Afgrødedata!$A$5:$F$18,2,FALSE)*IF(D88="Økologisk",VLOOKUP(B88,[1]Afgrødedata!$A$5:$F$18,4,FALSE),1)*IF(E88&lt;&gt;Jordbund1,IF(E88=Organ6,VLOOKUP(B88,[1]Afgrødedata!$A$5:$F$18,5,FALSE),VLOOKUP(B88,[1]Afgrødedata!$A$5:$F$18,6,FALSE)),1)*0.1</f>
        <v>11407.483483912161</v>
      </c>
      <c r="I88" s="172">
        <f>G88*VLOOKUP(B88,[1]Afgrødedata!$A$5:$F$18,3,FALSE)*IF(D88="Økologisk",VLOOKUP(B88,[1]Afgrødedata!$A$5:$F$18,4,FALSE),1)*IF(E88&lt;&gt;Jordbund1,IF(E88=Organ6,VLOOKUP(B88,[1]Afgrødedata!$A$5:$F$18,5,FALSE),VLOOKUP(B88,[1]Afgrødedata!$A$5:$F$18,6,FALSE)),1)*HLOOKUP(C88,Landbrug!$C$15:$E$17,2,FALSE)*HLOOKUP(C88,Landbrug!$C$15:$E$17,3,FALSE)*0.1</f>
        <v>6092.7939661749042</v>
      </c>
      <c r="J88" s="76">
        <f t="shared" si="15"/>
        <v>6092.7939661749042</v>
      </c>
    </row>
    <row r="89" spans="1:10" x14ac:dyDescent="0.55000000000000004">
      <c r="A89" t="s">
        <v>23</v>
      </c>
      <c r="B89" s="1" t="str">
        <f>[1]Afgrødefordeling!$C$5</f>
        <v>Græs</v>
      </c>
      <c r="C89">
        <v>2019</v>
      </c>
      <c r="D89" t="s">
        <v>7</v>
      </c>
      <c r="E89" s="172" t="str">
        <f t="shared" si="18"/>
        <v>OC6</v>
      </c>
      <c r="F89" t="str">
        <f t="shared" si="14"/>
        <v>Græs</v>
      </c>
      <c r="G89" s="76" cm="1">
        <f t="array" ref="G89">IF(A89="Vestdanmark",IF(D89="Konventionel",IF(C89=2019,SUMPRODUCT((B89='Landbrugsareal - resultat'!$B$5:$B$18)*(INDEX('Landbrugsareal - resultat'!$C$5:$E$18,,MATCH(E89,'Landbrugsareal - resultat'!$C$4:$E$4,0)))),IF(C89=2030,SUMPRODUCT((B89='Landbrugsareal - resultat'!$B$5:$B$18)*(INDEX('Landbrugsareal - resultat'!$F$5:$H$18,,MATCH(E89,'Landbrugsareal - resultat'!$F$4:$H$4,0)))),SUMPRODUCT((B89='Landbrugsareal - resultat'!$B$5:$B$18)*(INDEX('Landbrugsareal - resultat'!$I$5:$K$18,,MATCH(E89,'Landbrugsareal - resultat'!$I$4:$K$4,0)))))),IF(C89=2019,SUMPRODUCT((B89='Landbrugsareal - resultat'!$B$5:$B$18)*(INDEX('Landbrugsareal - resultat'!$L$5:$N$18,,MATCH(E89,'Landbrugsareal - resultat'!$L$4:$N$4,0)))),IF(C89=2030,SUMPRODUCT((B89='Landbrugsareal - resultat'!$B$5:$B$18)*(INDEX('Landbrugsareal - resultat'!$O$5:$Q$18,,MATCH(E89,'Landbrugsareal - resultat'!$O$4:$Q$4,0)))),SUMPRODUCT((B89='Landbrugsareal - resultat'!$B$5:$B$18)*(INDEX('Landbrugsareal - resultat'!$R$5:$T$18,,MATCH(E89,'Landbrugsareal - resultat'!$R$4:$T$4,0))))))),IF(D89="Konventionel",IF(C89=2019,SUMPRODUCT((B89='Landbrugsareal - resultat'!$B$32:$B$45)*(INDEX('Landbrugsareal - resultat'!$C$32:$E$45,,MATCH(E89,'Landbrugsareal - resultat'!$C$4:$E$4,0)))),IF(C89=2030,SUMPRODUCT((B89='Landbrugsareal - resultat'!$B$32:$B$45)*(INDEX('Landbrugsareal - resultat'!$F$32:$H$45,,MATCH(E89,'Landbrugsareal - resultat'!$F$4:$H$4,0)))),SUMPRODUCT((B89='Landbrugsareal - resultat'!$B$32:$B$45)*(INDEX('Landbrugsareal - resultat'!$I$32:$K$45,,MATCH(E89,'Landbrugsareal - resultat'!$I$4:$K$4,0)))))),IF(C89=2019,SUMPRODUCT((B89='Landbrugsareal - resultat'!$B$32:$B$45)*(INDEX('Landbrugsareal - resultat'!$L$32:$N$45,,MATCH(E89,'Landbrugsareal - resultat'!$L$4:$N$4,0)))),IF(C89=2030,SUMPRODUCT((B89='Landbrugsareal - resultat'!$B$32:$B$45)*(INDEX('Landbrugsareal - resultat'!$O$32:$Q$45,,MATCH(E89,'Landbrugsareal - resultat'!$O$4:$Q$4,0)))),SUMPRODUCT((B89='Landbrugsareal - resultat'!$B$32:$B$45)*(INDEX('Landbrugsareal - resultat'!$R$32:$T$45,,MATCH(E89,'Landbrugsareal - resultat'!$R$4:$T$4,0))))))))</f>
        <v>19937.932611161701</v>
      </c>
      <c r="H89" s="172">
        <f>G89*VLOOKUP(B89,[1]Afgrødedata!$A$5:$F$18,2,FALSE)*IF(D89="Økologisk",VLOOKUP(B89,[1]Afgrødedata!$A$5:$F$18,4,FALSE),1)*IF(E89&lt;&gt;Jordbund1,IF(E89=Organ6,VLOOKUP(B89,[1]Afgrødedata!$A$5:$F$18,5,FALSE),VLOOKUP(B89,[1]Afgrødedata!$A$5:$F$18,6,FALSE)),1)*0.1</f>
        <v>1187184.2593990124</v>
      </c>
      <c r="I89" s="172">
        <f>G89*VLOOKUP(B89,[1]Afgrødedata!$A$5:$F$18,3,FALSE)*IF(D89="Økologisk",VLOOKUP(B89,[1]Afgrødedata!$A$5:$F$18,4,FALSE),1)*IF(E89&lt;&gt;Jordbund1,IF(E89=Organ6,VLOOKUP(B89,[1]Afgrødedata!$A$5:$F$18,5,FALSE),VLOOKUP(B89,[1]Afgrødedata!$A$5:$F$18,6,FALSE)),1)*HLOOKUP(C89,Landbrug!$C$15:$E$17,2,FALSE)*HLOOKUP(C89,Landbrug!$C$15:$E$17,3,FALSE)*0.1</f>
        <v>0</v>
      </c>
      <c r="J89" s="76">
        <f t="shared" si="15"/>
        <v>1187184.2593990124</v>
      </c>
    </row>
    <row r="90" spans="1:10" x14ac:dyDescent="0.55000000000000004">
      <c r="A90" t="s">
        <v>23</v>
      </c>
      <c r="B90" s="1" t="str">
        <f>[1]Afgrødefordeling!$C$6</f>
        <v>Grøntsager</v>
      </c>
      <c r="C90">
        <v>2019</v>
      </c>
      <c r="D90" t="s">
        <v>7</v>
      </c>
      <c r="E90" s="172" t="str">
        <f t="shared" si="18"/>
        <v>OC6</v>
      </c>
      <c r="F90" t="str">
        <f t="shared" si="14"/>
        <v>Grøntsager</v>
      </c>
      <c r="G90" s="76" cm="1">
        <f t="array" ref="G90">IF(A90="Vestdanmark",IF(D90="Konventionel",IF(C90=2019,SUMPRODUCT((B90='Landbrugsareal - resultat'!$B$5:$B$18)*(INDEX('Landbrugsareal - resultat'!$C$5:$E$18,,MATCH(E90,'Landbrugsareal - resultat'!$C$4:$E$4,0)))),IF(C90=2030,SUMPRODUCT((B90='Landbrugsareal - resultat'!$B$5:$B$18)*(INDEX('Landbrugsareal - resultat'!$F$5:$H$18,,MATCH(E90,'Landbrugsareal - resultat'!$F$4:$H$4,0)))),SUMPRODUCT((B90='Landbrugsareal - resultat'!$B$5:$B$18)*(INDEX('Landbrugsareal - resultat'!$I$5:$K$18,,MATCH(E90,'Landbrugsareal - resultat'!$I$4:$K$4,0)))))),IF(C90=2019,SUMPRODUCT((B90='Landbrugsareal - resultat'!$B$5:$B$18)*(INDEX('Landbrugsareal - resultat'!$L$5:$N$18,,MATCH(E90,'Landbrugsareal - resultat'!$L$4:$N$4,0)))),IF(C90=2030,SUMPRODUCT((B90='Landbrugsareal - resultat'!$B$5:$B$18)*(INDEX('Landbrugsareal - resultat'!$O$5:$Q$18,,MATCH(E90,'Landbrugsareal - resultat'!$O$4:$Q$4,0)))),SUMPRODUCT((B90='Landbrugsareal - resultat'!$B$5:$B$18)*(INDEX('Landbrugsareal - resultat'!$R$5:$T$18,,MATCH(E90,'Landbrugsareal - resultat'!$R$4:$T$4,0))))))),IF(D90="Konventionel",IF(C90=2019,SUMPRODUCT((B90='Landbrugsareal - resultat'!$B$32:$B$45)*(INDEX('Landbrugsareal - resultat'!$C$32:$E$45,,MATCH(E90,'Landbrugsareal - resultat'!$C$4:$E$4,0)))),IF(C90=2030,SUMPRODUCT((B90='Landbrugsareal - resultat'!$B$32:$B$45)*(INDEX('Landbrugsareal - resultat'!$F$32:$H$45,,MATCH(E90,'Landbrugsareal - resultat'!$F$4:$H$4,0)))),SUMPRODUCT((B90='Landbrugsareal - resultat'!$B$32:$B$45)*(INDEX('Landbrugsareal - resultat'!$I$32:$K$45,,MATCH(E90,'Landbrugsareal - resultat'!$I$4:$K$4,0)))))),IF(C90=2019,SUMPRODUCT((B90='Landbrugsareal - resultat'!$B$32:$B$45)*(INDEX('Landbrugsareal - resultat'!$L$32:$N$45,,MATCH(E90,'Landbrugsareal - resultat'!$L$4:$N$4,0)))),IF(C90=2030,SUMPRODUCT((B90='Landbrugsareal - resultat'!$B$32:$B$45)*(INDEX('Landbrugsareal - resultat'!$O$32:$Q$45,,MATCH(E90,'Landbrugsareal - resultat'!$O$4:$Q$4,0)))),SUMPRODUCT((B90='Landbrugsareal - resultat'!$B$32:$B$45)*(INDEX('Landbrugsareal - resultat'!$R$32:$T$45,,MATCH(E90,'Landbrugsareal - resultat'!$R$4:$T$4,0))))))))</f>
        <v>93.250460767730289</v>
      </c>
      <c r="H90" s="172">
        <f>G90*VLOOKUP(B90,[1]Afgrødedata!$A$5:$F$18,2,FALSE)*IF(D90="Økologisk",VLOOKUP(B90,[1]Afgrødedata!$A$5:$F$18,4,FALSE),1)*IF(E90&lt;&gt;Jordbund1,IF(E90=Organ6,VLOOKUP(B90,[1]Afgrødedata!$A$5:$F$18,5,FALSE),VLOOKUP(B90,[1]Afgrødedata!$A$5:$F$18,6,FALSE)),1)*0.1</f>
        <v>2321.9364731164837</v>
      </c>
      <c r="I90" s="172">
        <f>G90*VLOOKUP(B90,[1]Afgrødedata!$A$5:$F$18,3,FALSE)*IF(D90="Økologisk",VLOOKUP(B90,[1]Afgrødedata!$A$5:$F$18,4,FALSE),1)*IF(E90&lt;&gt;Jordbund1,IF(E90=Organ6,VLOOKUP(B90,[1]Afgrødedata!$A$5:$F$18,5,FALSE),VLOOKUP(B90,[1]Afgrødedata!$A$5:$F$18,6,FALSE)),1)*HLOOKUP(C90,Landbrug!$C$15:$E$17,2,FALSE)*HLOOKUP(C90,Landbrug!$C$15:$E$17,3,FALSE)*0.1</f>
        <v>0</v>
      </c>
      <c r="J90" s="76">
        <f t="shared" si="15"/>
        <v>2321.9364731164837</v>
      </c>
    </row>
    <row r="91" spans="1:10" x14ac:dyDescent="0.55000000000000004">
      <c r="A91" t="s">
        <v>23</v>
      </c>
      <c r="B91" s="1" t="str">
        <f>[1]Afgrødefordeling!$C$7</f>
        <v>Kartofler</v>
      </c>
      <c r="C91">
        <v>2019</v>
      </c>
      <c r="D91" t="s">
        <v>7</v>
      </c>
      <c r="E91" s="172" t="str">
        <f t="shared" si="18"/>
        <v>OC6</v>
      </c>
      <c r="F91" t="str">
        <f t="shared" si="14"/>
        <v>Kartofler</v>
      </c>
      <c r="G91" s="76" cm="1">
        <f t="array" ref="G91">IF(A91="Vestdanmark",IF(D91="Konventionel",IF(C91=2019,SUMPRODUCT((B91='Landbrugsareal - resultat'!$B$5:$B$18)*(INDEX('Landbrugsareal - resultat'!$C$5:$E$18,,MATCH(E91,'Landbrugsareal - resultat'!$C$4:$E$4,0)))),IF(C91=2030,SUMPRODUCT((B91='Landbrugsareal - resultat'!$B$5:$B$18)*(INDEX('Landbrugsareal - resultat'!$F$5:$H$18,,MATCH(E91,'Landbrugsareal - resultat'!$F$4:$H$4,0)))),SUMPRODUCT((B91='Landbrugsareal - resultat'!$B$5:$B$18)*(INDEX('Landbrugsareal - resultat'!$I$5:$K$18,,MATCH(E91,'Landbrugsareal - resultat'!$I$4:$K$4,0)))))),IF(C91=2019,SUMPRODUCT((B91='Landbrugsareal - resultat'!$B$5:$B$18)*(INDEX('Landbrugsareal - resultat'!$L$5:$N$18,,MATCH(E91,'Landbrugsareal - resultat'!$L$4:$N$4,0)))),IF(C91=2030,SUMPRODUCT((B91='Landbrugsareal - resultat'!$B$5:$B$18)*(INDEX('Landbrugsareal - resultat'!$O$5:$Q$18,,MATCH(E91,'Landbrugsareal - resultat'!$O$4:$Q$4,0)))),SUMPRODUCT((B91='Landbrugsareal - resultat'!$B$5:$B$18)*(INDEX('Landbrugsareal - resultat'!$R$5:$T$18,,MATCH(E91,'Landbrugsareal - resultat'!$R$4:$T$4,0))))))),IF(D91="Konventionel",IF(C91=2019,SUMPRODUCT((B91='Landbrugsareal - resultat'!$B$32:$B$45)*(INDEX('Landbrugsareal - resultat'!$C$32:$E$45,,MATCH(E91,'Landbrugsareal - resultat'!$C$4:$E$4,0)))),IF(C91=2030,SUMPRODUCT((B91='Landbrugsareal - resultat'!$B$32:$B$45)*(INDEX('Landbrugsareal - resultat'!$F$32:$H$45,,MATCH(E91,'Landbrugsareal - resultat'!$F$4:$H$4,0)))),SUMPRODUCT((B91='Landbrugsareal - resultat'!$B$32:$B$45)*(INDEX('Landbrugsareal - resultat'!$I$32:$K$45,,MATCH(E91,'Landbrugsareal - resultat'!$I$4:$K$4,0)))))),IF(C91=2019,SUMPRODUCT((B91='Landbrugsareal - resultat'!$B$32:$B$45)*(INDEX('Landbrugsareal - resultat'!$L$32:$N$45,,MATCH(E91,'Landbrugsareal - resultat'!$L$4:$N$4,0)))),IF(C91=2030,SUMPRODUCT((B91='Landbrugsareal - resultat'!$B$32:$B$45)*(INDEX('Landbrugsareal - resultat'!$O$32:$Q$45,,MATCH(E91,'Landbrugsareal - resultat'!$O$4:$Q$4,0)))),SUMPRODUCT((B91='Landbrugsareal - resultat'!$B$32:$B$45)*(INDEX('Landbrugsareal - resultat'!$R$32:$T$45,,MATCH(E91,'Landbrugsareal - resultat'!$R$4:$T$4,0))))))))</f>
        <v>1472.183079133998</v>
      </c>
      <c r="H91" s="172">
        <f>G91*VLOOKUP(B91,[1]Afgrødedata!$A$5:$F$18,2,FALSE)*IF(D91="Økologisk",VLOOKUP(B91,[1]Afgrødedata!$A$5:$F$18,4,FALSE),1)*IF(E91&lt;&gt;Jordbund1,IF(E91=Organ6,VLOOKUP(B91,[1]Afgrødedata!$A$5:$F$18,5,FALSE),VLOOKUP(B91,[1]Afgrødedata!$A$5:$F$18,6,FALSE)),1)*0.1</f>
        <v>75029.927467991118</v>
      </c>
      <c r="I91" s="172">
        <f>G91*VLOOKUP(B91,[1]Afgrødedata!$A$5:$F$18,3,FALSE)*IF(D91="Økologisk",VLOOKUP(B91,[1]Afgrødedata!$A$5:$F$18,4,FALSE),1)*IF(E91&lt;&gt;Jordbund1,IF(E91=Organ6,VLOOKUP(B91,[1]Afgrødedata!$A$5:$F$18,5,FALSE),VLOOKUP(B91,[1]Afgrødedata!$A$5:$F$18,6,FALSE)),1)*HLOOKUP(C91,Landbrug!$C$15:$E$17,2,FALSE)*HLOOKUP(C91,Landbrug!$C$15:$E$17,3,FALSE)*0.1</f>
        <v>0</v>
      </c>
      <c r="J91" s="76">
        <f t="shared" si="15"/>
        <v>75029.927467991118</v>
      </c>
    </row>
    <row r="92" spans="1:10" x14ac:dyDescent="0.55000000000000004">
      <c r="A92" t="s">
        <v>23</v>
      </c>
      <c r="B92" s="1" t="str">
        <f>[1]Afgrødefordeling!$C$8</f>
        <v>Roer</v>
      </c>
      <c r="C92">
        <v>2019</v>
      </c>
      <c r="D92" t="s">
        <v>7</v>
      </c>
      <c r="E92" s="172" t="str">
        <f t="shared" si="18"/>
        <v>OC6</v>
      </c>
      <c r="F92" t="str">
        <f t="shared" si="14"/>
        <v>Roer</v>
      </c>
      <c r="G92" s="76" cm="1">
        <f t="array" ref="G92">IF(A92="Vestdanmark",IF(D92="Konventionel",IF(C92=2019,SUMPRODUCT((B92='Landbrugsareal - resultat'!$B$5:$B$18)*(INDEX('Landbrugsareal - resultat'!$C$5:$E$18,,MATCH(E92,'Landbrugsareal - resultat'!$C$4:$E$4,0)))),IF(C92=2030,SUMPRODUCT((B92='Landbrugsareal - resultat'!$B$5:$B$18)*(INDEX('Landbrugsareal - resultat'!$F$5:$H$18,,MATCH(E92,'Landbrugsareal - resultat'!$F$4:$H$4,0)))),SUMPRODUCT((B92='Landbrugsareal - resultat'!$B$5:$B$18)*(INDEX('Landbrugsareal - resultat'!$I$5:$K$18,,MATCH(E92,'Landbrugsareal - resultat'!$I$4:$K$4,0)))))),IF(C92=2019,SUMPRODUCT((B92='Landbrugsareal - resultat'!$B$5:$B$18)*(INDEX('Landbrugsareal - resultat'!$L$5:$N$18,,MATCH(E92,'Landbrugsareal - resultat'!$L$4:$N$4,0)))),IF(C92=2030,SUMPRODUCT((B92='Landbrugsareal - resultat'!$B$5:$B$18)*(INDEX('Landbrugsareal - resultat'!$O$5:$Q$18,,MATCH(E92,'Landbrugsareal - resultat'!$O$4:$Q$4,0)))),SUMPRODUCT((B92='Landbrugsareal - resultat'!$B$5:$B$18)*(INDEX('Landbrugsareal - resultat'!$R$5:$T$18,,MATCH(E92,'Landbrugsareal - resultat'!$R$4:$T$4,0))))))),IF(D92="Konventionel",IF(C92=2019,SUMPRODUCT((B92='Landbrugsareal - resultat'!$B$32:$B$45)*(INDEX('Landbrugsareal - resultat'!$C$32:$E$45,,MATCH(E92,'Landbrugsareal - resultat'!$C$4:$E$4,0)))),IF(C92=2030,SUMPRODUCT((B92='Landbrugsareal - resultat'!$B$32:$B$45)*(INDEX('Landbrugsareal - resultat'!$F$32:$H$45,,MATCH(E92,'Landbrugsareal - resultat'!$F$4:$H$4,0)))),SUMPRODUCT((B92='Landbrugsareal - resultat'!$B$32:$B$45)*(INDEX('Landbrugsareal - resultat'!$I$32:$K$45,,MATCH(E92,'Landbrugsareal - resultat'!$I$4:$K$4,0)))))),IF(C92=2019,SUMPRODUCT((B92='Landbrugsareal - resultat'!$B$32:$B$45)*(INDEX('Landbrugsareal - resultat'!$L$32:$N$45,,MATCH(E92,'Landbrugsareal - resultat'!$L$4:$N$4,0)))),IF(C92=2030,SUMPRODUCT((B92='Landbrugsareal - resultat'!$B$32:$B$45)*(INDEX('Landbrugsareal - resultat'!$O$32:$Q$45,,MATCH(E92,'Landbrugsareal - resultat'!$O$4:$Q$4,0)))),SUMPRODUCT((B92='Landbrugsareal - resultat'!$B$32:$B$45)*(INDEX('Landbrugsareal - resultat'!$R$32:$T$45,,MATCH(E92,'Landbrugsareal - resultat'!$R$4:$T$4,0))))))))</f>
        <v>38.623193326213141</v>
      </c>
      <c r="H92" s="172">
        <f>G92*VLOOKUP(B92,[1]Afgrødedata!$A$5:$F$18,2,FALSE)*IF(D92="Økologisk",VLOOKUP(B92,[1]Afgrødedata!$A$5:$F$18,4,FALSE),1)*IF(E92&lt;&gt;Jordbund1,IF(E92=Organ6,VLOOKUP(B92,[1]Afgrødedata!$A$5:$F$18,5,FALSE),VLOOKUP(B92,[1]Afgrødedata!$A$5:$F$18,6,FALSE)),1)*0.1</f>
        <v>3765.9342889773907</v>
      </c>
      <c r="I92" s="172">
        <f>G92*VLOOKUP(B92,[1]Afgrødedata!$A$5:$F$18,3,FALSE)*IF(D92="Økologisk",VLOOKUP(B92,[1]Afgrødedata!$A$5:$F$18,4,FALSE),1)*IF(E92&lt;&gt;Jordbund1,IF(E92=Organ6,VLOOKUP(B92,[1]Afgrødedata!$A$5:$F$18,5,FALSE),VLOOKUP(B92,[1]Afgrødedata!$A$5:$F$18,6,FALSE)),1)*HLOOKUP(C92,Landbrug!$C$15:$E$17,2,FALSE)*HLOOKUP(C92,Landbrug!$C$15:$E$17,3,FALSE)*0.1</f>
        <v>0</v>
      </c>
      <c r="J92" s="76">
        <f t="shared" si="15"/>
        <v>3765.9342889773907</v>
      </c>
    </row>
    <row r="93" spans="1:10" x14ac:dyDescent="0.55000000000000004">
      <c r="A93" t="s">
        <v>23</v>
      </c>
      <c r="B93" s="1" t="str">
        <f>[1]Afgrødefordeling!$C$9</f>
        <v>Majs</v>
      </c>
      <c r="C93">
        <v>2019</v>
      </c>
      <c r="D93" t="s">
        <v>7</v>
      </c>
      <c r="E93" s="172" t="str">
        <f t="shared" si="18"/>
        <v>OC6</v>
      </c>
      <c r="F93" t="str">
        <f t="shared" si="14"/>
        <v>Majs</v>
      </c>
      <c r="G93" s="76" cm="1">
        <f t="array" ref="G93">IF(A93="Vestdanmark",IF(D93="Konventionel",IF(C93=2019,SUMPRODUCT((B93='Landbrugsareal - resultat'!$B$5:$B$18)*(INDEX('Landbrugsareal - resultat'!$C$5:$E$18,,MATCH(E93,'Landbrugsareal - resultat'!$C$4:$E$4,0)))),IF(C93=2030,SUMPRODUCT((B93='Landbrugsareal - resultat'!$B$5:$B$18)*(INDEX('Landbrugsareal - resultat'!$F$5:$H$18,,MATCH(E93,'Landbrugsareal - resultat'!$F$4:$H$4,0)))),SUMPRODUCT((B93='Landbrugsareal - resultat'!$B$5:$B$18)*(INDEX('Landbrugsareal - resultat'!$I$5:$K$18,,MATCH(E93,'Landbrugsareal - resultat'!$I$4:$K$4,0)))))),IF(C93=2019,SUMPRODUCT((B93='Landbrugsareal - resultat'!$B$5:$B$18)*(INDEX('Landbrugsareal - resultat'!$L$5:$N$18,,MATCH(E93,'Landbrugsareal - resultat'!$L$4:$N$4,0)))),IF(C93=2030,SUMPRODUCT((B93='Landbrugsareal - resultat'!$B$5:$B$18)*(INDEX('Landbrugsareal - resultat'!$O$5:$Q$18,,MATCH(E93,'Landbrugsareal - resultat'!$O$4:$Q$4,0)))),SUMPRODUCT((B93='Landbrugsareal - resultat'!$B$5:$B$18)*(INDEX('Landbrugsareal - resultat'!$R$5:$T$18,,MATCH(E93,'Landbrugsareal - resultat'!$R$4:$T$4,0))))))),IF(D93="Konventionel",IF(C93=2019,SUMPRODUCT((B93='Landbrugsareal - resultat'!$B$32:$B$45)*(INDEX('Landbrugsareal - resultat'!$C$32:$E$45,,MATCH(E93,'Landbrugsareal - resultat'!$C$4:$E$4,0)))),IF(C93=2030,SUMPRODUCT((B93='Landbrugsareal - resultat'!$B$32:$B$45)*(INDEX('Landbrugsareal - resultat'!$F$32:$H$45,,MATCH(E93,'Landbrugsareal - resultat'!$F$4:$H$4,0)))),SUMPRODUCT((B93='Landbrugsareal - resultat'!$B$32:$B$45)*(INDEX('Landbrugsareal - resultat'!$I$32:$K$45,,MATCH(E93,'Landbrugsareal - resultat'!$I$4:$K$4,0)))))),IF(C93=2019,SUMPRODUCT((B93='Landbrugsareal - resultat'!$B$32:$B$45)*(INDEX('Landbrugsareal - resultat'!$L$32:$N$45,,MATCH(E93,'Landbrugsareal - resultat'!$L$4:$N$4,0)))),IF(C93=2030,SUMPRODUCT((B93='Landbrugsareal - resultat'!$B$32:$B$45)*(INDEX('Landbrugsareal - resultat'!$O$32:$Q$45,,MATCH(E93,'Landbrugsareal - resultat'!$O$4:$Q$4,0)))),SUMPRODUCT((B93='Landbrugsareal - resultat'!$B$32:$B$45)*(INDEX('Landbrugsareal - resultat'!$R$32:$T$45,,MATCH(E93,'Landbrugsareal - resultat'!$R$4:$T$4,0))))))))</f>
        <v>4985.6738479275327</v>
      </c>
      <c r="H93" s="172">
        <f>G93*VLOOKUP(B93,[1]Afgrødedata!$A$5:$F$18,2,FALSE)*IF(D93="Økologisk",VLOOKUP(B93,[1]Afgrødedata!$A$5:$F$18,4,FALSE),1)*IF(E93&lt;&gt;Jordbund1,IF(E93=Organ6,VLOOKUP(B93,[1]Afgrødedata!$A$5:$F$18,5,FALSE),VLOOKUP(B93,[1]Afgrødedata!$A$5:$F$18,6,FALSE)),1)*0.1</f>
        <v>266294.8115655054</v>
      </c>
      <c r="I93" s="172">
        <f>G93*VLOOKUP(B93,[1]Afgrødedata!$A$5:$F$18,3,FALSE)*IF(D93="Økologisk",VLOOKUP(B93,[1]Afgrødedata!$A$5:$F$18,4,FALSE),1)*IF(E93&lt;&gt;Jordbund1,IF(E93=Organ6,VLOOKUP(B93,[1]Afgrødedata!$A$5:$F$18,5,FALSE),VLOOKUP(B93,[1]Afgrødedata!$A$5:$F$18,6,FALSE)),1)*HLOOKUP(C93,Landbrug!$C$15:$E$17,2,FALSE)*HLOOKUP(C93,Landbrug!$C$15:$E$17,3,FALSE)*0.1</f>
        <v>0</v>
      </c>
      <c r="J93" s="76">
        <f t="shared" si="15"/>
        <v>266294.8115655054</v>
      </c>
    </row>
    <row r="94" spans="1:10" x14ac:dyDescent="0.55000000000000004">
      <c r="A94" t="s">
        <v>23</v>
      </c>
      <c r="B94" s="1" t="str">
        <f>[1]Afgrødefordeling!$C$10</f>
        <v>Frugt</v>
      </c>
      <c r="C94">
        <v>2019</v>
      </c>
      <c r="D94" t="s">
        <v>7</v>
      </c>
      <c r="E94" s="172" t="str">
        <f t="shared" si="18"/>
        <v>OC6</v>
      </c>
      <c r="F94" t="str">
        <f t="shared" si="14"/>
        <v>Frugt</v>
      </c>
      <c r="G94" s="76" cm="1">
        <f t="array" ref="G94">IF(A94="Vestdanmark",IF(D94="Konventionel",IF(C94=2019,SUMPRODUCT((B94='Landbrugsareal - resultat'!$B$5:$B$18)*(INDEX('Landbrugsareal - resultat'!$C$5:$E$18,,MATCH(E94,'Landbrugsareal - resultat'!$C$4:$E$4,0)))),IF(C94=2030,SUMPRODUCT((B94='Landbrugsareal - resultat'!$B$5:$B$18)*(INDEX('Landbrugsareal - resultat'!$F$5:$H$18,,MATCH(E94,'Landbrugsareal - resultat'!$F$4:$H$4,0)))),SUMPRODUCT((B94='Landbrugsareal - resultat'!$B$5:$B$18)*(INDEX('Landbrugsareal - resultat'!$I$5:$K$18,,MATCH(E94,'Landbrugsareal - resultat'!$I$4:$K$4,0)))))),IF(C94=2019,SUMPRODUCT((B94='Landbrugsareal - resultat'!$B$5:$B$18)*(INDEX('Landbrugsareal - resultat'!$L$5:$N$18,,MATCH(E94,'Landbrugsareal - resultat'!$L$4:$N$4,0)))),IF(C94=2030,SUMPRODUCT((B94='Landbrugsareal - resultat'!$B$5:$B$18)*(INDEX('Landbrugsareal - resultat'!$O$5:$Q$18,,MATCH(E94,'Landbrugsareal - resultat'!$O$4:$Q$4,0)))),SUMPRODUCT((B94='Landbrugsareal - resultat'!$B$5:$B$18)*(INDEX('Landbrugsareal - resultat'!$R$5:$T$18,,MATCH(E94,'Landbrugsareal - resultat'!$R$4:$T$4,0))))))),IF(D94="Konventionel",IF(C94=2019,SUMPRODUCT((B94='Landbrugsareal - resultat'!$B$32:$B$45)*(INDEX('Landbrugsareal - resultat'!$C$32:$E$45,,MATCH(E94,'Landbrugsareal - resultat'!$C$4:$E$4,0)))),IF(C94=2030,SUMPRODUCT((B94='Landbrugsareal - resultat'!$B$32:$B$45)*(INDEX('Landbrugsareal - resultat'!$F$32:$H$45,,MATCH(E94,'Landbrugsareal - resultat'!$F$4:$H$4,0)))),SUMPRODUCT((B94='Landbrugsareal - resultat'!$B$32:$B$45)*(INDEX('Landbrugsareal - resultat'!$I$32:$K$45,,MATCH(E94,'Landbrugsareal - resultat'!$I$4:$K$4,0)))))),IF(C94=2019,SUMPRODUCT((B94='Landbrugsareal - resultat'!$B$32:$B$45)*(INDEX('Landbrugsareal - resultat'!$L$32:$N$45,,MATCH(E94,'Landbrugsareal - resultat'!$L$4:$N$4,0)))),IF(C94=2030,SUMPRODUCT((B94='Landbrugsareal - resultat'!$B$32:$B$45)*(INDEX('Landbrugsareal - resultat'!$O$32:$Q$45,,MATCH(E94,'Landbrugsareal - resultat'!$O$4:$Q$4,0)))),SUMPRODUCT((B94='Landbrugsareal - resultat'!$B$32:$B$45)*(INDEX('Landbrugsareal - resultat'!$R$32:$T$45,,MATCH(E94,'Landbrugsareal - resultat'!$R$4:$T$4,0))))))))</f>
        <v>84.935239958799571</v>
      </c>
      <c r="H94" s="172">
        <f>G94*VLOOKUP(B94,[1]Afgrødedata!$A$5:$F$18,2,FALSE)*IF(D94="Økologisk",VLOOKUP(B94,[1]Afgrødedata!$A$5:$F$18,4,FALSE),1)*IF(E94&lt;&gt;Jordbund1,IF(E94=Organ6,VLOOKUP(B94,[1]Afgrødedata!$A$5:$F$18,5,FALSE),VLOOKUP(B94,[1]Afgrødedata!$A$5:$F$18,6,FALSE)),1)*0.1</f>
        <v>865.32022470025004</v>
      </c>
      <c r="I94" s="172">
        <f>G94*VLOOKUP(B94,[1]Afgrødedata!$A$5:$F$18,3,FALSE)*IF(D94="Økologisk",VLOOKUP(B94,[1]Afgrødedata!$A$5:$F$18,4,FALSE),1)*IF(E94&lt;&gt;Jordbund1,IF(E94=Organ6,VLOOKUP(B94,[1]Afgrødedata!$A$5:$F$18,5,FALSE),VLOOKUP(B94,[1]Afgrødedata!$A$5:$F$18,6,FALSE)),1)*HLOOKUP(C94,Landbrug!$C$15:$E$17,2,FALSE)*HLOOKUP(C94,Landbrug!$C$15:$E$17,3,FALSE)*0.1</f>
        <v>0</v>
      </c>
      <c r="J94" s="76">
        <f t="shared" si="15"/>
        <v>865.32022470025004</v>
      </c>
    </row>
    <row r="95" spans="1:10" x14ac:dyDescent="0.55000000000000004">
      <c r="A95" t="s">
        <v>23</v>
      </c>
      <c r="B95" s="1" t="str">
        <f>[1]Afgrødefordeling!$C$11</f>
        <v>Øvrige</v>
      </c>
      <c r="C95">
        <v>2019</v>
      </c>
      <c r="D95" t="s">
        <v>7</v>
      </c>
      <c r="E95" s="172" t="str">
        <f t="shared" si="18"/>
        <v>OC6</v>
      </c>
      <c r="F95" t="str">
        <f t="shared" si="14"/>
        <v>Øvrige</v>
      </c>
      <c r="G95" s="76" cm="1">
        <f t="array" ref="G95">IF(A95="Vestdanmark",IF(D95="Konventionel",IF(C95=2019,SUMPRODUCT((B95='Landbrugsareal - resultat'!$B$5:$B$18)*(INDEX('Landbrugsareal - resultat'!$C$5:$E$18,,MATCH(E95,'Landbrugsareal - resultat'!$C$4:$E$4,0)))),IF(C95=2030,SUMPRODUCT((B95='Landbrugsareal - resultat'!$B$5:$B$18)*(INDEX('Landbrugsareal - resultat'!$F$5:$H$18,,MATCH(E95,'Landbrugsareal - resultat'!$F$4:$H$4,0)))),SUMPRODUCT((B95='Landbrugsareal - resultat'!$B$5:$B$18)*(INDEX('Landbrugsareal - resultat'!$I$5:$K$18,,MATCH(E95,'Landbrugsareal - resultat'!$I$4:$K$4,0)))))),IF(C95=2019,SUMPRODUCT((B95='Landbrugsareal - resultat'!$B$5:$B$18)*(INDEX('Landbrugsareal - resultat'!$L$5:$N$18,,MATCH(E95,'Landbrugsareal - resultat'!$L$4:$N$4,0)))),IF(C95=2030,SUMPRODUCT((B95='Landbrugsareal - resultat'!$B$5:$B$18)*(INDEX('Landbrugsareal - resultat'!$O$5:$Q$18,,MATCH(E95,'Landbrugsareal - resultat'!$O$4:$Q$4,0)))),SUMPRODUCT((B95='Landbrugsareal - resultat'!$B$5:$B$18)*(INDEX('Landbrugsareal - resultat'!$R$5:$T$18,,MATCH(E95,'Landbrugsareal - resultat'!$R$4:$T$4,0))))))),IF(D95="Konventionel",IF(C95=2019,SUMPRODUCT((B95='Landbrugsareal - resultat'!$B$32:$B$45)*(INDEX('Landbrugsareal - resultat'!$C$32:$E$45,,MATCH(E95,'Landbrugsareal - resultat'!$C$4:$E$4,0)))),IF(C95=2030,SUMPRODUCT((B95='Landbrugsareal - resultat'!$B$32:$B$45)*(INDEX('Landbrugsareal - resultat'!$F$32:$H$45,,MATCH(E95,'Landbrugsareal - resultat'!$F$4:$H$4,0)))),SUMPRODUCT((B95='Landbrugsareal - resultat'!$B$32:$B$45)*(INDEX('Landbrugsareal - resultat'!$I$32:$K$45,,MATCH(E95,'Landbrugsareal - resultat'!$I$4:$K$4,0)))))),IF(C95=2019,SUMPRODUCT((B95='Landbrugsareal - resultat'!$B$32:$B$45)*(INDEX('Landbrugsareal - resultat'!$L$32:$N$45,,MATCH(E95,'Landbrugsareal - resultat'!$L$4:$N$4,0)))),IF(C95=2030,SUMPRODUCT((B95='Landbrugsareal - resultat'!$B$32:$B$45)*(INDEX('Landbrugsareal - resultat'!$O$32:$Q$45,,MATCH(E95,'Landbrugsareal - resultat'!$O$4:$Q$4,0)))),SUMPRODUCT((B95='Landbrugsareal - resultat'!$B$32:$B$45)*(INDEX('Landbrugsareal - resultat'!$R$32:$T$45,,MATCH(E95,'Landbrugsareal - resultat'!$R$4:$T$4,0))))))))</f>
        <v>1502.156278752635</v>
      </c>
      <c r="H95" s="172">
        <f>G95*VLOOKUP(B95,[1]Afgrødedata!$A$5:$F$18,2,FALSE)*IF(D95="Økologisk",VLOOKUP(B95,[1]Afgrødedata!$A$5:$F$18,4,FALSE),1)*IF(E95&lt;&gt;Jordbund1,IF(E95=Organ6,VLOOKUP(B95,[1]Afgrødedata!$A$5:$F$18,5,FALSE),VLOOKUP(B95,[1]Afgrødedata!$A$5:$F$18,6,FALSE)),1)*0.1</f>
        <v>53709.79634661704</v>
      </c>
      <c r="I95" s="172">
        <f>G95*VLOOKUP(B95,[1]Afgrødedata!$A$5:$F$18,3,FALSE)*IF(D95="Økologisk",VLOOKUP(B95,[1]Afgrødedata!$A$5:$F$18,4,FALSE),1)*IF(E95&lt;&gt;Jordbund1,IF(E95=Organ6,VLOOKUP(B95,[1]Afgrødedata!$A$5:$F$18,5,FALSE),VLOOKUP(B95,[1]Afgrødedata!$A$5:$F$18,6,FALSE)),1)*HLOOKUP(C95,Landbrug!$C$15:$E$17,2,FALSE)*HLOOKUP(C95,Landbrug!$C$15:$E$17,3,FALSE)*0.1</f>
        <v>0</v>
      </c>
      <c r="J95" s="76">
        <f t="shared" si="15"/>
        <v>53709.79634661704</v>
      </c>
    </row>
    <row r="96" spans="1:10" x14ac:dyDescent="0.55000000000000004">
      <c r="A96" t="s">
        <v>23</v>
      </c>
      <c r="B96" s="1" t="str">
        <f>[1]Afgrødefordeling!$C$12</f>
        <v>Frø</v>
      </c>
      <c r="C96">
        <v>2019</v>
      </c>
      <c r="D96" t="s">
        <v>7</v>
      </c>
      <c r="E96" s="172" t="str">
        <f t="shared" si="18"/>
        <v>OC6</v>
      </c>
      <c r="F96" t="str">
        <f t="shared" si="14"/>
        <v>Halm</v>
      </c>
      <c r="G96" s="76" cm="1">
        <f t="array" ref="G96">IF(A96="Vestdanmark",IF(D96="Konventionel",IF(C96=2019,SUMPRODUCT((B96='Landbrugsareal - resultat'!$B$5:$B$18)*(INDEX('Landbrugsareal - resultat'!$C$5:$E$18,,MATCH(E96,'Landbrugsareal - resultat'!$C$4:$E$4,0)))),IF(C96=2030,SUMPRODUCT((B96='Landbrugsareal - resultat'!$B$5:$B$18)*(INDEX('Landbrugsareal - resultat'!$F$5:$H$18,,MATCH(E96,'Landbrugsareal - resultat'!$F$4:$H$4,0)))),SUMPRODUCT((B96='Landbrugsareal - resultat'!$B$5:$B$18)*(INDEX('Landbrugsareal - resultat'!$I$5:$K$18,,MATCH(E96,'Landbrugsareal - resultat'!$I$4:$K$4,0)))))),IF(C96=2019,SUMPRODUCT((B96='Landbrugsareal - resultat'!$B$5:$B$18)*(INDEX('Landbrugsareal - resultat'!$L$5:$N$18,,MATCH(E96,'Landbrugsareal - resultat'!$L$4:$N$4,0)))),IF(C96=2030,SUMPRODUCT((B96='Landbrugsareal - resultat'!$B$5:$B$18)*(INDEX('Landbrugsareal - resultat'!$O$5:$Q$18,,MATCH(E96,'Landbrugsareal - resultat'!$O$4:$Q$4,0)))),SUMPRODUCT((B96='Landbrugsareal - resultat'!$B$5:$B$18)*(INDEX('Landbrugsareal - resultat'!$R$5:$T$18,,MATCH(E96,'Landbrugsareal - resultat'!$R$4:$T$4,0))))))),IF(D96="Konventionel",IF(C96=2019,SUMPRODUCT((B96='Landbrugsareal - resultat'!$B$32:$B$45)*(INDEX('Landbrugsareal - resultat'!$C$32:$E$45,,MATCH(E96,'Landbrugsareal - resultat'!$C$4:$E$4,0)))),IF(C96=2030,SUMPRODUCT((B96='Landbrugsareal - resultat'!$B$32:$B$45)*(INDEX('Landbrugsareal - resultat'!$F$32:$H$45,,MATCH(E96,'Landbrugsareal - resultat'!$F$4:$H$4,0)))),SUMPRODUCT((B96='Landbrugsareal - resultat'!$B$32:$B$45)*(INDEX('Landbrugsareal - resultat'!$I$32:$K$45,,MATCH(E96,'Landbrugsareal - resultat'!$I$4:$K$4,0)))))),IF(C96=2019,SUMPRODUCT((B96='Landbrugsareal - resultat'!$B$32:$B$45)*(INDEX('Landbrugsareal - resultat'!$L$32:$N$45,,MATCH(E96,'Landbrugsareal - resultat'!$L$4:$N$4,0)))),IF(C96=2030,SUMPRODUCT((B96='Landbrugsareal - resultat'!$B$32:$B$45)*(INDEX('Landbrugsareal - resultat'!$O$32:$Q$45,,MATCH(E96,'Landbrugsareal - resultat'!$O$4:$Q$4,0)))),SUMPRODUCT((B96='Landbrugsareal - resultat'!$B$32:$B$45)*(INDEX('Landbrugsareal - resultat'!$R$32:$T$45,,MATCH(E96,'Landbrugsareal - resultat'!$R$4:$T$4,0))))))))</f>
        <v>3707.7646805966074</v>
      </c>
      <c r="H96" s="172">
        <f>G96*VLOOKUP(B96,[1]Afgrødedata!$A$5:$F$18,2,FALSE)*IF(D96="Økologisk",VLOOKUP(B96,[1]Afgrødedata!$A$5:$F$18,4,FALSE),1)*IF(E96&lt;&gt;Jordbund1,IF(E96=Organ6,VLOOKUP(B96,[1]Afgrødedata!$A$5:$F$18,5,FALSE),VLOOKUP(B96,[1]Afgrødedata!$A$5:$F$18,6,FALSE)),1)*0.1</f>
        <v>63575.679900016141</v>
      </c>
      <c r="I96" s="172">
        <f>G96*VLOOKUP(B96,[1]Afgrødedata!$A$5:$F$18,3,FALSE)*IF(D96="Økologisk",VLOOKUP(B96,[1]Afgrødedata!$A$5:$F$18,4,FALSE),1)*IF(E96&lt;&gt;Jordbund1,IF(E96=Organ6,VLOOKUP(B96,[1]Afgrødedata!$A$5:$F$18,5,FALSE),VLOOKUP(B96,[1]Afgrødedata!$A$5:$F$18,6,FALSE)),1)*HLOOKUP(C96,Landbrug!$C$15:$E$17,2,FALSE)*HLOOKUP(C96,Landbrug!$C$15:$E$17,3,FALSE)*0.1</f>
        <v>10561.790158560274</v>
      </c>
      <c r="J96" s="76">
        <f t="shared" si="15"/>
        <v>10561.790158560274</v>
      </c>
    </row>
    <row r="97" spans="1:10" x14ac:dyDescent="0.55000000000000004">
      <c r="A97" t="s">
        <v>23</v>
      </c>
      <c r="B97" s="1" t="str">
        <f>[1]Afgrødefordeling!$C$13</f>
        <v>Juletræer</v>
      </c>
      <c r="C97">
        <v>2019</v>
      </c>
      <c r="D97" t="s">
        <v>7</v>
      </c>
      <c r="E97" s="172" t="str">
        <f t="shared" si="18"/>
        <v>OC6</v>
      </c>
      <c r="F97" t="str">
        <f t="shared" si="14"/>
        <v>Juletræer</v>
      </c>
      <c r="G97" s="76" cm="1">
        <f t="array" ref="G97">IF(A97="Vestdanmark",IF(D97="Konventionel",IF(C97=2019,SUMPRODUCT((B97='Landbrugsareal - resultat'!$B$5:$B$18)*(INDEX('Landbrugsareal - resultat'!$C$5:$E$18,,MATCH(E97,'Landbrugsareal - resultat'!$C$4:$E$4,0)))),IF(C97=2030,SUMPRODUCT((B97='Landbrugsareal - resultat'!$B$5:$B$18)*(INDEX('Landbrugsareal - resultat'!$F$5:$H$18,,MATCH(E97,'Landbrugsareal - resultat'!$F$4:$H$4,0)))),SUMPRODUCT((B97='Landbrugsareal - resultat'!$B$5:$B$18)*(INDEX('Landbrugsareal - resultat'!$I$5:$K$18,,MATCH(E97,'Landbrugsareal - resultat'!$I$4:$K$4,0)))))),IF(C97=2019,SUMPRODUCT((B97='Landbrugsareal - resultat'!$B$5:$B$18)*(INDEX('Landbrugsareal - resultat'!$L$5:$N$18,,MATCH(E97,'Landbrugsareal - resultat'!$L$4:$N$4,0)))),IF(C97=2030,SUMPRODUCT((B97='Landbrugsareal - resultat'!$B$5:$B$18)*(INDEX('Landbrugsareal - resultat'!$O$5:$Q$18,,MATCH(E97,'Landbrugsareal - resultat'!$O$4:$Q$4,0)))),SUMPRODUCT((B97='Landbrugsareal - resultat'!$B$5:$B$18)*(INDEX('Landbrugsareal - resultat'!$R$5:$T$18,,MATCH(E97,'Landbrugsareal - resultat'!$R$4:$T$4,0))))))),IF(D97="Konventionel",IF(C97=2019,SUMPRODUCT((B97='Landbrugsareal - resultat'!$B$32:$B$45)*(INDEX('Landbrugsareal - resultat'!$C$32:$E$45,,MATCH(E97,'Landbrugsareal - resultat'!$C$4:$E$4,0)))),IF(C97=2030,SUMPRODUCT((B97='Landbrugsareal - resultat'!$B$32:$B$45)*(INDEX('Landbrugsareal - resultat'!$F$32:$H$45,,MATCH(E97,'Landbrugsareal - resultat'!$F$4:$H$4,0)))),SUMPRODUCT((B97='Landbrugsareal - resultat'!$B$32:$B$45)*(INDEX('Landbrugsareal - resultat'!$I$32:$K$45,,MATCH(E97,'Landbrugsareal - resultat'!$I$4:$K$4,0)))))),IF(C97=2019,SUMPRODUCT((B97='Landbrugsareal - resultat'!$B$32:$B$45)*(INDEX('Landbrugsareal - resultat'!$L$32:$N$45,,MATCH(E97,'Landbrugsareal - resultat'!$L$4:$N$4,0)))),IF(C97=2030,SUMPRODUCT((B97='Landbrugsareal - resultat'!$B$32:$B$45)*(INDEX('Landbrugsareal - resultat'!$O$32:$Q$45,,MATCH(E97,'Landbrugsareal - resultat'!$O$4:$Q$4,0)))),SUMPRODUCT((B97='Landbrugsareal - resultat'!$B$32:$B$45)*(INDEX('Landbrugsareal - resultat'!$R$32:$T$45,,MATCH(E97,'Landbrugsareal - resultat'!$R$4:$T$4,0))))))))</f>
        <v>425.99643668454917</v>
      </c>
      <c r="H97" s="172">
        <f>G97*VLOOKUP(B97,[1]Afgrødedata!$A$5:$F$18,2,FALSE)*IF(D97="Økologisk",VLOOKUP(B97,[1]Afgrødedata!$A$5:$F$18,4,FALSE),1)*IF(E97&lt;&gt;Jordbund1,IF(E97=Organ6,VLOOKUP(B97,[1]Afgrødedata!$A$5:$F$18,5,FALSE),VLOOKUP(B97,[1]Afgrødedata!$A$5:$F$18,6,FALSE)),1)*0.1</f>
        <v>25559.786201072948</v>
      </c>
      <c r="I97" s="172">
        <f>G97*VLOOKUP(B97,[1]Afgrødedata!$A$5:$F$18,3,FALSE)*IF(D97="Økologisk",VLOOKUP(B97,[1]Afgrødedata!$A$5:$F$18,4,FALSE),1)*IF(E97&lt;&gt;Jordbund1,IF(E97=Organ6,VLOOKUP(B97,[1]Afgrødedata!$A$5:$F$18,5,FALSE),VLOOKUP(B97,[1]Afgrødedata!$A$5:$F$18,6,FALSE)),1)*HLOOKUP(C97,Landbrug!$C$15:$E$17,2,FALSE)*HLOOKUP(C97,Landbrug!$C$15:$E$17,3,FALSE)*0.1</f>
        <v>0</v>
      </c>
      <c r="J97" s="76">
        <f t="shared" si="15"/>
        <v>25559.786201072948</v>
      </c>
    </row>
    <row r="98" spans="1:10" x14ac:dyDescent="0.55000000000000004">
      <c r="A98" t="s">
        <v>23</v>
      </c>
      <c r="B98" s="1" t="str">
        <f>[1]Afgrødefordeling!$C$14</f>
        <v>Pil &amp; poppel</v>
      </c>
      <c r="C98">
        <v>2019</v>
      </c>
      <c r="D98" t="s">
        <v>7</v>
      </c>
      <c r="E98" s="172" t="str">
        <f t="shared" si="18"/>
        <v>OC6</v>
      </c>
      <c r="F98" t="str">
        <f t="shared" ref="F98" si="19">IF(I98&lt;&gt;0,"Halm",IF(B98&lt;&gt;"Permanent græs",B98,"Græs"))</f>
        <v>Pil &amp; poppel</v>
      </c>
      <c r="G98" s="76" cm="1">
        <f t="array" ref="G98">IF(A98="Vestdanmark",IF(D98="Konventionel",IF(C98=2019,SUMPRODUCT((B98='Landbrugsareal - resultat'!$B$5:$B$18)*(INDEX('Landbrugsareal - resultat'!$C$5:$E$18,,MATCH(E98,'Landbrugsareal - resultat'!$C$4:$E$4,0)))),IF(C98=2030,SUMPRODUCT((B98='Landbrugsareal - resultat'!$B$5:$B$18)*(INDEX('Landbrugsareal - resultat'!$F$5:$H$18,,MATCH(E98,'Landbrugsareal - resultat'!$F$4:$H$4,0)))),SUMPRODUCT((B98='Landbrugsareal - resultat'!$B$5:$B$18)*(INDEX('Landbrugsareal - resultat'!$I$5:$K$18,,MATCH(E98,'Landbrugsareal - resultat'!$I$4:$K$4,0)))))),IF(C98=2019,SUMPRODUCT((B98='Landbrugsareal - resultat'!$B$5:$B$18)*(INDEX('Landbrugsareal - resultat'!$L$5:$N$18,,MATCH(E98,'Landbrugsareal - resultat'!$L$4:$N$4,0)))),IF(C98=2030,SUMPRODUCT((B98='Landbrugsareal - resultat'!$B$5:$B$18)*(INDEX('Landbrugsareal - resultat'!$O$5:$Q$18,,MATCH(E98,'Landbrugsareal - resultat'!$O$4:$Q$4,0)))),SUMPRODUCT((B98='Landbrugsareal - resultat'!$B$5:$B$18)*(INDEX('Landbrugsareal - resultat'!$R$5:$T$18,,MATCH(E98,'Landbrugsareal - resultat'!$R$4:$T$4,0))))))),IF(D98="Konventionel",IF(C98=2019,SUMPRODUCT((B98='Landbrugsareal - resultat'!$B$32:$B$45)*(INDEX('Landbrugsareal - resultat'!$C$32:$E$45,,MATCH(E98,'Landbrugsareal - resultat'!$C$4:$E$4,0)))),IF(C98=2030,SUMPRODUCT((B98='Landbrugsareal - resultat'!$B$32:$B$45)*(INDEX('Landbrugsareal - resultat'!$F$32:$H$45,,MATCH(E98,'Landbrugsareal - resultat'!$F$4:$H$4,0)))),SUMPRODUCT((B98='Landbrugsareal - resultat'!$B$32:$B$45)*(INDEX('Landbrugsareal - resultat'!$I$32:$K$45,,MATCH(E98,'Landbrugsareal - resultat'!$I$4:$K$4,0)))))),IF(C98=2019,SUMPRODUCT((B98='Landbrugsareal - resultat'!$B$32:$B$45)*(INDEX('Landbrugsareal - resultat'!$L$32:$N$45,,MATCH(E98,'Landbrugsareal - resultat'!$L$4:$N$4,0)))),IF(C98=2030,SUMPRODUCT((B98='Landbrugsareal - resultat'!$B$32:$B$45)*(INDEX('Landbrugsareal - resultat'!$O$32:$Q$45,,MATCH(E98,'Landbrugsareal - resultat'!$O$4:$Q$4,0)))),SUMPRODUCT((B98='Landbrugsareal - resultat'!$B$32:$B$45)*(INDEX('Landbrugsareal - resultat'!$R$32:$T$45,,MATCH(E98,'Landbrugsareal - resultat'!$R$4:$T$4,0))))))))</f>
        <v>699.64323170301793</v>
      </c>
      <c r="H98" s="172">
        <f>G98*VLOOKUP(B98,[1]Afgrødedata!$A$5:$F$18,2,FALSE)*IF(D98="Økologisk",VLOOKUP(B98,[1]Afgrødedata!$A$5:$F$18,4,FALSE),1)*IF(E98&lt;&gt;Jordbund1,IF(E98=Organ6,VLOOKUP(B98,[1]Afgrødedata!$A$5:$F$18,5,FALSE),VLOOKUP(B98,[1]Afgrødedata!$A$5:$F$18,6,FALSE)),1)*0.1</f>
        <v>20477.362879112719</v>
      </c>
      <c r="I98" s="172">
        <f>G98*VLOOKUP(B98,[1]Afgrødedata!$A$5:$F$18,3,FALSE)*IF(D98="Økologisk",VLOOKUP(B98,[1]Afgrødedata!$A$5:$F$18,4,FALSE),1)*IF(E98&lt;&gt;Jordbund1,IF(E98=Organ6,VLOOKUP(B98,[1]Afgrødedata!$A$5:$F$18,5,FALSE),VLOOKUP(B98,[1]Afgrødedata!$A$5:$F$18,6,FALSE)),1)*HLOOKUP(C98,Landbrug!$C$15:$E$17,2,FALSE)*HLOOKUP(C98,Landbrug!$C$15:$E$17,3,FALSE)*0.1</f>
        <v>0</v>
      </c>
      <c r="J98" s="76">
        <f t="shared" ref="J98" si="20">IF(I98&lt;&gt;0,I98,H98)</f>
        <v>20477.362879112719</v>
      </c>
    </row>
    <row r="99" spans="1:10" x14ac:dyDescent="0.55000000000000004">
      <c r="A99" t="s">
        <v>23</v>
      </c>
      <c r="B99" s="1" t="str">
        <f>[1]Afgrødefordeling!$C$15</f>
        <v>Permanent græs</v>
      </c>
      <c r="C99">
        <v>2019</v>
      </c>
      <c r="D99" t="s">
        <v>7</v>
      </c>
      <c r="E99" s="172" t="str">
        <f t="shared" si="18"/>
        <v>OC6</v>
      </c>
      <c r="F99" t="str">
        <f t="shared" si="14"/>
        <v>Græs</v>
      </c>
      <c r="G99" s="76" cm="1">
        <f t="array" ref="G99">IF(A99="Vestdanmark",IF(D99="Konventionel",IF(C99=2019,SUMPRODUCT((B99='Landbrugsareal - resultat'!$B$5:$B$18)*(INDEX('Landbrugsareal - resultat'!$C$5:$E$18,,MATCH(E99,'Landbrugsareal - resultat'!$C$4:$E$4,0)))),IF(C99=2030,SUMPRODUCT((B99='Landbrugsareal - resultat'!$B$5:$B$18)*(INDEX('Landbrugsareal - resultat'!$F$5:$H$18,,MATCH(E99,'Landbrugsareal - resultat'!$F$4:$H$4,0)))),SUMPRODUCT((B99='Landbrugsareal - resultat'!$B$5:$B$18)*(INDEX('Landbrugsareal - resultat'!$I$5:$K$18,,MATCH(E99,'Landbrugsareal - resultat'!$I$4:$K$4,0)))))),IF(C99=2019,SUMPRODUCT((B99='Landbrugsareal - resultat'!$B$5:$B$18)*(INDEX('Landbrugsareal - resultat'!$L$5:$N$18,,MATCH(E99,'Landbrugsareal - resultat'!$L$4:$N$4,0)))),IF(C99=2030,SUMPRODUCT((B99='Landbrugsareal - resultat'!$B$5:$B$18)*(INDEX('Landbrugsareal - resultat'!$O$5:$Q$18,,MATCH(E99,'Landbrugsareal - resultat'!$O$4:$Q$4,0)))),SUMPRODUCT((B99='Landbrugsareal - resultat'!$B$5:$B$18)*(INDEX('Landbrugsareal - resultat'!$R$5:$T$18,,MATCH(E99,'Landbrugsareal - resultat'!$R$4:$T$4,0))))))),IF(D99="Konventionel",IF(C99=2019,SUMPRODUCT((B99='Landbrugsareal - resultat'!$B$32:$B$45)*(INDEX('Landbrugsareal - resultat'!$C$32:$E$45,,MATCH(E99,'Landbrugsareal - resultat'!$C$4:$E$4,0)))),IF(C99=2030,SUMPRODUCT((B99='Landbrugsareal - resultat'!$B$32:$B$45)*(INDEX('Landbrugsareal - resultat'!$F$32:$H$45,,MATCH(E99,'Landbrugsareal - resultat'!$F$4:$H$4,0)))),SUMPRODUCT((B99='Landbrugsareal - resultat'!$B$32:$B$45)*(INDEX('Landbrugsareal - resultat'!$I$32:$K$45,,MATCH(E99,'Landbrugsareal - resultat'!$I$4:$K$4,0)))))),IF(C99=2019,SUMPRODUCT((B99='Landbrugsareal - resultat'!$B$32:$B$45)*(INDEX('Landbrugsareal - resultat'!$L$32:$N$45,,MATCH(E99,'Landbrugsareal - resultat'!$L$4:$N$4,0)))),IF(C99=2030,SUMPRODUCT((B99='Landbrugsareal - resultat'!$B$32:$B$45)*(INDEX('Landbrugsareal - resultat'!$O$32:$Q$45,,MATCH(E99,'Landbrugsareal - resultat'!$O$4:$Q$4,0)))),SUMPRODUCT((B99='Landbrugsareal - resultat'!$B$32:$B$45)*(INDEX('Landbrugsareal - resultat'!$R$32:$T$45,,MATCH(E99,'Landbrugsareal - resultat'!$R$4:$T$4,0))))))))</f>
        <v>19775.461430434403</v>
      </c>
      <c r="H99" s="172">
        <f>G99*VLOOKUP(B99,[1]Afgrødedata!$A$5:$F$18,2,FALSE)*IF(D99="Økologisk",VLOOKUP(B99,[1]Afgrødedata!$A$5:$F$18,4,FALSE),1)*IF(E99&lt;&gt;Jordbund1,IF(E99=Organ6,VLOOKUP(B99,[1]Afgrødedata!$A$5:$F$18,5,FALSE),VLOOKUP(B99,[1]Afgrødedata!$A$5:$F$18,6,FALSE)),1)*0.1</f>
        <v>327244.33575082856</v>
      </c>
      <c r="I99" s="172">
        <f>G99*VLOOKUP(B99,[1]Afgrødedata!$A$5:$F$18,3,FALSE)*IF(D99="Økologisk",VLOOKUP(B99,[1]Afgrødedata!$A$5:$F$18,4,FALSE),1)*IF(E99&lt;&gt;Jordbund1,IF(E99=Organ6,VLOOKUP(B99,[1]Afgrødedata!$A$5:$F$18,5,FALSE),VLOOKUP(B99,[1]Afgrødedata!$A$5:$F$18,6,FALSE)),1)*HLOOKUP(C99,Landbrug!$C$15:$E$17,2,FALSE)*HLOOKUP(C99,Landbrug!$C$15:$E$17,3,FALSE)*0.1</f>
        <v>0</v>
      </c>
      <c r="J99" s="76">
        <f t="shared" si="15"/>
        <v>327244.33575082856</v>
      </c>
    </row>
    <row r="100" spans="1:10" x14ac:dyDescent="0.55000000000000004">
      <c r="A100" t="s">
        <v>23</v>
      </c>
      <c r="B100" s="1" t="str">
        <f>[1]Afgrødefordeling!$C$2</f>
        <v>Korn</v>
      </c>
      <c r="C100">
        <v>2030</v>
      </c>
      <c r="D100" t="s">
        <v>7</v>
      </c>
      <c r="E100" s="172" t="str">
        <f t="shared" si="18"/>
        <v>OC6</v>
      </c>
      <c r="F100" t="str">
        <f t="shared" si="14"/>
        <v>Halm</v>
      </c>
      <c r="G100" s="76" cm="1">
        <f t="array" ref="G100">IF(A100="Vestdanmark",IF(D100="Konventionel",IF(C100=2019,SUMPRODUCT((B100='Landbrugsareal - resultat'!$B$5:$B$18)*(INDEX('Landbrugsareal - resultat'!$C$5:$E$18,,MATCH(E100,'Landbrugsareal - resultat'!$C$4:$E$4,0)))),IF(C100=2030,SUMPRODUCT((B100='Landbrugsareal - resultat'!$B$5:$B$18)*(INDEX('Landbrugsareal - resultat'!$F$5:$H$18,,MATCH(E100,'Landbrugsareal - resultat'!$F$4:$H$4,0)))),SUMPRODUCT((B100='Landbrugsareal - resultat'!$B$5:$B$18)*(INDEX('Landbrugsareal - resultat'!$I$5:$K$18,,MATCH(E100,'Landbrugsareal - resultat'!$I$4:$K$4,0)))))),IF(C100=2019,SUMPRODUCT((B100='Landbrugsareal - resultat'!$B$5:$B$18)*(INDEX('Landbrugsareal - resultat'!$L$5:$N$18,,MATCH(E100,'Landbrugsareal - resultat'!$L$4:$N$4,0)))),IF(C100=2030,SUMPRODUCT((B100='Landbrugsareal - resultat'!$B$5:$B$18)*(INDEX('Landbrugsareal - resultat'!$O$5:$Q$18,,MATCH(E100,'Landbrugsareal - resultat'!$O$4:$Q$4,0)))),SUMPRODUCT((B100='Landbrugsareal - resultat'!$B$5:$B$18)*(INDEX('Landbrugsareal - resultat'!$R$5:$T$18,,MATCH(E100,'Landbrugsareal - resultat'!$R$4:$T$4,0))))))),IF(D100="Konventionel",IF(C100=2019,SUMPRODUCT((B100='Landbrugsareal - resultat'!$B$32:$B$45)*(INDEX('Landbrugsareal - resultat'!$C$32:$E$45,,MATCH(E100,'Landbrugsareal - resultat'!$C$4:$E$4,0)))),IF(C100=2030,SUMPRODUCT((B100='Landbrugsareal - resultat'!$B$32:$B$45)*(INDEX('Landbrugsareal - resultat'!$F$32:$H$45,,MATCH(E100,'Landbrugsareal - resultat'!$F$4:$H$4,0)))),SUMPRODUCT((B100='Landbrugsareal - resultat'!$B$32:$B$45)*(INDEX('Landbrugsareal - resultat'!$I$32:$K$45,,MATCH(E100,'Landbrugsareal - resultat'!$I$4:$K$4,0)))))),IF(C100=2019,SUMPRODUCT((B100='Landbrugsareal - resultat'!$B$32:$B$45)*(INDEX('Landbrugsareal - resultat'!$L$32:$N$45,,MATCH(E100,'Landbrugsareal - resultat'!$L$4:$N$4,0)))),IF(C100=2030,SUMPRODUCT((B100='Landbrugsareal - resultat'!$B$32:$B$45)*(INDEX('Landbrugsareal - resultat'!$O$32:$Q$45,,MATCH(E100,'Landbrugsareal - resultat'!$O$4:$Q$4,0)))),SUMPRODUCT((B100='Landbrugsareal - resultat'!$B$32:$B$45)*(INDEX('Landbrugsareal - resultat'!$R$32:$T$45,,MATCH(E100,'Landbrugsareal - resultat'!$R$4:$T$4,0))))))))</f>
        <v>21249.096650527637</v>
      </c>
      <c r="H100" s="172">
        <f>G100*VLOOKUP(B100,[1]Afgrødedata!$A$5:$F$18,2,FALSE)*IF(D100="Økologisk",VLOOKUP(B100,[1]Afgrødedata!$A$5:$F$18,4,FALSE),1)*IF(E100&lt;&gt;Jordbund1,IF(E100=Organ6,VLOOKUP(B100,[1]Afgrødedata!$A$5:$F$18,5,FALSE),VLOOKUP(B100,[1]Afgrødedata!$A$5:$F$18,6,FALSE)),1)*0.1</f>
        <v>178747.40102423847</v>
      </c>
      <c r="I100" s="172">
        <f>G100*VLOOKUP(B100,[1]Afgrødedata!$A$5:$F$18,3,FALSE)*IF(D100="Økologisk",VLOOKUP(B100,[1]Afgrødedata!$A$5:$F$18,4,FALSE),1)*IF(E100&lt;&gt;Jordbund1,IF(E100=Organ6,VLOOKUP(B100,[1]Afgrødedata!$A$5:$F$18,5,FALSE),VLOOKUP(B100,[1]Afgrødedata!$A$5:$F$18,6,FALSE)),1)*HLOOKUP(C100,Landbrug!$C$15:$E$17,2,FALSE)*HLOOKUP(C100,Landbrug!$C$15:$E$17,3,FALSE)*0.1</f>
        <v>58003.531632365382</v>
      </c>
      <c r="J100" s="76">
        <f t="shared" si="15"/>
        <v>58003.531632365382</v>
      </c>
    </row>
    <row r="101" spans="1:10" x14ac:dyDescent="0.55000000000000004">
      <c r="A101" t="s">
        <v>23</v>
      </c>
      <c r="B101" s="1" t="str">
        <f>[1]Afgrødefordeling!$C$3</f>
        <v>Bælgsæd</v>
      </c>
      <c r="C101">
        <v>2030</v>
      </c>
      <c r="D101" t="s">
        <v>7</v>
      </c>
      <c r="E101" s="172" t="str">
        <f t="shared" si="18"/>
        <v>OC6</v>
      </c>
      <c r="F101" t="str">
        <f t="shared" si="14"/>
        <v>Halm</v>
      </c>
      <c r="G101" s="76" cm="1">
        <f t="array" ref="G101">IF(A101="Vestdanmark",IF(D101="Konventionel",IF(C101=2019,SUMPRODUCT((B101='Landbrugsareal - resultat'!$B$5:$B$18)*(INDEX('Landbrugsareal - resultat'!$C$5:$E$18,,MATCH(E101,'Landbrugsareal - resultat'!$C$4:$E$4,0)))),IF(C101=2030,SUMPRODUCT((B101='Landbrugsareal - resultat'!$B$5:$B$18)*(INDEX('Landbrugsareal - resultat'!$F$5:$H$18,,MATCH(E101,'Landbrugsareal - resultat'!$F$4:$H$4,0)))),SUMPRODUCT((B101='Landbrugsareal - resultat'!$B$5:$B$18)*(INDEX('Landbrugsareal - resultat'!$I$5:$K$18,,MATCH(E101,'Landbrugsareal - resultat'!$I$4:$K$4,0)))))),IF(C101=2019,SUMPRODUCT((B101='Landbrugsareal - resultat'!$B$5:$B$18)*(INDEX('Landbrugsareal - resultat'!$L$5:$N$18,,MATCH(E101,'Landbrugsareal - resultat'!$L$4:$N$4,0)))),IF(C101=2030,SUMPRODUCT((B101='Landbrugsareal - resultat'!$B$5:$B$18)*(INDEX('Landbrugsareal - resultat'!$O$5:$Q$18,,MATCH(E101,'Landbrugsareal - resultat'!$O$4:$Q$4,0)))),SUMPRODUCT((B101='Landbrugsareal - resultat'!$B$5:$B$18)*(INDEX('Landbrugsareal - resultat'!$R$5:$T$18,,MATCH(E101,'Landbrugsareal - resultat'!$R$4:$T$4,0))))))),IF(D101="Konventionel",IF(C101=2019,SUMPRODUCT((B101='Landbrugsareal - resultat'!$B$32:$B$45)*(INDEX('Landbrugsareal - resultat'!$C$32:$E$45,,MATCH(E101,'Landbrugsareal - resultat'!$C$4:$E$4,0)))),IF(C101=2030,SUMPRODUCT((B101='Landbrugsareal - resultat'!$B$32:$B$45)*(INDEX('Landbrugsareal - resultat'!$F$32:$H$45,,MATCH(E101,'Landbrugsareal - resultat'!$F$4:$H$4,0)))),SUMPRODUCT((B101='Landbrugsareal - resultat'!$B$32:$B$45)*(INDEX('Landbrugsareal - resultat'!$I$32:$K$45,,MATCH(E101,'Landbrugsareal - resultat'!$I$4:$K$4,0)))))),IF(C101=2019,SUMPRODUCT((B101='Landbrugsareal - resultat'!$B$32:$B$45)*(INDEX('Landbrugsareal - resultat'!$L$32:$N$45,,MATCH(E101,'Landbrugsareal - resultat'!$L$4:$N$4,0)))),IF(C101=2030,SUMPRODUCT((B101='Landbrugsareal - resultat'!$B$32:$B$45)*(INDEX('Landbrugsareal - resultat'!$O$32:$Q$45,,MATCH(E101,'Landbrugsareal - resultat'!$O$4:$Q$4,0)))),SUMPRODUCT((B101='Landbrugsareal - resultat'!$B$32:$B$45)*(INDEX('Landbrugsareal - resultat'!$R$32:$T$45,,MATCH(E101,'Landbrugsareal - resultat'!$R$4:$T$4,0))))))))</f>
        <v>1821.561874780974</v>
      </c>
      <c r="H101" s="172">
        <f>G101*VLOOKUP(B101,[1]Afgrødedata!$A$5:$F$18,2,FALSE)*IF(D101="Økologisk",VLOOKUP(B101,[1]Afgrødedata!$A$5:$F$18,4,FALSE),1)*IF(E101&lt;&gt;Jordbund1,IF(E101=Organ6,VLOOKUP(B101,[1]Afgrødedata!$A$5:$F$18,5,FALSE),VLOOKUP(B101,[1]Afgrødedata!$A$5:$F$18,6,FALSE)),1)*0.1</f>
        <v>8437.4746039854726</v>
      </c>
      <c r="I101" s="172">
        <f>G101*VLOOKUP(B101,[1]Afgrødedata!$A$5:$F$18,3,FALSE)*IF(D101="Økologisk",VLOOKUP(B101,[1]Afgrødedata!$A$5:$F$18,4,FALSE),1)*IF(E101&lt;&gt;Jordbund1,IF(E101=Organ6,VLOOKUP(B101,[1]Afgrødedata!$A$5:$F$18,5,FALSE),VLOOKUP(B101,[1]Afgrødedata!$A$5:$F$18,6,FALSE)),1)*HLOOKUP(C101,Landbrug!$C$15:$E$17,2,FALSE)*HLOOKUP(C101,Landbrug!$C$15:$E$17,3,FALSE)*0.1</f>
        <v>2490.3446739830588</v>
      </c>
      <c r="J101" s="76">
        <f t="shared" si="15"/>
        <v>2490.3446739830588</v>
      </c>
    </row>
    <row r="102" spans="1:10" x14ac:dyDescent="0.55000000000000004">
      <c r="A102" t="s">
        <v>23</v>
      </c>
      <c r="B102" s="1" t="str">
        <f>[1]Afgrødefordeling!$C$4</f>
        <v>Raps</v>
      </c>
      <c r="C102">
        <v>2030</v>
      </c>
      <c r="D102" t="s">
        <v>7</v>
      </c>
      <c r="E102" s="172" t="str">
        <f t="shared" si="18"/>
        <v>OC6</v>
      </c>
      <c r="F102" t="str">
        <f t="shared" si="14"/>
        <v>Halm</v>
      </c>
      <c r="G102" s="76" cm="1">
        <f t="array" ref="G102">IF(A102="Vestdanmark",IF(D102="Konventionel",IF(C102=2019,SUMPRODUCT((B102='Landbrugsareal - resultat'!$B$5:$B$18)*(INDEX('Landbrugsareal - resultat'!$C$5:$E$18,,MATCH(E102,'Landbrugsareal - resultat'!$C$4:$E$4,0)))),IF(C102=2030,SUMPRODUCT((B102='Landbrugsareal - resultat'!$B$5:$B$18)*(INDEX('Landbrugsareal - resultat'!$F$5:$H$18,,MATCH(E102,'Landbrugsareal - resultat'!$F$4:$H$4,0)))),SUMPRODUCT((B102='Landbrugsareal - resultat'!$B$5:$B$18)*(INDEX('Landbrugsareal - resultat'!$I$5:$K$18,,MATCH(E102,'Landbrugsareal - resultat'!$I$4:$K$4,0)))))),IF(C102=2019,SUMPRODUCT((B102='Landbrugsareal - resultat'!$B$5:$B$18)*(INDEX('Landbrugsareal - resultat'!$L$5:$N$18,,MATCH(E102,'Landbrugsareal - resultat'!$L$4:$N$4,0)))),IF(C102=2030,SUMPRODUCT((B102='Landbrugsareal - resultat'!$B$5:$B$18)*(INDEX('Landbrugsareal - resultat'!$O$5:$Q$18,,MATCH(E102,'Landbrugsareal - resultat'!$O$4:$Q$4,0)))),SUMPRODUCT((B102='Landbrugsareal - resultat'!$B$5:$B$18)*(INDEX('Landbrugsareal - resultat'!$R$5:$T$18,,MATCH(E102,'Landbrugsareal - resultat'!$R$4:$T$4,0))))))),IF(D102="Konventionel",IF(C102=2019,SUMPRODUCT((B102='Landbrugsareal - resultat'!$B$32:$B$45)*(INDEX('Landbrugsareal - resultat'!$C$32:$E$45,,MATCH(E102,'Landbrugsareal - resultat'!$C$4:$E$4,0)))),IF(C102=2030,SUMPRODUCT((B102='Landbrugsareal - resultat'!$B$32:$B$45)*(INDEX('Landbrugsareal - resultat'!$F$32:$H$45,,MATCH(E102,'Landbrugsareal - resultat'!$F$4:$H$4,0)))),SUMPRODUCT((B102='Landbrugsareal - resultat'!$B$32:$B$45)*(INDEX('Landbrugsareal - resultat'!$I$32:$K$45,,MATCH(E102,'Landbrugsareal - resultat'!$I$4:$K$4,0)))))),IF(C102=2019,SUMPRODUCT((B102='Landbrugsareal - resultat'!$B$32:$B$45)*(INDEX('Landbrugsareal - resultat'!$L$32:$N$45,,MATCH(E102,'Landbrugsareal - resultat'!$L$4:$N$4,0)))),IF(C102=2030,SUMPRODUCT((B102='Landbrugsareal - resultat'!$B$32:$B$45)*(INDEX('Landbrugsareal - resultat'!$O$32:$Q$45,,MATCH(E102,'Landbrugsareal - resultat'!$O$4:$Q$4,0)))),SUMPRODUCT((B102='Landbrugsareal - resultat'!$B$32:$B$45)*(INDEX('Landbrugsareal - resultat'!$R$32:$T$45,,MATCH(E102,'Landbrugsareal - resultat'!$R$4:$T$4,0))))))))</f>
        <v>1950.4974863373875</v>
      </c>
      <c r="H102" s="172">
        <f>G102*VLOOKUP(B102,[1]Afgrødedata!$A$5:$F$18,2,FALSE)*IF(D102="Økologisk",VLOOKUP(B102,[1]Afgrødedata!$A$5:$F$18,4,FALSE),1)*IF(E102&lt;&gt;Jordbund1,IF(E102=Organ6,VLOOKUP(B102,[1]Afgrødedata!$A$5:$F$18,5,FALSE),VLOOKUP(B102,[1]Afgrødedata!$A$5:$F$18,6,FALSE)),1)*0.1</f>
        <v>10298.626727861405</v>
      </c>
      <c r="I102" s="172">
        <f>G102*VLOOKUP(B102,[1]Afgrødedata!$A$5:$F$18,3,FALSE)*IF(D102="Økologisk",VLOOKUP(B102,[1]Afgrødedata!$A$5:$F$18,4,FALSE),1)*IF(E102&lt;&gt;Jordbund1,IF(E102=Organ6,VLOOKUP(B102,[1]Afgrødedata!$A$5:$F$18,5,FALSE),VLOOKUP(B102,[1]Afgrødedata!$A$5:$F$18,6,FALSE)),1)*HLOOKUP(C102,Landbrug!$C$15:$E$17,2,FALSE)*HLOOKUP(C102,Landbrug!$C$15:$E$17,3,FALSE)*0.1</f>
        <v>5468.5707924944063</v>
      </c>
      <c r="J102" s="76">
        <f t="shared" si="15"/>
        <v>5468.5707924944063</v>
      </c>
    </row>
    <row r="103" spans="1:10" x14ac:dyDescent="0.55000000000000004">
      <c r="A103" t="s">
        <v>23</v>
      </c>
      <c r="B103" s="1" t="str">
        <f>[1]Afgrødefordeling!$C$5</f>
        <v>Græs</v>
      </c>
      <c r="C103">
        <v>2030</v>
      </c>
      <c r="D103" t="s">
        <v>7</v>
      </c>
      <c r="E103" s="172" t="str">
        <f t="shared" si="18"/>
        <v>OC6</v>
      </c>
      <c r="F103" t="str">
        <f t="shared" si="14"/>
        <v>Græs</v>
      </c>
      <c r="G103" s="76" cm="1">
        <f t="array" ref="G103">IF(A103="Vestdanmark",IF(D103="Konventionel",IF(C103=2019,SUMPRODUCT((B103='Landbrugsareal - resultat'!$B$5:$B$18)*(INDEX('Landbrugsareal - resultat'!$C$5:$E$18,,MATCH(E103,'Landbrugsareal - resultat'!$C$4:$E$4,0)))),IF(C103=2030,SUMPRODUCT((B103='Landbrugsareal - resultat'!$B$5:$B$18)*(INDEX('Landbrugsareal - resultat'!$F$5:$H$18,,MATCH(E103,'Landbrugsareal - resultat'!$F$4:$H$4,0)))),SUMPRODUCT((B103='Landbrugsareal - resultat'!$B$5:$B$18)*(INDEX('Landbrugsareal - resultat'!$I$5:$K$18,,MATCH(E103,'Landbrugsareal - resultat'!$I$4:$K$4,0)))))),IF(C103=2019,SUMPRODUCT((B103='Landbrugsareal - resultat'!$B$5:$B$18)*(INDEX('Landbrugsareal - resultat'!$L$5:$N$18,,MATCH(E103,'Landbrugsareal - resultat'!$L$4:$N$4,0)))),IF(C103=2030,SUMPRODUCT((B103='Landbrugsareal - resultat'!$B$5:$B$18)*(INDEX('Landbrugsareal - resultat'!$O$5:$Q$18,,MATCH(E103,'Landbrugsareal - resultat'!$O$4:$Q$4,0)))),SUMPRODUCT((B103='Landbrugsareal - resultat'!$B$5:$B$18)*(INDEX('Landbrugsareal - resultat'!$R$5:$T$18,,MATCH(E103,'Landbrugsareal - resultat'!$R$4:$T$4,0))))))),IF(D103="Konventionel",IF(C103=2019,SUMPRODUCT((B103='Landbrugsareal - resultat'!$B$32:$B$45)*(INDEX('Landbrugsareal - resultat'!$C$32:$E$45,,MATCH(E103,'Landbrugsareal - resultat'!$C$4:$E$4,0)))),IF(C103=2030,SUMPRODUCT((B103='Landbrugsareal - resultat'!$B$32:$B$45)*(INDEX('Landbrugsareal - resultat'!$F$32:$H$45,,MATCH(E103,'Landbrugsareal - resultat'!$F$4:$H$4,0)))),SUMPRODUCT((B103='Landbrugsareal - resultat'!$B$32:$B$45)*(INDEX('Landbrugsareal - resultat'!$I$32:$K$45,,MATCH(E103,'Landbrugsareal - resultat'!$I$4:$K$4,0)))))),IF(C103=2019,SUMPRODUCT((B103='Landbrugsareal - resultat'!$B$32:$B$45)*(INDEX('Landbrugsareal - resultat'!$L$32:$N$45,,MATCH(E103,'Landbrugsareal - resultat'!$L$4:$N$4,0)))),IF(C103=2030,SUMPRODUCT((B103='Landbrugsareal - resultat'!$B$32:$B$45)*(INDEX('Landbrugsareal - resultat'!$O$32:$Q$45,,MATCH(E103,'Landbrugsareal - resultat'!$O$4:$Q$4,0)))),SUMPRODUCT((B103='Landbrugsareal - resultat'!$B$32:$B$45)*(INDEX('Landbrugsareal - resultat'!$R$32:$T$45,,MATCH(E103,'Landbrugsareal - resultat'!$R$4:$T$4,0))))))))</f>
        <v>17999.879287766547</v>
      </c>
      <c r="H103" s="172">
        <f>G103*VLOOKUP(B103,[1]Afgrødedata!$A$5:$F$18,2,FALSE)*IF(D103="Økologisk",VLOOKUP(B103,[1]Afgrødedata!$A$5:$F$18,4,FALSE),1)*IF(E103&lt;&gt;Jordbund1,IF(E103=Organ6,VLOOKUP(B103,[1]Afgrødedata!$A$5:$F$18,5,FALSE),VLOOKUP(B103,[1]Afgrødedata!$A$5:$F$18,6,FALSE)),1)*0.1</f>
        <v>1071784.8123107711</v>
      </c>
      <c r="I103" s="172">
        <f>G103*VLOOKUP(B103,[1]Afgrødedata!$A$5:$F$18,3,FALSE)*IF(D103="Økologisk",VLOOKUP(B103,[1]Afgrødedata!$A$5:$F$18,4,FALSE),1)*IF(E103&lt;&gt;Jordbund1,IF(E103=Organ6,VLOOKUP(B103,[1]Afgrødedata!$A$5:$F$18,5,FALSE),VLOOKUP(B103,[1]Afgrødedata!$A$5:$F$18,6,FALSE)),1)*HLOOKUP(C103,Landbrug!$C$15:$E$17,2,FALSE)*HLOOKUP(C103,Landbrug!$C$15:$E$17,3,FALSE)*0.1</f>
        <v>0</v>
      </c>
      <c r="J103" s="76">
        <f t="shared" si="15"/>
        <v>1071784.8123107711</v>
      </c>
    </row>
    <row r="104" spans="1:10" x14ac:dyDescent="0.55000000000000004">
      <c r="A104" t="s">
        <v>23</v>
      </c>
      <c r="B104" s="1" t="str">
        <f>[1]Afgrødefordeling!$C$6</f>
        <v>Grøntsager</v>
      </c>
      <c r="C104">
        <v>2030</v>
      </c>
      <c r="D104" t="s">
        <v>7</v>
      </c>
      <c r="E104" s="172" t="str">
        <f t="shared" si="18"/>
        <v>OC6</v>
      </c>
      <c r="F104" t="str">
        <f t="shared" si="14"/>
        <v>Grøntsager</v>
      </c>
      <c r="G104" s="76" cm="1">
        <f t="array" ref="G104">IF(A104="Vestdanmark",IF(D104="Konventionel",IF(C104=2019,SUMPRODUCT((B104='Landbrugsareal - resultat'!$B$5:$B$18)*(INDEX('Landbrugsareal - resultat'!$C$5:$E$18,,MATCH(E104,'Landbrugsareal - resultat'!$C$4:$E$4,0)))),IF(C104=2030,SUMPRODUCT((B104='Landbrugsareal - resultat'!$B$5:$B$18)*(INDEX('Landbrugsareal - resultat'!$F$5:$H$18,,MATCH(E104,'Landbrugsareal - resultat'!$F$4:$H$4,0)))),SUMPRODUCT((B104='Landbrugsareal - resultat'!$B$5:$B$18)*(INDEX('Landbrugsareal - resultat'!$I$5:$K$18,,MATCH(E104,'Landbrugsareal - resultat'!$I$4:$K$4,0)))))),IF(C104=2019,SUMPRODUCT((B104='Landbrugsareal - resultat'!$B$5:$B$18)*(INDEX('Landbrugsareal - resultat'!$L$5:$N$18,,MATCH(E104,'Landbrugsareal - resultat'!$L$4:$N$4,0)))),IF(C104=2030,SUMPRODUCT((B104='Landbrugsareal - resultat'!$B$5:$B$18)*(INDEX('Landbrugsareal - resultat'!$O$5:$Q$18,,MATCH(E104,'Landbrugsareal - resultat'!$O$4:$Q$4,0)))),SUMPRODUCT((B104='Landbrugsareal - resultat'!$B$5:$B$18)*(INDEX('Landbrugsareal - resultat'!$R$5:$T$18,,MATCH(E104,'Landbrugsareal - resultat'!$R$4:$T$4,0))))))),IF(D104="Konventionel",IF(C104=2019,SUMPRODUCT((B104='Landbrugsareal - resultat'!$B$32:$B$45)*(INDEX('Landbrugsareal - resultat'!$C$32:$E$45,,MATCH(E104,'Landbrugsareal - resultat'!$C$4:$E$4,0)))),IF(C104=2030,SUMPRODUCT((B104='Landbrugsareal - resultat'!$B$32:$B$45)*(INDEX('Landbrugsareal - resultat'!$F$32:$H$45,,MATCH(E104,'Landbrugsareal - resultat'!$F$4:$H$4,0)))),SUMPRODUCT((B104='Landbrugsareal - resultat'!$B$32:$B$45)*(INDEX('Landbrugsareal - resultat'!$I$32:$K$45,,MATCH(E104,'Landbrugsareal - resultat'!$I$4:$K$4,0)))))),IF(C104=2019,SUMPRODUCT((B104='Landbrugsareal - resultat'!$B$32:$B$45)*(INDEX('Landbrugsareal - resultat'!$L$32:$N$45,,MATCH(E104,'Landbrugsareal - resultat'!$L$4:$N$4,0)))),IF(C104=2030,SUMPRODUCT((B104='Landbrugsareal - resultat'!$B$32:$B$45)*(INDEX('Landbrugsareal - resultat'!$O$32:$Q$45,,MATCH(E104,'Landbrugsareal - resultat'!$O$4:$Q$4,0)))),SUMPRODUCT((B104='Landbrugsareal - resultat'!$B$32:$B$45)*(INDEX('Landbrugsareal - resultat'!$R$32:$T$45,,MATCH(E104,'Landbrugsareal - resultat'!$R$4:$T$4,0))))))))</f>
        <v>84.186112476280258</v>
      </c>
      <c r="H104" s="172">
        <f>G104*VLOOKUP(B104,[1]Afgrødedata!$A$5:$F$18,2,FALSE)*IF(D104="Økologisk",VLOOKUP(B104,[1]Afgrødedata!$A$5:$F$18,4,FALSE),1)*IF(E104&lt;&gt;Jordbund1,IF(E104=Organ6,VLOOKUP(B104,[1]Afgrødedata!$A$5:$F$18,5,FALSE),VLOOKUP(B104,[1]Afgrødedata!$A$5:$F$18,6,FALSE)),1)*0.1</f>
        <v>2096.2342006593785</v>
      </c>
      <c r="I104" s="172">
        <f>G104*VLOOKUP(B104,[1]Afgrødedata!$A$5:$F$18,3,FALSE)*IF(D104="Økologisk",VLOOKUP(B104,[1]Afgrødedata!$A$5:$F$18,4,FALSE),1)*IF(E104&lt;&gt;Jordbund1,IF(E104=Organ6,VLOOKUP(B104,[1]Afgrødedata!$A$5:$F$18,5,FALSE),VLOOKUP(B104,[1]Afgrødedata!$A$5:$F$18,6,FALSE)),1)*HLOOKUP(C104,Landbrug!$C$15:$E$17,2,FALSE)*HLOOKUP(C104,Landbrug!$C$15:$E$17,3,FALSE)*0.1</f>
        <v>0</v>
      </c>
      <c r="J104" s="76">
        <f t="shared" si="15"/>
        <v>2096.2342006593785</v>
      </c>
    </row>
    <row r="105" spans="1:10" x14ac:dyDescent="0.55000000000000004">
      <c r="A105" t="s">
        <v>23</v>
      </c>
      <c r="B105" s="1" t="str">
        <f>[1]Afgrødefordeling!$C$7</f>
        <v>Kartofler</v>
      </c>
      <c r="C105">
        <v>2030</v>
      </c>
      <c r="D105" t="s">
        <v>7</v>
      </c>
      <c r="E105" s="172" t="str">
        <f t="shared" si="18"/>
        <v>OC6</v>
      </c>
      <c r="F105" t="str">
        <f t="shared" si="14"/>
        <v>Kartofler</v>
      </c>
      <c r="G105" s="76" cm="1">
        <f t="array" ref="G105">IF(A105="Vestdanmark",IF(D105="Konventionel",IF(C105=2019,SUMPRODUCT((B105='Landbrugsareal - resultat'!$B$5:$B$18)*(INDEX('Landbrugsareal - resultat'!$C$5:$E$18,,MATCH(E105,'Landbrugsareal - resultat'!$C$4:$E$4,0)))),IF(C105=2030,SUMPRODUCT((B105='Landbrugsareal - resultat'!$B$5:$B$18)*(INDEX('Landbrugsareal - resultat'!$F$5:$H$18,,MATCH(E105,'Landbrugsareal - resultat'!$F$4:$H$4,0)))),SUMPRODUCT((B105='Landbrugsareal - resultat'!$B$5:$B$18)*(INDEX('Landbrugsareal - resultat'!$I$5:$K$18,,MATCH(E105,'Landbrugsareal - resultat'!$I$4:$K$4,0)))))),IF(C105=2019,SUMPRODUCT((B105='Landbrugsareal - resultat'!$B$5:$B$18)*(INDEX('Landbrugsareal - resultat'!$L$5:$N$18,,MATCH(E105,'Landbrugsareal - resultat'!$L$4:$N$4,0)))),IF(C105=2030,SUMPRODUCT((B105='Landbrugsareal - resultat'!$B$5:$B$18)*(INDEX('Landbrugsareal - resultat'!$O$5:$Q$18,,MATCH(E105,'Landbrugsareal - resultat'!$O$4:$Q$4,0)))),SUMPRODUCT((B105='Landbrugsareal - resultat'!$B$5:$B$18)*(INDEX('Landbrugsareal - resultat'!$R$5:$T$18,,MATCH(E105,'Landbrugsareal - resultat'!$R$4:$T$4,0))))))),IF(D105="Konventionel",IF(C105=2019,SUMPRODUCT((B105='Landbrugsareal - resultat'!$B$32:$B$45)*(INDEX('Landbrugsareal - resultat'!$C$32:$E$45,,MATCH(E105,'Landbrugsareal - resultat'!$C$4:$E$4,0)))),IF(C105=2030,SUMPRODUCT((B105='Landbrugsareal - resultat'!$B$32:$B$45)*(INDEX('Landbrugsareal - resultat'!$F$32:$H$45,,MATCH(E105,'Landbrugsareal - resultat'!$F$4:$H$4,0)))),SUMPRODUCT((B105='Landbrugsareal - resultat'!$B$32:$B$45)*(INDEX('Landbrugsareal - resultat'!$I$32:$K$45,,MATCH(E105,'Landbrugsareal - resultat'!$I$4:$K$4,0)))))),IF(C105=2019,SUMPRODUCT((B105='Landbrugsareal - resultat'!$B$32:$B$45)*(INDEX('Landbrugsareal - resultat'!$L$32:$N$45,,MATCH(E105,'Landbrugsareal - resultat'!$L$4:$N$4,0)))),IF(C105=2030,SUMPRODUCT((B105='Landbrugsareal - resultat'!$B$32:$B$45)*(INDEX('Landbrugsareal - resultat'!$O$32:$Q$45,,MATCH(E105,'Landbrugsareal - resultat'!$O$4:$Q$4,0)))),SUMPRODUCT((B105='Landbrugsareal - resultat'!$B$32:$B$45)*(INDEX('Landbrugsareal - resultat'!$R$32:$T$45,,MATCH(E105,'Landbrugsareal - resultat'!$R$4:$T$4,0))))))))</f>
        <v>1329.0805135468072</v>
      </c>
      <c r="H105" s="172">
        <f>G105*VLOOKUP(B105,[1]Afgrødedata!$A$5:$F$18,2,FALSE)*IF(D105="Økologisk",VLOOKUP(B105,[1]Afgrødedata!$A$5:$F$18,4,FALSE),1)*IF(E105&lt;&gt;Jordbund1,IF(E105=Organ6,VLOOKUP(B105,[1]Afgrødedata!$A$5:$F$18,5,FALSE),VLOOKUP(B105,[1]Afgrødedata!$A$5:$F$18,6,FALSE)),1)*0.1</f>
        <v>67736.693855493475</v>
      </c>
      <c r="I105" s="172">
        <f>G105*VLOOKUP(B105,[1]Afgrødedata!$A$5:$F$18,3,FALSE)*IF(D105="Økologisk",VLOOKUP(B105,[1]Afgrødedata!$A$5:$F$18,4,FALSE),1)*IF(E105&lt;&gt;Jordbund1,IF(E105=Organ6,VLOOKUP(B105,[1]Afgrødedata!$A$5:$F$18,5,FALSE),VLOOKUP(B105,[1]Afgrødedata!$A$5:$F$18,6,FALSE)),1)*HLOOKUP(C105,Landbrug!$C$15:$E$17,2,FALSE)*HLOOKUP(C105,Landbrug!$C$15:$E$17,3,FALSE)*0.1</f>
        <v>0</v>
      </c>
      <c r="J105" s="76">
        <f t="shared" si="15"/>
        <v>67736.693855493475</v>
      </c>
    </row>
    <row r="106" spans="1:10" x14ac:dyDescent="0.55000000000000004">
      <c r="A106" t="s">
        <v>23</v>
      </c>
      <c r="B106" s="1" t="str">
        <f>[1]Afgrødefordeling!$C$8</f>
        <v>Roer</v>
      </c>
      <c r="C106">
        <v>2030</v>
      </c>
      <c r="D106" t="s">
        <v>7</v>
      </c>
      <c r="E106" s="172" t="str">
        <f t="shared" si="18"/>
        <v>OC6</v>
      </c>
      <c r="F106" t="str">
        <f t="shared" si="14"/>
        <v>Roer</v>
      </c>
      <c r="G106" s="76" cm="1">
        <f t="array" ref="G106">IF(A106="Vestdanmark",IF(D106="Konventionel",IF(C106=2019,SUMPRODUCT((B106='Landbrugsareal - resultat'!$B$5:$B$18)*(INDEX('Landbrugsareal - resultat'!$C$5:$E$18,,MATCH(E106,'Landbrugsareal - resultat'!$C$4:$E$4,0)))),IF(C106=2030,SUMPRODUCT((B106='Landbrugsareal - resultat'!$B$5:$B$18)*(INDEX('Landbrugsareal - resultat'!$F$5:$H$18,,MATCH(E106,'Landbrugsareal - resultat'!$F$4:$H$4,0)))),SUMPRODUCT((B106='Landbrugsareal - resultat'!$B$5:$B$18)*(INDEX('Landbrugsareal - resultat'!$I$5:$K$18,,MATCH(E106,'Landbrugsareal - resultat'!$I$4:$K$4,0)))))),IF(C106=2019,SUMPRODUCT((B106='Landbrugsareal - resultat'!$B$5:$B$18)*(INDEX('Landbrugsareal - resultat'!$L$5:$N$18,,MATCH(E106,'Landbrugsareal - resultat'!$L$4:$N$4,0)))),IF(C106=2030,SUMPRODUCT((B106='Landbrugsareal - resultat'!$B$5:$B$18)*(INDEX('Landbrugsareal - resultat'!$O$5:$Q$18,,MATCH(E106,'Landbrugsareal - resultat'!$O$4:$Q$4,0)))),SUMPRODUCT((B106='Landbrugsareal - resultat'!$B$5:$B$18)*(INDEX('Landbrugsareal - resultat'!$R$5:$T$18,,MATCH(E106,'Landbrugsareal - resultat'!$R$4:$T$4,0))))))),IF(D106="Konventionel",IF(C106=2019,SUMPRODUCT((B106='Landbrugsareal - resultat'!$B$32:$B$45)*(INDEX('Landbrugsareal - resultat'!$C$32:$E$45,,MATCH(E106,'Landbrugsareal - resultat'!$C$4:$E$4,0)))),IF(C106=2030,SUMPRODUCT((B106='Landbrugsareal - resultat'!$B$32:$B$45)*(INDEX('Landbrugsareal - resultat'!$F$32:$H$45,,MATCH(E106,'Landbrugsareal - resultat'!$F$4:$H$4,0)))),SUMPRODUCT((B106='Landbrugsareal - resultat'!$B$32:$B$45)*(INDEX('Landbrugsareal - resultat'!$I$32:$K$45,,MATCH(E106,'Landbrugsareal - resultat'!$I$4:$K$4,0)))))),IF(C106=2019,SUMPRODUCT((B106='Landbrugsareal - resultat'!$B$32:$B$45)*(INDEX('Landbrugsareal - resultat'!$L$32:$N$45,,MATCH(E106,'Landbrugsareal - resultat'!$L$4:$N$4,0)))),IF(C106=2030,SUMPRODUCT((B106='Landbrugsareal - resultat'!$B$32:$B$45)*(INDEX('Landbrugsareal - resultat'!$O$32:$Q$45,,MATCH(E106,'Landbrugsareal - resultat'!$O$4:$Q$4,0)))),SUMPRODUCT((B106='Landbrugsareal - resultat'!$B$32:$B$45)*(INDEX('Landbrugsareal - resultat'!$R$32:$T$45,,MATCH(E106,'Landbrugsareal - resultat'!$R$4:$T$4,0))))))))</f>
        <v>34.868851808171492</v>
      </c>
      <c r="H106" s="172">
        <f>G106*VLOOKUP(B106,[1]Afgrødedata!$A$5:$F$18,2,FALSE)*IF(D106="Økologisk",VLOOKUP(B106,[1]Afgrødedata!$A$5:$F$18,4,FALSE),1)*IF(E106&lt;&gt;Jordbund1,IF(E106=Organ6,VLOOKUP(B106,[1]Afgrødedata!$A$5:$F$18,5,FALSE),VLOOKUP(B106,[1]Afgrødedata!$A$5:$F$18,6,FALSE)),1)*0.1</f>
        <v>3399.8691804839214</v>
      </c>
      <c r="I106" s="172">
        <f>G106*VLOOKUP(B106,[1]Afgrødedata!$A$5:$F$18,3,FALSE)*IF(D106="Økologisk",VLOOKUP(B106,[1]Afgrødedata!$A$5:$F$18,4,FALSE),1)*IF(E106&lt;&gt;Jordbund1,IF(E106=Organ6,VLOOKUP(B106,[1]Afgrødedata!$A$5:$F$18,5,FALSE),VLOOKUP(B106,[1]Afgrødedata!$A$5:$F$18,6,FALSE)),1)*HLOOKUP(C106,Landbrug!$C$15:$E$17,2,FALSE)*HLOOKUP(C106,Landbrug!$C$15:$E$17,3,FALSE)*0.1</f>
        <v>0</v>
      </c>
      <c r="J106" s="76">
        <f t="shared" si="15"/>
        <v>3399.8691804839214</v>
      </c>
    </row>
    <row r="107" spans="1:10" x14ac:dyDescent="0.55000000000000004">
      <c r="A107" t="s">
        <v>23</v>
      </c>
      <c r="B107" s="1" t="str">
        <f>[1]Afgrødefordeling!$C$9</f>
        <v>Majs</v>
      </c>
      <c r="C107">
        <v>2030</v>
      </c>
      <c r="D107" t="s">
        <v>7</v>
      </c>
      <c r="E107" s="172" t="str">
        <f t="shared" si="18"/>
        <v>OC6</v>
      </c>
      <c r="F107" t="str">
        <f t="shared" si="14"/>
        <v>Majs</v>
      </c>
      <c r="G107" s="76" cm="1">
        <f t="array" ref="G107">IF(A107="Vestdanmark",IF(D107="Konventionel",IF(C107=2019,SUMPRODUCT((B107='Landbrugsareal - resultat'!$B$5:$B$18)*(INDEX('Landbrugsareal - resultat'!$C$5:$E$18,,MATCH(E107,'Landbrugsareal - resultat'!$C$4:$E$4,0)))),IF(C107=2030,SUMPRODUCT((B107='Landbrugsareal - resultat'!$B$5:$B$18)*(INDEX('Landbrugsareal - resultat'!$F$5:$H$18,,MATCH(E107,'Landbrugsareal - resultat'!$F$4:$H$4,0)))),SUMPRODUCT((B107='Landbrugsareal - resultat'!$B$5:$B$18)*(INDEX('Landbrugsareal - resultat'!$I$5:$K$18,,MATCH(E107,'Landbrugsareal - resultat'!$I$4:$K$4,0)))))),IF(C107=2019,SUMPRODUCT((B107='Landbrugsareal - resultat'!$B$5:$B$18)*(INDEX('Landbrugsareal - resultat'!$L$5:$N$18,,MATCH(E107,'Landbrugsareal - resultat'!$L$4:$N$4,0)))),IF(C107=2030,SUMPRODUCT((B107='Landbrugsareal - resultat'!$B$5:$B$18)*(INDEX('Landbrugsareal - resultat'!$O$5:$Q$18,,MATCH(E107,'Landbrugsareal - resultat'!$O$4:$Q$4,0)))),SUMPRODUCT((B107='Landbrugsareal - resultat'!$B$5:$B$18)*(INDEX('Landbrugsareal - resultat'!$R$5:$T$18,,MATCH(E107,'Landbrugsareal - resultat'!$R$4:$T$4,0))))))),IF(D107="Konventionel",IF(C107=2019,SUMPRODUCT((B107='Landbrugsareal - resultat'!$B$32:$B$45)*(INDEX('Landbrugsareal - resultat'!$C$32:$E$45,,MATCH(E107,'Landbrugsareal - resultat'!$C$4:$E$4,0)))),IF(C107=2030,SUMPRODUCT((B107='Landbrugsareal - resultat'!$B$32:$B$45)*(INDEX('Landbrugsareal - resultat'!$F$32:$H$45,,MATCH(E107,'Landbrugsareal - resultat'!$F$4:$H$4,0)))),SUMPRODUCT((B107='Landbrugsareal - resultat'!$B$32:$B$45)*(INDEX('Landbrugsareal - resultat'!$I$32:$K$45,,MATCH(E107,'Landbrugsareal - resultat'!$I$4:$K$4,0)))))),IF(C107=2019,SUMPRODUCT((B107='Landbrugsareal - resultat'!$B$32:$B$45)*(INDEX('Landbrugsareal - resultat'!$L$32:$N$45,,MATCH(E107,'Landbrugsareal - resultat'!$L$4:$N$4,0)))),IF(C107=2030,SUMPRODUCT((B107='Landbrugsareal - resultat'!$B$32:$B$45)*(INDEX('Landbrugsareal - resultat'!$O$32:$Q$45,,MATCH(E107,'Landbrugsareal - resultat'!$O$4:$Q$4,0)))),SUMPRODUCT((B107='Landbrugsareal - resultat'!$B$32:$B$45)*(INDEX('Landbrugsareal - resultat'!$R$32:$T$45,,MATCH(E107,'Landbrugsareal - resultat'!$R$4:$T$4,0))))))))</f>
        <v>4501.0447763591501</v>
      </c>
      <c r="H107" s="172">
        <f>G107*VLOOKUP(B107,[1]Afgrødedata!$A$5:$F$18,2,FALSE)*IF(D107="Økologisk",VLOOKUP(B107,[1]Afgrødedata!$A$5:$F$18,4,FALSE),1)*IF(E107&lt;&gt;Jordbund1,IF(E107=Organ6,VLOOKUP(B107,[1]Afgrødedata!$A$5:$F$18,5,FALSE),VLOOKUP(B107,[1]Afgrødedata!$A$5:$F$18,6,FALSE)),1)*0.1</f>
        <v>240409.80359489494</v>
      </c>
      <c r="I107" s="172">
        <f>G107*VLOOKUP(B107,[1]Afgrødedata!$A$5:$F$18,3,FALSE)*IF(D107="Økologisk",VLOOKUP(B107,[1]Afgrødedata!$A$5:$F$18,4,FALSE),1)*IF(E107&lt;&gt;Jordbund1,IF(E107=Organ6,VLOOKUP(B107,[1]Afgrødedata!$A$5:$F$18,5,FALSE),VLOOKUP(B107,[1]Afgrødedata!$A$5:$F$18,6,FALSE)),1)*HLOOKUP(C107,Landbrug!$C$15:$E$17,2,FALSE)*HLOOKUP(C107,Landbrug!$C$15:$E$17,3,FALSE)*0.1</f>
        <v>0</v>
      </c>
      <c r="J107" s="76">
        <f t="shared" si="15"/>
        <v>240409.80359489494</v>
      </c>
    </row>
    <row r="108" spans="1:10" x14ac:dyDescent="0.55000000000000004">
      <c r="A108" t="s">
        <v>23</v>
      </c>
      <c r="B108" s="1" t="str">
        <f>[1]Afgrødefordeling!$C$10</f>
        <v>Frugt</v>
      </c>
      <c r="C108">
        <v>2030</v>
      </c>
      <c r="D108" t="s">
        <v>7</v>
      </c>
      <c r="E108" s="172" t="str">
        <f t="shared" si="18"/>
        <v>OC6</v>
      </c>
      <c r="F108" t="str">
        <f t="shared" si="14"/>
        <v>Frugt</v>
      </c>
      <c r="G108" s="76" cm="1">
        <f t="array" ref="G108">IF(A108="Vestdanmark",IF(D108="Konventionel",IF(C108=2019,SUMPRODUCT((B108='Landbrugsareal - resultat'!$B$5:$B$18)*(INDEX('Landbrugsareal - resultat'!$C$5:$E$18,,MATCH(E108,'Landbrugsareal - resultat'!$C$4:$E$4,0)))),IF(C108=2030,SUMPRODUCT((B108='Landbrugsareal - resultat'!$B$5:$B$18)*(INDEX('Landbrugsareal - resultat'!$F$5:$H$18,,MATCH(E108,'Landbrugsareal - resultat'!$F$4:$H$4,0)))),SUMPRODUCT((B108='Landbrugsareal - resultat'!$B$5:$B$18)*(INDEX('Landbrugsareal - resultat'!$I$5:$K$18,,MATCH(E108,'Landbrugsareal - resultat'!$I$4:$K$4,0)))))),IF(C108=2019,SUMPRODUCT((B108='Landbrugsareal - resultat'!$B$5:$B$18)*(INDEX('Landbrugsareal - resultat'!$L$5:$N$18,,MATCH(E108,'Landbrugsareal - resultat'!$L$4:$N$4,0)))),IF(C108=2030,SUMPRODUCT((B108='Landbrugsareal - resultat'!$B$5:$B$18)*(INDEX('Landbrugsareal - resultat'!$O$5:$Q$18,,MATCH(E108,'Landbrugsareal - resultat'!$O$4:$Q$4,0)))),SUMPRODUCT((B108='Landbrugsareal - resultat'!$B$5:$B$18)*(INDEX('Landbrugsareal - resultat'!$R$5:$T$18,,MATCH(E108,'Landbrugsareal - resultat'!$R$4:$T$4,0))))))),IF(D108="Konventionel",IF(C108=2019,SUMPRODUCT((B108='Landbrugsareal - resultat'!$B$32:$B$45)*(INDEX('Landbrugsareal - resultat'!$C$32:$E$45,,MATCH(E108,'Landbrugsareal - resultat'!$C$4:$E$4,0)))),IF(C108=2030,SUMPRODUCT((B108='Landbrugsareal - resultat'!$B$32:$B$45)*(INDEX('Landbrugsareal - resultat'!$F$32:$H$45,,MATCH(E108,'Landbrugsareal - resultat'!$F$4:$H$4,0)))),SUMPRODUCT((B108='Landbrugsareal - resultat'!$B$32:$B$45)*(INDEX('Landbrugsareal - resultat'!$I$32:$K$45,,MATCH(E108,'Landbrugsareal - resultat'!$I$4:$K$4,0)))))),IF(C108=2019,SUMPRODUCT((B108='Landbrugsareal - resultat'!$B$32:$B$45)*(INDEX('Landbrugsareal - resultat'!$L$32:$N$45,,MATCH(E108,'Landbrugsareal - resultat'!$L$4:$N$4,0)))),IF(C108=2030,SUMPRODUCT((B108='Landbrugsareal - resultat'!$B$32:$B$45)*(INDEX('Landbrugsareal - resultat'!$O$32:$Q$45,,MATCH(E108,'Landbrugsareal - resultat'!$O$4:$Q$4,0)))),SUMPRODUCT((B108='Landbrugsareal - resultat'!$B$32:$B$45)*(INDEX('Landbrugsareal - resultat'!$R$32:$T$45,,MATCH(E108,'Landbrugsareal - resultat'!$R$4:$T$4,0))))))))</f>
        <v>76.679167110837156</v>
      </c>
      <c r="H108" s="172">
        <f>G108*VLOOKUP(B108,[1]Afgrødedata!$A$5:$F$18,2,FALSE)*IF(D108="Økologisk",VLOOKUP(B108,[1]Afgrødedata!$A$5:$F$18,4,FALSE),1)*IF(E108&lt;&gt;Jordbund1,IF(E108=Organ6,VLOOKUP(B108,[1]Afgrødedata!$A$5:$F$18,5,FALSE),VLOOKUP(B108,[1]Afgrødedata!$A$5:$F$18,6,FALSE)),1)*0.1</f>
        <v>781.20735452520898</v>
      </c>
      <c r="I108" s="172">
        <f>G108*VLOOKUP(B108,[1]Afgrødedata!$A$5:$F$18,3,FALSE)*IF(D108="Økologisk",VLOOKUP(B108,[1]Afgrødedata!$A$5:$F$18,4,FALSE),1)*IF(E108&lt;&gt;Jordbund1,IF(E108=Organ6,VLOOKUP(B108,[1]Afgrødedata!$A$5:$F$18,5,FALSE),VLOOKUP(B108,[1]Afgrødedata!$A$5:$F$18,6,FALSE)),1)*HLOOKUP(C108,Landbrug!$C$15:$E$17,2,FALSE)*HLOOKUP(C108,Landbrug!$C$15:$E$17,3,FALSE)*0.1</f>
        <v>0</v>
      </c>
      <c r="J108" s="76">
        <f t="shared" si="15"/>
        <v>781.20735452520898</v>
      </c>
    </row>
    <row r="109" spans="1:10" x14ac:dyDescent="0.55000000000000004">
      <c r="A109" t="s">
        <v>23</v>
      </c>
      <c r="B109" s="1" t="str">
        <f>[1]Afgrødefordeling!$C$11</f>
        <v>Øvrige</v>
      </c>
      <c r="C109">
        <v>2030</v>
      </c>
      <c r="D109" t="s">
        <v>7</v>
      </c>
      <c r="E109" s="172" t="str">
        <f t="shared" si="18"/>
        <v>OC6</v>
      </c>
      <c r="F109" t="str">
        <f t="shared" si="14"/>
        <v>Øvrige</v>
      </c>
      <c r="G109" s="76" cm="1">
        <f t="array" ref="G109">IF(A109="Vestdanmark",IF(D109="Konventionel",IF(C109=2019,SUMPRODUCT((B109='Landbrugsareal - resultat'!$B$5:$B$18)*(INDEX('Landbrugsareal - resultat'!$C$5:$E$18,,MATCH(E109,'Landbrugsareal - resultat'!$C$4:$E$4,0)))),IF(C109=2030,SUMPRODUCT((B109='Landbrugsareal - resultat'!$B$5:$B$18)*(INDEX('Landbrugsareal - resultat'!$F$5:$H$18,,MATCH(E109,'Landbrugsareal - resultat'!$F$4:$H$4,0)))),SUMPRODUCT((B109='Landbrugsareal - resultat'!$B$5:$B$18)*(INDEX('Landbrugsareal - resultat'!$I$5:$K$18,,MATCH(E109,'Landbrugsareal - resultat'!$I$4:$K$4,0)))))),IF(C109=2019,SUMPRODUCT((B109='Landbrugsareal - resultat'!$B$5:$B$18)*(INDEX('Landbrugsareal - resultat'!$L$5:$N$18,,MATCH(E109,'Landbrugsareal - resultat'!$L$4:$N$4,0)))),IF(C109=2030,SUMPRODUCT((B109='Landbrugsareal - resultat'!$B$5:$B$18)*(INDEX('Landbrugsareal - resultat'!$O$5:$Q$18,,MATCH(E109,'Landbrugsareal - resultat'!$O$4:$Q$4,0)))),SUMPRODUCT((B109='Landbrugsareal - resultat'!$B$5:$B$18)*(INDEX('Landbrugsareal - resultat'!$R$5:$T$18,,MATCH(E109,'Landbrugsareal - resultat'!$R$4:$T$4,0))))))),IF(D109="Konventionel",IF(C109=2019,SUMPRODUCT((B109='Landbrugsareal - resultat'!$B$32:$B$45)*(INDEX('Landbrugsareal - resultat'!$C$32:$E$45,,MATCH(E109,'Landbrugsareal - resultat'!$C$4:$E$4,0)))),IF(C109=2030,SUMPRODUCT((B109='Landbrugsareal - resultat'!$B$32:$B$45)*(INDEX('Landbrugsareal - resultat'!$F$32:$H$45,,MATCH(E109,'Landbrugsareal - resultat'!$F$4:$H$4,0)))),SUMPRODUCT((B109='Landbrugsareal - resultat'!$B$32:$B$45)*(INDEX('Landbrugsareal - resultat'!$I$32:$K$45,,MATCH(E109,'Landbrugsareal - resultat'!$I$4:$K$4,0)))))),IF(C109=2019,SUMPRODUCT((B109='Landbrugsareal - resultat'!$B$32:$B$45)*(INDEX('Landbrugsareal - resultat'!$L$32:$N$45,,MATCH(E109,'Landbrugsareal - resultat'!$L$4:$N$4,0)))),IF(C109=2030,SUMPRODUCT((B109='Landbrugsareal - resultat'!$B$32:$B$45)*(INDEX('Landbrugsareal - resultat'!$O$32:$Q$45,,MATCH(E109,'Landbrugsareal - resultat'!$O$4:$Q$4,0)))),SUMPRODUCT((B109='Landbrugsareal - resultat'!$B$32:$B$45)*(INDEX('Landbrugsareal - resultat'!$R$32:$T$45,,MATCH(E109,'Landbrugsareal - resultat'!$R$4:$T$4,0))))))))</f>
        <v>1356.1401884652369</v>
      </c>
      <c r="H109" s="172">
        <f>G109*VLOOKUP(B109,[1]Afgrødedata!$A$5:$F$18,2,FALSE)*IF(D109="Økologisk",VLOOKUP(B109,[1]Afgrødedata!$A$5:$F$18,4,FALSE),1)*IF(E109&lt;&gt;Jordbund1,IF(E109=Organ6,VLOOKUP(B109,[1]Afgrødedata!$A$5:$F$18,5,FALSE),VLOOKUP(B109,[1]Afgrødedata!$A$5:$F$18,6,FALSE)),1)*0.1</f>
        <v>48488.971733629587</v>
      </c>
      <c r="I109" s="172">
        <f>G109*VLOOKUP(B109,[1]Afgrødedata!$A$5:$F$18,3,FALSE)*IF(D109="Økologisk",VLOOKUP(B109,[1]Afgrødedata!$A$5:$F$18,4,FALSE),1)*IF(E109&lt;&gt;Jordbund1,IF(E109=Organ6,VLOOKUP(B109,[1]Afgrødedata!$A$5:$F$18,5,FALSE),VLOOKUP(B109,[1]Afgrødedata!$A$5:$F$18,6,FALSE)),1)*HLOOKUP(C109,Landbrug!$C$15:$E$17,2,FALSE)*HLOOKUP(C109,Landbrug!$C$15:$E$17,3,FALSE)*0.1</f>
        <v>0</v>
      </c>
      <c r="J109" s="76">
        <f t="shared" si="15"/>
        <v>48488.971733629587</v>
      </c>
    </row>
    <row r="110" spans="1:10" x14ac:dyDescent="0.55000000000000004">
      <c r="A110" t="s">
        <v>23</v>
      </c>
      <c r="B110" s="1" t="str">
        <f>[1]Afgrødefordeling!$C$12</f>
        <v>Frø</v>
      </c>
      <c r="C110">
        <v>2030</v>
      </c>
      <c r="D110" t="s">
        <v>7</v>
      </c>
      <c r="E110" s="172" t="str">
        <f t="shared" si="18"/>
        <v>OC6</v>
      </c>
      <c r="F110" t="str">
        <f t="shared" si="14"/>
        <v>Halm</v>
      </c>
      <c r="G110" s="76" cm="1">
        <f t="array" ref="G110">IF(A110="Vestdanmark",IF(D110="Konventionel",IF(C110=2019,SUMPRODUCT((B110='Landbrugsareal - resultat'!$B$5:$B$18)*(INDEX('Landbrugsareal - resultat'!$C$5:$E$18,,MATCH(E110,'Landbrugsareal - resultat'!$C$4:$E$4,0)))),IF(C110=2030,SUMPRODUCT((B110='Landbrugsareal - resultat'!$B$5:$B$18)*(INDEX('Landbrugsareal - resultat'!$F$5:$H$18,,MATCH(E110,'Landbrugsareal - resultat'!$F$4:$H$4,0)))),SUMPRODUCT((B110='Landbrugsareal - resultat'!$B$5:$B$18)*(INDEX('Landbrugsareal - resultat'!$I$5:$K$18,,MATCH(E110,'Landbrugsareal - resultat'!$I$4:$K$4,0)))))),IF(C110=2019,SUMPRODUCT((B110='Landbrugsareal - resultat'!$B$5:$B$18)*(INDEX('Landbrugsareal - resultat'!$L$5:$N$18,,MATCH(E110,'Landbrugsareal - resultat'!$L$4:$N$4,0)))),IF(C110=2030,SUMPRODUCT((B110='Landbrugsareal - resultat'!$B$5:$B$18)*(INDEX('Landbrugsareal - resultat'!$O$5:$Q$18,,MATCH(E110,'Landbrugsareal - resultat'!$O$4:$Q$4,0)))),SUMPRODUCT((B110='Landbrugsareal - resultat'!$B$5:$B$18)*(INDEX('Landbrugsareal - resultat'!$R$5:$T$18,,MATCH(E110,'Landbrugsareal - resultat'!$R$4:$T$4,0))))))),IF(D110="Konventionel",IF(C110=2019,SUMPRODUCT((B110='Landbrugsareal - resultat'!$B$32:$B$45)*(INDEX('Landbrugsareal - resultat'!$C$32:$E$45,,MATCH(E110,'Landbrugsareal - resultat'!$C$4:$E$4,0)))),IF(C110=2030,SUMPRODUCT((B110='Landbrugsareal - resultat'!$B$32:$B$45)*(INDEX('Landbrugsareal - resultat'!$F$32:$H$45,,MATCH(E110,'Landbrugsareal - resultat'!$F$4:$H$4,0)))),SUMPRODUCT((B110='Landbrugsareal - resultat'!$B$32:$B$45)*(INDEX('Landbrugsareal - resultat'!$I$32:$K$45,,MATCH(E110,'Landbrugsareal - resultat'!$I$4:$K$4,0)))))),IF(C110=2019,SUMPRODUCT((B110='Landbrugsareal - resultat'!$B$32:$B$45)*(INDEX('Landbrugsareal - resultat'!$L$32:$N$45,,MATCH(E110,'Landbrugsareal - resultat'!$L$4:$N$4,0)))),IF(C110=2030,SUMPRODUCT((B110='Landbrugsareal - resultat'!$B$32:$B$45)*(INDEX('Landbrugsareal - resultat'!$O$32:$Q$45,,MATCH(E110,'Landbrugsareal - resultat'!$O$4:$Q$4,0)))),SUMPRODUCT((B110='Landbrugsareal - resultat'!$B$32:$B$45)*(INDEX('Landbrugsareal - resultat'!$R$32:$T$45,,MATCH(E110,'Landbrugsareal - resultat'!$R$4:$T$4,0))))))))</f>
        <v>3347.3539097439348</v>
      </c>
      <c r="H110" s="172">
        <f>G110*VLOOKUP(B110,[1]Afgrødedata!$A$5:$F$18,2,FALSE)*IF(D110="Økologisk",VLOOKUP(B110,[1]Afgrødedata!$A$5:$F$18,4,FALSE),1)*IF(E110&lt;&gt;Jordbund1,IF(E110=Organ6,VLOOKUP(B110,[1]Afgrødedata!$A$5:$F$18,5,FALSE),VLOOKUP(B110,[1]Afgrødedata!$A$5:$F$18,6,FALSE)),1)*0.1</f>
        <v>57395.848714893385</v>
      </c>
      <c r="I110" s="172">
        <f>G110*VLOOKUP(B110,[1]Afgrødedata!$A$5:$F$18,3,FALSE)*IF(D110="Økologisk",VLOOKUP(B110,[1]Afgrødedata!$A$5:$F$18,4,FALSE),1)*IF(E110&lt;&gt;Jordbund1,IF(E110=Organ6,VLOOKUP(B110,[1]Afgrødedata!$A$5:$F$18,5,FALSE),VLOOKUP(B110,[1]Afgrødedata!$A$5:$F$18,6,FALSE)),1)*HLOOKUP(C110,Landbrug!$C$15:$E$17,2,FALSE)*HLOOKUP(C110,Landbrug!$C$15:$E$17,3,FALSE)*0.1</f>
        <v>9479.7062723948238</v>
      </c>
      <c r="J110" s="76">
        <f t="shared" si="15"/>
        <v>9479.7062723948238</v>
      </c>
    </row>
    <row r="111" spans="1:10" x14ac:dyDescent="0.55000000000000004">
      <c r="A111" t="s">
        <v>23</v>
      </c>
      <c r="B111" s="1" t="str">
        <f>[1]Afgrødefordeling!$C$13</f>
        <v>Juletræer</v>
      </c>
      <c r="C111">
        <v>2030</v>
      </c>
      <c r="D111" t="s">
        <v>7</v>
      </c>
      <c r="E111" s="172" t="str">
        <f t="shared" si="18"/>
        <v>OC6</v>
      </c>
      <c r="F111" t="str">
        <f t="shared" si="14"/>
        <v>Juletræer</v>
      </c>
      <c r="G111" s="76" cm="1">
        <f t="array" ref="G111">IF(A111="Vestdanmark",IF(D111="Konventionel",IF(C111=2019,SUMPRODUCT((B111='Landbrugsareal - resultat'!$B$5:$B$18)*(INDEX('Landbrugsareal - resultat'!$C$5:$E$18,,MATCH(E111,'Landbrugsareal - resultat'!$C$4:$E$4,0)))),IF(C111=2030,SUMPRODUCT((B111='Landbrugsareal - resultat'!$B$5:$B$18)*(INDEX('Landbrugsareal - resultat'!$F$5:$H$18,,MATCH(E111,'Landbrugsareal - resultat'!$F$4:$H$4,0)))),SUMPRODUCT((B111='Landbrugsareal - resultat'!$B$5:$B$18)*(INDEX('Landbrugsareal - resultat'!$I$5:$K$18,,MATCH(E111,'Landbrugsareal - resultat'!$I$4:$K$4,0)))))),IF(C111=2019,SUMPRODUCT((B111='Landbrugsareal - resultat'!$B$5:$B$18)*(INDEX('Landbrugsareal - resultat'!$L$5:$N$18,,MATCH(E111,'Landbrugsareal - resultat'!$L$4:$N$4,0)))),IF(C111=2030,SUMPRODUCT((B111='Landbrugsareal - resultat'!$B$5:$B$18)*(INDEX('Landbrugsareal - resultat'!$O$5:$Q$18,,MATCH(E111,'Landbrugsareal - resultat'!$O$4:$Q$4,0)))),SUMPRODUCT((B111='Landbrugsareal - resultat'!$B$5:$B$18)*(INDEX('Landbrugsareal - resultat'!$R$5:$T$18,,MATCH(E111,'Landbrugsareal - resultat'!$R$4:$T$4,0))))))),IF(D111="Konventionel",IF(C111=2019,SUMPRODUCT((B111='Landbrugsareal - resultat'!$B$32:$B$45)*(INDEX('Landbrugsareal - resultat'!$C$32:$E$45,,MATCH(E111,'Landbrugsareal - resultat'!$C$4:$E$4,0)))),IF(C111=2030,SUMPRODUCT((B111='Landbrugsareal - resultat'!$B$32:$B$45)*(INDEX('Landbrugsareal - resultat'!$F$32:$H$45,,MATCH(E111,'Landbrugsareal - resultat'!$F$4:$H$4,0)))),SUMPRODUCT((B111='Landbrugsareal - resultat'!$B$32:$B$45)*(INDEX('Landbrugsareal - resultat'!$I$32:$K$45,,MATCH(E111,'Landbrugsareal - resultat'!$I$4:$K$4,0)))))),IF(C111=2019,SUMPRODUCT((B111='Landbrugsareal - resultat'!$B$32:$B$45)*(INDEX('Landbrugsareal - resultat'!$L$32:$N$45,,MATCH(E111,'Landbrugsareal - resultat'!$L$4:$N$4,0)))),IF(C111=2030,SUMPRODUCT((B111='Landbrugsareal - resultat'!$B$32:$B$45)*(INDEX('Landbrugsareal - resultat'!$O$32:$Q$45,,MATCH(E111,'Landbrugsareal - resultat'!$O$4:$Q$4,0)))),SUMPRODUCT((B111='Landbrugsareal - resultat'!$B$32:$B$45)*(INDEX('Landbrugsareal - resultat'!$R$32:$T$45,,MATCH(E111,'Landbrugsareal - resultat'!$R$4:$T$4,0))))))))</f>
        <v>384.58773970616767</v>
      </c>
      <c r="H111" s="172">
        <f>G111*VLOOKUP(B111,[1]Afgrødedata!$A$5:$F$18,2,FALSE)*IF(D111="Økologisk",VLOOKUP(B111,[1]Afgrødedata!$A$5:$F$18,4,FALSE),1)*IF(E111&lt;&gt;Jordbund1,IF(E111=Organ6,VLOOKUP(B111,[1]Afgrødedata!$A$5:$F$18,5,FALSE),VLOOKUP(B111,[1]Afgrødedata!$A$5:$F$18,6,FALSE)),1)*0.1</f>
        <v>23075.26438237006</v>
      </c>
      <c r="I111" s="172">
        <f>G111*VLOOKUP(B111,[1]Afgrødedata!$A$5:$F$18,3,FALSE)*IF(D111="Økologisk",VLOOKUP(B111,[1]Afgrødedata!$A$5:$F$18,4,FALSE),1)*IF(E111&lt;&gt;Jordbund1,IF(E111=Organ6,VLOOKUP(B111,[1]Afgrødedata!$A$5:$F$18,5,FALSE),VLOOKUP(B111,[1]Afgrødedata!$A$5:$F$18,6,FALSE)),1)*HLOOKUP(C111,Landbrug!$C$15:$E$17,2,FALSE)*HLOOKUP(C111,Landbrug!$C$15:$E$17,3,FALSE)*0.1</f>
        <v>0</v>
      </c>
      <c r="J111" s="76">
        <f t="shared" si="15"/>
        <v>23075.26438237006</v>
      </c>
    </row>
    <row r="112" spans="1:10" x14ac:dyDescent="0.55000000000000004">
      <c r="A112" t="s">
        <v>23</v>
      </c>
      <c r="B112" s="1" t="str">
        <f>[1]Afgrødefordeling!$C$14</f>
        <v>Pil &amp; poppel</v>
      </c>
      <c r="C112">
        <v>2030</v>
      </c>
      <c r="D112" t="s">
        <v>7</v>
      </c>
      <c r="E112" s="172" t="str">
        <f t="shared" si="18"/>
        <v>OC6</v>
      </c>
      <c r="F112" t="str">
        <f t="shared" ref="F112" si="21">IF(I112&lt;&gt;0,"Halm",IF(B112&lt;&gt;"Permanent græs",B112,"Græs"))</f>
        <v>Pil &amp; poppel</v>
      </c>
      <c r="G112" s="76" cm="1">
        <f t="array" ref="G112">IF(A112="Vestdanmark",IF(D112="Konventionel",IF(C112=2019,SUMPRODUCT((B112='Landbrugsareal - resultat'!$B$5:$B$18)*(INDEX('Landbrugsareal - resultat'!$C$5:$E$18,,MATCH(E112,'Landbrugsareal - resultat'!$C$4:$E$4,0)))),IF(C112=2030,SUMPRODUCT((B112='Landbrugsareal - resultat'!$B$5:$B$18)*(INDEX('Landbrugsareal - resultat'!$F$5:$H$18,,MATCH(E112,'Landbrugsareal - resultat'!$F$4:$H$4,0)))),SUMPRODUCT((B112='Landbrugsareal - resultat'!$B$5:$B$18)*(INDEX('Landbrugsareal - resultat'!$I$5:$K$18,,MATCH(E112,'Landbrugsareal - resultat'!$I$4:$K$4,0)))))),IF(C112=2019,SUMPRODUCT((B112='Landbrugsareal - resultat'!$B$5:$B$18)*(INDEX('Landbrugsareal - resultat'!$L$5:$N$18,,MATCH(E112,'Landbrugsareal - resultat'!$L$4:$N$4,0)))),IF(C112=2030,SUMPRODUCT((B112='Landbrugsareal - resultat'!$B$5:$B$18)*(INDEX('Landbrugsareal - resultat'!$O$5:$Q$18,,MATCH(E112,'Landbrugsareal - resultat'!$O$4:$Q$4,0)))),SUMPRODUCT((B112='Landbrugsareal - resultat'!$B$5:$B$18)*(INDEX('Landbrugsareal - resultat'!$R$5:$T$18,,MATCH(E112,'Landbrugsareal - resultat'!$R$4:$T$4,0))))))),IF(D112="Konventionel",IF(C112=2019,SUMPRODUCT((B112='Landbrugsareal - resultat'!$B$32:$B$45)*(INDEX('Landbrugsareal - resultat'!$C$32:$E$45,,MATCH(E112,'Landbrugsareal - resultat'!$C$4:$E$4,0)))),IF(C112=2030,SUMPRODUCT((B112='Landbrugsareal - resultat'!$B$32:$B$45)*(INDEX('Landbrugsareal - resultat'!$F$32:$H$45,,MATCH(E112,'Landbrugsareal - resultat'!$F$4:$H$4,0)))),SUMPRODUCT((B112='Landbrugsareal - resultat'!$B$32:$B$45)*(INDEX('Landbrugsareal - resultat'!$I$32:$K$45,,MATCH(E112,'Landbrugsareal - resultat'!$I$4:$K$4,0)))))),IF(C112=2019,SUMPRODUCT((B112='Landbrugsareal - resultat'!$B$32:$B$45)*(INDEX('Landbrugsareal - resultat'!$L$32:$N$45,,MATCH(E112,'Landbrugsareal - resultat'!$L$4:$N$4,0)))),IF(C112=2030,SUMPRODUCT((B112='Landbrugsareal - resultat'!$B$32:$B$45)*(INDEX('Landbrugsareal - resultat'!$O$32:$Q$45,,MATCH(E112,'Landbrugsareal - resultat'!$O$4:$Q$4,0)))),SUMPRODUCT((B112='Landbrugsareal - resultat'!$B$32:$B$45)*(INDEX('Landbrugsareal - resultat'!$R$32:$T$45,,MATCH(E112,'Landbrugsareal - resultat'!$R$4:$T$4,0))))))))</f>
        <v>631.63488214957056</v>
      </c>
      <c r="H112" s="172">
        <f>G112*VLOOKUP(B112,[1]Afgrødedata!$A$5:$F$18,2,FALSE)*IF(D112="Økologisk",VLOOKUP(B112,[1]Afgrødedata!$A$5:$F$18,4,FALSE),1)*IF(E112&lt;&gt;Jordbund1,IF(E112=Organ6,VLOOKUP(B112,[1]Afgrødedata!$A$5:$F$18,5,FALSE),VLOOKUP(B112,[1]Afgrødedata!$A$5:$F$18,6,FALSE)),1)*0.1</f>
        <v>18486.874599499628</v>
      </c>
      <c r="I112" s="172">
        <f>G112*VLOOKUP(B112,[1]Afgrødedata!$A$5:$F$18,3,FALSE)*IF(D112="Økologisk",VLOOKUP(B112,[1]Afgrødedata!$A$5:$F$18,4,FALSE),1)*IF(E112&lt;&gt;Jordbund1,IF(E112=Organ6,VLOOKUP(B112,[1]Afgrødedata!$A$5:$F$18,5,FALSE),VLOOKUP(B112,[1]Afgrødedata!$A$5:$F$18,6,FALSE)),1)*HLOOKUP(C112,Landbrug!$C$15:$E$17,2,FALSE)*HLOOKUP(C112,Landbrug!$C$15:$E$17,3,FALSE)*0.1</f>
        <v>0</v>
      </c>
      <c r="J112" s="76">
        <f t="shared" ref="J112" si="22">IF(I112&lt;&gt;0,I112,H112)</f>
        <v>18486.874599499628</v>
      </c>
    </row>
    <row r="113" spans="1:10" x14ac:dyDescent="0.55000000000000004">
      <c r="A113" t="s">
        <v>23</v>
      </c>
      <c r="B113" s="1" t="str">
        <f>[1]Afgrødefordeling!$C$15</f>
        <v>Permanent græs</v>
      </c>
      <c r="C113">
        <v>2030</v>
      </c>
      <c r="D113" t="s">
        <v>7</v>
      </c>
      <c r="E113" s="172" t="str">
        <f t="shared" si="18"/>
        <v>OC6</v>
      </c>
      <c r="F113" t="str">
        <f t="shared" si="14"/>
        <v>Græs</v>
      </c>
      <c r="G113" s="76" cm="1">
        <f t="array" ref="G113">IF(A113="Vestdanmark",IF(D113="Konventionel",IF(C113=2019,SUMPRODUCT((B113='Landbrugsareal - resultat'!$B$5:$B$18)*(INDEX('Landbrugsareal - resultat'!$C$5:$E$18,,MATCH(E113,'Landbrugsareal - resultat'!$C$4:$E$4,0)))),IF(C113=2030,SUMPRODUCT((B113='Landbrugsareal - resultat'!$B$5:$B$18)*(INDEX('Landbrugsareal - resultat'!$F$5:$H$18,,MATCH(E113,'Landbrugsareal - resultat'!$F$4:$H$4,0)))),SUMPRODUCT((B113='Landbrugsareal - resultat'!$B$5:$B$18)*(INDEX('Landbrugsareal - resultat'!$I$5:$K$18,,MATCH(E113,'Landbrugsareal - resultat'!$I$4:$K$4,0)))))),IF(C113=2019,SUMPRODUCT((B113='Landbrugsareal - resultat'!$B$5:$B$18)*(INDEX('Landbrugsareal - resultat'!$L$5:$N$18,,MATCH(E113,'Landbrugsareal - resultat'!$L$4:$N$4,0)))),IF(C113=2030,SUMPRODUCT((B113='Landbrugsareal - resultat'!$B$5:$B$18)*(INDEX('Landbrugsareal - resultat'!$O$5:$Q$18,,MATCH(E113,'Landbrugsareal - resultat'!$O$4:$Q$4,0)))),SUMPRODUCT((B113='Landbrugsareal - resultat'!$B$5:$B$18)*(INDEX('Landbrugsareal - resultat'!$R$5:$T$18,,MATCH(E113,'Landbrugsareal - resultat'!$R$4:$T$4,0))))))),IF(D113="Konventionel",IF(C113=2019,SUMPRODUCT((B113='Landbrugsareal - resultat'!$B$32:$B$45)*(INDEX('Landbrugsareal - resultat'!$C$32:$E$45,,MATCH(E113,'Landbrugsareal - resultat'!$C$4:$E$4,0)))),IF(C113=2030,SUMPRODUCT((B113='Landbrugsareal - resultat'!$B$32:$B$45)*(INDEX('Landbrugsareal - resultat'!$F$32:$H$45,,MATCH(E113,'Landbrugsareal - resultat'!$F$4:$H$4,0)))),SUMPRODUCT((B113='Landbrugsareal - resultat'!$B$32:$B$45)*(INDEX('Landbrugsareal - resultat'!$I$32:$K$45,,MATCH(E113,'Landbrugsareal - resultat'!$I$4:$K$4,0)))))),IF(C113=2019,SUMPRODUCT((B113='Landbrugsareal - resultat'!$B$32:$B$45)*(INDEX('Landbrugsareal - resultat'!$L$32:$N$45,,MATCH(E113,'Landbrugsareal - resultat'!$L$4:$N$4,0)))),IF(C113=2030,SUMPRODUCT((B113='Landbrugsareal - resultat'!$B$32:$B$45)*(INDEX('Landbrugsareal - resultat'!$O$32:$Q$45,,MATCH(E113,'Landbrugsareal - resultat'!$O$4:$Q$4,0)))),SUMPRODUCT((B113='Landbrugsareal - resultat'!$B$32:$B$45)*(INDEX('Landbrugsareal - resultat'!$R$32:$T$45,,MATCH(E113,'Landbrugsareal - resultat'!$R$4:$T$4,0))))))))</f>
        <v>17853.201008836309</v>
      </c>
      <c r="H113" s="172">
        <f>G113*VLOOKUP(B113,[1]Afgrødedata!$A$5:$F$18,2,FALSE)*IF(D113="Økologisk",VLOOKUP(B113,[1]Afgrødedata!$A$5:$F$18,4,FALSE),1)*IF(E113&lt;&gt;Jordbund1,IF(E113=Organ6,VLOOKUP(B113,[1]Afgrødedata!$A$5:$F$18,5,FALSE),VLOOKUP(B113,[1]Afgrødedata!$A$5:$F$18,6,FALSE)),1)*0.1</f>
        <v>295434.77029422327</v>
      </c>
      <c r="I113" s="172">
        <f>G113*VLOOKUP(B113,[1]Afgrødedata!$A$5:$F$18,3,FALSE)*IF(D113="Økologisk",VLOOKUP(B113,[1]Afgrødedata!$A$5:$F$18,4,FALSE),1)*IF(E113&lt;&gt;Jordbund1,IF(E113=Organ6,VLOOKUP(B113,[1]Afgrødedata!$A$5:$F$18,5,FALSE),VLOOKUP(B113,[1]Afgrødedata!$A$5:$F$18,6,FALSE)),1)*HLOOKUP(C113,Landbrug!$C$15:$E$17,2,FALSE)*HLOOKUP(C113,Landbrug!$C$15:$E$17,3,FALSE)*0.1</f>
        <v>0</v>
      </c>
      <c r="J113" s="76">
        <f t="shared" si="15"/>
        <v>295434.77029422327</v>
      </c>
    </row>
    <row r="114" spans="1:10" x14ac:dyDescent="0.55000000000000004">
      <c r="A114" t="s">
        <v>23</v>
      </c>
      <c r="B114" s="1" t="str">
        <f>[1]Afgrødefordeling!$C$2</f>
        <v>Korn</v>
      </c>
      <c r="C114">
        <v>2050</v>
      </c>
      <c r="D114" t="s">
        <v>7</v>
      </c>
      <c r="E114" s="172" t="str">
        <f t="shared" si="18"/>
        <v>OC6</v>
      </c>
      <c r="F114" t="str">
        <f t="shared" si="14"/>
        <v>Halm</v>
      </c>
      <c r="G114" s="76" cm="1">
        <f t="array" ref="G114">IF(A114="Vestdanmark",IF(D114="Konventionel",IF(C114=2019,SUMPRODUCT((B114='Landbrugsareal - resultat'!$B$5:$B$18)*(INDEX('Landbrugsareal - resultat'!$C$5:$E$18,,MATCH(E114,'Landbrugsareal - resultat'!$C$4:$E$4,0)))),IF(C114=2030,SUMPRODUCT((B114='Landbrugsareal - resultat'!$B$5:$B$18)*(INDEX('Landbrugsareal - resultat'!$F$5:$H$18,,MATCH(E114,'Landbrugsareal - resultat'!$F$4:$H$4,0)))),SUMPRODUCT((B114='Landbrugsareal - resultat'!$B$5:$B$18)*(INDEX('Landbrugsareal - resultat'!$I$5:$K$18,,MATCH(E114,'Landbrugsareal - resultat'!$I$4:$K$4,0)))))),IF(C114=2019,SUMPRODUCT((B114='Landbrugsareal - resultat'!$B$5:$B$18)*(INDEX('Landbrugsareal - resultat'!$L$5:$N$18,,MATCH(E114,'Landbrugsareal - resultat'!$L$4:$N$4,0)))),IF(C114=2030,SUMPRODUCT((B114='Landbrugsareal - resultat'!$B$5:$B$18)*(INDEX('Landbrugsareal - resultat'!$O$5:$Q$18,,MATCH(E114,'Landbrugsareal - resultat'!$O$4:$Q$4,0)))),SUMPRODUCT((B114='Landbrugsareal - resultat'!$B$5:$B$18)*(INDEX('Landbrugsareal - resultat'!$R$5:$T$18,,MATCH(E114,'Landbrugsareal - resultat'!$R$4:$T$4,0))))))),IF(D114="Konventionel",IF(C114=2019,SUMPRODUCT((B114='Landbrugsareal - resultat'!$B$32:$B$45)*(INDEX('Landbrugsareal - resultat'!$C$32:$E$45,,MATCH(E114,'Landbrugsareal - resultat'!$C$4:$E$4,0)))),IF(C114=2030,SUMPRODUCT((B114='Landbrugsareal - resultat'!$B$32:$B$45)*(INDEX('Landbrugsareal - resultat'!$F$32:$H$45,,MATCH(E114,'Landbrugsareal - resultat'!$F$4:$H$4,0)))),SUMPRODUCT((B114='Landbrugsareal - resultat'!$B$32:$B$45)*(INDEX('Landbrugsareal - resultat'!$I$32:$K$45,,MATCH(E114,'Landbrugsareal - resultat'!$I$4:$K$4,0)))))),IF(C114=2019,SUMPRODUCT((B114='Landbrugsareal - resultat'!$B$32:$B$45)*(INDEX('Landbrugsareal - resultat'!$L$32:$N$45,,MATCH(E114,'Landbrugsareal - resultat'!$L$4:$N$4,0)))),IF(C114=2030,SUMPRODUCT((B114='Landbrugsareal - resultat'!$B$32:$B$45)*(INDEX('Landbrugsareal - resultat'!$O$32:$Q$45,,MATCH(E114,'Landbrugsareal - resultat'!$O$4:$Q$4,0)))),SUMPRODUCT((B114='Landbrugsareal - resultat'!$B$32:$B$45)*(INDEX('Landbrugsareal - resultat'!$R$32:$T$45,,MATCH(E114,'Landbrugsareal - resultat'!$R$4:$T$4,0))))))))</f>
        <v>20266.479464376069</v>
      </c>
      <c r="H114" s="172">
        <f>G114*VLOOKUP(B114,[1]Afgrødedata!$A$5:$F$18,2,FALSE)*IF(D114="Økologisk",VLOOKUP(B114,[1]Afgrødedata!$A$5:$F$18,4,FALSE),1)*IF(E114&lt;&gt;Jordbund1,IF(E114=Organ6,VLOOKUP(B114,[1]Afgrødedata!$A$5:$F$18,5,FALSE),VLOOKUP(B114,[1]Afgrødedata!$A$5:$F$18,6,FALSE)),1)*0.1</f>
        <v>170481.62525433148</v>
      </c>
      <c r="I114" s="172">
        <f>G114*VLOOKUP(B114,[1]Afgrødedata!$A$5:$F$18,3,FALSE)*IF(D114="Økologisk",VLOOKUP(B114,[1]Afgrødedata!$A$5:$F$18,4,FALSE),1)*IF(E114&lt;&gt;Jordbund1,IF(E114=Organ6,VLOOKUP(B114,[1]Afgrødedata!$A$5:$F$18,5,FALSE),VLOOKUP(B114,[1]Afgrødedata!$A$5:$F$18,6,FALSE)),1)*HLOOKUP(C114,Landbrug!$C$15:$E$17,2,FALSE)*HLOOKUP(C114,Landbrug!$C$15:$E$17,3,FALSE)*0.1</f>
        <v>55321.287395030566</v>
      </c>
      <c r="J114" s="76">
        <f t="shared" si="15"/>
        <v>55321.287395030566</v>
      </c>
    </row>
    <row r="115" spans="1:10" x14ac:dyDescent="0.55000000000000004">
      <c r="A115" t="s">
        <v>23</v>
      </c>
      <c r="B115" s="1" t="str">
        <f>[1]Afgrødefordeling!$C$3</f>
        <v>Bælgsæd</v>
      </c>
      <c r="C115">
        <v>2050</v>
      </c>
      <c r="D115" t="s">
        <v>7</v>
      </c>
      <c r="E115" s="172" t="str">
        <f t="shared" si="18"/>
        <v>OC6</v>
      </c>
      <c r="F115" t="str">
        <f t="shared" si="14"/>
        <v>Halm</v>
      </c>
      <c r="G115" s="76" cm="1">
        <f t="array" ref="G115">IF(A115="Vestdanmark",IF(D115="Konventionel",IF(C115=2019,SUMPRODUCT((B115='Landbrugsareal - resultat'!$B$5:$B$18)*(INDEX('Landbrugsareal - resultat'!$C$5:$E$18,,MATCH(E115,'Landbrugsareal - resultat'!$C$4:$E$4,0)))),IF(C115=2030,SUMPRODUCT((B115='Landbrugsareal - resultat'!$B$5:$B$18)*(INDEX('Landbrugsareal - resultat'!$F$5:$H$18,,MATCH(E115,'Landbrugsareal - resultat'!$F$4:$H$4,0)))),SUMPRODUCT((B115='Landbrugsareal - resultat'!$B$5:$B$18)*(INDEX('Landbrugsareal - resultat'!$I$5:$K$18,,MATCH(E115,'Landbrugsareal - resultat'!$I$4:$K$4,0)))))),IF(C115=2019,SUMPRODUCT((B115='Landbrugsareal - resultat'!$B$5:$B$18)*(INDEX('Landbrugsareal - resultat'!$L$5:$N$18,,MATCH(E115,'Landbrugsareal - resultat'!$L$4:$N$4,0)))),IF(C115=2030,SUMPRODUCT((B115='Landbrugsareal - resultat'!$B$5:$B$18)*(INDEX('Landbrugsareal - resultat'!$O$5:$Q$18,,MATCH(E115,'Landbrugsareal - resultat'!$O$4:$Q$4,0)))),SUMPRODUCT((B115='Landbrugsareal - resultat'!$B$5:$B$18)*(INDEX('Landbrugsareal - resultat'!$R$5:$T$18,,MATCH(E115,'Landbrugsareal - resultat'!$R$4:$T$4,0))))))),IF(D115="Konventionel",IF(C115=2019,SUMPRODUCT((B115='Landbrugsareal - resultat'!$B$32:$B$45)*(INDEX('Landbrugsareal - resultat'!$C$32:$E$45,,MATCH(E115,'Landbrugsareal - resultat'!$C$4:$E$4,0)))),IF(C115=2030,SUMPRODUCT((B115='Landbrugsareal - resultat'!$B$32:$B$45)*(INDEX('Landbrugsareal - resultat'!$F$32:$H$45,,MATCH(E115,'Landbrugsareal - resultat'!$F$4:$H$4,0)))),SUMPRODUCT((B115='Landbrugsareal - resultat'!$B$32:$B$45)*(INDEX('Landbrugsareal - resultat'!$I$32:$K$45,,MATCH(E115,'Landbrugsareal - resultat'!$I$4:$K$4,0)))))),IF(C115=2019,SUMPRODUCT((B115='Landbrugsareal - resultat'!$B$32:$B$45)*(INDEX('Landbrugsareal - resultat'!$L$32:$N$45,,MATCH(E115,'Landbrugsareal - resultat'!$L$4:$N$4,0)))),IF(C115=2030,SUMPRODUCT((B115='Landbrugsareal - resultat'!$B$32:$B$45)*(INDEX('Landbrugsareal - resultat'!$O$32:$Q$45,,MATCH(E115,'Landbrugsareal - resultat'!$O$4:$Q$4,0)))),SUMPRODUCT((B115='Landbrugsareal - resultat'!$B$32:$B$45)*(INDEX('Landbrugsareal - resultat'!$R$32:$T$45,,MATCH(E115,'Landbrugsareal - resultat'!$R$4:$T$4,0))))))))</f>
        <v>1737.3277996465938</v>
      </c>
      <c r="H115" s="172">
        <f>G115*VLOOKUP(B115,[1]Afgrødedata!$A$5:$F$18,2,FALSE)*IF(D115="Økologisk",VLOOKUP(B115,[1]Afgrødedata!$A$5:$F$18,4,FALSE),1)*IF(E115&lt;&gt;Jordbund1,IF(E115=Organ6,VLOOKUP(B115,[1]Afgrødedata!$A$5:$F$18,5,FALSE),VLOOKUP(B115,[1]Afgrødedata!$A$5:$F$18,6,FALSE)),1)*0.1</f>
        <v>8047.3023679630242</v>
      </c>
      <c r="I115" s="172">
        <f>G115*VLOOKUP(B115,[1]Afgrødedata!$A$5:$F$18,3,FALSE)*IF(D115="Økologisk",VLOOKUP(B115,[1]Afgrødedata!$A$5:$F$18,4,FALSE),1)*IF(E115&lt;&gt;Jordbund1,IF(E115=Organ6,VLOOKUP(B115,[1]Afgrødedata!$A$5:$F$18,5,FALSE),VLOOKUP(B115,[1]Afgrødedata!$A$5:$F$18,6,FALSE)),1)*HLOOKUP(C115,Landbrug!$C$15:$E$17,2,FALSE)*HLOOKUP(C115,Landbrug!$C$15:$E$17,3,FALSE)*0.1</f>
        <v>2375.184226631241</v>
      </c>
      <c r="J115" s="76">
        <f t="shared" si="15"/>
        <v>2375.184226631241</v>
      </c>
    </row>
    <row r="116" spans="1:10" x14ac:dyDescent="0.55000000000000004">
      <c r="A116" t="s">
        <v>23</v>
      </c>
      <c r="B116" s="1" t="str">
        <f>[1]Afgrødefordeling!$C$4</f>
        <v>Raps</v>
      </c>
      <c r="C116">
        <v>2050</v>
      </c>
      <c r="D116" t="s">
        <v>7</v>
      </c>
      <c r="E116" s="172" t="str">
        <f t="shared" si="18"/>
        <v>OC6</v>
      </c>
      <c r="F116" t="str">
        <f t="shared" si="14"/>
        <v>Halm</v>
      </c>
      <c r="G116" s="76" cm="1">
        <f t="array" ref="G116">IF(A116="Vestdanmark",IF(D116="Konventionel",IF(C116=2019,SUMPRODUCT((B116='Landbrugsareal - resultat'!$B$5:$B$18)*(INDEX('Landbrugsareal - resultat'!$C$5:$E$18,,MATCH(E116,'Landbrugsareal - resultat'!$C$4:$E$4,0)))),IF(C116=2030,SUMPRODUCT((B116='Landbrugsareal - resultat'!$B$5:$B$18)*(INDEX('Landbrugsareal - resultat'!$F$5:$H$18,,MATCH(E116,'Landbrugsareal - resultat'!$F$4:$H$4,0)))),SUMPRODUCT((B116='Landbrugsareal - resultat'!$B$5:$B$18)*(INDEX('Landbrugsareal - resultat'!$I$5:$K$18,,MATCH(E116,'Landbrugsareal - resultat'!$I$4:$K$4,0)))))),IF(C116=2019,SUMPRODUCT((B116='Landbrugsareal - resultat'!$B$5:$B$18)*(INDEX('Landbrugsareal - resultat'!$L$5:$N$18,,MATCH(E116,'Landbrugsareal - resultat'!$L$4:$N$4,0)))),IF(C116=2030,SUMPRODUCT((B116='Landbrugsareal - resultat'!$B$5:$B$18)*(INDEX('Landbrugsareal - resultat'!$O$5:$Q$18,,MATCH(E116,'Landbrugsareal - resultat'!$O$4:$Q$4,0)))),SUMPRODUCT((B116='Landbrugsareal - resultat'!$B$5:$B$18)*(INDEX('Landbrugsareal - resultat'!$R$5:$T$18,,MATCH(E116,'Landbrugsareal - resultat'!$R$4:$T$4,0))))))),IF(D116="Konventionel",IF(C116=2019,SUMPRODUCT((B116='Landbrugsareal - resultat'!$B$32:$B$45)*(INDEX('Landbrugsareal - resultat'!$C$32:$E$45,,MATCH(E116,'Landbrugsareal - resultat'!$C$4:$E$4,0)))),IF(C116=2030,SUMPRODUCT((B116='Landbrugsareal - resultat'!$B$32:$B$45)*(INDEX('Landbrugsareal - resultat'!$F$32:$H$45,,MATCH(E116,'Landbrugsareal - resultat'!$F$4:$H$4,0)))),SUMPRODUCT((B116='Landbrugsareal - resultat'!$B$32:$B$45)*(INDEX('Landbrugsareal - resultat'!$I$32:$K$45,,MATCH(E116,'Landbrugsareal - resultat'!$I$4:$K$4,0)))))),IF(C116=2019,SUMPRODUCT((B116='Landbrugsareal - resultat'!$B$32:$B$45)*(INDEX('Landbrugsareal - resultat'!$L$32:$N$45,,MATCH(E116,'Landbrugsareal - resultat'!$L$4:$N$4,0)))),IF(C116=2030,SUMPRODUCT((B116='Landbrugsareal - resultat'!$B$32:$B$45)*(INDEX('Landbrugsareal - resultat'!$O$32:$Q$45,,MATCH(E116,'Landbrugsareal - resultat'!$O$4:$Q$4,0)))),SUMPRODUCT((B116='Landbrugsareal - resultat'!$B$32:$B$45)*(INDEX('Landbrugsareal - resultat'!$R$32:$T$45,,MATCH(E116,'Landbrugsareal - resultat'!$R$4:$T$4,0))))))))</f>
        <v>1860.3010707842134</v>
      </c>
      <c r="H116" s="172">
        <f>G116*VLOOKUP(B116,[1]Afgrødedata!$A$5:$F$18,2,FALSE)*IF(D116="Økologisk",VLOOKUP(B116,[1]Afgrødedata!$A$5:$F$18,4,FALSE),1)*IF(E116&lt;&gt;Jordbund1,IF(E116=Organ6,VLOOKUP(B116,[1]Afgrødedata!$A$5:$F$18,5,FALSE),VLOOKUP(B116,[1]Afgrødedata!$A$5:$F$18,6,FALSE)),1)*0.1</f>
        <v>9822.3896537406454</v>
      </c>
      <c r="I116" s="172">
        <f>G116*VLOOKUP(B116,[1]Afgrødedata!$A$5:$F$18,3,FALSE)*IF(D116="Økologisk",VLOOKUP(B116,[1]Afgrødedata!$A$5:$F$18,4,FALSE),1)*IF(E116&lt;&gt;Jordbund1,IF(E116=Organ6,VLOOKUP(B116,[1]Afgrødedata!$A$5:$F$18,5,FALSE),VLOOKUP(B116,[1]Afgrødedata!$A$5:$F$18,6,FALSE)),1)*HLOOKUP(C116,Landbrug!$C$15:$E$17,2,FALSE)*HLOOKUP(C116,Landbrug!$C$15:$E$17,3,FALSE)*0.1</f>
        <v>5215.6889061362835</v>
      </c>
      <c r="J116" s="76">
        <f t="shared" si="15"/>
        <v>5215.6889061362835</v>
      </c>
    </row>
    <row r="117" spans="1:10" x14ac:dyDescent="0.55000000000000004">
      <c r="A117" t="s">
        <v>23</v>
      </c>
      <c r="B117" s="1" t="str">
        <f>[1]Afgrødefordeling!$C$5</f>
        <v>Græs</v>
      </c>
      <c r="C117">
        <v>2050</v>
      </c>
      <c r="D117" t="s">
        <v>7</v>
      </c>
      <c r="E117" s="172" t="str">
        <f t="shared" si="18"/>
        <v>OC6</v>
      </c>
      <c r="F117" t="str">
        <f t="shared" si="14"/>
        <v>Græs</v>
      </c>
      <c r="G117" s="76" cm="1">
        <f t="array" ref="G117">IF(A117="Vestdanmark",IF(D117="Konventionel",IF(C117=2019,SUMPRODUCT((B117='Landbrugsareal - resultat'!$B$5:$B$18)*(INDEX('Landbrugsareal - resultat'!$C$5:$E$18,,MATCH(E117,'Landbrugsareal - resultat'!$C$4:$E$4,0)))),IF(C117=2030,SUMPRODUCT((B117='Landbrugsareal - resultat'!$B$5:$B$18)*(INDEX('Landbrugsareal - resultat'!$F$5:$H$18,,MATCH(E117,'Landbrugsareal - resultat'!$F$4:$H$4,0)))),SUMPRODUCT((B117='Landbrugsareal - resultat'!$B$5:$B$18)*(INDEX('Landbrugsareal - resultat'!$I$5:$K$18,,MATCH(E117,'Landbrugsareal - resultat'!$I$4:$K$4,0)))))),IF(C117=2019,SUMPRODUCT((B117='Landbrugsareal - resultat'!$B$5:$B$18)*(INDEX('Landbrugsareal - resultat'!$L$5:$N$18,,MATCH(E117,'Landbrugsareal - resultat'!$L$4:$N$4,0)))),IF(C117=2030,SUMPRODUCT((B117='Landbrugsareal - resultat'!$B$5:$B$18)*(INDEX('Landbrugsareal - resultat'!$O$5:$Q$18,,MATCH(E117,'Landbrugsareal - resultat'!$O$4:$Q$4,0)))),SUMPRODUCT((B117='Landbrugsareal - resultat'!$B$5:$B$18)*(INDEX('Landbrugsareal - resultat'!$R$5:$T$18,,MATCH(E117,'Landbrugsareal - resultat'!$R$4:$T$4,0))))))),IF(D117="Konventionel",IF(C117=2019,SUMPRODUCT((B117='Landbrugsareal - resultat'!$B$32:$B$45)*(INDEX('Landbrugsareal - resultat'!$C$32:$E$45,,MATCH(E117,'Landbrugsareal - resultat'!$C$4:$E$4,0)))),IF(C117=2030,SUMPRODUCT((B117='Landbrugsareal - resultat'!$B$32:$B$45)*(INDEX('Landbrugsareal - resultat'!$F$32:$H$45,,MATCH(E117,'Landbrugsareal - resultat'!$F$4:$H$4,0)))),SUMPRODUCT((B117='Landbrugsareal - resultat'!$B$32:$B$45)*(INDEX('Landbrugsareal - resultat'!$I$32:$K$45,,MATCH(E117,'Landbrugsareal - resultat'!$I$4:$K$4,0)))))),IF(C117=2019,SUMPRODUCT((B117='Landbrugsareal - resultat'!$B$32:$B$45)*(INDEX('Landbrugsareal - resultat'!$L$32:$N$45,,MATCH(E117,'Landbrugsareal - resultat'!$L$4:$N$4,0)))),IF(C117=2030,SUMPRODUCT((B117='Landbrugsareal - resultat'!$B$32:$B$45)*(INDEX('Landbrugsareal - resultat'!$O$32:$Q$45,,MATCH(E117,'Landbrugsareal - resultat'!$O$4:$Q$4,0)))),SUMPRODUCT((B117='Landbrugsareal - resultat'!$B$32:$B$45)*(INDEX('Landbrugsareal - resultat'!$R$32:$T$45,,MATCH(E117,'Landbrugsareal - resultat'!$R$4:$T$4,0))))))))</f>
        <v>17167.514927638611</v>
      </c>
      <c r="H117" s="172">
        <f>G117*VLOOKUP(B117,[1]Afgrødedata!$A$5:$F$18,2,FALSE)*IF(D117="Økologisk",VLOOKUP(B117,[1]Afgrødedata!$A$5:$F$18,4,FALSE),1)*IF(E117&lt;&gt;Jordbund1,IF(E117=Organ6,VLOOKUP(B117,[1]Afgrødedata!$A$5:$F$18,5,FALSE),VLOOKUP(B117,[1]Afgrødedata!$A$5:$F$18,6,FALSE)),1)*0.1</f>
        <v>1022222.5088513135</v>
      </c>
      <c r="I117" s="172">
        <f>G117*VLOOKUP(B117,[1]Afgrødedata!$A$5:$F$18,3,FALSE)*IF(D117="Økologisk",VLOOKUP(B117,[1]Afgrødedata!$A$5:$F$18,4,FALSE),1)*IF(E117&lt;&gt;Jordbund1,IF(E117=Organ6,VLOOKUP(B117,[1]Afgrødedata!$A$5:$F$18,5,FALSE),VLOOKUP(B117,[1]Afgrødedata!$A$5:$F$18,6,FALSE)),1)*HLOOKUP(C117,Landbrug!$C$15:$E$17,2,FALSE)*HLOOKUP(C117,Landbrug!$C$15:$E$17,3,FALSE)*0.1</f>
        <v>0</v>
      </c>
      <c r="J117" s="76">
        <f t="shared" si="15"/>
        <v>1022222.5088513135</v>
      </c>
    </row>
    <row r="118" spans="1:10" x14ac:dyDescent="0.55000000000000004">
      <c r="A118" t="s">
        <v>23</v>
      </c>
      <c r="B118" s="1" t="str">
        <f>[1]Afgrødefordeling!$C$6</f>
        <v>Grøntsager</v>
      </c>
      <c r="C118">
        <v>2050</v>
      </c>
      <c r="D118" t="s">
        <v>7</v>
      </c>
      <c r="E118" s="172" t="str">
        <f t="shared" ref="E118:E149" si="23">Organ6</f>
        <v>OC6</v>
      </c>
      <c r="F118" t="str">
        <f t="shared" si="14"/>
        <v>Grøntsager</v>
      </c>
      <c r="G118" s="76" cm="1">
        <f t="array" ref="G118">IF(A118="Vestdanmark",IF(D118="Konventionel",IF(C118=2019,SUMPRODUCT((B118='Landbrugsareal - resultat'!$B$5:$B$18)*(INDEX('Landbrugsareal - resultat'!$C$5:$E$18,,MATCH(E118,'Landbrugsareal - resultat'!$C$4:$E$4,0)))),IF(C118=2030,SUMPRODUCT((B118='Landbrugsareal - resultat'!$B$5:$B$18)*(INDEX('Landbrugsareal - resultat'!$F$5:$H$18,,MATCH(E118,'Landbrugsareal - resultat'!$F$4:$H$4,0)))),SUMPRODUCT((B118='Landbrugsareal - resultat'!$B$5:$B$18)*(INDEX('Landbrugsareal - resultat'!$I$5:$K$18,,MATCH(E118,'Landbrugsareal - resultat'!$I$4:$K$4,0)))))),IF(C118=2019,SUMPRODUCT((B118='Landbrugsareal - resultat'!$B$5:$B$18)*(INDEX('Landbrugsareal - resultat'!$L$5:$N$18,,MATCH(E118,'Landbrugsareal - resultat'!$L$4:$N$4,0)))),IF(C118=2030,SUMPRODUCT((B118='Landbrugsareal - resultat'!$B$5:$B$18)*(INDEX('Landbrugsareal - resultat'!$O$5:$Q$18,,MATCH(E118,'Landbrugsareal - resultat'!$O$4:$Q$4,0)))),SUMPRODUCT((B118='Landbrugsareal - resultat'!$B$5:$B$18)*(INDEX('Landbrugsareal - resultat'!$R$5:$T$18,,MATCH(E118,'Landbrugsareal - resultat'!$R$4:$T$4,0))))))),IF(D118="Konventionel",IF(C118=2019,SUMPRODUCT((B118='Landbrugsareal - resultat'!$B$32:$B$45)*(INDEX('Landbrugsareal - resultat'!$C$32:$E$45,,MATCH(E118,'Landbrugsareal - resultat'!$C$4:$E$4,0)))),IF(C118=2030,SUMPRODUCT((B118='Landbrugsareal - resultat'!$B$32:$B$45)*(INDEX('Landbrugsareal - resultat'!$F$32:$H$45,,MATCH(E118,'Landbrugsareal - resultat'!$F$4:$H$4,0)))),SUMPRODUCT((B118='Landbrugsareal - resultat'!$B$32:$B$45)*(INDEX('Landbrugsareal - resultat'!$I$32:$K$45,,MATCH(E118,'Landbrugsareal - resultat'!$I$4:$K$4,0)))))),IF(C118=2019,SUMPRODUCT((B118='Landbrugsareal - resultat'!$B$32:$B$45)*(INDEX('Landbrugsareal - resultat'!$L$32:$N$45,,MATCH(E118,'Landbrugsareal - resultat'!$L$4:$N$4,0)))),IF(C118=2030,SUMPRODUCT((B118='Landbrugsareal - resultat'!$B$32:$B$45)*(INDEX('Landbrugsareal - resultat'!$O$32:$Q$45,,MATCH(E118,'Landbrugsareal - resultat'!$O$4:$Q$4,0)))),SUMPRODUCT((B118='Landbrugsareal - resultat'!$B$32:$B$45)*(INDEX('Landbrugsareal - resultat'!$R$32:$T$45,,MATCH(E118,'Landbrugsareal - resultat'!$R$4:$T$4,0))))))))</f>
        <v>80.293113055411794</v>
      </c>
      <c r="H118" s="172">
        <f>G118*VLOOKUP(B118,[1]Afgrødedata!$A$5:$F$18,2,FALSE)*IF(D118="Økologisk",VLOOKUP(B118,[1]Afgrødedata!$A$5:$F$18,4,FALSE),1)*IF(E118&lt;&gt;Jordbund1,IF(E118=Organ6,VLOOKUP(B118,[1]Afgrødedata!$A$5:$F$18,5,FALSE),VLOOKUP(B118,[1]Afgrødedata!$A$5:$F$18,6,FALSE)),1)*0.1</f>
        <v>1999.2985150797538</v>
      </c>
      <c r="I118" s="172">
        <f>G118*VLOOKUP(B118,[1]Afgrødedata!$A$5:$F$18,3,FALSE)*IF(D118="Økologisk",VLOOKUP(B118,[1]Afgrødedata!$A$5:$F$18,4,FALSE),1)*IF(E118&lt;&gt;Jordbund1,IF(E118=Organ6,VLOOKUP(B118,[1]Afgrødedata!$A$5:$F$18,5,FALSE),VLOOKUP(B118,[1]Afgrødedata!$A$5:$F$18,6,FALSE)),1)*HLOOKUP(C118,Landbrug!$C$15:$E$17,2,FALSE)*HLOOKUP(C118,Landbrug!$C$15:$E$17,3,FALSE)*0.1</f>
        <v>0</v>
      </c>
      <c r="J118" s="76">
        <f t="shared" si="15"/>
        <v>1999.2985150797538</v>
      </c>
    </row>
    <row r="119" spans="1:10" x14ac:dyDescent="0.55000000000000004">
      <c r="A119" t="s">
        <v>23</v>
      </c>
      <c r="B119" s="1" t="str">
        <f>[1]Afgrødefordeling!$C$7</f>
        <v>Kartofler</v>
      </c>
      <c r="C119">
        <v>2050</v>
      </c>
      <c r="D119" t="s">
        <v>7</v>
      </c>
      <c r="E119" s="172" t="str">
        <f t="shared" si="23"/>
        <v>OC6</v>
      </c>
      <c r="F119" t="str">
        <f t="shared" si="14"/>
        <v>Kartofler</v>
      </c>
      <c r="G119" s="76" cm="1">
        <f t="array" ref="G119">IF(A119="Vestdanmark",IF(D119="Konventionel",IF(C119=2019,SUMPRODUCT((B119='Landbrugsareal - resultat'!$B$5:$B$18)*(INDEX('Landbrugsareal - resultat'!$C$5:$E$18,,MATCH(E119,'Landbrugsareal - resultat'!$C$4:$E$4,0)))),IF(C119=2030,SUMPRODUCT((B119='Landbrugsareal - resultat'!$B$5:$B$18)*(INDEX('Landbrugsareal - resultat'!$F$5:$H$18,,MATCH(E119,'Landbrugsareal - resultat'!$F$4:$H$4,0)))),SUMPRODUCT((B119='Landbrugsareal - resultat'!$B$5:$B$18)*(INDEX('Landbrugsareal - resultat'!$I$5:$K$18,,MATCH(E119,'Landbrugsareal - resultat'!$I$4:$K$4,0)))))),IF(C119=2019,SUMPRODUCT((B119='Landbrugsareal - resultat'!$B$5:$B$18)*(INDEX('Landbrugsareal - resultat'!$L$5:$N$18,,MATCH(E119,'Landbrugsareal - resultat'!$L$4:$N$4,0)))),IF(C119=2030,SUMPRODUCT((B119='Landbrugsareal - resultat'!$B$5:$B$18)*(INDEX('Landbrugsareal - resultat'!$O$5:$Q$18,,MATCH(E119,'Landbrugsareal - resultat'!$O$4:$Q$4,0)))),SUMPRODUCT((B119='Landbrugsareal - resultat'!$B$5:$B$18)*(INDEX('Landbrugsareal - resultat'!$R$5:$T$18,,MATCH(E119,'Landbrugsareal - resultat'!$R$4:$T$4,0))))))),IF(D119="Konventionel",IF(C119=2019,SUMPRODUCT((B119='Landbrugsareal - resultat'!$B$32:$B$45)*(INDEX('Landbrugsareal - resultat'!$C$32:$E$45,,MATCH(E119,'Landbrugsareal - resultat'!$C$4:$E$4,0)))),IF(C119=2030,SUMPRODUCT((B119='Landbrugsareal - resultat'!$B$32:$B$45)*(INDEX('Landbrugsareal - resultat'!$F$32:$H$45,,MATCH(E119,'Landbrugsareal - resultat'!$F$4:$H$4,0)))),SUMPRODUCT((B119='Landbrugsareal - resultat'!$B$32:$B$45)*(INDEX('Landbrugsareal - resultat'!$I$32:$K$45,,MATCH(E119,'Landbrugsareal - resultat'!$I$4:$K$4,0)))))),IF(C119=2019,SUMPRODUCT((B119='Landbrugsareal - resultat'!$B$32:$B$45)*(INDEX('Landbrugsareal - resultat'!$L$32:$N$45,,MATCH(E119,'Landbrugsareal - resultat'!$L$4:$N$4,0)))),IF(C119=2030,SUMPRODUCT((B119='Landbrugsareal - resultat'!$B$32:$B$45)*(INDEX('Landbrugsareal - resultat'!$O$32:$Q$45,,MATCH(E119,'Landbrugsareal - resultat'!$O$4:$Q$4,0)))),SUMPRODUCT((B119='Landbrugsareal - resultat'!$B$32:$B$45)*(INDEX('Landbrugsareal - resultat'!$R$32:$T$45,,MATCH(E119,'Landbrugsareal - resultat'!$R$4:$T$4,0))))))))</f>
        <v>1267.6201429781686</v>
      </c>
      <c r="H119" s="172">
        <f>G119*VLOOKUP(B119,[1]Afgrødedata!$A$5:$F$18,2,FALSE)*IF(D119="Økologisk",VLOOKUP(B119,[1]Afgrødedata!$A$5:$F$18,4,FALSE),1)*IF(E119&lt;&gt;Jordbund1,IF(E119=Organ6,VLOOKUP(B119,[1]Afgrødedata!$A$5:$F$18,5,FALSE),VLOOKUP(B119,[1]Afgrødedata!$A$5:$F$18,6,FALSE)),1)*0.1</f>
        <v>64604.361191655618</v>
      </c>
      <c r="I119" s="172">
        <f>G119*VLOOKUP(B119,[1]Afgrødedata!$A$5:$F$18,3,FALSE)*IF(D119="Økologisk",VLOOKUP(B119,[1]Afgrødedata!$A$5:$F$18,4,FALSE),1)*IF(E119&lt;&gt;Jordbund1,IF(E119=Organ6,VLOOKUP(B119,[1]Afgrødedata!$A$5:$F$18,5,FALSE),VLOOKUP(B119,[1]Afgrødedata!$A$5:$F$18,6,FALSE)),1)*HLOOKUP(C119,Landbrug!$C$15:$E$17,2,FALSE)*HLOOKUP(C119,Landbrug!$C$15:$E$17,3,FALSE)*0.1</f>
        <v>0</v>
      </c>
      <c r="J119" s="76">
        <f t="shared" si="15"/>
        <v>64604.361191655618</v>
      </c>
    </row>
    <row r="120" spans="1:10" x14ac:dyDescent="0.55000000000000004">
      <c r="A120" t="s">
        <v>23</v>
      </c>
      <c r="B120" s="1" t="str">
        <f>[1]Afgrødefordeling!$C$8</f>
        <v>Roer</v>
      </c>
      <c r="C120">
        <v>2050</v>
      </c>
      <c r="D120" t="s">
        <v>7</v>
      </c>
      <c r="E120" s="172" t="str">
        <f t="shared" si="23"/>
        <v>OC6</v>
      </c>
      <c r="F120" t="str">
        <f t="shared" si="14"/>
        <v>Roer</v>
      </c>
      <c r="G120" s="76" cm="1">
        <f t="array" ref="G120">IF(A120="Vestdanmark",IF(D120="Konventionel",IF(C120=2019,SUMPRODUCT((B120='Landbrugsareal - resultat'!$B$5:$B$18)*(INDEX('Landbrugsareal - resultat'!$C$5:$E$18,,MATCH(E120,'Landbrugsareal - resultat'!$C$4:$E$4,0)))),IF(C120=2030,SUMPRODUCT((B120='Landbrugsareal - resultat'!$B$5:$B$18)*(INDEX('Landbrugsareal - resultat'!$F$5:$H$18,,MATCH(E120,'Landbrugsareal - resultat'!$F$4:$H$4,0)))),SUMPRODUCT((B120='Landbrugsareal - resultat'!$B$5:$B$18)*(INDEX('Landbrugsareal - resultat'!$I$5:$K$18,,MATCH(E120,'Landbrugsareal - resultat'!$I$4:$K$4,0)))))),IF(C120=2019,SUMPRODUCT((B120='Landbrugsareal - resultat'!$B$5:$B$18)*(INDEX('Landbrugsareal - resultat'!$L$5:$N$18,,MATCH(E120,'Landbrugsareal - resultat'!$L$4:$N$4,0)))),IF(C120=2030,SUMPRODUCT((B120='Landbrugsareal - resultat'!$B$5:$B$18)*(INDEX('Landbrugsareal - resultat'!$O$5:$Q$18,,MATCH(E120,'Landbrugsareal - resultat'!$O$4:$Q$4,0)))),SUMPRODUCT((B120='Landbrugsareal - resultat'!$B$5:$B$18)*(INDEX('Landbrugsareal - resultat'!$R$5:$T$18,,MATCH(E120,'Landbrugsareal - resultat'!$R$4:$T$4,0))))))),IF(D120="Konventionel",IF(C120=2019,SUMPRODUCT((B120='Landbrugsareal - resultat'!$B$32:$B$45)*(INDEX('Landbrugsareal - resultat'!$C$32:$E$45,,MATCH(E120,'Landbrugsareal - resultat'!$C$4:$E$4,0)))),IF(C120=2030,SUMPRODUCT((B120='Landbrugsareal - resultat'!$B$32:$B$45)*(INDEX('Landbrugsareal - resultat'!$F$32:$H$45,,MATCH(E120,'Landbrugsareal - resultat'!$F$4:$H$4,0)))),SUMPRODUCT((B120='Landbrugsareal - resultat'!$B$32:$B$45)*(INDEX('Landbrugsareal - resultat'!$I$32:$K$45,,MATCH(E120,'Landbrugsareal - resultat'!$I$4:$K$4,0)))))),IF(C120=2019,SUMPRODUCT((B120='Landbrugsareal - resultat'!$B$32:$B$45)*(INDEX('Landbrugsareal - resultat'!$L$32:$N$45,,MATCH(E120,'Landbrugsareal - resultat'!$L$4:$N$4,0)))),IF(C120=2030,SUMPRODUCT((B120='Landbrugsareal - resultat'!$B$32:$B$45)*(INDEX('Landbrugsareal - resultat'!$O$32:$Q$45,,MATCH(E120,'Landbrugsareal - resultat'!$O$4:$Q$4,0)))),SUMPRODUCT((B120='Landbrugsareal - resultat'!$B$32:$B$45)*(INDEX('Landbrugsareal - resultat'!$R$32:$T$45,,MATCH(E120,'Landbrugsareal - resultat'!$R$4:$T$4,0))))))))</f>
        <v>33.25641935461443</v>
      </c>
      <c r="H120" s="172">
        <f>G120*VLOOKUP(B120,[1]Afgrødedata!$A$5:$F$18,2,FALSE)*IF(D120="Økologisk",VLOOKUP(B120,[1]Afgrødedata!$A$5:$F$18,4,FALSE),1)*IF(E120&lt;&gt;Jordbund1,IF(E120=Organ6,VLOOKUP(B120,[1]Afgrødedata!$A$5:$F$18,5,FALSE),VLOOKUP(B120,[1]Afgrødedata!$A$5:$F$18,6,FALSE)),1)*0.1</f>
        <v>3242.6497964153004</v>
      </c>
      <c r="I120" s="172">
        <f>G120*VLOOKUP(B120,[1]Afgrødedata!$A$5:$F$18,3,FALSE)*IF(D120="Økologisk",VLOOKUP(B120,[1]Afgrødedata!$A$5:$F$18,4,FALSE),1)*IF(E120&lt;&gt;Jordbund1,IF(E120=Organ6,VLOOKUP(B120,[1]Afgrødedata!$A$5:$F$18,5,FALSE),VLOOKUP(B120,[1]Afgrødedata!$A$5:$F$18,6,FALSE)),1)*HLOOKUP(C120,Landbrug!$C$15:$E$17,2,FALSE)*HLOOKUP(C120,Landbrug!$C$15:$E$17,3,FALSE)*0.1</f>
        <v>0</v>
      </c>
      <c r="J120" s="76">
        <f t="shared" si="15"/>
        <v>3242.6497964153004</v>
      </c>
    </row>
    <row r="121" spans="1:10" x14ac:dyDescent="0.55000000000000004">
      <c r="A121" t="s">
        <v>23</v>
      </c>
      <c r="B121" s="1" t="str">
        <f>[1]Afgrødefordeling!$C$9</f>
        <v>Majs</v>
      </c>
      <c r="C121">
        <v>2050</v>
      </c>
      <c r="D121" t="s">
        <v>7</v>
      </c>
      <c r="E121" s="172" t="str">
        <f t="shared" si="23"/>
        <v>OC6</v>
      </c>
      <c r="F121" t="str">
        <f t="shared" si="14"/>
        <v>Majs</v>
      </c>
      <c r="G121" s="76" cm="1">
        <f t="array" ref="G121">IF(A121="Vestdanmark",IF(D121="Konventionel",IF(C121=2019,SUMPRODUCT((B121='Landbrugsareal - resultat'!$B$5:$B$18)*(INDEX('Landbrugsareal - resultat'!$C$5:$E$18,,MATCH(E121,'Landbrugsareal - resultat'!$C$4:$E$4,0)))),IF(C121=2030,SUMPRODUCT((B121='Landbrugsareal - resultat'!$B$5:$B$18)*(INDEX('Landbrugsareal - resultat'!$F$5:$H$18,,MATCH(E121,'Landbrugsareal - resultat'!$F$4:$H$4,0)))),SUMPRODUCT((B121='Landbrugsareal - resultat'!$B$5:$B$18)*(INDEX('Landbrugsareal - resultat'!$I$5:$K$18,,MATCH(E121,'Landbrugsareal - resultat'!$I$4:$K$4,0)))))),IF(C121=2019,SUMPRODUCT((B121='Landbrugsareal - resultat'!$B$5:$B$18)*(INDEX('Landbrugsareal - resultat'!$L$5:$N$18,,MATCH(E121,'Landbrugsareal - resultat'!$L$4:$N$4,0)))),IF(C121=2030,SUMPRODUCT((B121='Landbrugsareal - resultat'!$B$5:$B$18)*(INDEX('Landbrugsareal - resultat'!$O$5:$Q$18,,MATCH(E121,'Landbrugsareal - resultat'!$O$4:$Q$4,0)))),SUMPRODUCT((B121='Landbrugsareal - resultat'!$B$5:$B$18)*(INDEX('Landbrugsareal - resultat'!$R$5:$T$18,,MATCH(E121,'Landbrugsareal - resultat'!$R$4:$T$4,0))))))),IF(D121="Konventionel",IF(C121=2019,SUMPRODUCT((B121='Landbrugsareal - resultat'!$B$32:$B$45)*(INDEX('Landbrugsareal - resultat'!$C$32:$E$45,,MATCH(E121,'Landbrugsareal - resultat'!$C$4:$E$4,0)))),IF(C121=2030,SUMPRODUCT((B121='Landbrugsareal - resultat'!$B$32:$B$45)*(INDEX('Landbrugsareal - resultat'!$F$32:$H$45,,MATCH(E121,'Landbrugsareal - resultat'!$F$4:$H$4,0)))),SUMPRODUCT((B121='Landbrugsareal - resultat'!$B$32:$B$45)*(INDEX('Landbrugsareal - resultat'!$I$32:$K$45,,MATCH(E121,'Landbrugsareal - resultat'!$I$4:$K$4,0)))))),IF(C121=2019,SUMPRODUCT((B121='Landbrugsareal - resultat'!$B$32:$B$45)*(INDEX('Landbrugsareal - resultat'!$L$32:$N$45,,MATCH(E121,'Landbrugsareal - resultat'!$L$4:$N$4,0)))),IF(C121=2030,SUMPRODUCT((B121='Landbrugsareal - resultat'!$B$32:$B$45)*(INDEX('Landbrugsareal - resultat'!$O$32:$Q$45,,MATCH(E121,'Landbrugsareal - resultat'!$O$4:$Q$4,0)))),SUMPRODUCT((B121='Landbrugsareal - resultat'!$B$32:$B$45)*(INDEX('Landbrugsareal - resultat'!$R$32:$T$45,,MATCH(E121,'Landbrugsareal - resultat'!$R$4:$T$4,0))))))))</f>
        <v>4292.903977452369</v>
      </c>
      <c r="H121" s="172">
        <f>G121*VLOOKUP(B121,[1]Afgrødedata!$A$5:$F$18,2,FALSE)*IF(D121="Økologisk",VLOOKUP(B121,[1]Afgrødedata!$A$5:$F$18,4,FALSE),1)*IF(E121&lt;&gt;Jordbund1,IF(E121=Organ6,VLOOKUP(B121,[1]Afgrødedata!$A$5:$F$18,5,FALSE),VLOOKUP(B121,[1]Afgrødedata!$A$5:$F$18,6,FALSE)),1)*0.1</f>
        <v>229292.58724368596</v>
      </c>
      <c r="I121" s="172">
        <f>G121*VLOOKUP(B121,[1]Afgrødedata!$A$5:$F$18,3,FALSE)*IF(D121="Økologisk",VLOOKUP(B121,[1]Afgrødedata!$A$5:$F$18,4,FALSE),1)*IF(E121&lt;&gt;Jordbund1,IF(E121=Organ6,VLOOKUP(B121,[1]Afgrødedata!$A$5:$F$18,5,FALSE),VLOOKUP(B121,[1]Afgrødedata!$A$5:$F$18,6,FALSE)),1)*HLOOKUP(C121,Landbrug!$C$15:$E$17,2,FALSE)*HLOOKUP(C121,Landbrug!$C$15:$E$17,3,FALSE)*0.1</f>
        <v>0</v>
      </c>
      <c r="J121" s="76">
        <f t="shared" si="15"/>
        <v>229292.58724368596</v>
      </c>
    </row>
    <row r="122" spans="1:10" x14ac:dyDescent="0.55000000000000004">
      <c r="A122" t="s">
        <v>23</v>
      </c>
      <c r="B122" s="1" t="str">
        <f>[1]Afgrødefordeling!$C$10</f>
        <v>Frugt</v>
      </c>
      <c r="C122">
        <v>2050</v>
      </c>
      <c r="D122" t="s">
        <v>7</v>
      </c>
      <c r="E122" s="172" t="str">
        <f t="shared" si="23"/>
        <v>OC6</v>
      </c>
      <c r="F122" t="str">
        <f t="shared" si="14"/>
        <v>Frugt</v>
      </c>
      <c r="G122" s="76" cm="1">
        <f t="array" ref="G122">IF(A122="Vestdanmark",IF(D122="Konventionel",IF(C122=2019,SUMPRODUCT((B122='Landbrugsareal - resultat'!$B$5:$B$18)*(INDEX('Landbrugsareal - resultat'!$C$5:$E$18,,MATCH(E122,'Landbrugsareal - resultat'!$C$4:$E$4,0)))),IF(C122=2030,SUMPRODUCT((B122='Landbrugsareal - resultat'!$B$5:$B$18)*(INDEX('Landbrugsareal - resultat'!$F$5:$H$18,,MATCH(E122,'Landbrugsareal - resultat'!$F$4:$H$4,0)))),SUMPRODUCT((B122='Landbrugsareal - resultat'!$B$5:$B$18)*(INDEX('Landbrugsareal - resultat'!$I$5:$K$18,,MATCH(E122,'Landbrugsareal - resultat'!$I$4:$K$4,0)))))),IF(C122=2019,SUMPRODUCT((B122='Landbrugsareal - resultat'!$B$5:$B$18)*(INDEX('Landbrugsareal - resultat'!$L$5:$N$18,,MATCH(E122,'Landbrugsareal - resultat'!$L$4:$N$4,0)))),IF(C122=2030,SUMPRODUCT((B122='Landbrugsareal - resultat'!$B$5:$B$18)*(INDEX('Landbrugsareal - resultat'!$O$5:$Q$18,,MATCH(E122,'Landbrugsareal - resultat'!$O$4:$Q$4,0)))),SUMPRODUCT((B122='Landbrugsareal - resultat'!$B$5:$B$18)*(INDEX('Landbrugsareal - resultat'!$R$5:$T$18,,MATCH(E122,'Landbrugsareal - resultat'!$R$4:$T$4,0))))))),IF(D122="Konventionel",IF(C122=2019,SUMPRODUCT((B122='Landbrugsareal - resultat'!$B$32:$B$45)*(INDEX('Landbrugsareal - resultat'!$C$32:$E$45,,MATCH(E122,'Landbrugsareal - resultat'!$C$4:$E$4,0)))),IF(C122=2030,SUMPRODUCT((B122='Landbrugsareal - resultat'!$B$32:$B$45)*(INDEX('Landbrugsareal - resultat'!$F$32:$H$45,,MATCH(E122,'Landbrugsareal - resultat'!$F$4:$H$4,0)))),SUMPRODUCT((B122='Landbrugsareal - resultat'!$B$32:$B$45)*(INDEX('Landbrugsareal - resultat'!$I$32:$K$45,,MATCH(E122,'Landbrugsareal - resultat'!$I$4:$K$4,0)))))),IF(C122=2019,SUMPRODUCT((B122='Landbrugsareal - resultat'!$B$32:$B$45)*(INDEX('Landbrugsareal - resultat'!$L$32:$N$45,,MATCH(E122,'Landbrugsareal - resultat'!$L$4:$N$4,0)))),IF(C122=2030,SUMPRODUCT((B122='Landbrugsareal - resultat'!$B$32:$B$45)*(INDEX('Landbrugsareal - resultat'!$O$32:$Q$45,,MATCH(E122,'Landbrugsareal - resultat'!$O$4:$Q$4,0)))),SUMPRODUCT((B122='Landbrugsareal - resultat'!$B$32:$B$45)*(INDEX('Landbrugsareal - resultat'!$R$32:$T$45,,MATCH(E122,'Landbrugsareal - resultat'!$R$4:$T$4,0))))))))</f>
        <v>73.133309672185732</v>
      </c>
      <c r="H122" s="172">
        <f>G122*VLOOKUP(B122,[1]Afgrødedata!$A$5:$F$18,2,FALSE)*IF(D122="Økologisk",VLOOKUP(B122,[1]Afgrødedata!$A$5:$F$18,4,FALSE),1)*IF(E122&lt;&gt;Jordbund1,IF(E122=Organ6,VLOOKUP(B122,[1]Afgrødedata!$A$5:$F$18,5,FALSE),VLOOKUP(B122,[1]Afgrødedata!$A$5:$F$18,6,FALSE)),1)*0.1</f>
        <v>745.08215894022828</v>
      </c>
      <c r="I122" s="172">
        <f>G122*VLOOKUP(B122,[1]Afgrødedata!$A$5:$F$18,3,FALSE)*IF(D122="Økologisk",VLOOKUP(B122,[1]Afgrødedata!$A$5:$F$18,4,FALSE),1)*IF(E122&lt;&gt;Jordbund1,IF(E122=Organ6,VLOOKUP(B122,[1]Afgrødedata!$A$5:$F$18,5,FALSE),VLOOKUP(B122,[1]Afgrødedata!$A$5:$F$18,6,FALSE)),1)*HLOOKUP(C122,Landbrug!$C$15:$E$17,2,FALSE)*HLOOKUP(C122,Landbrug!$C$15:$E$17,3,FALSE)*0.1</f>
        <v>0</v>
      </c>
      <c r="J122" s="76">
        <f t="shared" si="15"/>
        <v>745.08215894022828</v>
      </c>
    </row>
    <row r="123" spans="1:10" x14ac:dyDescent="0.55000000000000004">
      <c r="A123" t="s">
        <v>23</v>
      </c>
      <c r="B123" s="1" t="str">
        <f>[1]Afgrødefordeling!$C$11</f>
        <v>Øvrige</v>
      </c>
      <c r="C123">
        <v>2050</v>
      </c>
      <c r="D123" t="s">
        <v>7</v>
      </c>
      <c r="E123" s="172" t="str">
        <f t="shared" si="23"/>
        <v>OC6</v>
      </c>
      <c r="F123" t="str">
        <f t="shared" si="14"/>
        <v>Øvrige</v>
      </c>
      <c r="G123" s="76" cm="1">
        <f t="array" ref="G123">IF(A123="Vestdanmark",IF(D123="Konventionel",IF(C123=2019,SUMPRODUCT((B123='Landbrugsareal - resultat'!$B$5:$B$18)*(INDEX('Landbrugsareal - resultat'!$C$5:$E$18,,MATCH(E123,'Landbrugsareal - resultat'!$C$4:$E$4,0)))),IF(C123=2030,SUMPRODUCT((B123='Landbrugsareal - resultat'!$B$5:$B$18)*(INDEX('Landbrugsareal - resultat'!$F$5:$H$18,,MATCH(E123,'Landbrugsareal - resultat'!$F$4:$H$4,0)))),SUMPRODUCT((B123='Landbrugsareal - resultat'!$B$5:$B$18)*(INDEX('Landbrugsareal - resultat'!$I$5:$K$18,,MATCH(E123,'Landbrugsareal - resultat'!$I$4:$K$4,0)))))),IF(C123=2019,SUMPRODUCT((B123='Landbrugsareal - resultat'!$B$5:$B$18)*(INDEX('Landbrugsareal - resultat'!$L$5:$N$18,,MATCH(E123,'Landbrugsareal - resultat'!$L$4:$N$4,0)))),IF(C123=2030,SUMPRODUCT((B123='Landbrugsareal - resultat'!$B$5:$B$18)*(INDEX('Landbrugsareal - resultat'!$O$5:$Q$18,,MATCH(E123,'Landbrugsareal - resultat'!$O$4:$Q$4,0)))),SUMPRODUCT((B123='Landbrugsareal - resultat'!$B$5:$B$18)*(INDEX('Landbrugsareal - resultat'!$R$5:$T$18,,MATCH(E123,'Landbrugsareal - resultat'!$R$4:$T$4,0))))))),IF(D123="Konventionel",IF(C123=2019,SUMPRODUCT((B123='Landbrugsareal - resultat'!$B$32:$B$45)*(INDEX('Landbrugsareal - resultat'!$C$32:$E$45,,MATCH(E123,'Landbrugsareal - resultat'!$C$4:$E$4,0)))),IF(C123=2030,SUMPRODUCT((B123='Landbrugsareal - resultat'!$B$32:$B$45)*(INDEX('Landbrugsareal - resultat'!$F$32:$H$45,,MATCH(E123,'Landbrugsareal - resultat'!$F$4:$H$4,0)))),SUMPRODUCT((B123='Landbrugsareal - resultat'!$B$32:$B$45)*(INDEX('Landbrugsareal - resultat'!$I$32:$K$45,,MATCH(E123,'Landbrugsareal - resultat'!$I$4:$K$4,0)))))),IF(C123=2019,SUMPRODUCT((B123='Landbrugsareal - resultat'!$B$32:$B$45)*(INDEX('Landbrugsareal - resultat'!$L$32:$N$45,,MATCH(E123,'Landbrugsareal - resultat'!$L$4:$N$4,0)))),IF(C123=2030,SUMPRODUCT((B123='Landbrugsareal - resultat'!$B$32:$B$45)*(INDEX('Landbrugsareal - resultat'!$O$32:$Q$45,,MATCH(E123,'Landbrugsareal - resultat'!$O$4:$Q$4,0)))),SUMPRODUCT((B123='Landbrugsareal - resultat'!$B$32:$B$45)*(INDEX('Landbrugsareal - resultat'!$R$32:$T$45,,MATCH(E123,'Landbrugsareal - resultat'!$R$4:$T$4,0))))))))</f>
        <v>1293.4285034495033</v>
      </c>
      <c r="H123" s="172">
        <f>G123*VLOOKUP(B123,[1]Afgrødedata!$A$5:$F$18,2,FALSE)*IF(D123="Økologisk",VLOOKUP(B123,[1]Afgrødedata!$A$5:$F$18,4,FALSE),1)*IF(E123&lt;&gt;Jordbund1,IF(E123=Organ6,VLOOKUP(B123,[1]Afgrødedata!$A$5:$F$18,5,FALSE),VLOOKUP(B123,[1]Afgrødedata!$A$5:$F$18,6,FALSE)),1)*0.1</f>
        <v>46246.707144791224</v>
      </c>
      <c r="I123" s="172">
        <f>G123*VLOOKUP(B123,[1]Afgrødedata!$A$5:$F$18,3,FALSE)*IF(D123="Økologisk",VLOOKUP(B123,[1]Afgrødedata!$A$5:$F$18,4,FALSE),1)*IF(E123&lt;&gt;Jordbund1,IF(E123=Organ6,VLOOKUP(B123,[1]Afgrødedata!$A$5:$F$18,5,FALSE),VLOOKUP(B123,[1]Afgrødedata!$A$5:$F$18,6,FALSE)),1)*HLOOKUP(C123,Landbrug!$C$15:$E$17,2,FALSE)*HLOOKUP(C123,Landbrug!$C$15:$E$17,3,FALSE)*0.1</f>
        <v>0</v>
      </c>
      <c r="J123" s="76">
        <f t="shared" si="15"/>
        <v>46246.707144791224</v>
      </c>
    </row>
    <row r="124" spans="1:10" x14ac:dyDescent="0.55000000000000004">
      <c r="A124" t="s">
        <v>23</v>
      </c>
      <c r="B124" s="1" t="str">
        <f>[1]Afgrødefordeling!$C$12</f>
        <v>Frø</v>
      </c>
      <c r="C124">
        <v>2050</v>
      </c>
      <c r="D124" t="s">
        <v>7</v>
      </c>
      <c r="E124" s="172" t="str">
        <f t="shared" si="23"/>
        <v>OC6</v>
      </c>
      <c r="F124" t="str">
        <f t="shared" si="14"/>
        <v>Halm</v>
      </c>
      <c r="G124" s="76" cm="1">
        <f t="array" ref="G124">IF(A124="Vestdanmark",IF(D124="Konventionel",IF(C124=2019,SUMPRODUCT((B124='Landbrugsareal - resultat'!$B$5:$B$18)*(INDEX('Landbrugsareal - resultat'!$C$5:$E$18,,MATCH(E124,'Landbrugsareal - resultat'!$C$4:$E$4,0)))),IF(C124=2030,SUMPRODUCT((B124='Landbrugsareal - resultat'!$B$5:$B$18)*(INDEX('Landbrugsareal - resultat'!$F$5:$H$18,,MATCH(E124,'Landbrugsareal - resultat'!$F$4:$H$4,0)))),SUMPRODUCT((B124='Landbrugsareal - resultat'!$B$5:$B$18)*(INDEX('Landbrugsareal - resultat'!$I$5:$K$18,,MATCH(E124,'Landbrugsareal - resultat'!$I$4:$K$4,0)))))),IF(C124=2019,SUMPRODUCT((B124='Landbrugsareal - resultat'!$B$5:$B$18)*(INDEX('Landbrugsareal - resultat'!$L$5:$N$18,,MATCH(E124,'Landbrugsareal - resultat'!$L$4:$N$4,0)))),IF(C124=2030,SUMPRODUCT((B124='Landbrugsareal - resultat'!$B$5:$B$18)*(INDEX('Landbrugsareal - resultat'!$O$5:$Q$18,,MATCH(E124,'Landbrugsareal - resultat'!$O$4:$Q$4,0)))),SUMPRODUCT((B124='Landbrugsareal - resultat'!$B$5:$B$18)*(INDEX('Landbrugsareal - resultat'!$R$5:$T$18,,MATCH(E124,'Landbrugsareal - resultat'!$R$4:$T$4,0))))))),IF(D124="Konventionel",IF(C124=2019,SUMPRODUCT((B124='Landbrugsareal - resultat'!$B$32:$B$45)*(INDEX('Landbrugsareal - resultat'!$C$32:$E$45,,MATCH(E124,'Landbrugsareal - resultat'!$C$4:$E$4,0)))),IF(C124=2030,SUMPRODUCT((B124='Landbrugsareal - resultat'!$B$32:$B$45)*(INDEX('Landbrugsareal - resultat'!$F$32:$H$45,,MATCH(E124,'Landbrugsareal - resultat'!$F$4:$H$4,0)))),SUMPRODUCT((B124='Landbrugsareal - resultat'!$B$32:$B$45)*(INDEX('Landbrugsareal - resultat'!$I$32:$K$45,,MATCH(E124,'Landbrugsareal - resultat'!$I$4:$K$4,0)))))),IF(C124=2019,SUMPRODUCT((B124='Landbrugsareal - resultat'!$B$32:$B$45)*(INDEX('Landbrugsareal - resultat'!$L$32:$N$45,,MATCH(E124,'Landbrugsareal - resultat'!$L$4:$N$4,0)))),IF(C124=2030,SUMPRODUCT((B124='Landbrugsareal - resultat'!$B$32:$B$45)*(INDEX('Landbrugsareal - resultat'!$O$32:$Q$45,,MATCH(E124,'Landbrugsareal - resultat'!$O$4:$Q$4,0)))),SUMPRODUCT((B124='Landbrugsareal - resultat'!$B$32:$B$45)*(INDEX('Landbrugsareal - resultat'!$R$32:$T$45,,MATCH(E124,'Landbrugsareal - resultat'!$R$4:$T$4,0))))))))</f>
        <v>3192.5629775014409</v>
      </c>
      <c r="H124" s="172">
        <f>G124*VLOOKUP(B124,[1]Afgrødedata!$A$5:$F$18,2,FALSE)*IF(D124="Økologisk",VLOOKUP(B124,[1]Afgrødedata!$A$5:$F$18,4,FALSE),1)*IF(E124&lt;&gt;Jordbund1,IF(E124=Organ6,VLOOKUP(B124,[1]Afgrødedata!$A$5:$F$18,5,FALSE),VLOOKUP(B124,[1]Afgrødedata!$A$5:$F$18,6,FALSE)),1)*0.1</f>
        <v>54741.705421719133</v>
      </c>
      <c r="I124" s="172">
        <f>G124*VLOOKUP(B124,[1]Afgrødedata!$A$5:$F$18,3,FALSE)*IF(D124="Økologisk",VLOOKUP(B124,[1]Afgrødedata!$A$5:$F$18,4,FALSE),1)*IF(E124&lt;&gt;Jordbund1,IF(E124=Organ6,VLOOKUP(B124,[1]Afgrødedata!$A$5:$F$18,5,FALSE),VLOOKUP(B124,[1]Afgrødedata!$A$5:$F$18,6,FALSE)),1)*HLOOKUP(C124,Landbrug!$C$15:$E$17,2,FALSE)*HLOOKUP(C124,Landbrug!$C$15:$E$17,3,FALSE)*0.1</f>
        <v>9041.3383522840795</v>
      </c>
      <c r="J124" s="76">
        <f t="shared" si="15"/>
        <v>9041.3383522840795</v>
      </c>
    </row>
    <row r="125" spans="1:10" x14ac:dyDescent="0.55000000000000004">
      <c r="A125" t="s">
        <v>23</v>
      </c>
      <c r="B125" s="1" t="str">
        <f>[1]Afgrødefordeling!$C$13</f>
        <v>Juletræer</v>
      </c>
      <c r="C125">
        <v>2050</v>
      </c>
      <c r="D125" t="s">
        <v>7</v>
      </c>
      <c r="E125" s="172" t="str">
        <f t="shared" si="23"/>
        <v>OC6</v>
      </c>
      <c r="F125" t="str">
        <f t="shared" si="14"/>
        <v>Juletræer</v>
      </c>
      <c r="G125" s="76" cm="1">
        <f t="array" ref="G125">IF(A125="Vestdanmark",IF(D125="Konventionel",IF(C125=2019,SUMPRODUCT((B125='Landbrugsareal - resultat'!$B$5:$B$18)*(INDEX('Landbrugsareal - resultat'!$C$5:$E$18,,MATCH(E125,'Landbrugsareal - resultat'!$C$4:$E$4,0)))),IF(C125=2030,SUMPRODUCT((B125='Landbrugsareal - resultat'!$B$5:$B$18)*(INDEX('Landbrugsareal - resultat'!$F$5:$H$18,,MATCH(E125,'Landbrugsareal - resultat'!$F$4:$H$4,0)))),SUMPRODUCT((B125='Landbrugsareal - resultat'!$B$5:$B$18)*(INDEX('Landbrugsareal - resultat'!$I$5:$K$18,,MATCH(E125,'Landbrugsareal - resultat'!$I$4:$K$4,0)))))),IF(C125=2019,SUMPRODUCT((B125='Landbrugsareal - resultat'!$B$5:$B$18)*(INDEX('Landbrugsareal - resultat'!$L$5:$N$18,,MATCH(E125,'Landbrugsareal - resultat'!$L$4:$N$4,0)))),IF(C125=2030,SUMPRODUCT((B125='Landbrugsareal - resultat'!$B$5:$B$18)*(INDEX('Landbrugsareal - resultat'!$O$5:$Q$18,,MATCH(E125,'Landbrugsareal - resultat'!$O$4:$Q$4,0)))),SUMPRODUCT((B125='Landbrugsareal - resultat'!$B$5:$B$18)*(INDEX('Landbrugsareal - resultat'!$R$5:$T$18,,MATCH(E125,'Landbrugsareal - resultat'!$R$4:$T$4,0))))))),IF(D125="Konventionel",IF(C125=2019,SUMPRODUCT((B125='Landbrugsareal - resultat'!$B$32:$B$45)*(INDEX('Landbrugsareal - resultat'!$C$32:$E$45,,MATCH(E125,'Landbrugsareal - resultat'!$C$4:$E$4,0)))),IF(C125=2030,SUMPRODUCT((B125='Landbrugsareal - resultat'!$B$32:$B$45)*(INDEX('Landbrugsareal - resultat'!$F$32:$H$45,,MATCH(E125,'Landbrugsareal - resultat'!$F$4:$H$4,0)))),SUMPRODUCT((B125='Landbrugsareal - resultat'!$B$32:$B$45)*(INDEX('Landbrugsareal - resultat'!$I$32:$K$45,,MATCH(E125,'Landbrugsareal - resultat'!$I$4:$K$4,0)))))),IF(C125=2019,SUMPRODUCT((B125='Landbrugsareal - resultat'!$B$32:$B$45)*(INDEX('Landbrugsareal - resultat'!$L$32:$N$45,,MATCH(E125,'Landbrugsareal - resultat'!$L$4:$N$4,0)))),IF(C125=2030,SUMPRODUCT((B125='Landbrugsareal - resultat'!$B$32:$B$45)*(INDEX('Landbrugsareal - resultat'!$O$32:$Q$45,,MATCH(E125,'Landbrugsareal - resultat'!$O$4:$Q$4,0)))),SUMPRODUCT((B125='Landbrugsareal - resultat'!$B$32:$B$45)*(INDEX('Landbrugsareal - resultat'!$R$32:$T$45,,MATCH(E125,'Landbrugsareal - resultat'!$R$4:$T$4,0))))))))</f>
        <v>366.8033355579056</v>
      </c>
      <c r="H125" s="172">
        <f>G125*VLOOKUP(B125,[1]Afgrødedata!$A$5:$F$18,2,FALSE)*IF(D125="Økologisk",VLOOKUP(B125,[1]Afgrødedata!$A$5:$F$18,4,FALSE),1)*IF(E125&lt;&gt;Jordbund1,IF(E125=Organ6,VLOOKUP(B125,[1]Afgrødedata!$A$5:$F$18,5,FALSE),VLOOKUP(B125,[1]Afgrødedata!$A$5:$F$18,6,FALSE)),1)*0.1</f>
        <v>22008.20013347434</v>
      </c>
      <c r="I125" s="172">
        <f>G125*VLOOKUP(B125,[1]Afgrødedata!$A$5:$F$18,3,FALSE)*IF(D125="Økologisk",VLOOKUP(B125,[1]Afgrødedata!$A$5:$F$18,4,FALSE),1)*IF(E125&lt;&gt;Jordbund1,IF(E125=Organ6,VLOOKUP(B125,[1]Afgrødedata!$A$5:$F$18,5,FALSE),VLOOKUP(B125,[1]Afgrødedata!$A$5:$F$18,6,FALSE)),1)*HLOOKUP(C125,Landbrug!$C$15:$E$17,2,FALSE)*HLOOKUP(C125,Landbrug!$C$15:$E$17,3,FALSE)*0.1</f>
        <v>0</v>
      </c>
      <c r="J125" s="76">
        <f t="shared" si="15"/>
        <v>22008.20013347434</v>
      </c>
    </row>
    <row r="126" spans="1:10" x14ac:dyDescent="0.55000000000000004">
      <c r="A126" t="s">
        <v>23</v>
      </c>
      <c r="B126" s="1" t="str">
        <f>[1]Afgrødefordeling!$C$14</f>
        <v>Pil &amp; poppel</v>
      </c>
      <c r="C126">
        <v>2050</v>
      </c>
      <c r="D126" t="s">
        <v>7</v>
      </c>
      <c r="E126" s="172" t="str">
        <f t="shared" si="23"/>
        <v>OC6</v>
      </c>
      <c r="F126" t="str">
        <f t="shared" ref="F126" si="24">IF(I126&lt;&gt;0,"Halm",IF(B126&lt;&gt;"Permanent græs",B126,"Græs"))</f>
        <v>Pil &amp; poppel</v>
      </c>
      <c r="G126" s="76" cm="1">
        <f t="array" ref="G126">IF(A126="Vestdanmark",IF(D126="Konventionel",IF(C126=2019,SUMPRODUCT((B126='Landbrugsareal - resultat'!$B$5:$B$18)*(INDEX('Landbrugsareal - resultat'!$C$5:$E$18,,MATCH(E126,'Landbrugsareal - resultat'!$C$4:$E$4,0)))),IF(C126=2030,SUMPRODUCT((B126='Landbrugsareal - resultat'!$B$5:$B$18)*(INDEX('Landbrugsareal - resultat'!$F$5:$H$18,,MATCH(E126,'Landbrugsareal - resultat'!$F$4:$H$4,0)))),SUMPRODUCT((B126='Landbrugsareal - resultat'!$B$5:$B$18)*(INDEX('Landbrugsareal - resultat'!$I$5:$K$18,,MATCH(E126,'Landbrugsareal - resultat'!$I$4:$K$4,0)))))),IF(C126=2019,SUMPRODUCT((B126='Landbrugsareal - resultat'!$B$5:$B$18)*(INDEX('Landbrugsareal - resultat'!$L$5:$N$18,,MATCH(E126,'Landbrugsareal - resultat'!$L$4:$N$4,0)))),IF(C126=2030,SUMPRODUCT((B126='Landbrugsareal - resultat'!$B$5:$B$18)*(INDEX('Landbrugsareal - resultat'!$O$5:$Q$18,,MATCH(E126,'Landbrugsareal - resultat'!$O$4:$Q$4,0)))),SUMPRODUCT((B126='Landbrugsareal - resultat'!$B$5:$B$18)*(INDEX('Landbrugsareal - resultat'!$R$5:$T$18,,MATCH(E126,'Landbrugsareal - resultat'!$R$4:$T$4,0))))))),IF(D126="Konventionel",IF(C126=2019,SUMPRODUCT((B126='Landbrugsareal - resultat'!$B$32:$B$45)*(INDEX('Landbrugsareal - resultat'!$C$32:$E$45,,MATCH(E126,'Landbrugsareal - resultat'!$C$4:$E$4,0)))),IF(C126=2030,SUMPRODUCT((B126='Landbrugsareal - resultat'!$B$32:$B$45)*(INDEX('Landbrugsareal - resultat'!$F$32:$H$45,,MATCH(E126,'Landbrugsareal - resultat'!$F$4:$H$4,0)))),SUMPRODUCT((B126='Landbrugsareal - resultat'!$B$32:$B$45)*(INDEX('Landbrugsareal - resultat'!$I$32:$K$45,,MATCH(E126,'Landbrugsareal - resultat'!$I$4:$K$4,0)))))),IF(C126=2019,SUMPRODUCT((B126='Landbrugsareal - resultat'!$B$32:$B$45)*(INDEX('Landbrugsareal - resultat'!$L$32:$N$45,,MATCH(E126,'Landbrugsareal - resultat'!$L$4:$N$4,0)))),IF(C126=2030,SUMPRODUCT((B126='Landbrugsareal - resultat'!$B$32:$B$45)*(INDEX('Landbrugsareal - resultat'!$O$32:$Q$45,,MATCH(E126,'Landbrugsareal - resultat'!$O$4:$Q$4,0)))),SUMPRODUCT((B126='Landbrugsareal - resultat'!$B$32:$B$45)*(INDEX('Landbrugsareal - resultat'!$R$32:$T$45,,MATCH(E126,'Landbrugsareal - resultat'!$R$4:$T$4,0))))))))</f>
        <v>602.42633268600662</v>
      </c>
      <c r="H126" s="172">
        <f>G126*VLOOKUP(B126,[1]Afgrødedata!$A$5:$F$18,2,FALSE)*IF(D126="Økologisk",VLOOKUP(B126,[1]Afgrødedata!$A$5:$F$18,4,FALSE),1)*IF(E126&lt;&gt;Jordbund1,IF(E126=Organ6,VLOOKUP(B126,[1]Afgrødedata!$A$5:$F$18,5,FALSE),VLOOKUP(B126,[1]Afgrødedata!$A$5:$F$18,6,FALSE)),1)*0.1</f>
        <v>17631.990224956291</v>
      </c>
      <c r="I126" s="172">
        <f>G126*VLOOKUP(B126,[1]Afgrødedata!$A$5:$F$18,3,FALSE)*IF(D126="Økologisk",VLOOKUP(B126,[1]Afgrødedata!$A$5:$F$18,4,FALSE),1)*IF(E126&lt;&gt;Jordbund1,IF(E126=Organ6,VLOOKUP(B126,[1]Afgrødedata!$A$5:$F$18,5,FALSE),VLOOKUP(B126,[1]Afgrødedata!$A$5:$F$18,6,FALSE)),1)*HLOOKUP(C126,Landbrug!$C$15:$E$17,2,FALSE)*HLOOKUP(C126,Landbrug!$C$15:$E$17,3,FALSE)*0.1</f>
        <v>0</v>
      </c>
      <c r="J126" s="76">
        <f t="shared" ref="J126" si="25">IF(I126&lt;&gt;0,I126,H126)</f>
        <v>17631.990224956291</v>
      </c>
    </row>
    <row r="127" spans="1:10" x14ac:dyDescent="0.55000000000000004">
      <c r="A127" t="s">
        <v>23</v>
      </c>
      <c r="B127" s="1" t="str">
        <f>[1]Afgrødefordeling!$C$15</f>
        <v>Permanent græs</v>
      </c>
      <c r="C127">
        <v>2050</v>
      </c>
      <c r="D127" t="s">
        <v>7</v>
      </c>
      <c r="E127" s="172" t="str">
        <f t="shared" si="23"/>
        <v>OC6</v>
      </c>
      <c r="F127" t="str">
        <f t="shared" si="14"/>
        <v>Græs</v>
      </c>
      <c r="G127" s="76" cm="1">
        <f t="array" ref="G127">IF(A127="Vestdanmark",IF(D127="Konventionel",IF(C127=2019,SUMPRODUCT((B127='Landbrugsareal - resultat'!$B$5:$B$18)*(INDEX('Landbrugsareal - resultat'!$C$5:$E$18,,MATCH(E127,'Landbrugsareal - resultat'!$C$4:$E$4,0)))),IF(C127=2030,SUMPRODUCT((B127='Landbrugsareal - resultat'!$B$5:$B$18)*(INDEX('Landbrugsareal - resultat'!$F$5:$H$18,,MATCH(E127,'Landbrugsareal - resultat'!$F$4:$H$4,0)))),SUMPRODUCT((B127='Landbrugsareal - resultat'!$B$5:$B$18)*(INDEX('Landbrugsareal - resultat'!$I$5:$K$18,,MATCH(E127,'Landbrugsareal - resultat'!$I$4:$K$4,0)))))),IF(C127=2019,SUMPRODUCT((B127='Landbrugsareal - resultat'!$B$5:$B$18)*(INDEX('Landbrugsareal - resultat'!$L$5:$N$18,,MATCH(E127,'Landbrugsareal - resultat'!$L$4:$N$4,0)))),IF(C127=2030,SUMPRODUCT((B127='Landbrugsareal - resultat'!$B$5:$B$18)*(INDEX('Landbrugsareal - resultat'!$O$5:$Q$18,,MATCH(E127,'Landbrugsareal - resultat'!$O$4:$Q$4,0)))),SUMPRODUCT((B127='Landbrugsareal - resultat'!$B$5:$B$18)*(INDEX('Landbrugsareal - resultat'!$R$5:$T$18,,MATCH(E127,'Landbrugsareal - resultat'!$R$4:$T$4,0))))))),IF(D127="Konventionel",IF(C127=2019,SUMPRODUCT((B127='Landbrugsareal - resultat'!$B$32:$B$45)*(INDEX('Landbrugsareal - resultat'!$C$32:$E$45,,MATCH(E127,'Landbrugsareal - resultat'!$C$4:$E$4,0)))),IF(C127=2030,SUMPRODUCT((B127='Landbrugsareal - resultat'!$B$32:$B$45)*(INDEX('Landbrugsareal - resultat'!$F$32:$H$45,,MATCH(E127,'Landbrugsareal - resultat'!$F$4:$H$4,0)))),SUMPRODUCT((B127='Landbrugsareal - resultat'!$B$32:$B$45)*(INDEX('Landbrugsareal - resultat'!$I$32:$K$45,,MATCH(E127,'Landbrugsareal - resultat'!$I$4:$K$4,0)))))),IF(C127=2019,SUMPRODUCT((B127='Landbrugsareal - resultat'!$B$32:$B$45)*(INDEX('Landbrugsareal - resultat'!$L$32:$N$45,,MATCH(E127,'Landbrugsareal - resultat'!$L$4:$N$4,0)))),IF(C127=2030,SUMPRODUCT((B127='Landbrugsareal - resultat'!$B$32:$B$45)*(INDEX('Landbrugsareal - resultat'!$O$32:$Q$45,,MATCH(E127,'Landbrugsareal - resultat'!$O$4:$Q$4,0)))),SUMPRODUCT((B127='Landbrugsareal - resultat'!$B$32:$B$45)*(INDEX('Landbrugsareal - resultat'!$R$32:$T$45,,MATCH(E127,'Landbrugsareal - resultat'!$R$4:$T$4,0))))))))</f>
        <v>17027.619459294743</v>
      </c>
      <c r="H127" s="172">
        <f>G127*VLOOKUP(B127,[1]Afgrødedata!$A$5:$F$18,2,FALSE)*IF(D127="Økologisk",VLOOKUP(B127,[1]Afgrødedata!$A$5:$F$18,4,FALSE),1)*IF(E127&lt;&gt;Jordbund1,IF(E127=Organ6,VLOOKUP(B127,[1]Afgrødedata!$A$5:$F$18,5,FALSE),VLOOKUP(B127,[1]Afgrødedata!$A$5:$F$18,6,FALSE)),1)*0.1</f>
        <v>281773.04681240948</v>
      </c>
      <c r="I127" s="172">
        <f>G127*VLOOKUP(B127,[1]Afgrødedata!$A$5:$F$18,3,FALSE)*IF(D127="Økologisk",VLOOKUP(B127,[1]Afgrødedata!$A$5:$F$18,4,FALSE),1)*IF(E127&lt;&gt;Jordbund1,IF(E127=Organ6,VLOOKUP(B127,[1]Afgrødedata!$A$5:$F$18,5,FALSE),VLOOKUP(B127,[1]Afgrødedata!$A$5:$F$18,6,FALSE)),1)*HLOOKUP(C127,Landbrug!$C$15:$E$17,2,FALSE)*HLOOKUP(C127,Landbrug!$C$15:$E$17,3,FALSE)*0.1</f>
        <v>0</v>
      </c>
      <c r="J127" s="76">
        <f t="shared" si="15"/>
        <v>281773.04681240948</v>
      </c>
    </row>
    <row r="128" spans="1:10" x14ac:dyDescent="0.55000000000000004">
      <c r="A128" t="s">
        <v>23</v>
      </c>
      <c r="B128" s="1" t="str">
        <f>[1]Afgrødefordeling!$C$2</f>
        <v>Korn</v>
      </c>
      <c r="C128">
        <v>2019</v>
      </c>
      <c r="D128" t="s">
        <v>8</v>
      </c>
      <c r="E128" s="172" t="str">
        <f t="shared" si="23"/>
        <v>OC6</v>
      </c>
      <c r="F128" t="str">
        <f t="shared" si="14"/>
        <v>Halm</v>
      </c>
      <c r="G128" s="76" cm="1">
        <f t="array" ref="G128">IF(A128="Vestdanmark",IF(D128="Konventionel",IF(C128=2019,SUMPRODUCT((B128='Landbrugsareal - resultat'!$B$5:$B$18)*(INDEX('Landbrugsareal - resultat'!$C$5:$E$18,,MATCH(E128,'Landbrugsareal - resultat'!$C$4:$E$4,0)))),IF(C128=2030,SUMPRODUCT((B128='Landbrugsareal - resultat'!$B$5:$B$18)*(INDEX('Landbrugsareal - resultat'!$F$5:$H$18,,MATCH(E128,'Landbrugsareal - resultat'!$F$4:$H$4,0)))),SUMPRODUCT((B128='Landbrugsareal - resultat'!$B$5:$B$18)*(INDEX('Landbrugsareal - resultat'!$I$5:$K$18,,MATCH(E128,'Landbrugsareal - resultat'!$I$4:$K$4,0)))))),IF(C128=2019,SUMPRODUCT((B128='Landbrugsareal - resultat'!$B$5:$B$18)*(INDEX('Landbrugsareal - resultat'!$L$5:$N$18,,MATCH(E128,'Landbrugsareal - resultat'!$L$4:$N$4,0)))),IF(C128=2030,SUMPRODUCT((B128='Landbrugsareal - resultat'!$B$5:$B$18)*(INDEX('Landbrugsareal - resultat'!$O$5:$Q$18,,MATCH(E128,'Landbrugsareal - resultat'!$O$4:$Q$4,0)))),SUMPRODUCT((B128='Landbrugsareal - resultat'!$B$5:$B$18)*(INDEX('Landbrugsareal - resultat'!$R$5:$T$18,,MATCH(E128,'Landbrugsareal - resultat'!$R$4:$T$4,0))))))),IF(D128="Konventionel",IF(C128=2019,SUMPRODUCT((B128='Landbrugsareal - resultat'!$B$32:$B$45)*(INDEX('Landbrugsareal - resultat'!$C$32:$E$45,,MATCH(E128,'Landbrugsareal - resultat'!$C$4:$E$4,0)))),IF(C128=2030,SUMPRODUCT((B128='Landbrugsareal - resultat'!$B$32:$B$45)*(INDEX('Landbrugsareal - resultat'!$F$32:$H$45,,MATCH(E128,'Landbrugsareal - resultat'!$F$4:$H$4,0)))),SUMPRODUCT((B128='Landbrugsareal - resultat'!$B$32:$B$45)*(INDEX('Landbrugsareal - resultat'!$I$32:$K$45,,MATCH(E128,'Landbrugsareal - resultat'!$I$4:$K$4,0)))))),IF(C128=2019,SUMPRODUCT((B128='Landbrugsareal - resultat'!$B$32:$B$45)*(INDEX('Landbrugsareal - resultat'!$L$32:$N$45,,MATCH(E128,'Landbrugsareal - resultat'!$L$4:$N$4,0)))),IF(C128=2030,SUMPRODUCT((B128='Landbrugsareal - resultat'!$B$32:$B$45)*(INDEX('Landbrugsareal - resultat'!$O$32:$Q$45,,MATCH(E128,'Landbrugsareal - resultat'!$O$4:$Q$4,0)))),SUMPRODUCT((B128='Landbrugsareal - resultat'!$B$32:$B$45)*(INDEX('Landbrugsareal - resultat'!$R$32:$T$45,,MATCH(E128,'Landbrugsareal - resultat'!$R$4:$T$4,0))))))))</f>
        <v>3009.4757390628633</v>
      </c>
      <c r="H128" s="172">
        <f>G128*VLOOKUP(B128,[1]Afgrødedata!$A$5:$F$18,2,FALSE)*IF(D128="Økologisk",VLOOKUP(B128,[1]Afgrødedata!$A$5:$F$18,4,FALSE),1)*IF(E128&lt;&gt;Jordbund1,IF(E128=Organ6,VLOOKUP(B128,[1]Afgrødedata!$A$5:$F$18,5,FALSE),VLOOKUP(B128,[1]Afgrødedata!$A$5:$F$18,6,FALSE)),1)*0.1</f>
        <v>16961.525644387857</v>
      </c>
      <c r="I128" s="172">
        <f>G128*VLOOKUP(B128,[1]Afgrødedata!$A$5:$F$18,3,FALSE)*IF(D128="Økologisk",VLOOKUP(B128,[1]Afgrødedata!$A$5:$F$18,4,FALSE),1)*IF(E128&lt;&gt;Jordbund1,IF(E128=Organ6,VLOOKUP(B128,[1]Afgrødedata!$A$5:$F$18,5,FALSE),VLOOKUP(B128,[1]Afgrødedata!$A$5:$F$18,6,FALSE)),1)*HLOOKUP(C128,Landbrug!$C$15:$E$17,2,FALSE)*HLOOKUP(C128,Landbrug!$C$15:$E$17,3,FALSE)*0.1</f>
        <v>5536.1995665140876</v>
      </c>
      <c r="J128" s="76">
        <f t="shared" si="15"/>
        <v>5536.1995665140876</v>
      </c>
    </row>
    <row r="129" spans="1:10" x14ac:dyDescent="0.55000000000000004">
      <c r="A129" t="s">
        <v>23</v>
      </c>
      <c r="B129" s="1" t="str">
        <f>[1]Afgrødefordeling!$C$3</f>
        <v>Bælgsæd</v>
      </c>
      <c r="C129">
        <v>2019</v>
      </c>
      <c r="D129" t="s">
        <v>8</v>
      </c>
      <c r="E129" s="172" t="str">
        <f t="shared" si="23"/>
        <v>OC6</v>
      </c>
      <c r="F129" t="str">
        <f t="shared" si="14"/>
        <v>Halm</v>
      </c>
      <c r="G129" s="76" cm="1">
        <f t="array" ref="G129">IF(A129="Vestdanmark",IF(D129="Konventionel",IF(C129=2019,SUMPRODUCT((B129='Landbrugsareal - resultat'!$B$5:$B$18)*(INDEX('Landbrugsareal - resultat'!$C$5:$E$18,,MATCH(E129,'Landbrugsareal - resultat'!$C$4:$E$4,0)))),IF(C129=2030,SUMPRODUCT((B129='Landbrugsareal - resultat'!$B$5:$B$18)*(INDEX('Landbrugsareal - resultat'!$F$5:$H$18,,MATCH(E129,'Landbrugsareal - resultat'!$F$4:$H$4,0)))),SUMPRODUCT((B129='Landbrugsareal - resultat'!$B$5:$B$18)*(INDEX('Landbrugsareal - resultat'!$I$5:$K$18,,MATCH(E129,'Landbrugsareal - resultat'!$I$4:$K$4,0)))))),IF(C129=2019,SUMPRODUCT((B129='Landbrugsareal - resultat'!$B$5:$B$18)*(INDEX('Landbrugsareal - resultat'!$L$5:$N$18,,MATCH(E129,'Landbrugsareal - resultat'!$L$4:$N$4,0)))),IF(C129=2030,SUMPRODUCT((B129='Landbrugsareal - resultat'!$B$5:$B$18)*(INDEX('Landbrugsareal - resultat'!$O$5:$Q$18,,MATCH(E129,'Landbrugsareal - resultat'!$O$4:$Q$4,0)))),SUMPRODUCT((B129='Landbrugsareal - resultat'!$B$5:$B$18)*(INDEX('Landbrugsareal - resultat'!$R$5:$T$18,,MATCH(E129,'Landbrugsareal - resultat'!$R$4:$T$4,0))))))),IF(D129="Konventionel",IF(C129=2019,SUMPRODUCT((B129='Landbrugsareal - resultat'!$B$32:$B$45)*(INDEX('Landbrugsareal - resultat'!$C$32:$E$45,,MATCH(E129,'Landbrugsareal - resultat'!$C$4:$E$4,0)))),IF(C129=2030,SUMPRODUCT((B129='Landbrugsareal - resultat'!$B$32:$B$45)*(INDEX('Landbrugsareal - resultat'!$F$32:$H$45,,MATCH(E129,'Landbrugsareal - resultat'!$F$4:$H$4,0)))),SUMPRODUCT((B129='Landbrugsareal - resultat'!$B$32:$B$45)*(INDEX('Landbrugsareal - resultat'!$I$32:$K$45,,MATCH(E129,'Landbrugsareal - resultat'!$I$4:$K$4,0)))))),IF(C129=2019,SUMPRODUCT((B129='Landbrugsareal - resultat'!$B$32:$B$45)*(INDEX('Landbrugsareal - resultat'!$L$32:$N$45,,MATCH(E129,'Landbrugsareal - resultat'!$L$4:$N$4,0)))),IF(C129=2030,SUMPRODUCT((B129='Landbrugsareal - resultat'!$B$32:$B$45)*(INDEX('Landbrugsareal - resultat'!$O$32:$Q$45,,MATCH(E129,'Landbrugsareal - resultat'!$O$4:$Q$4,0)))),SUMPRODUCT((B129='Landbrugsareal - resultat'!$B$32:$B$45)*(INDEX('Landbrugsareal - resultat'!$R$32:$T$45,,MATCH(E129,'Landbrugsareal - resultat'!$R$4:$T$4,0))))))))</f>
        <v>257.98490917114276</v>
      </c>
      <c r="H129" s="172">
        <f>G129*VLOOKUP(B129,[1]Afgrødedata!$A$5:$F$18,2,FALSE)*IF(D129="Økologisk",VLOOKUP(B129,[1]Afgrødedata!$A$5:$F$18,4,FALSE),1)*IF(E129&lt;&gt;Jordbund1,IF(E129=Organ6,VLOOKUP(B129,[1]Afgrødedata!$A$5:$F$18,5,FALSE),VLOOKUP(B129,[1]Afgrødedata!$A$5:$F$18,6,FALSE)),1)*0.1</f>
        <v>681.14207659001795</v>
      </c>
      <c r="I129" s="172">
        <f>G129*VLOOKUP(B129,[1]Afgrødedata!$A$5:$F$18,3,FALSE)*IF(D129="Økologisk",VLOOKUP(B129,[1]Afgrødedata!$A$5:$F$18,4,FALSE),1)*IF(E129&lt;&gt;Jordbund1,IF(E129=Organ6,VLOOKUP(B129,[1]Afgrødedata!$A$5:$F$18,5,FALSE),VLOOKUP(B129,[1]Afgrødedata!$A$5:$F$18,6,FALSE)),1)*HLOOKUP(C129,Landbrug!$C$15:$E$17,2,FALSE)*HLOOKUP(C129,Landbrug!$C$15:$E$17,3,FALSE)*0.1</f>
        <v>202.21660385890681</v>
      </c>
      <c r="J129" s="76">
        <f t="shared" si="15"/>
        <v>202.21660385890681</v>
      </c>
    </row>
    <row r="130" spans="1:10" x14ac:dyDescent="0.55000000000000004">
      <c r="A130" t="s">
        <v>23</v>
      </c>
      <c r="B130" s="1" t="str">
        <f>[1]Afgrødefordeling!$C$4</f>
        <v>Raps</v>
      </c>
      <c r="C130">
        <v>2019</v>
      </c>
      <c r="D130" t="s">
        <v>8</v>
      </c>
      <c r="E130" s="172" t="str">
        <f t="shared" si="23"/>
        <v>OC6</v>
      </c>
      <c r="F130" t="str">
        <f t="shared" si="14"/>
        <v>Halm</v>
      </c>
      <c r="G130" s="76" cm="1">
        <f t="array" ref="G130">IF(A130="Vestdanmark",IF(D130="Konventionel",IF(C130=2019,SUMPRODUCT((B130='Landbrugsareal - resultat'!$B$5:$B$18)*(INDEX('Landbrugsareal - resultat'!$C$5:$E$18,,MATCH(E130,'Landbrugsareal - resultat'!$C$4:$E$4,0)))),IF(C130=2030,SUMPRODUCT((B130='Landbrugsareal - resultat'!$B$5:$B$18)*(INDEX('Landbrugsareal - resultat'!$F$5:$H$18,,MATCH(E130,'Landbrugsareal - resultat'!$F$4:$H$4,0)))),SUMPRODUCT((B130='Landbrugsareal - resultat'!$B$5:$B$18)*(INDEX('Landbrugsareal - resultat'!$I$5:$K$18,,MATCH(E130,'Landbrugsareal - resultat'!$I$4:$K$4,0)))))),IF(C130=2019,SUMPRODUCT((B130='Landbrugsareal - resultat'!$B$5:$B$18)*(INDEX('Landbrugsareal - resultat'!$L$5:$N$18,,MATCH(E130,'Landbrugsareal - resultat'!$L$4:$N$4,0)))),IF(C130=2030,SUMPRODUCT((B130='Landbrugsareal - resultat'!$B$5:$B$18)*(INDEX('Landbrugsareal - resultat'!$O$5:$Q$18,,MATCH(E130,'Landbrugsareal - resultat'!$O$4:$Q$4,0)))),SUMPRODUCT((B130='Landbrugsareal - resultat'!$B$5:$B$18)*(INDEX('Landbrugsareal - resultat'!$R$5:$T$18,,MATCH(E130,'Landbrugsareal - resultat'!$R$4:$T$4,0))))))),IF(D130="Konventionel",IF(C130=2019,SUMPRODUCT((B130='Landbrugsareal - resultat'!$B$32:$B$45)*(INDEX('Landbrugsareal - resultat'!$C$32:$E$45,,MATCH(E130,'Landbrugsareal - resultat'!$C$4:$E$4,0)))),IF(C130=2030,SUMPRODUCT((B130='Landbrugsareal - resultat'!$B$32:$B$45)*(INDEX('Landbrugsareal - resultat'!$F$32:$H$45,,MATCH(E130,'Landbrugsareal - resultat'!$F$4:$H$4,0)))),SUMPRODUCT((B130='Landbrugsareal - resultat'!$B$32:$B$45)*(INDEX('Landbrugsareal - resultat'!$I$32:$K$45,,MATCH(E130,'Landbrugsareal - resultat'!$I$4:$K$4,0)))))),IF(C130=2019,SUMPRODUCT((B130='Landbrugsareal - resultat'!$B$32:$B$45)*(INDEX('Landbrugsareal - resultat'!$L$32:$N$45,,MATCH(E130,'Landbrugsareal - resultat'!$L$4:$N$4,0)))),IF(C130=2030,SUMPRODUCT((B130='Landbrugsareal - resultat'!$B$32:$B$45)*(INDEX('Landbrugsareal - resultat'!$O$32:$Q$45,,MATCH(E130,'Landbrugsareal - resultat'!$O$4:$Q$4,0)))),SUMPRODUCT((B130='Landbrugsareal - resultat'!$B$32:$B$45)*(INDEX('Landbrugsareal - resultat'!$R$32:$T$45,,MATCH(E130,'Landbrugsareal - resultat'!$R$4:$T$4,0))))))))</f>
        <v>276.24585462505803</v>
      </c>
      <c r="H130" s="172">
        <f>G130*VLOOKUP(B130,[1]Afgrødedata!$A$5:$F$18,2,FALSE)*IF(D130="Økologisk",VLOOKUP(B130,[1]Afgrødedata!$A$5:$F$18,4,FALSE),1)*IF(E130&lt;&gt;Jordbund1,IF(E130=Organ6,VLOOKUP(B130,[1]Afgrødedata!$A$5:$F$18,5,FALSE),VLOOKUP(B130,[1]Afgrødedata!$A$5:$F$18,6,FALSE)),1)*0.1</f>
        <v>802.21796183116862</v>
      </c>
      <c r="I130" s="172">
        <f>G130*VLOOKUP(B130,[1]Afgrødedata!$A$5:$F$18,3,FALSE)*IF(D130="Økologisk",VLOOKUP(B130,[1]Afgrødedata!$A$5:$F$18,4,FALSE),1)*IF(E130&lt;&gt;Jordbund1,IF(E130=Organ6,VLOOKUP(B130,[1]Afgrødedata!$A$5:$F$18,5,FALSE),VLOOKUP(B130,[1]Afgrødedata!$A$5:$F$18,6,FALSE)),1)*HLOOKUP(C130,Landbrug!$C$15:$E$17,2,FALSE)*HLOOKUP(C130,Landbrug!$C$15:$E$17,3,FALSE)*0.1</f>
        <v>428.46862450383645</v>
      </c>
      <c r="J130" s="76">
        <f t="shared" si="15"/>
        <v>428.46862450383645</v>
      </c>
    </row>
    <row r="131" spans="1:10" x14ac:dyDescent="0.55000000000000004">
      <c r="A131" t="s">
        <v>23</v>
      </c>
      <c r="B131" s="1" t="str">
        <f>[1]Afgrødefordeling!$C$5</f>
        <v>Græs</v>
      </c>
      <c r="C131">
        <v>2019</v>
      </c>
      <c r="D131" t="s">
        <v>8</v>
      </c>
      <c r="E131" s="172" t="str">
        <f t="shared" si="23"/>
        <v>OC6</v>
      </c>
      <c r="F131" t="str">
        <f t="shared" si="14"/>
        <v>Græs</v>
      </c>
      <c r="G131" s="76" cm="1">
        <f t="array" ref="G131">IF(A131="Vestdanmark",IF(D131="Konventionel",IF(C131=2019,SUMPRODUCT((B131='Landbrugsareal - resultat'!$B$5:$B$18)*(INDEX('Landbrugsareal - resultat'!$C$5:$E$18,,MATCH(E131,'Landbrugsareal - resultat'!$C$4:$E$4,0)))),IF(C131=2030,SUMPRODUCT((B131='Landbrugsareal - resultat'!$B$5:$B$18)*(INDEX('Landbrugsareal - resultat'!$F$5:$H$18,,MATCH(E131,'Landbrugsareal - resultat'!$F$4:$H$4,0)))),SUMPRODUCT((B131='Landbrugsareal - resultat'!$B$5:$B$18)*(INDEX('Landbrugsareal - resultat'!$I$5:$K$18,,MATCH(E131,'Landbrugsareal - resultat'!$I$4:$K$4,0)))))),IF(C131=2019,SUMPRODUCT((B131='Landbrugsareal - resultat'!$B$5:$B$18)*(INDEX('Landbrugsareal - resultat'!$L$5:$N$18,,MATCH(E131,'Landbrugsareal - resultat'!$L$4:$N$4,0)))),IF(C131=2030,SUMPRODUCT((B131='Landbrugsareal - resultat'!$B$5:$B$18)*(INDEX('Landbrugsareal - resultat'!$O$5:$Q$18,,MATCH(E131,'Landbrugsareal - resultat'!$O$4:$Q$4,0)))),SUMPRODUCT((B131='Landbrugsareal - resultat'!$B$5:$B$18)*(INDEX('Landbrugsareal - resultat'!$R$5:$T$18,,MATCH(E131,'Landbrugsareal - resultat'!$R$4:$T$4,0))))))),IF(D131="Konventionel",IF(C131=2019,SUMPRODUCT((B131='Landbrugsareal - resultat'!$B$32:$B$45)*(INDEX('Landbrugsareal - resultat'!$C$32:$E$45,,MATCH(E131,'Landbrugsareal - resultat'!$C$4:$E$4,0)))),IF(C131=2030,SUMPRODUCT((B131='Landbrugsareal - resultat'!$B$32:$B$45)*(INDEX('Landbrugsareal - resultat'!$F$32:$H$45,,MATCH(E131,'Landbrugsareal - resultat'!$F$4:$H$4,0)))),SUMPRODUCT((B131='Landbrugsareal - resultat'!$B$32:$B$45)*(INDEX('Landbrugsareal - resultat'!$I$32:$K$45,,MATCH(E131,'Landbrugsareal - resultat'!$I$4:$K$4,0)))))),IF(C131=2019,SUMPRODUCT((B131='Landbrugsareal - resultat'!$B$32:$B$45)*(INDEX('Landbrugsareal - resultat'!$L$32:$N$45,,MATCH(E131,'Landbrugsareal - resultat'!$L$4:$N$4,0)))),IF(C131=2030,SUMPRODUCT((B131='Landbrugsareal - resultat'!$B$32:$B$45)*(INDEX('Landbrugsareal - resultat'!$O$32:$Q$45,,MATCH(E131,'Landbrugsareal - resultat'!$O$4:$Q$4,0)))),SUMPRODUCT((B131='Landbrugsareal - resultat'!$B$32:$B$45)*(INDEX('Landbrugsareal - resultat'!$R$32:$T$45,,MATCH(E131,'Landbrugsareal - resultat'!$R$4:$T$4,0))))))))</f>
        <v>2549.2942553512476</v>
      </c>
      <c r="H131" s="172">
        <f>G131*VLOOKUP(B131,[1]Afgrødedata!$A$5:$F$18,2,FALSE)*IF(D131="Økologisk",VLOOKUP(B131,[1]Afgrødedata!$A$5:$F$18,4,FALSE),1)*IF(E131&lt;&gt;Jordbund1,IF(E131=Organ6,VLOOKUP(B131,[1]Afgrødedata!$A$5:$F$18,5,FALSE),VLOOKUP(B131,[1]Afgrødedata!$A$5:$F$18,6,FALSE)),1)*0.1</f>
        <v>118400.23816969505</v>
      </c>
      <c r="I131" s="172">
        <f>G131*VLOOKUP(B131,[1]Afgrødedata!$A$5:$F$18,3,FALSE)*IF(D131="Økologisk",VLOOKUP(B131,[1]Afgrødedata!$A$5:$F$18,4,FALSE),1)*IF(E131&lt;&gt;Jordbund1,IF(E131=Organ6,VLOOKUP(B131,[1]Afgrødedata!$A$5:$F$18,5,FALSE),VLOOKUP(B131,[1]Afgrødedata!$A$5:$F$18,6,FALSE)),1)*HLOOKUP(C131,Landbrug!$C$15:$E$17,2,FALSE)*HLOOKUP(C131,Landbrug!$C$15:$E$17,3,FALSE)*0.1</f>
        <v>0</v>
      </c>
      <c r="J131" s="76">
        <f t="shared" si="15"/>
        <v>118400.23816969505</v>
      </c>
    </row>
    <row r="132" spans="1:10" x14ac:dyDescent="0.55000000000000004">
      <c r="A132" t="s">
        <v>23</v>
      </c>
      <c r="B132" s="1" t="str">
        <f>[1]Afgrødefordeling!$C$6</f>
        <v>Grøntsager</v>
      </c>
      <c r="C132">
        <v>2019</v>
      </c>
      <c r="D132" t="s">
        <v>8</v>
      </c>
      <c r="E132" s="172" t="str">
        <f t="shared" si="23"/>
        <v>OC6</v>
      </c>
      <c r="F132" t="str">
        <f t="shared" si="14"/>
        <v>Grøntsager</v>
      </c>
      <c r="G132" s="76" cm="1">
        <f t="array" ref="G132">IF(A132="Vestdanmark",IF(D132="Konventionel",IF(C132=2019,SUMPRODUCT((B132='Landbrugsareal - resultat'!$B$5:$B$18)*(INDEX('Landbrugsareal - resultat'!$C$5:$E$18,,MATCH(E132,'Landbrugsareal - resultat'!$C$4:$E$4,0)))),IF(C132=2030,SUMPRODUCT((B132='Landbrugsareal - resultat'!$B$5:$B$18)*(INDEX('Landbrugsareal - resultat'!$F$5:$H$18,,MATCH(E132,'Landbrugsareal - resultat'!$F$4:$H$4,0)))),SUMPRODUCT((B132='Landbrugsareal - resultat'!$B$5:$B$18)*(INDEX('Landbrugsareal - resultat'!$I$5:$K$18,,MATCH(E132,'Landbrugsareal - resultat'!$I$4:$K$4,0)))))),IF(C132=2019,SUMPRODUCT((B132='Landbrugsareal - resultat'!$B$5:$B$18)*(INDEX('Landbrugsareal - resultat'!$L$5:$N$18,,MATCH(E132,'Landbrugsareal - resultat'!$L$4:$N$4,0)))),IF(C132=2030,SUMPRODUCT((B132='Landbrugsareal - resultat'!$B$5:$B$18)*(INDEX('Landbrugsareal - resultat'!$O$5:$Q$18,,MATCH(E132,'Landbrugsareal - resultat'!$O$4:$Q$4,0)))),SUMPRODUCT((B132='Landbrugsareal - resultat'!$B$5:$B$18)*(INDEX('Landbrugsareal - resultat'!$R$5:$T$18,,MATCH(E132,'Landbrugsareal - resultat'!$R$4:$T$4,0))))))),IF(D132="Konventionel",IF(C132=2019,SUMPRODUCT((B132='Landbrugsareal - resultat'!$B$32:$B$45)*(INDEX('Landbrugsareal - resultat'!$C$32:$E$45,,MATCH(E132,'Landbrugsareal - resultat'!$C$4:$E$4,0)))),IF(C132=2030,SUMPRODUCT((B132='Landbrugsareal - resultat'!$B$32:$B$45)*(INDEX('Landbrugsareal - resultat'!$F$32:$H$45,,MATCH(E132,'Landbrugsareal - resultat'!$F$4:$H$4,0)))),SUMPRODUCT((B132='Landbrugsareal - resultat'!$B$32:$B$45)*(INDEX('Landbrugsareal - resultat'!$I$32:$K$45,,MATCH(E132,'Landbrugsareal - resultat'!$I$4:$K$4,0)))))),IF(C132=2019,SUMPRODUCT((B132='Landbrugsareal - resultat'!$B$32:$B$45)*(INDEX('Landbrugsareal - resultat'!$L$32:$N$45,,MATCH(E132,'Landbrugsareal - resultat'!$L$4:$N$4,0)))),IF(C132=2030,SUMPRODUCT((B132='Landbrugsareal - resultat'!$B$32:$B$45)*(INDEX('Landbrugsareal - resultat'!$O$32:$Q$45,,MATCH(E132,'Landbrugsareal - resultat'!$O$4:$Q$4,0)))),SUMPRODUCT((B132='Landbrugsareal - resultat'!$B$32:$B$45)*(INDEX('Landbrugsareal - resultat'!$R$32:$T$45,,MATCH(E132,'Landbrugsareal - resultat'!$R$4:$T$4,0))))))))</f>
        <v>11.923145121422927</v>
      </c>
      <c r="H132" s="172">
        <f>G132*VLOOKUP(B132,[1]Afgrødedata!$A$5:$F$18,2,FALSE)*IF(D132="Økologisk",VLOOKUP(B132,[1]Afgrødedata!$A$5:$F$18,4,FALSE),1)*IF(E132&lt;&gt;Jordbund1,IF(E132=Organ6,VLOOKUP(B132,[1]Afgrødedata!$A$5:$F$18,5,FALSE),VLOOKUP(B132,[1]Afgrødedata!$A$5:$F$18,6,FALSE)),1)*0.1</f>
        <v>169.22519870835558</v>
      </c>
      <c r="I132" s="172">
        <f>G132*VLOOKUP(B132,[1]Afgrødedata!$A$5:$F$18,3,FALSE)*IF(D132="Økologisk",VLOOKUP(B132,[1]Afgrødedata!$A$5:$F$18,4,FALSE),1)*IF(E132&lt;&gt;Jordbund1,IF(E132=Organ6,VLOOKUP(B132,[1]Afgrødedata!$A$5:$F$18,5,FALSE),VLOOKUP(B132,[1]Afgrødedata!$A$5:$F$18,6,FALSE)),1)*HLOOKUP(C132,Landbrug!$C$15:$E$17,2,FALSE)*HLOOKUP(C132,Landbrug!$C$15:$E$17,3,FALSE)*0.1</f>
        <v>0</v>
      </c>
      <c r="J132" s="76">
        <f t="shared" si="15"/>
        <v>169.22519870835558</v>
      </c>
    </row>
    <row r="133" spans="1:10" x14ac:dyDescent="0.55000000000000004">
      <c r="A133" t="s">
        <v>23</v>
      </c>
      <c r="B133" s="1" t="str">
        <f>[1]Afgrødefordeling!$C$7</f>
        <v>Kartofler</v>
      </c>
      <c r="C133">
        <v>2019</v>
      </c>
      <c r="D133" t="s">
        <v>8</v>
      </c>
      <c r="E133" s="172" t="str">
        <f t="shared" si="23"/>
        <v>OC6</v>
      </c>
      <c r="F133" t="str">
        <f t="shared" si="14"/>
        <v>Kartofler</v>
      </c>
      <c r="G133" s="76" cm="1">
        <f t="array" ref="G133">IF(A133="Vestdanmark",IF(D133="Konventionel",IF(C133=2019,SUMPRODUCT((B133='Landbrugsareal - resultat'!$B$5:$B$18)*(INDEX('Landbrugsareal - resultat'!$C$5:$E$18,,MATCH(E133,'Landbrugsareal - resultat'!$C$4:$E$4,0)))),IF(C133=2030,SUMPRODUCT((B133='Landbrugsareal - resultat'!$B$5:$B$18)*(INDEX('Landbrugsareal - resultat'!$F$5:$H$18,,MATCH(E133,'Landbrugsareal - resultat'!$F$4:$H$4,0)))),SUMPRODUCT((B133='Landbrugsareal - resultat'!$B$5:$B$18)*(INDEX('Landbrugsareal - resultat'!$I$5:$K$18,,MATCH(E133,'Landbrugsareal - resultat'!$I$4:$K$4,0)))))),IF(C133=2019,SUMPRODUCT((B133='Landbrugsareal - resultat'!$B$5:$B$18)*(INDEX('Landbrugsareal - resultat'!$L$5:$N$18,,MATCH(E133,'Landbrugsareal - resultat'!$L$4:$N$4,0)))),IF(C133=2030,SUMPRODUCT((B133='Landbrugsareal - resultat'!$B$5:$B$18)*(INDEX('Landbrugsareal - resultat'!$O$5:$Q$18,,MATCH(E133,'Landbrugsareal - resultat'!$O$4:$Q$4,0)))),SUMPRODUCT((B133='Landbrugsareal - resultat'!$B$5:$B$18)*(INDEX('Landbrugsareal - resultat'!$R$5:$T$18,,MATCH(E133,'Landbrugsareal - resultat'!$R$4:$T$4,0))))))),IF(D133="Konventionel",IF(C133=2019,SUMPRODUCT((B133='Landbrugsareal - resultat'!$B$32:$B$45)*(INDEX('Landbrugsareal - resultat'!$C$32:$E$45,,MATCH(E133,'Landbrugsareal - resultat'!$C$4:$E$4,0)))),IF(C133=2030,SUMPRODUCT((B133='Landbrugsareal - resultat'!$B$32:$B$45)*(INDEX('Landbrugsareal - resultat'!$F$32:$H$45,,MATCH(E133,'Landbrugsareal - resultat'!$F$4:$H$4,0)))),SUMPRODUCT((B133='Landbrugsareal - resultat'!$B$32:$B$45)*(INDEX('Landbrugsareal - resultat'!$I$32:$K$45,,MATCH(E133,'Landbrugsareal - resultat'!$I$4:$K$4,0)))))),IF(C133=2019,SUMPRODUCT((B133='Landbrugsareal - resultat'!$B$32:$B$45)*(INDEX('Landbrugsareal - resultat'!$L$32:$N$45,,MATCH(E133,'Landbrugsareal - resultat'!$L$4:$N$4,0)))),IF(C133=2030,SUMPRODUCT((B133='Landbrugsareal - resultat'!$B$32:$B$45)*(INDEX('Landbrugsareal - resultat'!$O$32:$Q$45,,MATCH(E133,'Landbrugsareal - resultat'!$O$4:$Q$4,0)))),SUMPRODUCT((B133='Landbrugsareal - resultat'!$B$32:$B$45)*(INDEX('Landbrugsareal - resultat'!$R$32:$T$45,,MATCH(E133,'Landbrugsareal - resultat'!$R$4:$T$4,0))))))))</f>
        <v>188.23555780104221</v>
      </c>
      <c r="H133" s="172">
        <f>G133*VLOOKUP(B133,[1]Afgrødedata!$A$5:$F$18,2,FALSE)*IF(D133="Økologisk",VLOOKUP(B133,[1]Afgrødedata!$A$5:$F$18,4,FALSE),1)*IF(E133&lt;&gt;Jordbund1,IF(E133=Organ6,VLOOKUP(B133,[1]Afgrødedata!$A$5:$F$18,5,FALSE),VLOOKUP(B133,[1]Afgrødedata!$A$5:$F$18,6,FALSE)),1)*0.1</f>
        <v>5468.260881316256</v>
      </c>
      <c r="I133" s="172">
        <f>G133*VLOOKUP(B133,[1]Afgrødedata!$A$5:$F$18,3,FALSE)*IF(D133="Økologisk",VLOOKUP(B133,[1]Afgrødedata!$A$5:$F$18,4,FALSE),1)*IF(E133&lt;&gt;Jordbund1,IF(E133=Organ6,VLOOKUP(B133,[1]Afgrødedata!$A$5:$F$18,5,FALSE),VLOOKUP(B133,[1]Afgrødedata!$A$5:$F$18,6,FALSE)),1)*HLOOKUP(C133,Landbrug!$C$15:$E$17,2,FALSE)*HLOOKUP(C133,Landbrug!$C$15:$E$17,3,FALSE)*0.1</f>
        <v>0</v>
      </c>
      <c r="J133" s="76">
        <f t="shared" si="15"/>
        <v>5468.260881316256</v>
      </c>
    </row>
    <row r="134" spans="1:10" x14ac:dyDescent="0.55000000000000004">
      <c r="A134" t="s">
        <v>23</v>
      </c>
      <c r="B134" s="1" t="str">
        <f>[1]Afgrødefordeling!$C$8</f>
        <v>Roer</v>
      </c>
      <c r="C134">
        <v>2019</v>
      </c>
      <c r="D134" t="s">
        <v>8</v>
      </c>
      <c r="E134" s="172" t="str">
        <f t="shared" si="23"/>
        <v>OC6</v>
      </c>
      <c r="F134" t="str">
        <f t="shared" si="14"/>
        <v>Roer</v>
      </c>
      <c r="G134" s="76" cm="1">
        <f t="array" ref="G134">IF(A134="Vestdanmark",IF(D134="Konventionel",IF(C134=2019,SUMPRODUCT((B134='Landbrugsareal - resultat'!$B$5:$B$18)*(INDEX('Landbrugsareal - resultat'!$C$5:$E$18,,MATCH(E134,'Landbrugsareal - resultat'!$C$4:$E$4,0)))),IF(C134=2030,SUMPRODUCT((B134='Landbrugsareal - resultat'!$B$5:$B$18)*(INDEX('Landbrugsareal - resultat'!$F$5:$H$18,,MATCH(E134,'Landbrugsareal - resultat'!$F$4:$H$4,0)))),SUMPRODUCT((B134='Landbrugsareal - resultat'!$B$5:$B$18)*(INDEX('Landbrugsareal - resultat'!$I$5:$K$18,,MATCH(E134,'Landbrugsareal - resultat'!$I$4:$K$4,0)))))),IF(C134=2019,SUMPRODUCT((B134='Landbrugsareal - resultat'!$B$5:$B$18)*(INDEX('Landbrugsareal - resultat'!$L$5:$N$18,,MATCH(E134,'Landbrugsareal - resultat'!$L$4:$N$4,0)))),IF(C134=2030,SUMPRODUCT((B134='Landbrugsareal - resultat'!$B$5:$B$18)*(INDEX('Landbrugsareal - resultat'!$O$5:$Q$18,,MATCH(E134,'Landbrugsareal - resultat'!$O$4:$Q$4,0)))),SUMPRODUCT((B134='Landbrugsareal - resultat'!$B$5:$B$18)*(INDEX('Landbrugsareal - resultat'!$R$5:$T$18,,MATCH(E134,'Landbrugsareal - resultat'!$R$4:$T$4,0))))))),IF(D134="Konventionel",IF(C134=2019,SUMPRODUCT((B134='Landbrugsareal - resultat'!$B$32:$B$45)*(INDEX('Landbrugsareal - resultat'!$C$32:$E$45,,MATCH(E134,'Landbrugsareal - resultat'!$C$4:$E$4,0)))),IF(C134=2030,SUMPRODUCT((B134='Landbrugsareal - resultat'!$B$32:$B$45)*(INDEX('Landbrugsareal - resultat'!$F$32:$H$45,,MATCH(E134,'Landbrugsareal - resultat'!$F$4:$H$4,0)))),SUMPRODUCT((B134='Landbrugsareal - resultat'!$B$32:$B$45)*(INDEX('Landbrugsareal - resultat'!$I$32:$K$45,,MATCH(E134,'Landbrugsareal - resultat'!$I$4:$K$4,0)))))),IF(C134=2019,SUMPRODUCT((B134='Landbrugsareal - resultat'!$B$32:$B$45)*(INDEX('Landbrugsareal - resultat'!$L$32:$N$45,,MATCH(E134,'Landbrugsareal - resultat'!$L$4:$N$4,0)))),IF(C134=2030,SUMPRODUCT((B134='Landbrugsareal - resultat'!$B$32:$B$45)*(INDEX('Landbrugsareal - resultat'!$O$32:$Q$45,,MATCH(E134,'Landbrugsareal - resultat'!$O$4:$Q$4,0)))),SUMPRODUCT((B134='Landbrugsareal - resultat'!$B$32:$B$45)*(INDEX('Landbrugsareal - resultat'!$R$32:$T$45,,MATCH(E134,'Landbrugsareal - resultat'!$R$4:$T$4,0))))))))</f>
        <v>4.9384199851650941</v>
      </c>
      <c r="H134" s="172">
        <f>G134*VLOOKUP(B134,[1]Afgrødedata!$A$5:$F$18,2,FALSE)*IF(D134="Økologisk",VLOOKUP(B134,[1]Afgrødedata!$A$5:$F$18,4,FALSE),1)*IF(E134&lt;&gt;Jordbund1,IF(E134=Organ6,VLOOKUP(B134,[1]Afgrødedata!$A$5:$F$18,5,FALSE),VLOOKUP(B134,[1]Afgrødedata!$A$5:$F$18,6,FALSE)),1)*0.1</f>
        <v>274.46529470267632</v>
      </c>
      <c r="I134" s="172">
        <f>G134*VLOOKUP(B134,[1]Afgrødedata!$A$5:$F$18,3,FALSE)*IF(D134="Økologisk",VLOOKUP(B134,[1]Afgrødedata!$A$5:$F$18,4,FALSE),1)*IF(E134&lt;&gt;Jordbund1,IF(E134=Organ6,VLOOKUP(B134,[1]Afgrødedata!$A$5:$F$18,5,FALSE),VLOOKUP(B134,[1]Afgrødedata!$A$5:$F$18,6,FALSE)),1)*HLOOKUP(C134,Landbrug!$C$15:$E$17,2,FALSE)*HLOOKUP(C134,Landbrug!$C$15:$E$17,3,FALSE)*0.1</f>
        <v>0</v>
      </c>
      <c r="J134" s="76">
        <f t="shared" si="15"/>
        <v>274.46529470267632</v>
      </c>
    </row>
    <row r="135" spans="1:10" x14ac:dyDescent="0.55000000000000004">
      <c r="A135" t="s">
        <v>23</v>
      </c>
      <c r="B135" s="1" t="str">
        <f>[1]Afgrødefordeling!$C$9</f>
        <v>Majs</v>
      </c>
      <c r="C135">
        <v>2019</v>
      </c>
      <c r="D135" t="s">
        <v>8</v>
      </c>
      <c r="E135" s="172" t="str">
        <f t="shared" si="23"/>
        <v>OC6</v>
      </c>
      <c r="F135" t="str">
        <f t="shared" si="14"/>
        <v>Majs</v>
      </c>
      <c r="G135" s="76" cm="1">
        <f t="array" ref="G135">IF(A135="Vestdanmark",IF(D135="Konventionel",IF(C135=2019,SUMPRODUCT((B135='Landbrugsareal - resultat'!$B$5:$B$18)*(INDEX('Landbrugsareal - resultat'!$C$5:$E$18,,MATCH(E135,'Landbrugsareal - resultat'!$C$4:$E$4,0)))),IF(C135=2030,SUMPRODUCT((B135='Landbrugsareal - resultat'!$B$5:$B$18)*(INDEX('Landbrugsareal - resultat'!$F$5:$H$18,,MATCH(E135,'Landbrugsareal - resultat'!$F$4:$H$4,0)))),SUMPRODUCT((B135='Landbrugsareal - resultat'!$B$5:$B$18)*(INDEX('Landbrugsareal - resultat'!$I$5:$K$18,,MATCH(E135,'Landbrugsareal - resultat'!$I$4:$K$4,0)))))),IF(C135=2019,SUMPRODUCT((B135='Landbrugsareal - resultat'!$B$5:$B$18)*(INDEX('Landbrugsareal - resultat'!$L$5:$N$18,,MATCH(E135,'Landbrugsareal - resultat'!$L$4:$N$4,0)))),IF(C135=2030,SUMPRODUCT((B135='Landbrugsareal - resultat'!$B$5:$B$18)*(INDEX('Landbrugsareal - resultat'!$O$5:$Q$18,,MATCH(E135,'Landbrugsareal - resultat'!$O$4:$Q$4,0)))),SUMPRODUCT((B135='Landbrugsareal - resultat'!$B$5:$B$18)*(INDEX('Landbrugsareal - resultat'!$R$5:$T$18,,MATCH(E135,'Landbrugsareal - resultat'!$R$4:$T$4,0))))))),IF(D135="Konventionel",IF(C135=2019,SUMPRODUCT((B135='Landbrugsareal - resultat'!$B$32:$B$45)*(INDEX('Landbrugsareal - resultat'!$C$32:$E$45,,MATCH(E135,'Landbrugsareal - resultat'!$C$4:$E$4,0)))),IF(C135=2030,SUMPRODUCT((B135='Landbrugsareal - resultat'!$B$32:$B$45)*(INDEX('Landbrugsareal - resultat'!$F$32:$H$45,,MATCH(E135,'Landbrugsareal - resultat'!$F$4:$H$4,0)))),SUMPRODUCT((B135='Landbrugsareal - resultat'!$B$32:$B$45)*(INDEX('Landbrugsareal - resultat'!$I$32:$K$45,,MATCH(E135,'Landbrugsareal - resultat'!$I$4:$K$4,0)))))),IF(C135=2019,SUMPRODUCT((B135='Landbrugsareal - resultat'!$B$32:$B$45)*(INDEX('Landbrugsareal - resultat'!$L$32:$N$45,,MATCH(E135,'Landbrugsareal - resultat'!$L$4:$N$4,0)))),IF(C135=2030,SUMPRODUCT((B135='Landbrugsareal - resultat'!$B$32:$B$45)*(INDEX('Landbrugsareal - resultat'!$O$32:$Q$45,,MATCH(E135,'Landbrugsareal - resultat'!$O$4:$Q$4,0)))),SUMPRODUCT((B135='Landbrugsareal - resultat'!$B$32:$B$45)*(INDEX('Landbrugsareal - resultat'!$R$32:$T$45,,MATCH(E135,'Landbrugsareal - resultat'!$R$4:$T$4,0))))))))</f>
        <v>637.47580792109272</v>
      </c>
      <c r="H135" s="172">
        <f>G135*VLOOKUP(B135,[1]Afgrødedata!$A$5:$F$18,2,FALSE)*IF(D135="Økologisk",VLOOKUP(B135,[1]Afgrødedata!$A$5:$F$18,4,FALSE),1)*IF(E135&lt;&gt;Jordbund1,IF(E135=Organ6,VLOOKUP(B135,[1]Afgrødedata!$A$5:$F$18,5,FALSE),VLOOKUP(B135,[1]Afgrødedata!$A$5:$F$18,6,FALSE)),1)*0.1</f>
        <v>28260.552017725568</v>
      </c>
      <c r="I135" s="172">
        <f>G135*VLOOKUP(B135,[1]Afgrødedata!$A$5:$F$18,3,FALSE)*IF(D135="Økologisk",VLOOKUP(B135,[1]Afgrødedata!$A$5:$F$18,4,FALSE),1)*IF(E135&lt;&gt;Jordbund1,IF(E135=Organ6,VLOOKUP(B135,[1]Afgrødedata!$A$5:$F$18,5,FALSE),VLOOKUP(B135,[1]Afgrødedata!$A$5:$F$18,6,FALSE)),1)*HLOOKUP(C135,Landbrug!$C$15:$E$17,2,FALSE)*HLOOKUP(C135,Landbrug!$C$15:$E$17,3,FALSE)*0.1</f>
        <v>0</v>
      </c>
      <c r="J135" s="76">
        <f t="shared" si="15"/>
        <v>28260.552017725568</v>
      </c>
    </row>
    <row r="136" spans="1:10" x14ac:dyDescent="0.55000000000000004">
      <c r="A136" t="s">
        <v>23</v>
      </c>
      <c r="B136" s="1" t="str">
        <f>[1]Afgrødefordeling!$C$10</f>
        <v>Frugt</v>
      </c>
      <c r="C136">
        <v>2019</v>
      </c>
      <c r="D136" t="s">
        <v>8</v>
      </c>
      <c r="E136" s="172" t="str">
        <f t="shared" si="23"/>
        <v>OC6</v>
      </c>
      <c r="F136" t="str">
        <f t="shared" si="14"/>
        <v>Frugt</v>
      </c>
      <c r="G136" s="76" cm="1">
        <f t="array" ref="G136">IF(A136="Vestdanmark",IF(D136="Konventionel",IF(C136=2019,SUMPRODUCT((B136='Landbrugsareal - resultat'!$B$5:$B$18)*(INDEX('Landbrugsareal - resultat'!$C$5:$E$18,,MATCH(E136,'Landbrugsareal - resultat'!$C$4:$E$4,0)))),IF(C136=2030,SUMPRODUCT((B136='Landbrugsareal - resultat'!$B$5:$B$18)*(INDEX('Landbrugsareal - resultat'!$F$5:$H$18,,MATCH(E136,'Landbrugsareal - resultat'!$F$4:$H$4,0)))),SUMPRODUCT((B136='Landbrugsareal - resultat'!$B$5:$B$18)*(INDEX('Landbrugsareal - resultat'!$I$5:$K$18,,MATCH(E136,'Landbrugsareal - resultat'!$I$4:$K$4,0)))))),IF(C136=2019,SUMPRODUCT((B136='Landbrugsareal - resultat'!$B$5:$B$18)*(INDEX('Landbrugsareal - resultat'!$L$5:$N$18,,MATCH(E136,'Landbrugsareal - resultat'!$L$4:$N$4,0)))),IF(C136=2030,SUMPRODUCT((B136='Landbrugsareal - resultat'!$B$5:$B$18)*(INDEX('Landbrugsareal - resultat'!$O$5:$Q$18,,MATCH(E136,'Landbrugsareal - resultat'!$O$4:$Q$4,0)))),SUMPRODUCT((B136='Landbrugsareal - resultat'!$B$5:$B$18)*(INDEX('Landbrugsareal - resultat'!$R$5:$T$18,,MATCH(E136,'Landbrugsareal - resultat'!$R$4:$T$4,0))))))),IF(D136="Konventionel",IF(C136=2019,SUMPRODUCT((B136='Landbrugsareal - resultat'!$B$32:$B$45)*(INDEX('Landbrugsareal - resultat'!$C$32:$E$45,,MATCH(E136,'Landbrugsareal - resultat'!$C$4:$E$4,0)))),IF(C136=2030,SUMPRODUCT((B136='Landbrugsareal - resultat'!$B$32:$B$45)*(INDEX('Landbrugsareal - resultat'!$F$32:$H$45,,MATCH(E136,'Landbrugsareal - resultat'!$F$4:$H$4,0)))),SUMPRODUCT((B136='Landbrugsareal - resultat'!$B$32:$B$45)*(INDEX('Landbrugsareal - resultat'!$I$32:$K$45,,MATCH(E136,'Landbrugsareal - resultat'!$I$4:$K$4,0)))))),IF(C136=2019,SUMPRODUCT((B136='Landbrugsareal - resultat'!$B$32:$B$45)*(INDEX('Landbrugsareal - resultat'!$L$32:$N$45,,MATCH(E136,'Landbrugsareal - resultat'!$L$4:$N$4,0)))),IF(C136=2030,SUMPRODUCT((B136='Landbrugsareal - resultat'!$B$32:$B$45)*(INDEX('Landbrugsareal - resultat'!$O$32:$Q$45,,MATCH(E136,'Landbrugsareal - resultat'!$O$4:$Q$4,0)))),SUMPRODUCT((B136='Landbrugsareal - resultat'!$B$32:$B$45)*(INDEX('Landbrugsareal - resultat'!$R$32:$T$45,,MATCH(E136,'Landbrugsareal - resultat'!$R$4:$T$4,0))))))))</f>
        <v>10.859948397188985</v>
      </c>
      <c r="H136" s="172">
        <f>G136*VLOOKUP(B136,[1]Afgrødedata!$A$5:$F$18,2,FALSE)*IF(D136="Økologisk",VLOOKUP(B136,[1]Afgrødedata!$A$5:$F$18,4,FALSE),1)*IF(E136&lt;&gt;Jordbund1,IF(E136=Organ6,VLOOKUP(B136,[1]Afgrødedata!$A$5:$F$18,5,FALSE),VLOOKUP(B136,[1]Afgrødedata!$A$5:$F$18,6,FALSE)),1)*0.1</f>
        <v>63.065457934219978</v>
      </c>
      <c r="I136" s="172">
        <f>G136*VLOOKUP(B136,[1]Afgrødedata!$A$5:$F$18,3,FALSE)*IF(D136="Økologisk",VLOOKUP(B136,[1]Afgrødedata!$A$5:$F$18,4,FALSE),1)*IF(E136&lt;&gt;Jordbund1,IF(E136=Organ6,VLOOKUP(B136,[1]Afgrødedata!$A$5:$F$18,5,FALSE),VLOOKUP(B136,[1]Afgrødedata!$A$5:$F$18,6,FALSE)),1)*HLOOKUP(C136,Landbrug!$C$15:$E$17,2,FALSE)*HLOOKUP(C136,Landbrug!$C$15:$E$17,3,FALSE)*0.1</f>
        <v>0</v>
      </c>
      <c r="J136" s="76">
        <f t="shared" si="15"/>
        <v>63.065457934219978</v>
      </c>
    </row>
    <row r="137" spans="1:10" x14ac:dyDescent="0.55000000000000004">
      <c r="A137" t="s">
        <v>23</v>
      </c>
      <c r="B137" s="1" t="str">
        <f>[1]Afgrødefordeling!$C$11</f>
        <v>Øvrige</v>
      </c>
      <c r="C137">
        <v>2019</v>
      </c>
      <c r="D137" t="s">
        <v>8</v>
      </c>
      <c r="E137" s="172" t="str">
        <f t="shared" si="23"/>
        <v>OC6</v>
      </c>
      <c r="F137" t="str">
        <f t="shared" si="14"/>
        <v>Øvrige</v>
      </c>
      <c r="G137" s="76" cm="1">
        <f t="array" ref="G137">IF(A137="Vestdanmark",IF(D137="Konventionel",IF(C137=2019,SUMPRODUCT((B137='Landbrugsareal - resultat'!$B$5:$B$18)*(INDEX('Landbrugsareal - resultat'!$C$5:$E$18,,MATCH(E137,'Landbrugsareal - resultat'!$C$4:$E$4,0)))),IF(C137=2030,SUMPRODUCT((B137='Landbrugsareal - resultat'!$B$5:$B$18)*(INDEX('Landbrugsareal - resultat'!$F$5:$H$18,,MATCH(E137,'Landbrugsareal - resultat'!$F$4:$H$4,0)))),SUMPRODUCT((B137='Landbrugsareal - resultat'!$B$5:$B$18)*(INDEX('Landbrugsareal - resultat'!$I$5:$K$18,,MATCH(E137,'Landbrugsareal - resultat'!$I$4:$K$4,0)))))),IF(C137=2019,SUMPRODUCT((B137='Landbrugsareal - resultat'!$B$5:$B$18)*(INDEX('Landbrugsareal - resultat'!$L$5:$N$18,,MATCH(E137,'Landbrugsareal - resultat'!$L$4:$N$4,0)))),IF(C137=2030,SUMPRODUCT((B137='Landbrugsareal - resultat'!$B$5:$B$18)*(INDEX('Landbrugsareal - resultat'!$O$5:$Q$18,,MATCH(E137,'Landbrugsareal - resultat'!$O$4:$Q$4,0)))),SUMPRODUCT((B137='Landbrugsareal - resultat'!$B$5:$B$18)*(INDEX('Landbrugsareal - resultat'!$R$5:$T$18,,MATCH(E137,'Landbrugsareal - resultat'!$R$4:$T$4,0))))))),IF(D137="Konventionel",IF(C137=2019,SUMPRODUCT((B137='Landbrugsareal - resultat'!$B$32:$B$45)*(INDEX('Landbrugsareal - resultat'!$C$32:$E$45,,MATCH(E137,'Landbrugsareal - resultat'!$C$4:$E$4,0)))),IF(C137=2030,SUMPRODUCT((B137='Landbrugsareal - resultat'!$B$32:$B$45)*(INDEX('Landbrugsareal - resultat'!$F$32:$H$45,,MATCH(E137,'Landbrugsareal - resultat'!$F$4:$H$4,0)))),SUMPRODUCT((B137='Landbrugsareal - resultat'!$B$32:$B$45)*(INDEX('Landbrugsareal - resultat'!$I$32:$K$45,,MATCH(E137,'Landbrugsareal - resultat'!$I$4:$K$4,0)))))),IF(C137=2019,SUMPRODUCT((B137='Landbrugsareal - resultat'!$B$32:$B$45)*(INDEX('Landbrugsareal - resultat'!$L$32:$N$45,,MATCH(E137,'Landbrugsareal - resultat'!$L$4:$N$4,0)))),IF(C137=2030,SUMPRODUCT((B137='Landbrugsareal - resultat'!$B$32:$B$45)*(INDEX('Landbrugsareal - resultat'!$O$32:$Q$45,,MATCH(E137,'Landbrugsareal - resultat'!$O$4:$Q$4,0)))),SUMPRODUCT((B137='Landbrugsareal - resultat'!$B$32:$B$45)*(INDEX('Landbrugsareal - resultat'!$R$32:$T$45,,MATCH(E137,'Landbrugsareal - resultat'!$R$4:$T$4,0))))))))</f>
        <v>192.06797649221136</v>
      </c>
      <c r="H137" s="172">
        <f>G137*VLOOKUP(B137,[1]Afgrødedata!$A$5:$F$18,2,FALSE)*IF(D137="Økologisk",VLOOKUP(B137,[1]Afgrødedata!$A$5:$F$18,4,FALSE),1)*IF(E137&lt;&gt;Jordbund1,IF(E137=Organ6,VLOOKUP(B137,[1]Afgrødedata!$A$5:$F$18,5,FALSE),VLOOKUP(B137,[1]Afgrødedata!$A$5:$F$18,6,FALSE)),1)*0.1</f>
        <v>3914.4270588688119</v>
      </c>
      <c r="I137" s="172">
        <f>G137*VLOOKUP(B137,[1]Afgrødedata!$A$5:$F$18,3,FALSE)*IF(D137="Økologisk",VLOOKUP(B137,[1]Afgrødedata!$A$5:$F$18,4,FALSE),1)*IF(E137&lt;&gt;Jordbund1,IF(E137=Organ6,VLOOKUP(B137,[1]Afgrødedata!$A$5:$F$18,5,FALSE),VLOOKUP(B137,[1]Afgrødedata!$A$5:$F$18,6,FALSE)),1)*HLOOKUP(C137,Landbrug!$C$15:$E$17,2,FALSE)*HLOOKUP(C137,Landbrug!$C$15:$E$17,3,FALSE)*0.1</f>
        <v>0</v>
      </c>
      <c r="J137" s="76">
        <f t="shared" si="15"/>
        <v>3914.4270588688119</v>
      </c>
    </row>
    <row r="138" spans="1:10" x14ac:dyDescent="0.55000000000000004">
      <c r="A138" t="s">
        <v>23</v>
      </c>
      <c r="B138" s="1" t="str">
        <f>[1]Afgrødefordeling!$C$12</f>
        <v>Frø</v>
      </c>
      <c r="C138">
        <v>2019</v>
      </c>
      <c r="D138" t="s">
        <v>8</v>
      </c>
      <c r="E138" s="172" t="str">
        <f t="shared" si="23"/>
        <v>OC6</v>
      </c>
      <c r="F138" t="str">
        <f t="shared" si="14"/>
        <v>Halm</v>
      </c>
      <c r="G138" s="76" cm="1">
        <f t="array" ref="G138">IF(A138="Vestdanmark",IF(D138="Konventionel",IF(C138=2019,SUMPRODUCT((B138='Landbrugsareal - resultat'!$B$5:$B$18)*(INDEX('Landbrugsareal - resultat'!$C$5:$E$18,,MATCH(E138,'Landbrugsareal - resultat'!$C$4:$E$4,0)))),IF(C138=2030,SUMPRODUCT((B138='Landbrugsareal - resultat'!$B$5:$B$18)*(INDEX('Landbrugsareal - resultat'!$F$5:$H$18,,MATCH(E138,'Landbrugsareal - resultat'!$F$4:$H$4,0)))),SUMPRODUCT((B138='Landbrugsareal - resultat'!$B$5:$B$18)*(INDEX('Landbrugsareal - resultat'!$I$5:$K$18,,MATCH(E138,'Landbrugsareal - resultat'!$I$4:$K$4,0)))))),IF(C138=2019,SUMPRODUCT((B138='Landbrugsareal - resultat'!$B$5:$B$18)*(INDEX('Landbrugsareal - resultat'!$L$5:$N$18,,MATCH(E138,'Landbrugsareal - resultat'!$L$4:$N$4,0)))),IF(C138=2030,SUMPRODUCT((B138='Landbrugsareal - resultat'!$B$5:$B$18)*(INDEX('Landbrugsareal - resultat'!$O$5:$Q$18,,MATCH(E138,'Landbrugsareal - resultat'!$O$4:$Q$4,0)))),SUMPRODUCT((B138='Landbrugsareal - resultat'!$B$5:$B$18)*(INDEX('Landbrugsareal - resultat'!$R$5:$T$18,,MATCH(E138,'Landbrugsareal - resultat'!$R$4:$T$4,0))))))),IF(D138="Konventionel",IF(C138=2019,SUMPRODUCT((B138='Landbrugsareal - resultat'!$B$32:$B$45)*(INDEX('Landbrugsareal - resultat'!$C$32:$E$45,,MATCH(E138,'Landbrugsareal - resultat'!$C$4:$E$4,0)))),IF(C138=2030,SUMPRODUCT((B138='Landbrugsareal - resultat'!$B$32:$B$45)*(INDEX('Landbrugsareal - resultat'!$F$32:$H$45,,MATCH(E138,'Landbrugsareal - resultat'!$F$4:$H$4,0)))),SUMPRODUCT((B138='Landbrugsareal - resultat'!$B$32:$B$45)*(INDEX('Landbrugsareal - resultat'!$I$32:$K$45,,MATCH(E138,'Landbrugsareal - resultat'!$I$4:$K$4,0)))))),IF(C138=2019,SUMPRODUCT((B138='Landbrugsareal - resultat'!$B$32:$B$45)*(INDEX('Landbrugsareal - resultat'!$L$32:$N$45,,MATCH(E138,'Landbrugsareal - resultat'!$L$4:$N$4,0)))),IF(C138=2030,SUMPRODUCT((B138='Landbrugsareal - resultat'!$B$32:$B$45)*(INDEX('Landbrugsareal - resultat'!$O$32:$Q$45,,MATCH(E138,'Landbrugsareal - resultat'!$O$4:$Q$4,0)))),SUMPRODUCT((B138='Landbrugsareal - resultat'!$B$32:$B$45)*(INDEX('Landbrugsareal - resultat'!$R$32:$T$45,,MATCH(E138,'Landbrugsareal - resultat'!$R$4:$T$4,0))))))))</f>
        <v>474.0804066690265</v>
      </c>
      <c r="H138" s="172">
        <f>G138*VLOOKUP(B138,[1]Afgrødedata!$A$5:$F$18,2,FALSE)*IF(D138="Økologisk",VLOOKUP(B138,[1]Afgrødedata!$A$5:$F$18,4,FALSE),1)*IF(E138&lt;&gt;Jordbund1,IF(E138=Organ6,VLOOKUP(B138,[1]Afgrødedata!$A$5:$F$18,5,FALSE),VLOOKUP(B138,[1]Afgrødedata!$A$5:$F$18,6,FALSE)),1)*0.1</f>
        <v>4633.4631410733318</v>
      </c>
      <c r="I138" s="172">
        <f>G138*VLOOKUP(B138,[1]Afgrødedata!$A$5:$F$18,3,FALSE)*IF(D138="Økologisk",VLOOKUP(B138,[1]Afgrødedata!$A$5:$F$18,4,FALSE),1)*IF(E138&lt;&gt;Jordbund1,IF(E138=Organ6,VLOOKUP(B138,[1]Afgrødedata!$A$5:$F$18,5,FALSE),VLOOKUP(B138,[1]Afgrødedata!$A$5:$F$18,6,FALSE)),1)*HLOOKUP(C138,Landbrug!$C$15:$E$17,2,FALSE)*HLOOKUP(C138,Landbrug!$C$15:$E$17,3,FALSE)*0.1</f>
        <v>769.75449543603963</v>
      </c>
      <c r="J138" s="76">
        <f t="shared" si="15"/>
        <v>769.75449543603963</v>
      </c>
    </row>
    <row r="139" spans="1:10" x14ac:dyDescent="0.55000000000000004">
      <c r="A139" t="s">
        <v>23</v>
      </c>
      <c r="B139" s="1" t="str">
        <f>[1]Afgrødefordeling!$C$13</f>
        <v>Juletræer</v>
      </c>
      <c r="C139">
        <v>2019</v>
      </c>
      <c r="D139" t="s">
        <v>8</v>
      </c>
      <c r="E139" s="172" t="str">
        <f t="shared" si="23"/>
        <v>OC6</v>
      </c>
      <c r="F139" t="str">
        <f t="shared" si="14"/>
        <v>Juletræer</v>
      </c>
      <c r="G139" s="76" cm="1">
        <f t="array" ref="G139">IF(A139="Vestdanmark",IF(D139="Konventionel",IF(C139=2019,SUMPRODUCT((B139='Landbrugsareal - resultat'!$B$5:$B$18)*(INDEX('Landbrugsareal - resultat'!$C$5:$E$18,,MATCH(E139,'Landbrugsareal - resultat'!$C$4:$E$4,0)))),IF(C139=2030,SUMPRODUCT((B139='Landbrugsareal - resultat'!$B$5:$B$18)*(INDEX('Landbrugsareal - resultat'!$F$5:$H$18,,MATCH(E139,'Landbrugsareal - resultat'!$F$4:$H$4,0)))),SUMPRODUCT((B139='Landbrugsareal - resultat'!$B$5:$B$18)*(INDEX('Landbrugsareal - resultat'!$I$5:$K$18,,MATCH(E139,'Landbrugsareal - resultat'!$I$4:$K$4,0)))))),IF(C139=2019,SUMPRODUCT((B139='Landbrugsareal - resultat'!$B$5:$B$18)*(INDEX('Landbrugsareal - resultat'!$L$5:$N$18,,MATCH(E139,'Landbrugsareal - resultat'!$L$4:$N$4,0)))),IF(C139=2030,SUMPRODUCT((B139='Landbrugsareal - resultat'!$B$5:$B$18)*(INDEX('Landbrugsareal - resultat'!$O$5:$Q$18,,MATCH(E139,'Landbrugsareal - resultat'!$O$4:$Q$4,0)))),SUMPRODUCT((B139='Landbrugsareal - resultat'!$B$5:$B$18)*(INDEX('Landbrugsareal - resultat'!$R$5:$T$18,,MATCH(E139,'Landbrugsareal - resultat'!$R$4:$T$4,0))))))),IF(D139="Konventionel",IF(C139=2019,SUMPRODUCT((B139='Landbrugsareal - resultat'!$B$32:$B$45)*(INDEX('Landbrugsareal - resultat'!$C$32:$E$45,,MATCH(E139,'Landbrugsareal - resultat'!$C$4:$E$4,0)))),IF(C139=2030,SUMPRODUCT((B139='Landbrugsareal - resultat'!$B$32:$B$45)*(INDEX('Landbrugsareal - resultat'!$F$32:$H$45,,MATCH(E139,'Landbrugsareal - resultat'!$F$4:$H$4,0)))),SUMPRODUCT((B139='Landbrugsareal - resultat'!$B$32:$B$45)*(INDEX('Landbrugsareal - resultat'!$I$32:$K$45,,MATCH(E139,'Landbrugsareal - resultat'!$I$4:$K$4,0)))))),IF(C139=2019,SUMPRODUCT((B139='Landbrugsareal - resultat'!$B$32:$B$45)*(INDEX('Landbrugsareal - resultat'!$L$32:$N$45,,MATCH(E139,'Landbrugsareal - resultat'!$L$4:$N$4,0)))),IF(C139=2030,SUMPRODUCT((B139='Landbrugsareal - resultat'!$B$32:$B$45)*(INDEX('Landbrugsareal - resultat'!$O$32:$Q$45,,MATCH(E139,'Landbrugsareal - resultat'!$O$4:$Q$4,0)))),SUMPRODUCT((B139='Landbrugsareal - resultat'!$B$32:$B$45)*(INDEX('Landbrugsareal - resultat'!$R$32:$T$45,,MATCH(E139,'Landbrugsareal - resultat'!$R$4:$T$4,0))))))))</f>
        <v>54.468549473984133</v>
      </c>
      <c r="H139" s="172">
        <f>G139*VLOOKUP(B139,[1]Afgrødedata!$A$5:$F$18,2,FALSE)*IF(D139="Økologisk",VLOOKUP(B139,[1]Afgrødedata!$A$5:$F$18,4,FALSE),1)*IF(E139&lt;&gt;Jordbund1,IF(E139=Organ6,VLOOKUP(B139,[1]Afgrødedata!$A$5:$F$18,5,FALSE),VLOOKUP(B139,[1]Afgrødedata!$A$5:$F$18,6,FALSE)),1)*0.1</f>
        <v>1862.824392010257</v>
      </c>
      <c r="I139" s="172">
        <f>G139*VLOOKUP(B139,[1]Afgrødedata!$A$5:$F$18,3,FALSE)*IF(D139="Økologisk",VLOOKUP(B139,[1]Afgrødedata!$A$5:$F$18,4,FALSE),1)*IF(E139&lt;&gt;Jordbund1,IF(E139=Organ6,VLOOKUP(B139,[1]Afgrødedata!$A$5:$F$18,5,FALSE),VLOOKUP(B139,[1]Afgrødedata!$A$5:$F$18,6,FALSE)),1)*HLOOKUP(C139,Landbrug!$C$15:$E$17,2,FALSE)*HLOOKUP(C139,Landbrug!$C$15:$E$17,3,FALSE)*0.1</f>
        <v>0</v>
      </c>
      <c r="J139" s="76">
        <f t="shared" si="15"/>
        <v>1862.824392010257</v>
      </c>
    </row>
    <row r="140" spans="1:10" x14ac:dyDescent="0.55000000000000004">
      <c r="A140" t="s">
        <v>23</v>
      </c>
      <c r="B140" s="1" t="str">
        <f>[1]Afgrødefordeling!$C$14</f>
        <v>Pil &amp; poppel</v>
      </c>
      <c r="C140">
        <v>2019</v>
      </c>
      <c r="D140" t="s">
        <v>8</v>
      </c>
      <c r="E140" s="172" t="str">
        <f t="shared" si="23"/>
        <v>OC6</v>
      </c>
      <c r="F140" t="str">
        <f t="shared" ref="F140" si="26">IF(I140&lt;&gt;0,"Halm",IF(B140&lt;&gt;"Permanent græs",B140,"Græs"))</f>
        <v>Pil &amp; poppel</v>
      </c>
      <c r="G140" s="76" cm="1">
        <f t="array" ref="G140">IF(A140="Vestdanmark",IF(D140="Konventionel",IF(C140=2019,SUMPRODUCT((B140='Landbrugsareal - resultat'!$B$5:$B$18)*(INDEX('Landbrugsareal - resultat'!$C$5:$E$18,,MATCH(E140,'Landbrugsareal - resultat'!$C$4:$E$4,0)))),IF(C140=2030,SUMPRODUCT((B140='Landbrugsareal - resultat'!$B$5:$B$18)*(INDEX('Landbrugsareal - resultat'!$F$5:$H$18,,MATCH(E140,'Landbrugsareal - resultat'!$F$4:$H$4,0)))),SUMPRODUCT((B140='Landbrugsareal - resultat'!$B$5:$B$18)*(INDEX('Landbrugsareal - resultat'!$I$5:$K$18,,MATCH(E140,'Landbrugsareal - resultat'!$I$4:$K$4,0)))))),IF(C140=2019,SUMPRODUCT((B140='Landbrugsareal - resultat'!$B$5:$B$18)*(INDEX('Landbrugsareal - resultat'!$L$5:$N$18,,MATCH(E140,'Landbrugsareal - resultat'!$L$4:$N$4,0)))),IF(C140=2030,SUMPRODUCT((B140='Landbrugsareal - resultat'!$B$5:$B$18)*(INDEX('Landbrugsareal - resultat'!$O$5:$Q$18,,MATCH(E140,'Landbrugsareal - resultat'!$O$4:$Q$4,0)))),SUMPRODUCT((B140='Landbrugsareal - resultat'!$B$5:$B$18)*(INDEX('Landbrugsareal - resultat'!$R$5:$T$18,,MATCH(E140,'Landbrugsareal - resultat'!$R$4:$T$4,0))))))),IF(D140="Konventionel",IF(C140=2019,SUMPRODUCT((B140='Landbrugsareal - resultat'!$B$32:$B$45)*(INDEX('Landbrugsareal - resultat'!$C$32:$E$45,,MATCH(E140,'Landbrugsareal - resultat'!$C$4:$E$4,0)))),IF(C140=2030,SUMPRODUCT((B140='Landbrugsareal - resultat'!$B$32:$B$45)*(INDEX('Landbrugsareal - resultat'!$F$32:$H$45,,MATCH(E140,'Landbrugsareal - resultat'!$F$4:$H$4,0)))),SUMPRODUCT((B140='Landbrugsareal - resultat'!$B$32:$B$45)*(INDEX('Landbrugsareal - resultat'!$I$32:$K$45,,MATCH(E140,'Landbrugsareal - resultat'!$I$4:$K$4,0)))))),IF(C140=2019,SUMPRODUCT((B140='Landbrugsareal - resultat'!$B$32:$B$45)*(INDEX('Landbrugsareal - resultat'!$L$32:$N$45,,MATCH(E140,'Landbrugsareal - resultat'!$L$4:$N$4,0)))),IF(C140=2030,SUMPRODUCT((B140='Landbrugsareal - resultat'!$B$32:$B$45)*(INDEX('Landbrugsareal - resultat'!$O$32:$Q$45,,MATCH(E140,'Landbrugsareal - resultat'!$O$4:$Q$4,0)))),SUMPRODUCT((B140='Landbrugsareal - resultat'!$B$32:$B$45)*(INDEX('Landbrugsareal - resultat'!$R$32:$T$45,,MATCH(E140,'Landbrugsareal - resultat'!$R$4:$T$4,0))))))))</f>
        <v>89.457443063950791</v>
      </c>
      <c r="H140" s="172">
        <f>G140*VLOOKUP(B140,[1]Afgrødedata!$A$5:$F$18,2,FALSE)*IF(D140="Økologisk",VLOOKUP(B140,[1]Afgrødedata!$A$5:$F$18,4,FALSE),1)*IF(E140&lt;&gt;Jordbund1,IF(E140=Organ6,VLOOKUP(B140,[1]Afgrødedata!$A$5:$F$18,5,FALSE),VLOOKUP(B140,[1]Afgrødedata!$A$5:$F$18,6,FALSE)),1)*0.1</f>
        <v>1492.4119769693252</v>
      </c>
      <c r="I140" s="172">
        <f>G140*VLOOKUP(B140,[1]Afgrødedata!$A$5:$F$18,3,FALSE)*IF(D140="Økologisk",VLOOKUP(B140,[1]Afgrødedata!$A$5:$F$18,4,FALSE),1)*IF(E140&lt;&gt;Jordbund1,IF(E140=Organ6,VLOOKUP(B140,[1]Afgrødedata!$A$5:$F$18,5,FALSE),VLOOKUP(B140,[1]Afgrødedata!$A$5:$F$18,6,FALSE)),1)*HLOOKUP(C140,Landbrug!$C$15:$E$17,2,FALSE)*HLOOKUP(C140,Landbrug!$C$15:$E$17,3,FALSE)*0.1</f>
        <v>0</v>
      </c>
      <c r="J140" s="76">
        <f t="shared" ref="J140" si="27">IF(I140&lt;&gt;0,I140,H140)</f>
        <v>1492.4119769693252</v>
      </c>
    </row>
    <row r="141" spans="1:10" x14ac:dyDescent="0.55000000000000004">
      <c r="A141" t="s">
        <v>23</v>
      </c>
      <c r="B141" s="1" t="str">
        <f>[1]Afgrødefordeling!$C$15</f>
        <v>Permanent græs</v>
      </c>
      <c r="C141">
        <v>2019</v>
      </c>
      <c r="D141" t="s">
        <v>8</v>
      </c>
      <c r="E141" s="172" t="str">
        <f t="shared" si="23"/>
        <v>OC6</v>
      </c>
      <c r="F141" t="str">
        <f t="shared" ref="F141:F208" si="28">IF(I141&lt;&gt;0,"Halm",IF(B141&lt;&gt;"Permanent græs",B141,"Græs"))</f>
        <v>Græs</v>
      </c>
      <c r="G141" s="76" cm="1">
        <f t="array" ref="G141">IF(A141="Vestdanmark",IF(D141="Konventionel",IF(C141=2019,SUMPRODUCT((B141='Landbrugsareal - resultat'!$B$5:$B$18)*(INDEX('Landbrugsareal - resultat'!$C$5:$E$18,,MATCH(E141,'Landbrugsareal - resultat'!$C$4:$E$4,0)))),IF(C141=2030,SUMPRODUCT((B141='Landbrugsareal - resultat'!$B$5:$B$18)*(INDEX('Landbrugsareal - resultat'!$F$5:$H$18,,MATCH(E141,'Landbrugsareal - resultat'!$F$4:$H$4,0)))),SUMPRODUCT((B141='Landbrugsareal - resultat'!$B$5:$B$18)*(INDEX('Landbrugsareal - resultat'!$I$5:$K$18,,MATCH(E141,'Landbrugsareal - resultat'!$I$4:$K$4,0)))))),IF(C141=2019,SUMPRODUCT((B141='Landbrugsareal - resultat'!$B$5:$B$18)*(INDEX('Landbrugsareal - resultat'!$L$5:$N$18,,MATCH(E141,'Landbrugsareal - resultat'!$L$4:$N$4,0)))),IF(C141=2030,SUMPRODUCT((B141='Landbrugsareal - resultat'!$B$5:$B$18)*(INDEX('Landbrugsareal - resultat'!$O$5:$Q$18,,MATCH(E141,'Landbrugsareal - resultat'!$O$4:$Q$4,0)))),SUMPRODUCT((B141='Landbrugsareal - resultat'!$B$5:$B$18)*(INDEX('Landbrugsareal - resultat'!$R$5:$T$18,,MATCH(E141,'Landbrugsareal - resultat'!$R$4:$T$4,0))))))),IF(D141="Konventionel",IF(C141=2019,SUMPRODUCT((B141='Landbrugsareal - resultat'!$B$32:$B$45)*(INDEX('Landbrugsareal - resultat'!$C$32:$E$45,,MATCH(E141,'Landbrugsareal - resultat'!$C$4:$E$4,0)))),IF(C141=2030,SUMPRODUCT((B141='Landbrugsareal - resultat'!$B$32:$B$45)*(INDEX('Landbrugsareal - resultat'!$F$32:$H$45,,MATCH(E141,'Landbrugsareal - resultat'!$F$4:$H$4,0)))),SUMPRODUCT((B141='Landbrugsareal - resultat'!$B$32:$B$45)*(INDEX('Landbrugsareal - resultat'!$I$32:$K$45,,MATCH(E141,'Landbrugsareal - resultat'!$I$4:$K$4,0)))))),IF(C141=2019,SUMPRODUCT((B141='Landbrugsareal - resultat'!$B$32:$B$45)*(INDEX('Landbrugsareal - resultat'!$L$32:$N$45,,MATCH(E141,'Landbrugsareal - resultat'!$L$4:$N$4,0)))),IF(C141=2030,SUMPRODUCT((B141='Landbrugsareal - resultat'!$B$32:$B$45)*(INDEX('Landbrugsareal - resultat'!$O$32:$Q$45,,MATCH(E141,'Landbrugsareal - resultat'!$O$4:$Q$4,0)))),SUMPRODUCT((B141='Landbrugsareal - resultat'!$B$32:$B$45)*(INDEX('Landbrugsareal - resultat'!$R$32:$T$45,,MATCH(E141,'Landbrugsareal - resultat'!$R$4:$T$4,0))))))))</f>
        <v>2528.5204441559808</v>
      </c>
      <c r="H141" s="172">
        <f>G141*VLOOKUP(B141,[1]Afgrødedata!$A$5:$F$18,2,FALSE)*IF(D141="Økologisk",VLOOKUP(B141,[1]Afgrødedata!$A$5:$F$18,4,FALSE),1)*IF(E141&lt;&gt;Jordbund1,IF(E141=Organ6,VLOOKUP(B141,[1]Afgrødedata!$A$5:$F$18,5,FALSE),VLOOKUP(B141,[1]Afgrødedata!$A$5:$F$18,6,FALSE)),1)*0.1</f>
        <v>41841.956309893176</v>
      </c>
      <c r="I141" s="172">
        <f>G141*VLOOKUP(B141,[1]Afgrødedata!$A$5:$F$18,3,FALSE)*IF(D141="Økologisk",VLOOKUP(B141,[1]Afgrødedata!$A$5:$F$18,4,FALSE),1)*IF(E141&lt;&gt;Jordbund1,IF(E141=Organ6,VLOOKUP(B141,[1]Afgrødedata!$A$5:$F$18,5,FALSE),VLOOKUP(B141,[1]Afgrødedata!$A$5:$F$18,6,FALSE)),1)*HLOOKUP(C141,Landbrug!$C$15:$E$17,2,FALSE)*HLOOKUP(C141,Landbrug!$C$15:$E$17,3,FALSE)*0.1</f>
        <v>0</v>
      </c>
      <c r="J141" s="76">
        <f t="shared" ref="J141:J208" si="29">IF(I141&lt;&gt;0,I141,H141)</f>
        <v>41841.956309893176</v>
      </c>
    </row>
    <row r="142" spans="1:10" x14ac:dyDescent="0.55000000000000004">
      <c r="A142" t="s">
        <v>23</v>
      </c>
      <c r="B142" s="1" t="str">
        <f>[1]Afgrødefordeling!$C$2</f>
        <v>Korn</v>
      </c>
      <c r="C142">
        <v>2030</v>
      </c>
      <c r="D142" t="s">
        <v>8</v>
      </c>
      <c r="E142" s="172" t="str">
        <f t="shared" si="23"/>
        <v>OC6</v>
      </c>
      <c r="F142" t="str">
        <f t="shared" si="28"/>
        <v>Halm</v>
      </c>
      <c r="G142" s="76" cm="1">
        <f t="array" ref="G142">IF(A142="Vestdanmark",IF(D142="Konventionel",IF(C142=2019,SUMPRODUCT((B142='Landbrugsareal - resultat'!$B$5:$B$18)*(INDEX('Landbrugsareal - resultat'!$C$5:$E$18,,MATCH(E142,'Landbrugsareal - resultat'!$C$4:$E$4,0)))),IF(C142=2030,SUMPRODUCT((B142='Landbrugsareal - resultat'!$B$5:$B$18)*(INDEX('Landbrugsareal - resultat'!$F$5:$H$18,,MATCH(E142,'Landbrugsareal - resultat'!$F$4:$H$4,0)))),SUMPRODUCT((B142='Landbrugsareal - resultat'!$B$5:$B$18)*(INDEX('Landbrugsareal - resultat'!$I$5:$K$18,,MATCH(E142,'Landbrugsareal - resultat'!$I$4:$K$4,0)))))),IF(C142=2019,SUMPRODUCT((B142='Landbrugsareal - resultat'!$B$5:$B$18)*(INDEX('Landbrugsareal - resultat'!$L$5:$N$18,,MATCH(E142,'Landbrugsareal - resultat'!$L$4:$N$4,0)))),IF(C142=2030,SUMPRODUCT((B142='Landbrugsareal - resultat'!$B$5:$B$18)*(INDEX('Landbrugsareal - resultat'!$O$5:$Q$18,,MATCH(E142,'Landbrugsareal - resultat'!$O$4:$Q$4,0)))),SUMPRODUCT((B142='Landbrugsareal - resultat'!$B$5:$B$18)*(INDEX('Landbrugsareal - resultat'!$R$5:$T$18,,MATCH(E142,'Landbrugsareal - resultat'!$R$4:$T$4,0))))))),IF(D142="Konventionel",IF(C142=2019,SUMPRODUCT((B142='Landbrugsareal - resultat'!$B$32:$B$45)*(INDEX('Landbrugsareal - resultat'!$C$32:$E$45,,MATCH(E142,'Landbrugsareal - resultat'!$C$4:$E$4,0)))),IF(C142=2030,SUMPRODUCT((B142='Landbrugsareal - resultat'!$B$32:$B$45)*(INDEX('Landbrugsareal - resultat'!$F$32:$H$45,,MATCH(E142,'Landbrugsareal - resultat'!$F$4:$H$4,0)))),SUMPRODUCT((B142='Landbrugsareal - resultat'!$B$32:$B$45)*(INDEX('Landbrugsareal - resultat'!$I$32:$K$45,,MATCH(E142,'Landbrugsareal - resultat'!$I$4:$K$4,0)))))),IF(C142=2019,SUMPRODUCT((B142='Landbrugsareal - resultat'!$B$32:$B$45)*(INDEX('Landbrugsareal - resultat'!$L$32:$N$45,,MATCH(E142,'Landbrugsareal - resultat'!$L$4:$N$4,0)))),IF(C142=2030,SUMPRODUCT((B142='Landbrugsareal - resultat'!$B$32:$B$45)*(INDEX('Landbrugsareal - resultat'!$O$32:$Q$45,,MATCH(E142,'Landbrugsareal - resultat'!$O$4:$Q$4,0)))),SUMPRODUCT((B142='Landbrugsareal - resultat'!$B$32:$B$45)*(INDEX('Landbrugsareal - resultat'!$R$32:$T$45,,MATCH(E142,'Landbrugsareal - resultat'!$R$4:$T$4,0))))))))</f>
        <v>3316.333003261539</v>
      </c>
      <c r="H142" s="172">
        <f>G142*VLOOKUP(B142,[1]Afgrødedata!$A$5:$F$18,2,FALSE)*IF(D142="Økologisk",VLOOKUP(B142,[1]Afgrødedata!$A$5:$F$18,4,FALSE),1)*IF(E142&lt;&gt;Jordbund1,IF(E142=Organ6,VLOOKUP(B142,[1]Afgrødedata!$A$5:$F$18,5,FALSE),VLOOKUP(B142,[1]Afgrødedata!$A$5:$F$18,6,FALSE)),1)*0.1</f>
        <v>18690.985459702162</v>
      </c>
      <c r="I142" s="172">
        <f>G142*VLOOKUP(B142,[1]Afgrødedata!$A$5:$F$18,3,FALSE)*IF(D142="Økologisk",VLOOKUP(B142,[1]Afgrødedata!$A$5:$F$18,4,FALSE),1)*IF(E142&lt;&gt;Jordbund1,IF(E142=Organ6,VLOOKUP(B142,[1]Afgrødedata!$A$5:$F$18,5,FALSE),VLOOKUP(B142,[1]Afgrødedata!$A$5:$F$18,6,FALSE)),1)*HLOOKUP(C142,Landbrug!$C$15:$E$17,2,FALSE)*HLOOKUP(C142,Landbrug!$C$15:$E$17,3,FALSE)*0.1</f>
        <v>6065.2247816733534</v>
      </c>
      <c r="J142" s="76">
        <f t="shared" si="29"/>
        <v>6065.2247816733534</v>
      </c>
    </row>
    <row r="143" spans="1:10" x14ac:dyDescent="0.55000000000000004">
      <c r="A143" t="s">
        <v>23</v>
      </c>
      <c r="B143" s="1" t="str">
        <f>[1]Afgrødefordeling!$C$3</f>
        <v>Bælgsæd</v>
      </c>
      <c r="C143">
        <v>2030</v>
      </c>
      <c r="D143" t="s">
        <v>8</v>
      </c>
      <c r="E143" s="172" t="str">
        <f t="shared" si="23"/>
        <v>OC6</v>
      </c>
      <c r="F143" t="str">
        <f t="shared" si="28"/>
        <v>Halm</v>
      </c>
      <c r="G143" s="76" cm="1">
        <f t="array" ref="G143">IF(A143="Vestdanmark",IF(D143="Konventionel",IF(C143=2019,SUMPRODUCT((B143='Landbrugsareal - resultat'!$B$5:$B$18)*(INDEX('Landbrugsareal - resultat'!$C$5:$E$18,,MATCH(E143,'Landbrugsareal - resultat'!$C$4:$E$4,0)))),IF(C143=2030,SUMPRODUCT((B143='Landbrugsareal - resultat'!$B$5:$B$18)*(INDEX('Landbrugsareal - resultat'!$F$5:$H$18,,MATCH(E143,'Landbrugsareal - resultat'!$F$4:$H$4,0)))),SUMPRODUCT((B143='Landbrugsareal - resultat'!$B$5:$B$18)*(INDEX('Landbrugsareal - resultat'!$I$5:$K$18,,MATCH(E143,'Landbrugsareal - resultat'!$I$4:$K$4,0)))))),IF(C143=2019,SUMPRODUCT((B143='Landbrugsareal - resultat'!$B$5:$B$18)*(INDEX('Landbrugsareal - resultat'!$L$5:$N$18,,MATCH(E143,'Landbrugsareal - resultat'!$L$4:$N$4,0)))),IF(C143=2030,SUMPRODUCT((B143='Landbrugsareal - resultat'!$B$5:$B$18)*(INDEX('Landbrugsareal - resultat'!$O$5:$Q$18,,MATCH(E143,'Landbrugsareal - resultat'!$O$4:$Q$4,0)))),SUMPRODUCT((B143='Landbrugsareal - resultat'!$B$5:$B$18)*(INDEX('Landbrugsareal - resultat'!$R$5:$T$18,,MATCH(E143,'Landbrugsareal - resultat'!$R$4:$T$4,0))))))),IF(D143="Konventionel",IF(C143=2019,SUMPRODUCT((B143='Landbrugsareal - resultat'!$B$32:$B$45)*(INDEX('Landbrugsareal - resultat'!$C$32:$E$45,,MATCH(E143,'Landbrugsareal - resultat'!$C$4:$E$4,0)))),IF(C143=2030,SUMPRODUCT((B143='Landbrugsareal - resultat'!$B$32:$B$45)*(INDEX('Landbrugsareal - resultat'!$F$32:$H$45,,MATCH(E143,'Landbrugsareal - resultat'!$F$4:$H$4,0)))),SUMPRODUCT((B143='Landbrugsareal - resultat'!$B$32:$B$45)*(INDEX('Landbrugsareal - resultat'!$I$32:$K$45,,MATCH(E143,'Landbrugsareal - resultat'!$I$4:$K$4,0)))))),IF(C143=2019,SUMPRODUCT((B143='Landbrugsareal - resultat'!$B$32:$B$45)*(INDEX('Landbrugsareal - resultat'!$L$32:$N$45,,MATCH(E143,'Landbrugsareal - resultat'!$L$4:$N$4,0)))),IF(C143=2030,SUMPRODUCT((B143='Landbrugsareal - resultat'!$B$32:$B$45)*(INDEX('Landbrugsareal - resultat'!$O$32:$Q$45,,MATCH(E143,'Landbrugsareal - resultat'!$O$4:$Q$4,0)))),SUMPRODUCT((B143='Landbrugsareal - resultat'!$B$32:$B$45)*(INDEX('Landbrugsareal - resultat'!$R$32:$T$45,,MATCH(E143,'Landbrugsareal - resultat'!$R$4:$T$4,0))))))))</f>
        <v>284.29000357853357</v>
      </c>
      <c r="H143" s="172">
        <f>G143*VLOOKUP(B143,[1]Afgrødedata!$A$5:$F$18,2,FALSE)*IF(D143="Økologisk",VLOOKUP(B143,[1]Afgrødedata!$A$5:$F$18,4,FALSE),1)*IF(E143&lt;&gt;Jordbund1,IF(E143=Organ6,VLOOKUP(B143,[1]Afgrødedata!$A$5:$F$18,5,FALSE),VLOOKUP(B143,[1]Afgrødedata!$A$5:$F$18,6,FALSE)),1)*0.1</f>
        <v>750.59383904818742</v>
      </c>
      <c r="I143" s="172">
        <f>G143*VLOOKUP(B143,[1]Afgrødedata!$A$5:$F$18,3,FALSE)*IF(D143="Økologisk",VLOOKUP(B143,[1]Afgrødedata!$A$5:$F$18,4,FALSE),1)*IF(E143&lt;&gt;Jordbund1,IF(E143=Organ6,VLOOKUP(B143,[1]Afgrødedata!$A$5:$F$18,5,FALSE),VLOOKUP(B143,[1]Afgrødedata!$A$5:$F$18,6,FALSE)),1)*HLOOKUP(C143,Landbrug!$C$15:$E$17,2,FALSE)*HLOOKUP(C143,Landbrug!$C$15:$E$17,3,FALSE)*0.1</f>
        <v>221.5399105930594</v>
      </c>
      <c r="J143" s="76">
        <f t="shared" si="29"/>
        <v>221.5399105930594</v>
      </c>
    </row>
    <row r="144" spans="1:10" x14ac:dyDescent="0.55000000000000004">
      <c r="A144" t="s">
        <v>23</v>
      </c>
      <c r="B144" s="1" t="str">
        <f>[1]Afgrødefordeling!$C$4</f>
        <v>Raps</v>
      </c>
      <c r="C144">
        <v>2030</v>
      </c>
      <c r="D144" t="s">
        <v>8</v>
      </c>
      <c r="E144" s="172" t="str">
        <f t="shared" si="23"/>
        <v>OC6</v>
      </c>
      <c r="F144" t="str">
        <f t="shared" si="28"/>
        <v>Halm</v>
      </c>
      <c r="G144" s="76" cm="1">
        <f t="array" ref="G144">IF(A144="Vestdanmark",IF(D144="Konventionel",IF(C144=2019,SUMPRODUCT((B144='Landbrugsareal - resultat'!$B$5:$B$18)*(INDEX('Landbrugsareal - resultat'!$C$5:$E$18,,MATCH(E144,'Landbrugsareal - resultat'!$C$4:$E$4,0)))),IF(C144=2030,SUMPRODUCT((B144='Landbrugsareal - resultat'!$B$5:$B$18)*(INDEX('Landbrugsareal - resultat'!$F$5:$H$18,,MATCH(E144,'Landbrugsareal - resultat'!$F$4:$H$4,0)))),SUMPRODUCT((B144='Landbrugsareal - resultat'!$B$5:$B$18)*(INDEX('Landbrugsareal - resultat'!$I$5:$K$18,,MATCH(E144,'Landbrugsareal - resultat'!$I$4:$K$4,0)))))),IF(C144=2019,SUMPRODUCT((B144='Landbrugsareal - resultat'!$B$5:$B$18)*(INDEX('Landbrugsareal - resultat'!$L$5:$N$18,,MATCH(E144,'Landbrugsareal - resultat'!$L$4:$N$4,0)))),IF(C144=2030,SUMPRODUCT((B144='Landbrugsareal - resultat'!$B$5:$B$18)*(INDEX('Landbrugsareal - resultat'!$O$5:$Q$18,,MATCH(E144,'Landbrugsareal - resultat'!$O$4:$Q$4,0)))),SUMPRODUCT((B144='Landbrugsareal - resultat'!$B$5:$B$18)*(INDEX('Landbrugsareal - resultat'!$R$5:$T$18,,MATCH(E144,'Landbrugsareal - resultat'!$R$4:$T$4,0))))))),IF(D144="Konventionel",IF(C144=2019,SUMPRODUCT((B144='Landbrugsareal - resultat'!$B$32:$B$45)*(INDEX('Landbrugsareal - resultat'!$C$32:$E$45,,MATCH(E144,'Landbrugsareal - resultat'!$C$4:$E$4,0)))),IF(C144=2030,SUMPRODUCT((B144='Landbrugsareal - resultat'!$B$32:$B$45)*(INDEX('Landbrugsareal - resultat'!$F$32:$H$45,,MATCH(E144,'Landbrugsareal - resultat'!$F$4:$H$4,0)))),SUMPRODUCT((B144='Landbrugsareal - resultat'!$B$32:$B$45)*(INDEX('Landbrugsareal - resultat'!$I$32:$K$45,,MATCH(E144,'Landbrugsareal - resultat'!$I$4:$K$4,0)))))),IF(C144=2019,SUMPRODUCT((B144='Landbrugsareal - resultat'!$B$32:$B$45)*(INDEX('Landbrugsareal - resultat'!$L$32:$N$45,,MATCH(E144,'Landbrugsareal - resultat'!$L$4:$N$4,0)))),IF(C144=2030,SUMPRODUCT((B144='Landbrugsareal - resultat'!$B$32:$B$45)*(INDEX('Landbrugsareal - resultat'!$O$32:$Q$45,,MATCH(E144,'Landbrugsareal - resultat'!$O$4:$Q$4,0)))),SUMPRODUCT((B144='Landbrugsareal - resultat'!$B$32:$B$45)*(INDEX('Landbrugsareal - resultat'!$R$32:$T$45,,MATCH(E144,'Landbrugsareal - resultat'!$R$4:$T$4,0))))))))</f>
        <v>304.4129024919622</v>
      </c>
      <c r="H144" s="172">
        <f>G144*VLOOKUP(B144,[1]Afgrødedata!$A$5:$F$18,2,FALSE)*IF(D144="Økologisk",VLOOKUP(B144,[1]Afgrødedata!$A$5:$F$18,4,FALSE),1)*IF(E144&lt;&gt;Jordbund1,IF(E144=Organ6,VLOOKUP(B144,[1]Afgrødedata!$A$5:$F$18,5,FALSE),VLOOKUP(B144,[1]Afgrødedata!$A$5:$F$18,6,FALSE)),1)*0.1</f>
        <v>884.01506883665832</v>
      </c>
      <c r="I144" s="172">
        <f>G144*VLOOKUP(B144,[1]Afgrødedata!$A$5:$F$18,3,FALSE)*IF(D144="Økologisk",VLOOKUP(B144,[1]Afgrødedata!$A$5:$F$18,4,FALSE),1)*IF(E144&lt;&gt;Jordbund1,IF(E144=Organ6,VLOOKUP(B144,[1]Afgrødedata!$A$5:$F$18,5,FALSE),VLOOKUP(B144,[1]Afgrødedata!$A$5:$F$18,6,FALSE)),1)*HLOOKUP(C144,Landbrug!$C$15:$E$17,2,FALSE)*HLOOKUP(C144,Landbrug!$C$15:$E$17,3,FALSE)*0.1</f>
        <v>469.41200155226556</v>
      </c>
      <c r="J144" s="76">
        <f t="shared" si="29"/>
        <v>469.41200155226556</v>
      </c>
    </row>
    <row r="145" spans="1:10" x14ac:dyDescent="0.55000000000000004">
      <c r="A145" t="s">
        <v>23</v>
      </c>
      <c r="B145" s="1" t="str">
        <f>[1]Afgrødefordeling!$C$5</f>
        <v>Græs</v>
      </c>
      <c r="C145">
        <v>2030</v>
      </c>
      <c r="D145" t="s">
        <v>8</v>
      </c>
      <c r="E145" s="172" t="str">
        <f t="shared" si="23"/>
        <v>OC6</v>
      </c>
      <c r="F145" t="str">
        <f t="shared" si="28"/>
        <v>Græs</v>
      </c>
      <c r="G145" s="76" cm="1">
        <f t="array" ref="G145">IF(A145="Vestdanmark",IF(D145="Konventionel",IF(C145=2019,SUMPRODUCT((B145='Landbrugsareal - resultat'!$B$5:$B$18)*(INDEX('Landbrugsareal - resultat'!$C$5:$E$18,,MATCH(E145,'Landbrugsareal - resultat'!$C$4:$E$4,0)))),IF(C145=2030,SUMPRODUCT((B145='Landbrugsareal - resultat'!$B$5:$B$18)*(INDEX('Landbrugsareal - resultat'!$F$5:$H$18,,MATCH(E145,'Landbrugsareal - resultat'!$F$4:$H$4,0)))),SUMPRODUCT((B145='Landbrugsareal - resultat'!$B$5:$B$18)*(INDEX('Landbrugsareal - resultat'!$I$5:$K$18,,MATCH(E145,'Landbrugsareal - resultat'!$I$4:$K$4,0)))))),IF(C145=2019,SUMPRODUCT((B145='Landbrugsareal - resultat'!$B$5:$B$18)*(INDEX('Landbrugsareal - resultat'!$L$5:$N$18,,MATCH(E145,'Landbrugsareal - resultat'!$L$4:$N$4,0)))),IF(C145=2030,SUMPRODUCT((B145='Landbrugsareal - resultat'!$B$5:$B$18)*(INDEX('Landbrugsareal - resultat'!$O$5:$Q$18,,MATCH(E145,'Landbrugsareal - resultat'!$O$4:$Q$4,0)))),SUMPRODUCT((B145='Landbrugsareal - resultat'!$B$5:$B$18)*(INDEX('Landbrugsareal - resultat'!$R$5:$T$18,,MATCH(E145,'Landbrugsareal - resultat'!$R$4:$T$4,0))))))),IF(D145="Konventionel",IF(C145=2019,SUMPRODUCT((B145='Landbrugsareal - resultat'!$B$32:$B$45)*(INDEX('Landbrugsareal - resultat'!$C$32:$E$45,,MATCH(E145,'Landbrugsareal - resultat'!$C$4:$E$4,0)))),IF(C145=2030,SUMPRODUCT((B145='Landbrugsareal - resultat'!$B$32:$B$45)*(INDEX('Landbrugsareal - resultat'!$F$32:$H$45,,MATCH(E145,'Landbrugsareal - resultat'!$F$4:$H$4,0)))),SUMPRODUCT((B145='Landbrugsareal - resultat'!$B$32:$B$45)*(INDEX('Landbrugsareal - resultat'!$I$32:$K$45,,MATCH(E145,'Landbrugsareal - resultat'!$I$4:$K$4,0)))))),IF(C145=2019,SUMPRODUCT((B145='Landbrugsareal - resultat'!$B$32:$B$45)*(INDEX('Landbrugsareal - resultat'!$L$32:$N$45,,MATCH(E145,'Landbrugsareal - resultat'!$L$4:$N$4,0)))),IF(C145=2030,SUMPRODUCT((B145='Landbrugsareal - resultat'!$B$32:$B$45)*(INDEX('Landbrugsareal - resultat'!$O$32:$Q$45,,MATCH(E145,'Landbrugsareal - resultat'!$O$4:$Q$4,0)))),SUMPRODUCT((B145='Landbrugsareal - resultat'!$B$32:$B$45)*(INDEX('Landbrugsareal - resultat'!$R$32:$T$45,,MATCH(E145,'Landbrugsareal - resultat'!$R$4:$T$4,0))))))))</f>
        <v>2809.229715431773</v>
      </c>
      <c r="H145" s="172">
        <f>G145*VLOOKUP(B145,[1]Afgrødedata!$A$5:$F$18,2,FALSE)*IF(D145="Økologisk",VLOOKUP(B145,[1]Afgrødedata!$A$5:$F$18,4,FALSE),1)*IF(E145&lt;&gt;Jordbund1,IF(E145=Organ6,VLOOKUP(B145,[1]Afgrødedata!$A$5:$F$18,5,FALSE),VLOOKUP(B145,[1]Afgrødedata!$A$5:$F$18,6,FALSE)),1)*0.1</f>
        <v>130472.76385702222</v>
      </c>
      <c r="I145" s="172">
        <f>G145*VLOOKUP(B145,[1]Afgrødedata!$A$5:$F$18,3,FALSE)*IF(D145="Økologisk",VLOOKUP(B145,[1]Afgrødedata!$A$5:$F$18,4,FALSE),1)*IF(E145&lt;&gt;Jordbund1,IF(E145=Organ6,VLOOKUP(B145,[1]Afgrødedata!$A$5:$F$18,5,FALSE),VLOOKUP(B145,[1]Afgrødedata!$A$5:$F$18,6,FALSE)),1)*HLOOKUP(C145,Landbrug!$C$15:$E$17,2,FALSE)*HLOOKUP(C145,Landbrug!$C$15:$E$17,3,FALSE)*0.1</f>
        <v>0</v>
      </c>
      <c r="J145" s="76">
        <f t="shared" si="29"/>
        <v>130472.76385702222</v>
      </c>
    </row>
    <row r="146" spans="1:10" x14ac:dyDescent="0.55000000000000004">
      <c r="A146" t="s">
        <v>23</v>
      </c>
      <c r="B146" s="1" t="str">
        <f>[1]Afgrødefordeling!$C$6</f>
        <v>Grøntsager</v>
      </c>
      <c r="C146">
        <v>2030</v>
      </c>
      <c r="D146" t="s">
        <v>8</v>
      </c>
      <c r="E146" s="172" t="str">
        <f t="shared" si="23"/>
        <v>OC6</v>
      </c>
      <c r="F146" t="str">
        <f t="shared" si="28"/>
        <v>Grøntsager</v>
      </c>
      <c r="G146" s="76" cm="1">
        <f t="array" ref="G146">IF(A146="Vestdanmark",IF(D146="Konventionel",IF(C146=2019,SUMPRODUCT((B146='Landbrugsareal - resultat'!$B$5:$B$18)*(INDEX('Landbrugsareal - resultat'!$C$5:$E$18,,MATCH(E146,'Landbrugsareal - resultat'!$C$4:$E$4,0)))),IF(C146=2030,SUMPRODUCT((B146='Landbrugsareal - resultat'!$B$5:$B$18)*(INDEX('Landbrugsareal - resultat'!$F$5:$H$18,,MATCH(E146,'Landbrugsareal - resultat'!$F$4:$H$4,0)))),SUMPRODUCT((B146='Landbrugsareal - resultat'!$B$5:$B$18)*(INDEX('Landbrugsareal - resultat'!$I$5:$K$18,,MATCH(E146,'Landbrugsareal - resultat'!$I$4:$K$4,0)))))),IF(C146=2019,SUMPRODUCT((B146='Landbrugsareal - resultat'!$B$5:$B$18)*(INDEX('Landbrugsareal - resultat'!$L$5:$N$18,,MATCH(E146,'Landbrugsareal - resultat'!$L$4:$N$4,0)))),IF(C146=2030,SUMPRODUCT((B146='Landbrugsareal - resultat'!$B$5:$B$18)*(INDEX('Landbrugsareal - resultat'!$O$5:$Q$18,,MATCH(E146,'Landbrugsareal - resultat'!$O$4:$Q$4,0)))),SUMPRODUCT((B146='Landbrugsareal - resultat'!$B$5:$B$18)*(INDEX('Landbrugsareal - resultat'!$R$5:$T$18,,MATCH(E146,'Landbrugsareal - resultat'!$R$4:$T$4,0))))))),IF(D146="Konventionel",IF(C146=2019,SUMPRODUCT((B146='Landbrugsareal - resultat'!$B$32:$B$45)*(INDEX('Landbrugsareal - resultat'!$C$32:$E$45,,MATCH(E146,'Landbrugsareal - resultat'!$C$4:$E$4,0)))),IF(C146=2030,SUMPRODUCT((B146='Landbrugsareal - resultat'!$B$32:$B$45)*(INDEX('Landbrugsareal - resultat'!$F$32:$H$45,,MATCH(E146,'Landbrugsareal - resultat'!$F$4:$H$4,0)))),SUMPRODUCT((B146='Landbrugsareal - resultat'!$B$32:$B$45)*(INDEX('Landbrugsareal - resultat'!$I$32:$K$45,,MATCH(E146,'Landbrugsareal - resultat'!$I$4:$K$4,0)))))),IF(C146=2019,SUMPRODUCT((B146='Landbrugsareal - resultat'!$B$32:$B$45)*(INDEX('Landbrugsareal - resultat'!$L$32:$N$45,,MATCH(E146,'Landbrugsareal - resultat'!$L$4:$N$4,0)))),IF(C146=2030,SUMPRODUCT((B146='Landbrugsareal - resultat'!$B$32:$B$45)*(INDEX('Landbrugsareal - resultat'!$O$32:$Q$45,,MATCH(E146,'Landbrugsareal - resultat'!$O$4:$Q$4,0)))),SUMPRODUCT((B146='Landbrugsareal - resultat'!$B$32:$B$45)*(INDEX('Landbrugsareal - resultat'!$R$32:$T$45,,MATCH(E146,'Landbrugsareal - resultat'!$R$4:$T$4,0))))))))</f>
        <v>13.138873045431023</v>
      </c>
      <c r="H146" s="172">
        <f>G146*VLOOKUP(B146,[1]Afgrødedata!$A$5:$F$18,2,FALSE)*IF(D146="Økologisk",VLOOKUP(B146,[1]Afgrødedata!$A$5:$F$18,4,FALSE),1)*IF(E146&lt;&gt;Jordbund1,IF(E146=Organ6,VLOOKUP(B146,[1]Afgrødedata!$A$5:$F$18,5,FALSE),VLOOKUP(B146,[1]Afgrødedata!$A$5:$F$18,6,FALSE)),1)*0.1</f>
        <v>186.48002513380249</v>
      </c>
      <c r="I146" s="172">
        <f>G146*VLOOKUP(B146,[1]Afgrødedata!$A$5:$F$18,3,FALSE)*IF(D146="Økologisk",VLOOKUP(B146,[1]Afgrødedata!$A$5:$F$18,4,FALSE),1)*IF(E146&lt;&gt;Jordbund1,IF(E146=Organ6,VLOOKUP(B146,[1]Afgrødedata!$A$5:$F$18,5,FALSE),VLOOKUP(B146,[1]Afgrødedata!$A$5:$F$18,6,FALSE)),1)*HLOOKUP(C146,Landbrug!$C$15:$E$17,2,FALSE)*HLOOKUP(C146,Landbrug!$C$15:$E$17,3,FALSE)*0.1</f>
        <v>0</v>
      </c>
      <c r="J146" s="76">
        <f t="shared" si="29"/>
        <v>186.48002513380249</v>
      </c>
    </row>
    <row r="147" spans="1:10" x14ac:dyDescent="0.55000000000000004">
      <c r="A147" t="s">
        <v>23</v>
      </c>
      <c r="B147" s="1" t="str">
        <f>[1]Afgrødefordeling!$C$7</f>
        <v>Kartofler</v>
      </c>
      <c r="C147">
        <v>2030</v>
      </c>
      <c r="D147" t="s">
        <v>8</v>
      </c>
      <c r="E147" s="172" t="str">
        <f t="shared" si="23"/>
        <v>OC6</v>
      </c>
      <c r="F147" t="str">
        <f t="shared" si="28"/>
        <v>Kartofler</v>
      </c>
      <c r="G147" s="76" cm="1">
        <f t="array" ref="G147">IF(A147="Vestdanmark",IF(D147="Konventionel",IF(C147=2019,SUMPRODUCT((B147='Landbrugsareal - resultat'!$B$5:$B$18)*(INDEX('Landbrugsareal - resultat'!$C$5:$E$18,,MATCH(E147,'Landbrugsareal - resultat'!$C$4:$E$4,0)))),IF(C147=2030,SUMPRODUCT((B147='Landbrugsareal - resultat'!$B$5:$B$18)*(INDEX('Landbrugsareal - resultat'!$F$5:$H$18,,MATCH(E147,'Landbrugsareal - resultat'!$F$4:$H$4,0)))),SUMPRODUCT((B147='Landbrugsareal - resultat'!$B$5:$B$18)*(INDEX('Landbrugsareal - resultat'!$I$5:$K$18,,MATCH(E147,'Landbrugsareal - resultat'!$I$4:$K$4,0)))))),IF(C147=2019,SUMPRODUCT((B147='Landbrugsareal - resultat'!$B$5:$B$18)*(INDEX('Landbrugsareal - resultat'!$L$5:$N$18,,MATCH(E147,'Landbrugsareal - resultat'!$L$4:$N$4,0)))),IF(C147=2030,SUMPRODUCT((B147='Landbrugsareal - resultat'!$B$5:$B$18)*(INDEX('Landbrugsareal - resultat'!$O$5:$Q$18,,MATCH(E147,'Landbrugsareal - resultat'!$O$4:$Q$4,0)))),SUMPRODUCT((B147='Landbrugsareal - resultat'!$B$5:$B$18)*(INDEX('Landbrugsareal - resultat'!$R$5:$T$18,,MATCH(E147,'Landbrugsareal - resultat'!$R$4:$T$4,0))))))),IF(D147="Konventionel",IF(C147=2019,SUMPRODUCT((B147='Landbrugsareal - resultat'!$B$32:$B$45)*(INDEX('Landbrugsareal - resultat'!$C$32:$E$45,,MATCH(E147,'Landbrugsareal - resultat'!$C$4:$E$4,0)))),IF(C147=2030,SUMPRODUCT((B147='Landbrugsareal - resultat'!$B$32:$B$45)*(INDEX('Landbrugsareal - resultat'!$F$32:$H$45,,MATCH(E147,'Landbrugsareal - resultat'!$F$4:$H$4,0)))),SUMPRODUCT((B147='Landbrugsareal - resultat'!$B$32:$B$45)*(INDEX('Landbrugsareal - resultat'!$I$32:$K$45,,MATCH(E147,'Landbrugsareal - resultat'!$I$4:$K$4,0)))))),IF(C147=2019,SUMPRODUCT((B147='Landbrugsareal - resultat'!$B$32:$B$45)*(INDEX('Landbrugsareal - resultat'!$L$32:$N$45,,MATCH(E147,'Landbrugsareal - resultat'!$L$4:$N$4,0)))),IF(C147=2030,SUMPRODUCT((B147='Landbrugsareal - resultat'!$B$32:$B$45)*(INDEX('Landbrugsareal - resultat'!$O$32:$Q$45,,MATCH(E147,'Landbrugsareal - resultat'!$O$4:$Q$4,0)))),SUMPRODUCT((B147='Landbrugsareal - resultat'!$B$32:$B$45)*(INDEX('Landbrugsareal - resultat'!$R$32:$T$45,,MATCH(E147,'Landbrugsareal - resultat'!$R$4:$T$4,0))))))))</f>
        <v>207.42875066915491</v>
      </c>
      <c r="H147" s="172">
        <f>G147*VLOOKUP(B147,[1]Afgrødedata!$A$5:$F$18,2,FALSE)*IF(D147="Økologisk",VLOOKUP(B147,[1]Afgrødedata!$A$5:$F$18,4,FALSE),1)*IF(E147&lt;&gt;Jordbund1,IF(E147=Organ6,VLOOKUP(B147,[1]Afgrødedata!$A$5:$F$18,5,FALSE),VLOOKUP(B147,[1]Afgrødedata!$A$5:$F$18,6,FALSE)),1)*0.1</f>
        <v>6025.82496205806</v>
      </c>
      <c r="I147" s="172">
        <f>G147*VLOOKUP(B147,[1]Afgrødedata!$A$5:$F$18,3,FALSE)*IF(D147="Økologisk",VLOOKUP(B147,[1]Afgrødedata!$A$5:$F$18,4,FALSE),1)*IF(E147&lt;&gt;Jordbund1,IF(E147=Organ6,VLOOKUP(B147,[1]Afgrødedata!$A$5:$F$18,5,FALSE),VLOOKUP(B147,[1]Afgrødedata!$A$5:$F$18,6,FALSE)),1)*HLOOKUP(C147,Landbrug!$C$15:$E$17,2,FALSE)*HLOOKUP(C147,Landbrug!$C$15:$E$17,3,FALSE)*0.1</f>
        <v>0</v>
      </c>
      <c r="J147" s="76">
        <f t="shared" si="29"/>
        <v>6025.82496205806</v>
      </c>
    </row>
    <row r="148" spans="1:10" x14ac:dyDescent="0.55000000000000004">
      <c r="A148" t="s">
        <v>23</v>
      </c>
      <c r="B148" s="1" t="str">
        <f>[1]Afgrødefordeling!$C$8</f>
        <v>Roer</v>
      </c>
      <c r="C148">
        <v>2030</v>
      </c>
      <c r="D148" t="s">
        <v>8</v>
      </c>
      <c r="E148" s="172" t="str">
        <f t="shared" si="23"/>
        <v>OC6</v>
      </c>
      <c r="F148" t="str">
        <f t="shared" si="28"/>
        <v>Roer</v>
      </c>
      <c r="G148" s="76" cm="1">
        <f t="array" ref="G148">IF(A148="Vestdanmark",IF(D148="Konventionel",IF(C148=2019,SUMPRODUCT((B148='Landbrugsareal - resultat'!$B$5:$B$18)*(INDEX('Landbrugsareal - resultat'!$C$5:$E$18,,MATCH(E148,'Landbrugsareal - resultat'!$C$4:$E$4,0)))),IF(C148=2030,SUMPRODUCT((B148='Landbrugsareal - resultat'!$B$5:$B$18)*(INDEX('Landbrugsareal - resultat'!$F$5:$H$18,,MATCH(E148,'Landbrugsareal - resultat'!$F$4:$H$4,0)))),SUMPRODUCT((B148='Landbrugsareal - resultat'!$B$5:$B$18)*(INDEX('Landbrugsareal - resultat'!$I$5:$K$18,,MATCH(E148,'Landbrugsareal - resultat'!$I$4:$K$4,0)))))),IF(C148=2019,SUMPRODUCT((B148='Landbrugsareal - resultat'!$B$5:$B$18)*(INDEX('Landbrugsareal - resultat'!$L$5:$N$18,,MATCH(E148,'Landbrugsareal - resultat'!$L$4:$N$4,0)))),IF(C148=2030,SUMPRODUCT((B148='Landbrugsareal - resultat'!$B$5:$B$18)*(INDEX('Landbrugsareal - resultat'!$O$5:$Q$18,,MATCH(E148,'Landbrugsareal - resultat'!$O$4:$Q$4,0)))),SUMPRODUCT((B148='Landbrugsareal - resultat'!$B$5:$B$18)*(INDEX('Landbrugsareal - resultat'!$R$5:$T$18,,MATCH(E148,'Landbrugsareal - resultat'!$R$4:$T$4,0))))))),IF(D148="Konventionel",IF(C148=2019,SUMPRODUCT((B148='Landbrugsareal - resultat'!$B$32:$B$45)*(INDEX('Landbrugsareal - resultat'!$C$32:$E$45,,MATCH(E148,'Landbrugsareal - resultat'!$C$4:$E$4,0)))),IF(C148=2030,SUMPRODUCT((B148='Landbrugsareal - resultat'!$B$32:$B$45)*(INDEX('Landbrugsareal - resultat'!$F$32:$H$45,,MATCH(E148,'Landbrugsareal - resultat'!$F$4:$H$4,0)))),SUMPRODUCT((B148='Landbrugsareal - resultat'!$B$32:$B$45)*(INDEX('Landbrugsareal - resultat'!$I$32:$K$45,,MATCH(E148,'Landbrugsareal - resultat'!$I$4:$K$4,0)))))),IF(C148=2019,SUMPRODUCT((B148='Landbrugsareal - resultat'!$B$32:$B$45)*(INDEX('Landbrugsareal - resultat'!$L$32:$N$45,,MATCH(E148,'Landbrugsareal - resultat'!$L$4:$N$4,0)))),IF(C148=2030,SUMPRODUCT((B148='Landbrugsareal - resultat'!$B$32:$B$45)*(INDEX('Landbrugsareal - resultat'!$O$32:$Q$45,,MATCH(E148,'Landbrugsareal - resultat'!$O$4:$Q$4,0)))),SUMPRODUCT((B148='Landbrugsareal - resultat'!$B$32:$B$45)*(INDEX('Landbrugsareal - resultat'!$R$32:$T$45,,MATCH(E148,'Landbrugsareal - resultat'!$R$4:$T$4,0))))))))</f>
        <v>5.4419595307550885</v>
      </c>
      <c r="H148" s="172">
        <f>G148*VLOOKUP(B148,[1]Afgrødedata!$A$5:$F$18,2,FALSE)*IF(D148="Økologisk",VLOOKUP(B148,[1]Afgrødedata!$A$5:$F$18,4,FALSE),1)*IF(E148&lt;&gt;Jordbund1,IF(E148=Organ6,VLOOKUP(B148,[1]Afgrødedata!$A$5:$F$18,5,FALSE),VLOOKUP(B148,[1]Afgrødedata!$A$5:$F$18,6,FALSE)),1)*0.1</f>
        <v>302.45079010200891</v>
      </c>
      <c r="I148" s="172">
        <f>G148*VLOOKUP(B148,[1]Afgrødedata!$A$5:$F$18,3,FALSE)*IF(D148="Økologisk",VLOOKUP(B148,[1]Afgrødedata!$A$5:$F$18,4,FALSE),1)*IF(E148&lt;&gt;Jordbund1,IF(E148=Organ6,VLOOKUP(B148,[1]Afgrødedata!$A$5:$F$18,5,FALSE),VLOOKUP(B148,[1]Afgrødedata!$A$5:$F$18,6,FALSE)),1)*HLOOKUP(C148,Landbrug!$C$15:$E$17,2,FALSE)*HLOOKUP(C148,Landbrug!$C$15:$E$17,3,FALSE)*0.1</f>
        <v>0</v>
      </c>
      <c r="J148" s="76">
        <f t="shared" si="29"/>
        <v>302.45079010200891</v>
      </c>
    </row>
    <row r="149" spans="1:10" x14ac:dyDescent="0.55000000000000004">
      <c r="A149" t="s">
        <v>23</v>
      </c>
      <c r="B149" s="1" t="str">
        <f>[1]Afgrødefordeling!$C$9</f>
        <v>Majs</v>
      </c>
      <c r="C149">
        <v>2030</v>
      </c>
      <c r="D149" t="s">
        <v>8</v>
      </c>
      <c r="E149" s="172" t="str">
        <f t="shared" si="23"/>
        <v>OC6</v>
      </c>
      <c r="F149" t="str">
        <f t="shared" si="28"/>
        <v>Majs</v>
      </c>
      <c r="G149" s="76" cm="1">
        <f t="array" ref="G149">IF(A149="Vestdanmark",IF(D149="Konventionel",IF(C149=2019,SUMPRODUCT((B149='Landbrugsareal - resultat'!$B$5:$B$18)*(INDEX('Landbrugsareal - resultat'!$C$5:$E$18,,MATCH(E149,'Landbrugsareal - resultat'!$C$4:$E$4,0)))),IF(C149=2030,SUMPRODUCT((B149='Landbrugsareal - resultat'!$B$5:$B$18)*(INDEX('Landbrugsareal - resultat'!$F$5:$H$18,,MATCH(E149,'Landbrugsareal - resultat'!$F$4:$H$4,0)))),SUMPRODUCT((B149='Landbrugsareal - resultat'!$B$5:$B$18)*(INDEX('Landbrugsareal - resultat'!$I$5:$K$18,,MATCH(E149,'Landbrugsareal - resultat'!$I$4:$K$4,0)))))),IF(C149=2019,SUMPRODUCT((B149='Landbrugsareal - resultat'!$B$5:$B$18)*(INDEX('Landbrugsareal - resultat'!$L$5:$N$18,,MATCH(E149,'Landbrugsareal - resultat'!$L$4:$N$4,0)))),IF(C149=2030,SUMPRODUCT((B149='Landbrugsareal - resultat'!$B$5:$B$18)*(INDEX('Landbrugsareal - resultat'!$O$5:$Q$18,,MATCH(E149,'Landbrugsareal - resultat'!$O$4:$Q$4,0)))),SUMPRODUCT((B149='Landbrugsareal - resultat'!$B$5:$B$18)*(INDEX('Landbrugsareal - resultat'!$R$5:$T$18,,MATCH(E149,'Landbrugsareal - resultat'!$R$4:$T$4,0))))))),IF(D149="Konventionel",IF(C149=2019,SUMPRODUCT((B149='Landbrugsareal - resultat'!$B$32:$B$45)*(INDEX('Landbrugsareal - resultat'!$C$32:$E$45,,MATCH(E149,'Landbrugsareal - resultat'!$C$4:$E$4,0)))),IF(C149=2030,SUMPRODUCT((B149='Landbrugsareal - resultat'!$B$32:$B$45)*(INDEX('Landbrugsareal - resultat'!$F$32:$H$45,,MATCH(E149,'Landbrugsareal - resultat'!$F$4:$H$4,0)))),SUMPRODUCT((B149='Landbrugsareal - resultat'!$B$32:$B$45)*(INDEX('Landbrugsareal - resultat'!$I$32:$K$45,,MATCH(E149,'Landbrugsareal - resultat'!$I$4:$K$4,0)))))),IF(C149=2019,SUMPRODUCT((B149='Landbrugsareal - resultat'!$B$32:$B$45)*(INDEX('Landbrugsareal - resultat'!$L$32:$N$45,,MATCH(E149,'Landbrugsareal - resultat'!$L$4:$N$4,0)))),IF(C149=2030,SUMPRODUCT((B149='Landbrugsareal - resultat'!$B$32:$B$45)*(INDEX('Landbrugsareal - resultat'!$O$32:$Q$45,,MATCH(E149,'Landbrugsareal - resultat'!$O$4:$Q$4,0)))),SUMPRODUCT((B149='Landbrugsareal - resultat'!$B$32:$B$45)*(INDEX('Landbrugsareal - resultat'!$R$32:$T$45,,MATCH(E149,'Landbrugsareal - resultat'!$R$4:$T$4,0))))))))</f>
        <v>702.47519631038767</v>
      </c>
      <c r="H149" s="172">
        <f>G149*VLOOKUP(B149,[1]Afgrødedata!$A$5:$F$18,2,FALSE)*IF(D149="Økologisk",VLOOKUP(B149,[1]Afgrødedata!$A$5:$F$18,4,FALSE),1)*IF(E149&lt;&gt;Jordbund1,IF(E149=Organ6,VLOOKUP(B149,[1]Afgrødedata!$A$5:$F$18,5,FALSE),VLOOKUP(B149,[1]Afgrødedata!$A$5:$F$18,6,FALSE)),1)*0.1</f>
        <v>31142.102303824257</v>
      </c>
      <c r="I149" s="172">
        <f>G149*VLOOKUP(B149,[1]Afgrødedata!$A$5:$F$18,3,FALSE)*IF(D149="Økologisk",VLOOKUP(B149,[1]Afgrødedata!$A$5:$F$18,4,FALSE),1)*IF(E149&lt;&gt;Jordbund1,IF(E149=Organ6,VLOOKUP(B149,[1]Afgrødedata!$A$5:$F$18,5,FALSE),VLOOKUP(B149,[1]Afgrødedata!$A$5:$F$18,6,FALSE)),1)*HLOOKUP(C149,Landbrug!$C$15:$E$17,2,FALSE)*HLOOKUP(C149,Landbrug!$C$15:$E$17,3,FALSE)*0.1</f>
        <v>0</v>
      </c>
      <c r="J149" s="76">
        <f t="shared" si="29"/>
        <v>31142.102303824257</v>
      </c>
    </row>
    <row r="150" spans="1:10" x14ac:dyDescent="0.55000000000000004">
      <c r="A150" t="s">
        <v>23</v>
      </c>
      <c r="B150" s="1" t="str">
        <f>[1]Afgrødefordeling!$C$10</f>
        <v>Frugt</v>
      </c>
      <c r="C150">
        <v>2030</v>
      </c>
      <c r="D150" t="s">
        <v>8</v>
      </c>
      <c r="E150" s="172" t="str">
        <f t="shared" ref="E150:E169" si="30">Organ6</f>
        <v>OC6</v>
      </c>
      <c r="F150" t="str">
        <f t="shared" si="28"/>
        <v>Frugt</v>
      </c>
      <c r="G150" s="76" cm="1">
        <f t="array" ref="G150">IF(A150="Vestdanmark",IF(D150="Konventionel",IF(C150=2019,SUMPRODUCT((B150='Landbrugsareal - resultat'!$B$5:$B$18)*(INDEX('Landbrugsareal - resultat'!$C$5:$E$18,,MATCH(E150,'Landbrugsareal - resultat'!$C$4:$E$4,0)))),IF(C150=2030,SUMPRODUCT((B150='Landbrugsareal - resultat'!$B$5:$B$18)*(INDEX('Landbrugsareal - resultat'!$F$5:$H$18,,MATCH(E150,'Landbrugsareal - resultat'!$F$4:$H$4,0)))),SUMPRODUCT((B150='Landbrugsareal - resultat'!$B$5:$B$18)*(INDEX('Landbrugsareal - resultat'!$I$5:$K$18,,MATCH(E150,'Landbrugsareal - resultat'!$I$4:$K$4,0)))))),IF(C150=2019,SUMPRODUCT((B150='Landbrugsareal - resultat'!$B$5:$B$18)*(INDEX('Landbrugsareal - resultat'!$L$5:$N$18,,MATCH(E150,'Landbrugsareal - resultat'!$L$4:$N$4,0)))),IF(C150=2030,SUMPRODUCT((B150='Landbrugsareal - resultat'!$B$5:$B$18)*(INDEX('Landbrugsareal - resultat'!$O$5:$Q$18,,MATCH(E150,'Landbrugsareal - resultat'!$O$4:$Q$4,0)))),SUMPRODUCT((B150='Landbrugsareal - resultat'!$B$5:$B$18)*(INDEX('Landbrugsareal - resultat'!$R$5:$T$18,,MATCH(E150,'Landbrugsareal - resultat'!$R$4:$T$4,0))))))),IF(D150="Konventionel",IF(C150=2019,SUMPRODUCT((B150='Landbrugsareal - resultat'!$B$32:$B$45)*(INDEX('Landbrugsareal - resultat'!$C$32:$E$45,,MATCH(E150,'Landbrugsareal - resultat'!$C$4:$E$4,0)))),IF(C150=2030,SUMPRODUCT((B150='Landbrugsareal - resultat'!$B$32:$B$45)*(INDEX('Landbrugsareal - resultat'!$F$32:$H$45,,MATCH(E150,'Landbrugsareal - resultat'!$F$4:$H$4,0)))),SUMPRODUCT((B150='Landbrugsareal - resultat'!$B$32:$B$45)*(INDEX('Landbrugsareal - resultat'!$I$32:$K$45,,MATCH(E150,'Landbrugsareal - resultat'!$I$4:$K$4,0)))))),IF(C150=2019,SUMPRODUCT((B150='Landbrugsareal - resultat'!$B$32:$B$45)*(INDEX('Landbrugsareal - resultat'!$L$32:$N$45,,MATCH(E150,'Landbrugsareal - resultat'!$L$4:$N$4,0)))),IF(C150=2030,SUMPRODUCT((B150='Landbrugsareal - resultat'!$B$32:$B$45)*(INDEX('Landbrugsareal - resultat'!$O$32:$Q$45,,MATCH(E150,'Landbrugsareal - resultat'!$O$4:$Q$4,0)))),SUMPRODUCT((B150='Landbrugsareal - resultat'!$B$32:$B$45)*(INDEX('Landbrugsareal - resultat'!$R$32:$T$45,,MATCH(E150,'Landbrugsareal - resultat'!$R$4:$T$4,0))))))))</f>
        <v>11.967268855448575</v>
      </c>
      <c r="H150" s="172">
        <f>G150*VLOOKUP(B150,[1]Afgrødedata!$A$5:$F$18,2,FALSE)*IF(D150="Økologisk",VLOOKUP(B150,[1]Afgrødedata!$A$5:$F$18,4,FALSE),1)*IF(E150&lt;&gt;Jordbund1,IF(E150=Organ6,VLOOKUP(B150,[1]Afgrødedata!$A$5:$F$18,5,FALSE),VLOOKUP(B150,[1]Afgrødedata!$A$5:$F$18,6,FALSE)),1)*0.1</f>
        <v>69.495845006606757</v>
      </c>
      <c r="I150" s="172">
        <f>G150*VLOOKUP(B150,[1]Afgrødedata!$A$5:$F$18,3,FALSE)*IF(D150="Økologisk",VLOOKUP(B150,[1]Afgrødedata!$A$5:$F$18,4,FALSE),1)*IF(E150&lt;&gt;Jordbund1,IF(E150=Organ6,VLOOKUP(B150,[1]Afgrødedata!$A$5:$F$18,5,FALSE),VLOOKUP(B150,[1]Afgrødedata!$A$5:$F$18,6,FALSE)),1)*HLOOKUP(C150,Landbrug!$C$15:$E$17,2,FALSE)*HLOOKUP(C150,Landbrug!$C$15:$E$17,3,FALSE)*0.1</f>
        <v>0</v>
      </c>
      <c r="J150" s="76">
        <f t="shared" si="29"/>
        <v>69.495845006606757</v>
      </c>
    </row>
    <row r="151" spans="1:10" x14ac:dyDescent="0.55000000000000004">
      <c r="A151" t="s">
        <v>23</v>
      </c>
      <c r="B151" s="1" t="str">
        <f>[1]Afgrødefordeling!$C$11</f>
        <v>Øvrige</v>
      </c>
      <c r="C151">
        <v>2030</v>
      </c>
      <c r="D151" t="s">
        <v>8</v>
      </c>
      <c r="E151" s="172" t="str">
        <f t="shared" si="30"/>
        <v>OC6</v>
      </c>
      <c r="F151" t="str">
        <f t="shared" si="28"/>
        <v>Øvrige</v>
      </c>
      <c r="G151" s="76" cm="1">
        <f t="array" ref="G151">IF(A151="Vestdanmark",IF(D151="Konventionel",IF(C151=2019,SUMPRODUCT((B151='Landbrugsareal - resultat'!$B$5:$B$18)*(INDEX('Landbrugsareal - resultat'!$C$5:$E$18,,MATCH(E151,'Landbrugsareal - resultat'!$C$4:$E$4,0)))),IF(C151=2030,SUMPRODUCT((B151='Landbrugsareal - resultat'!$B$5:$B$18)*(INDEX('Landbrugsareal - resultat'!$F$5:$H$18,,MATCH(E151,'Landbrugsareal - resultat'!$F$4:$H$4,0)))),SUMPRODUCT((B151='Landbrugsareal - resultat'!$B$5:$B$18)*(INDEX('Landbrugsareal - resultat'!$I$5:$K$18,,MATCH(E151,'Landbrugsareal - resultat'!$I$4:$K$4,0)))))),IF(C151=2019,SUMPRODUCT((B151='Landbrugsareal - resultat'!$B$5:$B$18)*(INDEX('Landbrugsareal - resultat'!$L$5:$N$18,,MATCH(E151,'Landbrugsareal - resultat'!$L$4:$N$4,0)))),IF(C151=2030,SUMPRODUCT((B151='Landbrugsareal - resultat'!$B$5:$B$18)*(INDEX('Landbrugsareal - resultat'!$O$5:$Q$18,,MATCH(E151,'Landbrugsareal - resultat'!$O$4:$Q$4,0)))),SUMPRODUCT((B151='Landbrugsareal - resultat'!$B$5:$B$18)*(INDEX('Landbrugsareal - resultat'!$R$5:$T$18,,MATCH(E151,'Landbrugsareal - resultat'!$R$4:$T$4,0))))))),IF(D151="Konventionel",IF(C151=2019,SUMPRODUCT((B151='Landbrugsareal - resultat'!$B$32:$B$45)*(INDEX('Landbrugsareal - resultat'!$C$32:$E$45,,MATCH(E151,'Landbrugsareal - resultat'!$C$4:$E$4,0)))),IF(C151=2030,SUMPRODUCT((B151='Landbrugsareal - resultat'!$B$32:$B$45)*(INDEX('Landbrugsareal - resultat'!$F$32:$H$45,,MATCH(E151,'Landbrugsareal - resultat'!$F$4:$H$4,0)))),SUMPRODUCT((B151='Landbrugsareal - resultat'!$B$32:$B$45)*(INDEX('Landbrugsareal - resultat'!$I$32:$K$45,,MATCH(E151,'Landbrugsareal - resultat'!$I$4:$K$4,0)))))),IF(C151=2019,SUMPRODUCT((B151='Landbrugsareal - resultat'!$B$32:$B$45)*(INDEX('Landbrugsareal - resultat'!$L$32:$N$45,,MATCH(E151,'Landbrugsareal - resultat'!$L$4:$N$4,0)))),IF(C151=2030,SUMPRODUCT((B151='Landbrugsareal - resultat'!$B$32:$B$45)*(INDEX('Landbrugsareal - resultat'!$O$32:$Q$45,,MATCH(E151,'Landbrugsareal - resultat'!$O$4:$Q$4,0)))),SUMPRODUCT((B151='Landbrugsareal - resultat'!$B$32:$B$45)*(INDEX('Landbrugsareal - resultat'!$R$32:$T$45,,MATCH(E151,'Landbrugsareal - resultat'!$R$4:$T$4,0))))))))</f>
        <v>211.65193692810058</v>
      </c>
      <c r="H151" s="172">
        <f>G151*VLOOKUP(B151,[1]Afgrødedata!$A$5:$F$18,2,FALSE)*IF(D151="Økologisk",VLOOKUP(B151,[1]Afgrødedata!$A$5:$F$18,4,FALSE),1)*IF(E151&lt;&gt;Jordbund1,IF(E151=Organ6,VLOOKUP(B151,[1]Afgrødedata!$A$5:$F$18,5,FALSE),VLOOKUP(B151,[1]Afgrødedata!$A$5:$F$18,6,FALSE)),1)*0.1</f>
        <v>4313.5565027778002</v>
      </c>
      <c r="I151" s="172">
        <f>G151*VLOOKUP(B151,[1]Afgrødedata!$A$5:$F$18,3,FALSE)*IF(D151="Økologisk",VLOOKUP(B151,[1]Afgrødedata!$A$5:$F$18,4,FALSE),1)*IF(E151&lt;&gt;Jordbund1,IF(E151=Organ6,VLOOKUP(B151,[1]Afgrødedata!$A$5:$F$18,5,FALSE),VLOOKUP(B151,[1]Afgrødedata!$A$5:$F$18,6,FALSE)),1)*HLOOKUP(C151,Landbrug!$C$15:$E$17,2,FALSE)*HLOOKUP(C151,Landbrug!$C$15:$E$17,3,FALSE)*0.1</f>
        <v>0</v>
      </c>
      <c r="J151" s="76">
        <f t="shared" si="29"/>
        <v>4313.5565027778002</v>
      </c>
    </row>
    <row r="152" spans="1:10" x14ac:dyDescent="0.55000000000000004">
      <c r="A152" t="s">
        <v>23</v>
      </c>
      <c r="B152" s="1" t="str">
        <f>[1]Afgrødefordeling!$C$12</f>
        <v>Frø</v>
      </c>
      <c r="C152">
        <v>2030</v>
      </c>
      <c r="D152" t="s">
        <v>8</v>
      </c>
      <c r="E152" s="172" t="str">
        <f t="shared" si="30"/>
        <v>OC6</v>
      </c>
      <c r="F152" t="str">
        <f t="shared" si="28"/>
        <v>Halm</v>
      </c>
      <c r="G152" s="76" cm="1">
        <f t="array" ref="G152">IF(A152="Vestdanmark",IF(D152="Konventionel",IF(C152=2019,SUMPRODUCT((B152='Landbrugsareal - resultat'!$B$5:$B$18)*(INDEX('Landbrugsareal - resultat'!$C$5:$E$18,,MATCH(E152,'Landbrugsareal - resultat'!$C$4:$E$4,0)))),IF(C152=2030,SUMPRODUCT((B152='Landbrugsareal - resultat'!$B$5:$B$18)*(INDEX('Landbrugsareal - resultat'!$F$5:$H$18,,MATCH(E152,'Landbrugsareal - resultat'!$F$4:$H$4,0)))),SUMPRODUCT((B152='Landbrugsareal - resultat'!$B$5:$B$18)*(INDEX('Landbrugsareal - resultat'!$I$5:$K$18,,MATCH(E152,'Landbrugsareal - resultat'!$I$4:$K$4,0)))))),IF(C152=2019,SUMPRODUCT((B152='Landbrugsareal - resultat'!$B$5:$B$18)*(INDEX('Landbrugsareal - resultat'!$L$5:$N$18,,MATCH(E152,'Landbrugsareal - resultat'!$L$4:$N$4,0)))),IF(C152=2030,SUMPRODUCT((B152='Landbrugsareal - resultat'!$B$5:$B$18)*(INDEX('Landbrugsareal - resultat'!$O$5:$Q$18,,MATCH(E152,'Landbrugsareal - resultat'!$O$4:$Q$4,0)))),SUMPRODUCT((B152='Landbrugsareal - resultat'!$B$5:$B$18)*(INDEX('Landbrugsareal - resultat'!$R$5:$T$18,,MATCH(E152,'Landbrugsareal - resultat'!$R$4:$T$4,0))))))),IF(D152="Konventionel",IF(C152=2019,SUMPRODUCT((B152='Landbrugsareal - resultat'!$B$32:$B$45)*(INDEX('Landbrugsareal - resultat'!$C$32:$E$45,,MATCH(E152,'Landbrugsareal - resultat'!$C$4:$E$4,0)))),IF(C152=2030,SUMPRODUCT((B152='Landbrugsareal - resultat'!$B$32:$B$45)*(INDEX('Landbrugsareal - resultat'!$F$32:$H$45,,MATCH(E152,'Landbrugsareal - resultat'!$F$4:$H$4,0)))),SUMPRODUCT((B152='Landbrugsareal - resultat'!$B$32:$B$45)*(INDEX('Landbrugsareal - resultat'!$I$32:$K$45,,MATCH(E152,'Landbrugsareal - resultat'!$I$4:$K$4,0)))))),IF(C152=2019,SUMPRODUCT((B152='Landbrugsareal - resultat'!$B$32:$B$45)*(INDEX('Landbrugsareal - resultat'!$L$32:$N$45,,MATCH(E152,'Landbrugsareal - resultat'!$L$4:$N$4,0)))),IF(C152=2030,SUMPRODUCT((B152='Landbrugsareal - resultat'!$B$32:$B$45)*(INDEX('Landbrugsareal - resultat'!$O$32:$Q$45,,MATCH(E152,'Landbrugsareal - resultat'!$O$4:$Q$4,0)))),SUMPRODUCT((B152='Landbrugsareal - resultat'!$B$32:$B$45)*(INDEX('Landbrugsareal - resultat'!$R$32:$T$45,,MATCH(E152,'Landbrugsareal - resultat'!$R$4:$T$4,0))))))))</f>
        <v>522.41939631841763</v>
      </c>
      <c r="H152" s="172">
        <f>G152*VLOOKUP(B152,[1]Afgrødedata!$A$5:$F$18,2,FALSE)*IF(D152="Økologisk",VLOOKUP(B152,[1]Afgrødedata!$A$5:$F$18,4,FALSE),1)*IF(E152&lt;&gt;Jordbund1,IF(E152=Organ6,VLOOKUP(B152,[1]Afgrødedata!$A$5:$F$18,5,FALSE),VLOOKUP(B152,[1]Afgrødedata!$A$5:$F$18,6,FALSE)),1)*0.1</f>
        <v>5105.9081602439846</v>
      </c>
      <c r="I152" s="172">
        <f>G152*VLOOKUP(B152,[1]Afgrødedata!$A$5:$F$18,3,FALSE)*IF(D152="Økologisk",VLOOKUP(B152,[1]Afgrødedata!$A$5:$F$18,4,FALSE),1)*IF(E152&lt;&gt;Jordbund1,IF(E152=Organ6,VLOOKUP(B152,[1]Afgrødedata!$A$5:$F$18,5,FALSE),VLOOKUP(B152,[1]Afgrødedata!$A$5:$F$18,6,FALSE)),1)*HLOOKUP(C152,Landbrug!$C$15:$E$17,2,FALSE)*HLOOKUP(C152,Landbrug!$C$15:$E$17,3,FALSE)*0.1</f>
        <v>843.31028631304218</v>
      </c>
      <c r="J152" s="76">
        <f t="shared" si="29"/>
        <v>843.31028631304218</v>
      </c>
    </row>
    <row r="153" spans="1:10" x14ac:dyDescent="0.55000000000000004">
      <c r="A153" t="s">
        <v>23</v>
      </c>
      <c r="B153" s="1" t="str">
        <f>[1]Afgrødefordeling!$C$13</f>
        <v>Juletræer</v>
      </c>
      <c r="C153">
        <v>2030</v>
      </c>
      <c r="D153" t="s">
        <v>8</v>
      </c>
      <c r="E153" s="172" t="str">
        <f t="shared" si="30"/>
        <v>OC6</v>
      </c>
      <c r="F153" t="str">
        <f t="shared" si="28"/>
        <v>Juletræer</v>
      </c>
      <c r="G153" s="76" cm="1">
        <f t="array" ref="G153">IF(A153="Vestdanmark",IF(D153="Konventionel",IF(C153=2019,SUMPRODUCT((B153='Landbrugsareal - resultat'!$B$5:$B$18)*(INDEX('Landbrugsareal - resultat'!$C$5:$E$18,,MATCH(E153,'Landbrugsareal - resultat'!$C$4:$E$4,0)))),IF(C153=2030,SUMPRODUCT((B153='Landbrugsareal - resultat'!$B$5:$B$18)*(INDEX('Landbrugsareal - resultat'!$F$5:$H$18,,MATCH(E153,'Landbrugsareal - resultat'!$F$4:$H$4,0)))),SUMPRODUCT((B153='Landbrugsareal - resultat'!$B$5:$B$18)*(INDEX('Landbrugsareal - resultat'!$I$5:$K$18,,MATCH(E153,'Landbrugsareal - resultat'!$I$4:$K$4,0)))))),IF(C153=2019,SUMPRODUCT((B153='Landbrugsareal - resultat'!$B$5:$B$18)*(INDEX('Landbrugsareal - resultat'!$L$5:$N$18,,MATCH(E153,'Landbrugsareal - resultat'!$L$4:$N$4,0)))),IF(C153=2030,SUMPRODUCT((B153='Landbrugsareal - resultat'!$B$5:$B$18)*(INDEX('Landbrugsareal - resultat'!$O$5:$Q$18,,MATCH(E153,'Landbrugsareal - resultat'!$O$4:$Q$4,0)))),SUMPRODUCT((B153='Landbrugsareal - resultat'!$B$5:$B$18)*(INDEX('Landbrugsareal - resultat'!$R$5:$T$18,,MATCH(E153,'Landbrugsareal - resultat'!$R$4:$T$4,0))))))),IF(D153="Konventionel",IF(C153=2019,SUMPRODUCT((B153='Landbrugsareal - resultat'!$B$32:$B$45)*(INDEX('Landbrugsareal - resultat'!$C$32:$E$45,,MATCH(E153,'Landbrugsareal - resultat'!$C$4:$E$4,0)))),IF(C153=2030,SUMPRODUCT((B153='Landbrugsareal - resultat'!$B$32:$B$45)*(INDEX('Landbrugsareal - resultat'!$F$32:$H$45,,MATCH(E153,'Landbrugsareal - resultat'!$F$4:$H$4,0)))),SUMPRODUCT((B153='Landbrugsareal - resultat'!$B$32:$B$45)*(INDEX('Landbrugsareal - resultat'!$I$32:$K$45,,MATCH(E153,'Landbrugsareal - resultat'!$I$4:$K$4,0)))))),IF(C153=2019,SUMPRODUCT((B153='Landbrugsareal - resultat'!$B$32:$B$45)*(INDEX('Landbrugsareal - resultat'!$L$32:$N$45,,MATCH(E153,'Landbrugsareal - resultat'!$L$4:$N$4,0)))),IF(C153=2030,SUMPRODUCT((B153='Landbrugsareal - resultat'!$B$32:$B$45)*(INDEX('Landbrugsareal - resultat'!$O$32:$Q$45,,MATCH(E153,'Landbrugsareal - resultat'!$O$4:$Q$4,0)))),SUMPRODUCT((B153='Landbrugsareal - resultat'!$B$32:$B$45)*(INDEX('Landbrugsareal - resultat'!$R$32:$T$45,,MATCH(E153,'Landbrugsareal - resultat'!$R$4:$T$4,0))))))))</f>
        <v>60.022364000384563</v>
      </c>
      <c r="H153" s="172">
        <f>G153*VLOOKUP(B153,[1]Afgrødedata!$A$5:$F$18,2,FALSE)*IF(D153="Økologisk",VLOOKUP(B153,[1]Afgrødedata!$A$5:$F$18,4,FALSE),1)*IF(E153&lt;&gt;Jordbund1,IF(E153=Organ6,VLOOKUP(B153,[1]Afgrødedata!$A$5:$F$18,5,FALSE),VLOOKUP(B153,[1]Afgrødedata!$A$5:$F$18,6,FALSE)),1)*0.1</f>
        <v>2052.7648488131522</v>
      </c>
      <c r="I153" s="172">
        <f>G153*VLOOKUP(B153,[1]Afgrødedata!$A$5:$F$18,3,FALSE)*IF(D153="Økologisk",VLOOKUP(B153,[1]Afgrødedata!$A$5:$F$18,4,FALSE),1)*IF(E153&lt;&gt;Jordbund1,IF(E153=Organ6,VLOOKUP(B153,[1]Afgrødedata!$A$5:$F$18,5,FALSE),VLOOKUP(B153,[1]Afgrødedata!$A$5:$F$18,6,FALSE)),1)*HLOOKUP(C153,Landbrug!$C$15:$E$17,2,FALSE)*HLOOKUP(C153,Landbrug!$C$15:$E$17,3,FALSE)*0.1</f>
        <v>0</v>
      </c>
      <c r="J153" s="76">
        <f t="shared" si="29"/>
        <v>2052.7648488131522</v>
      </c>
    </row>
    <row r="154" spans="1:10" x14ac:dyDescent="0.55000000000000004">
      <c r="A154" t="s">
        <v>23</v>
      </c>
      <c r="B154" s="1" t="str">
        <f>[1]Afgrødefordeling!$C$14</f>
        <v>Pil &amp; poppel</v>
      </c>
      <c r="C154">
        <v>2030</v>
      </c>
      <c r="D154" t="s">
        <v>8</v>
      </c>
      <c r="E154" s="172" t="str">
        <f t="shared" si="30"/>
        <v>OC6</v>
      </c>
      <c r="F154" t="str">
        <f t="shared" ref="F154" si="31">IF(I154&lt;&gt;0,"Halm",IF(B154&lt;&gt;"Permanent græs",B154,"Græs"))</f>
        <v>Pil &amp; poppel</v>
      </c>
      <c r="G154" s="76" cm="1">
        <f t="array" ref="G154">IF(A154="Vestdanmark",IF(D154="Konventionel",IF(C154=2019,SUMPRODUCT((B154='Landbrugsareal - resultat'!$B$5:$B$18)*(INDEX('Landbrugsareal - resultat'!$C$5:$E$18,,MATCH(E154,'Landbrugsareal - resultat'!$C$4:$E$4,0)))),IF(C154=2030,SUMPRODUCT((B154='Landbrugsareal - resultat'!$B$5:$B$18)*(INDEX('Landbrugsareal - resultat'!$F$5:$H$18,,MATCH(E154,'Landbrugsareal - resultat'!$F$4:$H$4,0)))),SUMPRODUCT((B154='Landbrugsareal - resultat'!$B$5:$B$18)*(INDEX('Landbrugsareal - resultat'!$I$5:$K$18,,MATCH(E154,'Landbrugsareal - resultat'!$I$4:$K$4,0)))))),IF(C154=2019,SUMPRODUCT((B154='Landbrugsareal - resultat'!$B$5:$B$18)*(INDEX('Landbrugsareal - resultat'!$L$5:$N$18,,MATCH(E154,'Landbrugsareal - resultat'!$L$4:$N$4,0)))),IF(C154=2030,SUMPRODUCT((B154='Landbrugsareal - resultat'!$B$5:$B$18)*(INDEX('Landbrugsareal - resultat'!$O$5:$Q$18,,MATCH(E154,'Landbrugsareal - resultat'!$O$4:$Q$4,0)))),SUMPRODUCT((B154='Landbrugsareal - resultat'!$B$5:$B$18)*(INDEX('Landbrugsareal - resultat'!$R$5:$T$18,,MATCH(E154,'Landbrugsareal - resultat'!$R$4:$T$4,0))))))),IF(D154="Konventionel",IF(C154=2019,SUMPRODUCT((B154='Landbrugsareal - resultat'!$B$32:$B$45)*(INDEX('Landbrugsareal - resultat'!$C$32:$E$45,,MATCH(E154,'Landbrugsareal - resultat'!$C$4:$E$4,0)))),IF(C154=2030,SUMPRODUCT((B154='Landbrugsareal - resultat'!$B$32:$B$45)*(INDEX('Landbrugsareal - resultat'!$F$32:$H$45,,MATCH(E154,'Landbrugsareal - resultat'!$F$4:$H$4,0)))),SUMPRODUCT((B154='Landbrugsareal - resultat'!$B$32:$B$45)*(INDEX('Landbrugsareal - resultat'!$I$32:$K$45,,MATCH(E154,'Landbrugsareal - resultat'!$I$4:$K$4,0)))))),IF(C154=2019,SUMPRODUCT((B154='Landbrugsareal - resultat'!$B$32:$B$45)*(INDEX('Landbrugsareal - resultat'!$L$32:$N$45,,MATCH(E154,'Landbrugsareal - resultat'!$L$4:$N$4,0)))),IF(C154=2030,SUMPRODUCT((B154='Landbrugsareal - resultat'!$B$32:$B$45)*(INDEX('Landbrugsareal - resultat'!$O$32:$Q$45,,MATCH(E154,'Landbrugsareal - resultat'!$O$4:$Q$4,0)))),SUMPRODUCT((B154='Landbrugsareal - resultat'!$B$32:$B$45)*(INDEX('Landbrugsareal - resultat'!$R$32:$T$45,,MATCH(E154,'Landbrugsareal - resultat'!$R$4:$T$4,0))))))))</f>
        <v>98.578854439528371</v>
      </c>
      <c r="H154" s="172">
        <f>G154*VLOOKUP(B154,[1]Afgrødedata!$A$5:$F$18,2,FALSE)*IF(D154="Økologisk",VLOOKUP(B154,[1]Afgrødedata!$A$5:$F$18,4,FALSE),1)*IF(E154&lt;&gt;Jordbund1,IF(E154=Organ6,VLOOKUP(B154,[1]Afgrødedata!$A$5:$F$18,5,FALSE),VLOOKUP(B154,[1]Afgrødedata!$A$5:$F$18,6,FALSE)),1)*0.1</f>
        <v>1644.5838155277415</v>
      </c>
      <c r="I154" s="172">
        <f>G154*VLOOKUP(B154,[1]Afgrødedata!$A$5:$F$18,3,FALSE)*IF(D154="Økologisk",VLOOKUP(B154,[1]Afgrødedata!$A$5:$F$18,4,FALSE),1)*IF(E154&lt;&gt;Jordbund1,IF(E154=Organ6,VLOOKUP(B154,[1]Afgrødedata!$A$5:$F$18,5,FALSE),VLOOKUP(B154,[1]Afgrødedata!$A$5:$F$18,6,FALSE)),1)*HLOOKUP(C154,Landbrug!$C$15:$E$17,2,FALSE)*HLOOKUP(C154,Landbrug!$C$15:$E$17,3,FALSE)*0.1</f>
        <v>0</v>
      </c>
      <c r="J154" s="76">
        <f t="shared" ref="J154" si="32">IF(I154&lt;&gt;0,I154,H154)</f>
        <v>1644.5838155277415</v>
      </c>
    </row>
    <row r="155" spans="1:10" x14ac:dyDescent="0.55000000000000004">
      <c r="A155" t="s">
        <v>23</v>
      </c>
      <c r="B155" s="1" t="str">
        <f>[1]Afgrødefordeling!$C$15</f>
        <v>Permanent græs</v>
      </c>
      <c r="C155">
        <v>2030</v>
      </c>
      <c r="D155" t="s">
        <v>8</v>
      </c>
      <c r="E155" s="172" t="str">
        <f t="shared" si="30"/>
        <v>OC6</v>
      </c>
      <c r="F155" t="str">
        <f t="shared" si="28"/>
        <v>Græs</v>
      </c>
      <c r="G155" s="76" cm="1">
        <f t="array" ref="G155">IF(A155="Vestdanmark",IF(D155="Konventionel",IF(C155=2019,SUMPRODUCT((B155='Landbrugsareal - resultat'!$B$5:$B$18)*(INDEX('Landbrugsareal - resultat'!$C$5:$E$18,,MATCH(E155,'Landbrugsareal - resultat'!$C$4:$E$4,0)))),IF(C155=2030,SUMPRODUCT((B155='Landbrugsareal - resultat'!$B$5:$B$18)*(INDEX('Landbrugsareal - resultat'!$F$5:$H$18,,MATCH(E155,'Landbrugsareal - resultat'!$F$4:$H$4,0)))),SUMPRODUCT((B155='Landbrugsareal - resultat'!$B$5:$B$18)*(INDEX('Landbrugsareal - resultat'!$I$5:$K$18,,MATCH(E155,'Landbrugsareal - resultat'!$I$4:$K$4,0)))))),IF(C155=2019,SUMPRODUCT((B155='Landbrugsareal - resultat'!$B$5:$B$18)*(INDEX('Landbrugsareal - resultat'!$L$5:$N$18,,MATCH(E155,'Landbrugsareal - resultat'!$L$4:$N$4,0)))),IF(C155=2030,SUMPRODUCT((B155='Landbrugsareal - resultat'!$B$5:$B$18)*(INDEX('Landbrugsareal - resultat'!$O$5:$Q$18,,MATCH(E155,'Landbrugsareal - resultat'!$O$4:$Q$4,0)))),SUMPRODUCT((B155='Landbrugsareal - resultat'!$B$5:$B$18)*(INDEX('Landbrugsareal - resultat'!$R$5:$T$18,,MATCH(E155,'Landbrugsareal - resultat'!$R$4:$T$4,0))))))),IF(D155="Konventionel",IF(C155=2019,SUMPRODUCT((B155='Landbrugsareal - resultat'!$B$32:$B$45)*(INDEX('Landbrugsareal - resultat'!$C$32:$E$45,,MATCH(E155,'Landbrugsareal - resultat'!$C$4:$E$4,0)))),IF(C155=2030,SUMPRODUCT((B155='Landbrugsareal - resultat'!$B$32:$B$45)*(INDEX('Landbrugsareal - resultat'!$F$32:$H$45,,MATCH(E155,'Landbrugsareal - resultat'!$F$4:$H$4,0)))),SUMPRODUCT((B155='Landbrugsareal - resultat'!$B$32:$B$45)*(INDEX('Landbrugsareal - resultat'!$I$32:$K$45,,MATCH(E155,'Landbrugsareal - resultat'!$I$4:$K$4,0)))))),IF(C155=2019,SUMPRODUCT((B155='Landbrugsareal - resultat'!$B$32:$B$45)*(INDEX('Landbrugsareal - resultat'!$L$32:$N$45,,MATCH(E155,'Landbrugsareal - resultat'!$L$4:$N$4,0)))),IF(C155=2030,SUMPRODUCT((B155='Landbrugsareal - resultat'!$B$32:$B$45)*(INDEX('Landbrugsareal - resultat'!$O$32:$Q$45,,MATCH(E155,'Landbrugsareal - resultat'!$O$4:$Q$4,0)))),SUMPRODUCT((B155='Landbrugsareal - resultat'!$B$32:$B$45)*(INDEX('Landbrugsareal - resultat'!$R$32:$T$45,,MATCH(E155,'Landbrugsareal - resultat'!$R$4:$T$4,0))))))))</f>
        <v>2786.3377297027769</v>
      </c>
      <c r="H155" s="172">
        <f>G155*VLOOKUP(B155,[1]Afgrødedata!$A$5:$F$18,2,FALSE)*IF(D155="Økologisk",VLOOKUP(B155,[1]Afgrødedata!$A$5:$F$18,4,FALSE),1)*IF(E155&lt;&gt;Jordbund1,IF(E155=Organ6,VLOOKUP(B155,[1]Afgrødedata!$A$5:$F$18,5,FALSE),VLOOKUP(B155,[1]Afgrødedata!$A$5:$F$18,6,FALSE)),1)*0.1</f>
        <v>46108.316751121551</v>
      </c>
      <c r="I155" s="172">
        <f>G155*VLOOKUP(B155,[1]Afgrødedata!$A$5:$F$18,3,FALSE)*IF(D155="Økologisk",VLOOKUP(B155,[1]Afgrødedata!$A$5:$F$18,4,FALSE),1)*IF(E155&lt;&gt;Jordbund1,IF(E155=Organ6,VLOOKUP(B155,[1]Afgrødedata!$A$5:$F$18,5,FALSE),VLOOKUP(B155,[1]Afgrødedata!$A$5:$F$18,6,FALSE)),1)*HLOOKUP(C155,Landbrug!$C$15:$E$17,2,FALSE)*HLOOKUP(C155,Landbrug!$C$15:$E$17,3,FALSE)*0.1</f>
        <v>0</v>
      </c>
      <c r="J155" s="76">
        <f t="shared" si="29"/>
        <v>46108.316751121551</v>
      </c>
    </row>
    <row r="156" spans="1:10" x14ac:dyDescent="0.55000000000000004">
      <c r="A156" t="s">
        <v>23</v>
      </c>
      <c r="B156" s="1" t="str">
        <f>[1]Afgrødefordeling!$C$2</f>
        <v>Korn</v>
      </c>
      <c r="C156">
        <v>2050</v>
      </c>
      <c r="D156" t="s">
        <v>8</v>
      </c>
      <c r="E156" s="172" t="str">
        <f t="shared" si="30"/>
        <v>OC6</v>
      </c>
      <c r="F156" t="str">
        <f t="shared" si="28"/>
        <v>Halm</v>
      </c>
      <c r="G156" s="76" cm="1">
        <f t="array" ref="G156">IF(A156="Vestdanmark",IF(D156="Konventionel",IF(C156=2019,SUMPRODUCT((B156='Landbrugsareal - resultat'!$B$5:$B$18)*(INDEX('Landbrugsareal - resultat'!$C$5:$E$18,,MATCH(E156,'Landbrugsareal - resultat'!$C$4:$E$4,0)))),IF(C156=2030,SUMPRODUCT((B156='Landbrugsareal - resultat'!$B$5:$B$18)*(INDEX('Landbrugsareal - resultat'!$F$5:$H$18,,MATCH(E156,'Landbrugsareal - resultat'!$F$4:$H$4,0)))),SUMPRODUCT((B156='Landbrugsareal - resultat'!$B$5:$B$18)*(INDEX('Landbrugsareal - resultat'!$I$5:$K$18,,MATCH(E156,'Landbrugsareal - resultat'!$I$4:$K$4,0)))))),IF(C156=2019,SUMPRODUCT((B156='Landbrugsareal - resultat'!$B$5:$B$18)*(INDEX('Landbrugsareal - resultat'!$L$5:$N$18,,MATCH(E156,'Landbrugsareal - resultat'!$L$4:$N$4,0)))),IF(C156=2030,SUMPRODUCT((B156='Landbrugsareal - resultat'!$B$5:$B$18)*(INDEX('Landbrugsareal - resultat'!$O$5:$Q$18,,MATCH(E156,'Landbrugsareal - resultat'!$O$4:$Q$4,0)))),SUMPRODUCT((B156='Landbrugsareal - resultat'!$B$5:$B$18)*(INDEX('Landbrugsareal - resultat'!$R$5:$T$18,,MATCH(E156,'Landbrugsareal - resultat'!$R$4:$T$4,0))))))),IF(D156="Konventionel",IF(C156=2019,SUMPRODUCT((B156='Landbrugsareal - resultat'!$B$32:$B$45)*(INDEX('Landbrugsareal - resultat'!$C$32:$E$45,,MATCH(E156,'Landbrugsareal - resultat'!$C$4:$E$4,0)))),IF(C156=2030,SUMPRODUCT((B156='Landbrugsareal - resultat'!$B$32:$B$45)*(INDEX('Landbrugsareal - resultat'!$F$32:$H$45,,MATCH(E156,'Landbrugsareal - resultat'!$F$4:$H$4,0)))),SUMPRODUCT((B156='Landbrugsareal - resultat'!$B$32:$B$45)*(INDEX('Landbrugsareal - resultat'!$I$32:$K$45,,MATCH(E156,'Landbrugsareal - resultat'!$I$4:$K$4,0)))))),IF(C156=2019,SUMPRODUCT((B156='Landbrugsareal - resultat'!$B$32:$B$45)*(INDEX('Landbrugsareal - resultat'!$L$32:$N$45,,MATCH(E156,'Landbrugsareal - resultat'!$L$4:$N$4,0)))),IF(C156=2030,SUMPRODUCT((B156='Landbrugsareal - resultat'!$B$32:$B$45)*(INDEX('Landbrugsareal - resultat'!$O$32:$Q$45,,MATCH(E156,'Landbrugsareal - resultat'!$O$4:$Q$4,0)))),SUMPRODUCT((B156='Landbrugsareal - resultat'!$B$32:$B$45)*(INDEX('Landbrugsareal - resultat'!$R$32:$T$45,,MATCH(E156,'Landbrugsareal - resultat'!$R$4:$T$4,0))))))))</f>
        <v>4298.9501894131054</v>
      </c>
      <c r="H156" s="172">
        <f>G156*VLOOKUP(B156,[1]Afgrødedata!$A$5:$F$18,2,FALSE)*IF(D156="Økologisk",VLOOKUP(B156,[1]Afgrødedata!$A$5:$F$18,4,FALSE),1)*IF(E156&lt;&gt;Jordbund1,IF(E156=Organ6,VLOOKUP(B156,[1]Afgrødedata!$A$5:$F$18,5,FALSE),VLOOKUP(B156,[1]Afgrødedata!$A$5:$F$18,6,FALSE)),1)*0.1</f>
        <v>24229.05522553984</v>
      </c>
      <c r="I156" s="172">
        <f>G156*VLOOKUP(B156,[1]Afgrødedata!$A$5:$F$18,3,FALSE)*IF(D156="Økologisk",VLOOKUP(B156,[1]Afgrødedata!$A$5:$F$18,4,FALSE),1)*IF(E156&lt;&gt;Jordbund1,IF(E156=Organ6,VLOOKUP(B156,[1]Afgrødedata!$A$5:$F$18,5,FALSE),VLOOKUP(B156,[1]Afgrødedata!$A$5:$F$18,6,FALSE)),1)*HLOOKUP(C156,Landbrug!$C$15:$E$17,2,FALSE)*HLOOKUP(C156,Landbrug!$C$15:$E$17,3,FALSE)*0.1</f>
        <v>7862.3284206876779</v>
      </c>
      <c r="J156" s="76">
        <f t="shared" si="29"/>
        <v>7862.3284206876779</v>
      </c>
    </row>
    <row r="157" spans="1:10" x14ac:dyDescent="0.55000000000000004">
      <c r="A157" t="s">
        <v>23</v>
      </c>
      <c r="B157" s="1" t="str">
        <f>[1]Afgrødefordeling!$C$3</f>
        <v>Bælgsæd</v>
      </c>
      <c r="C157">
        <v>2050</v>
      </c>
      <c r="D157" t="s">
        <v>8</v>
      </c>
      <c r="E157" s="172" t="str">
        <f t="shared" si="30"/>
        <v>OC6</v>
      </c>
      <c r="F157" t="str">
        <f t="shared" si="28"/>
        <v>Halm</v>
      </c>
      <c r="G157" s="76" cm="1">
        <f t="array" ref="G157">IF(A157="Vestdanmark",IF(D157="Konventionel",IF(C157=2019,SUMPRODUCT((B157='Landbrugsareal - resultat'!$B$5:$B$18)*(INDEX('Landbrugsareal - resultat'!$C$5:$E$18,,MATCH(E157,'Landbrugsareal - resultat'!$C$4:$E$4,0)))),IF(C157=2030,SUMPRODUCT((B157='Landbrugsareal - resultat'!$B$5:$B$18)*(INDEX('Landbrugsareal - resultat'!$F$5:$H$18,,MATCH(E157,'Landbrugsareal - resultat'!$F$4:$H$4,0)))),SUMPRODUCT((B157='Landbrugsareal - resultat'!$B$5:$B$18)*(INDEX('Landbrugsareal - resultat'!$I$5:$K$18,,MATCH(E157,'Landbrugsareal - resultat'!$I$4:$K$4,0)))))),IF(C157=2019,SUMPRODUCT((B157='Landbrugsareal - resultat'!$B$5:$B$18)*(INDEX('Landbrugsareal - resultat'!$L$5:$N$18,,MATCH(E157,'Landbrugsareal - resultat'!$L$4:$N$4,0)))),IF(C157=2030,SUMPRODUCT((B157='Landbrugsareal - resultat'!$B$5:$B$18)*(INDEX('Landbrugsareal - resultat'!$O$5:$Q$18,,MATCH(E157,'Landbrugsareal - resultat'!$O$4:$Q$4,0)))),SUMPRODUCT((B157='Landbrugsareal - resultat'!$B$5:$B$18)*(INDEX('Landbrugsareal - resultat'!$R$5:$T$18,,MATCH(E157,'Landbrugsareal - resultat'!$R$4:$T$4,0))))))),IF(D157="Konventionel",IF(C157=2019,SUMPRODUCT((B157='Landbrugsareal - resultat'!$B$32:$B$45)*(INDEX('Landbrugsareal - resultat'!$C$32:$E$45,,MATCH(E157,'Landbrugsareal - resultat'!$C$4:$E$4,0)))),IF(C157=2030,SUMPRODUCT((B157='Landbrugsareal - resultat'!$B$32:$B$45)*(INDEX('Landbrugsareal - resultat'!$F$32:$H$45,,MATCH(E157,'Landbrugsareal - resultat'!$F$4:$H$4,0)))),SUMPRODUCT((B157='Landbrugsareal - resultat'!$B$32:$B$45)*(INDEX('Landbrugsareal - resultat'!$I$32:$K$45,,MATCH(E157,'Landbrugsareal - resultat'!$I$4:$K$4,0)))))),IF(C157=2019,SUMPRODUCT((B157='Landbrugsareal - resultat'!$B$32:$B$45)*(INDEX('Landbrugsareal - resultat'!$L$32:$N$45,,MATCH(E157,'Landbrugsareal - resultat'!$L$4:$N$4,0)))),IF(C157=2030,SUMPRODUCT((B157='Landbrugsareal - resultat'!$B$32:$B$45)*(INDEX('Landbrugsareal - resultat'!$O$32:$Q$45,,MATCH(E157,'Landbrugsareal - resultat'!$O$4:$Q$4,0)))),SUMPRODUCT((B157='Landbrugsareal - resultat'!$B$32:$B$45)*(INDEX('Landbrugsareal - resultat'!$R$32:$T$45,,MATCH(E157,'Landbrugsareal - resultat'!$R$4:$T$4,0))))))))</f>
        <v>368.52407871291382</v>
      </c>
      <c r="H157" s="172">
        <f>G157*VLOOKUP(B157,[1]Afgrødedata!$A$5:$F$18,2,FALSE)*IF(D157="Økologisk",VLOOKUP(B157,[1]Afgrødedata!$A$5:$F$18,4,FALSE),1)*IF(E157&lt;&gt;Jordbund1,IF(E157=Organ6,VLOOKUP(B157,[1]Afgrødedata!$A$5:$F$18,5,FALSE),VLOOKUP(B157,[1]Afgrødedata!$A$5:$F$18,6,FALSE)),1)*0.1</f>
        <v>972.99201358098344</v>
      </c>
      <c r="I157" s="172">
        <f>G157*VLOOKUP(B157,[1]Afgrødedata!$A$5:$F$18,3,FALSE)*IF(D157="Økologisk",VLOOKUP(B157,[1]Afgrødedata!$A$5:$F$18,4,FALSE),1)*IF(E157&lt;&gt;Jordbund1,IF(E157=Organ6,VLOOKUP(B157,[1]Afgrødedata!$A$5:$F$18,5,FALSE),VLOOKUP(B157,[1]Afgrødedata!$A$5:$F$18,6,FALSE)),1)*HLOOKUP(C157,Landbrug!$C$15:$E$17,2,FALSE)*HLOOKUP(C157,Landbrug!$C$15:$E$17,3,FALSE)*0.1</f>
        <v>287.18136558359549</v>
      </c>
      <c r="J157" s="76">
        <f t="shared" si="29"/>
        <v>287.18136558359549</v>
      </c>
    </row>
    <row r="158" spans="1:10" x14ac:dyDescent="0.55000000000000004">
      <c r="A158" t="s">
        <v>23</v>
      </c>
      <c r="B158" s="1" t="str">
        <f>[1]Afgrødefordeling!$C$4</f>
        <v>Raps</v>
      </c>
      <c r="C158">
        <v>2050</v>
      </c>
      <c r="D158" t="s">
        <v>8</v>
      </c>
      <c r="E158" s="172" t="str">
        <f t="shared" si="30"/>
        <v>OC6</v>
      </c>
      <c r="F158" t="str">
        <f t="shared" si="28"/>
        <v>Halm</v>
      </c>
      <c r="G158" s="76" cm="1">
        <f t="array" ref="G158">IF(A158="Vestdanmark",IF(D158="Konventionel",IF(C158=2019,SUMPRODUCT((B158='Landbrugsareal - resultat'!$B$5:$B$18)*(INDEX('Landbrugsareal - resultat'!$C$5:$E$18,,MATCH(E158,'Landbrugsareal - resultat'!$C$4:$E$4,0)))),IF(C158=2030,SUMPRODUCT((B158='Landbrugsareal - resultat'!$B$5:$B$18)*(INDEX('Landbrugsareal - resultat'!$F$5:$H$18,,MATCH(E158,'Landbrugsareal - resultat'!$F$4:$H$4,0)))),SUMPRODUCT((B158='Landbrugsareal - resultat'!$B$5:$B$18)*(INDEX('Landbrugsareal - resultat'!$I$5:$K$18,,MATCH(E158,'Landbrugsareal - resultat'!$I$4:$K$4,0)))))),IF(C158=2019,SUMPRODUCT((B158='Landbrugsareal - resultat'!$B$5:$B$18)*(INDEX('Landbrugsareal - resultat'!$L$5:$N$18,,MATCH(E158,'Landbrugsareal - resultat'!$L$4:$N$4,0)))),IF(C158=2030,SUMPRODUCT((B158='Landbrugsareal - resultat'!$B$5:$B$18)*(INDEX('Landbrugsareal - resultat'!$O$5:$Q$18,,MATCH(E158,'Landbrugsareal - resultat'!$O$4:$Q$4,0)))),SUMPRODUCT((B158='Landbrugsareal - resultat'!$B$5:$B$18)*(INDEX('Landbrugsareal - resultat'!$R$5:$T$18,,MATCH(E158,'Landbrugsareal - resultat'!$R$4:$T$4,0))))))),IF(D158="Konventionel",IF(C158=2019,SUMPRODUCT((B158='Landbrugsareal - resultat'!$B$32:$B$45)*(INDEX('Landbrugsareal - resultat'!$C$32:$E$45,,MATCH(E158,'Landbrugsareal - resultat'!$C$4:$E$4,0)))),IF(C158=2030,SUMPRODUCT((B158='Landbrugsareal - resultat'!$B$32:$B$45)*(INDEX('Landbrugsareal - resultat'!$F$32:$H$45,,MATCH(E158,'Landbrugsareal - resultat'!$F$4:$H$4,0)))),SUMPRODUCT((B158='Landbrugsareal - resultat'!$B$32:$B$45)*(INDEX('Landbrugsareal - resultat'!$I$32:$K$45,,MATCH(E158,'Landbrugsareal - resultat'!$I$4:$K$4,0)))))),IF(C158=2019,SUMPRODUCT((B158='Landbrugsareal - resultat'!$B$32:$B$45)*(INDEX('Landbrugsareal - resultat'!$L$32:$N$45,,MATCH(E158,'Landbrugsareal - resultat'!$L$4:$N$4,0)))),IF(C158=2030,SUMPRODUCT((B158='Landbrugsareal - resultat'!$B$32:$B$45)*(INDEX('Landbrugsareal - resultat'!$O$32:$Q$45,,MATCH(E158,'Landbrugsareal - resultat'!$O$4:$Q$4,0)))),SUMPRODUCT((B158='Landbrugsareal - resultat'!$B$32:$B$45)*(INDEX('Landbrugsareal - resultat'!$R$32:$T$45,,MATCH(E158,'Landbrugsareal - resultat'!$R$4:$T$4,0))))))))</f>
        <v>394.60931804513621</v>
      </c>
      <c r="H158" s="172">
        <f>G158*VLOOKUP(B158,[1]Afgrødedata!$A$5:$F$18,2,FALSE)*IF(D158="Økologisk",VLOOKUP(B158,[1]Afgrødedata!$A$5:$F$18,4,FALSE),1)*IF(E158&lt;&gt;Jordbund1,IF(E158=Organ6,VLOOKUP(B158,[1]Afgrødedata!$A$5:$F$18,5,FALSE),VLOOKUP(B158,[1]Afgrødedata!$A$5:$F$18,6,FALSE)),1)*0.1</f>
        <v>1145.9454596030757</v>
      </c>
      <c r="I158" s="172">
        <f>G158*VLOOKUP(B158,[1]Afgrødedata!$A$5:$F$18,3,FALSE)*IF(D158="Økologisk",VLOOKUP(B158,[1]Afgrødedata!$A$5:$F$18,4,FALSE),1)*IF(E158&lt;&gt;Jordbund1,IF(E158=Organ6,VLOOKUP(B158,[1]Afgrødedata!$A$5:$F$18,5,FALSE),VLOOKUP(B158,[1]Afgrødedata!$A$5:$F$18,6,FALSE)),1)*HLOOKUP(C158,Landbrug!$C$15:$E$17,2,FALSE)*HLOOKUP(C158,Landbrug!$C$15:$E$17,3,FALSE)*0.1</f>
        <v>608.49703904923308</v>
      </c>
      <c r="J158" s="76">
        <f t="shared" si="29"/>
        <v>608.49703904923308</v>
      </c>
    </row>
    <row r="159" spans="1:10" x14ac:dyDescent="0.55000000000000004">
      <c r="A159" t="s">
        <v>23</v>
      </c>
      <c r="B159" s="1" t="str">
        <f>[1]Afgrødefordeling!$C$5</f>
        <v>Græs</v>
      </c>
      <c r="C159">
        <v>2050</v>
      </c>
      <c r="D159" t="s">
        <v>8</v>
      </c>
      <c r="E159" s="172" t="str">
        <f t="shared" si="30"/>
        <v>OC6</v>
      </c>
      <c r="F159" t="str">
        <f t="shared" si="28"/>
        <v>Græs</v>
      </c>
      <c r="G159" s="76" cm="1">
        <f t="array" ref="G159">IF(A159="Vestdanmark",IF(D159="Konventionel",IF(C159=2019,SUMPRODUCT((B159='Landbrugsareal - resultat'!$B$5:$B$18)*(INDEX('Landbrugsareal - resultat'!$C$5:$E$18,,MATCH(E159,'Landbrugsareal - resultat'!$C$4:$E$4,0)))),IF(C159=2030,SUMPRODUCT((B159='Landbrugsareal - resultat'!$B$5:$B$18)*(INDEX('Landbrugsareal - resultat'!$F$5:$H$18,,MATCH(E159,'Landbrugsareal - resultat'!$F$4:$H$4,0)))),SUMPRODUCT((B159='Landbrugsareal - resultat'!$B$5:$B$18)*(INDEX('Landbrugsareal - resultat'!$I$5:$K$18,,MATCH(E159,'Landbrugsareal - resultat'!$I$4:$K$4,0)))))),IF(C159=2019,SUMPRODUCT((B159='Landbrugsareal - resultat'!$B$5:$B$18)*(INDEX('Landbrugsareal - resultat'!$L$5:$N$18,,MATCH(E159,'Landbrugsareal - resultat'!$L$4:$N$4,0)))),IF(C159=2030,SUMPRODUCT((B159='Landbrugsareal - resultat'!$B$5:$B$18)*(INDEX('Landbrugsareal - resultat'!$O$5:$Q$18,,MATCH(E159,'Landbrugsareal - resultat'!$O$4:$Q$4,0)))),SUMPRODUCT((B159='Landbrugsareal - resultat'!$B$5:$B$18)*(INDEX('Landbrugsareal - resultat'!$R$5:$T$18,,MATCH(E159,'Landbrugsareal - resultat'!$R$4:$T$4,0))))))),IF(D159="Konventionel",IF(C159=2019,SUMPRODUCT((B159='Landbrugsareal - resultat'!$B$32:$B$45)*(INDEX('Landbrugsareal - resultat'!$C$32:$E$45,,MATCH(E159,'Landbrugsareal - resultat'!$C$4:$E$4,0)))),IF(C159=2030,SUMPRODUCT((B159='Landbrugsareal - resultat'!$B$32:$B$45)*(INDEX('Landbrugsareal - resultat'!$F$32:$H$45,,MATCH(E159,'Landbrugsareal - resultat'!$F$4:$H$4,0)))),SUMPRODUCT((B159='Landbrugsareal - resultat'!$B$32:$B$45)*(INDEX('Landbrugsareal - resultat'!$I$32:$K$45,,MATCH(E159,'Landbrugsareal - resultat'!$I$4:$K$4,0)))))),IF(C159=2019,SUMPRODUCT((B159='Landbrugsareal - resultat'!$B$32:$B$45)*(INDEX('Landbrugsareal - resultat'!$L$32:$N$45,,MATCH(E159,'Landbrugsareal - resultat'!$L$4:$N$4,0)))),IF(C159=2030,SUMPRODUCT((B159='Landbrugsareal - resultat'!$B$32:$B$45)*(INDEX('Landbrugsareal - resultat'!$O$32:$Q$45,,MATCH(E159,'Landbrugsareal - resultat'!$O$4:$Q$4,0)))),SUMPRODUCT((B159='Landbrugsareal - resultat'!$B$32:$B$45)*(INDEX('Landbrugsareal - resultat'!$R$32:$T$45,,MATCH(E159,'Landbrugsareal - resultat'!$R$4:$T$4,0))))))))</f>
        <v>3641.5940755597057</v>
      </c>
      <c r="H159" s="172">
        <f>G159*VLOOKUP(B159,[1]Afgrødedata!$A$5:$F$18,2,FALSE)*IF(D159="Økologisk",VLOOKUP(B159,[1]Afgrødedata!$A$5:$F$18,4,FALSE),1)*IF(E159&lt;&gt;Jordbund1,IF(E159=Organ6,VLOOKUP(B159,[1]Afgrødedata!$A$5:$F$18,5,FALSE),VLOOKUP(B159,[1]Afgrødedata!$A$5:$F$18,6,FALSE)),1)*0.1</f>
        <v>169131.36055539915</v>
      </c>
      <c r="I159" s="172">
        <f>G159*VLOOKUP(B159,[1]Afgrødedata!$A$5:$F$18,3,FALSE)*IF(D159="Økologisk",VLOOKUP(B159,[1]Afgrødedata!$A$5:$F$18,4,FALSE),1)*IF(E159&lt;&gt;Jordbund1,IF(E159=Organ6,VLOOKUP(B159,[1]Afgrødedata!$A$5:$F$18,5,FALSE),VLOOKUP(B159,[1]Afgrødedata!$A$5:$F$18,6,FALSE)),1)*HLOOKUP(C159,Landbrug!$C$15:$E$17,2,FALSE)*HLOOKUP(C159,Landbrug!$C$15:$E$17,3,FALSE)*0.1</f>
        <v>0</v>
      </c>
      <c r="J159" s="76">
        <f t="shared" si="29"/>
        <v>169131.36055539915</v>
      </c>
    </row>
    <row r="160" spans="1:10" x14ac:dyDescent="0.55000000000000004">
      <c r="A160" t="s">
        <v>23</v>
      </c>
      <c r="B160" s="1" t="str">
        <f>[1]Afgrødefordeling!$C$6</f>
        <v>Grøntsager</v>
      </c>
      <c r="C160">
        <v>2050</v>
      </c>
      <c r="D160" t="s">
        <v>8</v>
      </c>
      <c r="E160" s="172" t="str">
        <f t="shared" si="30"/>
        <v>OC6</v>
      </c>
      <c r="F160" t="str">
        <f t="shared" si="28"/>
        <v>Grøntsager</v>
      </c>
      <c r="G160" s="76" cm="1">
        <f t="array" ref="G160">IF(A160="Vestdanmark",IF(D160="Konventionel",IF(C160=2019,SUMPRODUCT((B160='Landbrugsareal - resultat'!$B$5:$B$18)*(INDEX('Landbrugsareal - resultat'!$C$5:$E$18,,MATCH(E160,'Landbrugsareal - resultat'!$C$4:$E$4,0)))),IF(C160=2030,SUMPRODUCT((B160='Landbrugsareal - resultat'!$B$5:$B$18)*(INDEX('Landbrugsareal - resultat'!$F$5:$H$18,,MATCH(E160,'Landbrugsareal - resultat'!$F$4:$H$4,0)))),SUMPRODUCT((B160='Landbrugsareal - resultat'!$B$5:$B$18)*(INDEX('Landbrugsareal - resultat'!$I$5:$K$18,,MATCH(E160,'Landbrugsareal - resultat'!$I$4:$K$4,0)))))),IF(C160=2019,SUMPRODUCT((B160='Landbrugsareal - resultat'!$B$5:$B$18)*(INDEX('Landbrugsareal - resultat'!$L$5:$N$18,,MATCH(E160,'Landbrugsareal - resultat'!$L$4:$N$4,0)))),IF(C160=2030,SUMPRODUCT((B160='Landbrugsareal - resultat'!$B$5:$B$18)*(INDEX('Landbrugsareal - resultat'!$O$5:$Q$18,,MATCH(E160,'Landbrugsareal - resultat'!$O$4:$Q$4,0)))),SUMPRODUCT((B160='Landbrugsareal - resultat'!$B$5:$B$18)*(INDEX('Landbrugsareal - resultat'!$R$5:$T$18,,MATCH(E160,'Landbrugsareal - resultat'!$R$4:$T$4,0))))))),IF(D160="Konventionel",IF(C160=2019,SUMPRODUCT((B160='Landbrugsareal - resultat'!$B$32:$B$45)*(INDEX('Landbrugsareal - resultat'!$C$32:$E$45,,MATCH(E160,'Landbrugsareal - resultat'!$C$4:$E$4,0)))),IF(C160=2030,SUMPRODUCT((B160='Landbrugsareal - resultat'!$B$32:$B$45)*(INDEX('Landbrugsareal - resultat'!$F$32:$H$45,,MATCH(E160,'Landbrugsareal - resultat'!$F$4:$H$4,0)))),SUMPRODUCT((B160='Landbrugsareal - resultat'!$B$32:$B$45)*(INDEX('Landbrugsareal - resultat'!$I$32:$K$45,,MATCH(E160,'Landbrugsareal - resultat'!$I$4:$K$4,0)))))),IF(C160=2019,SUMPRODUCT((B160='Landbrugsareal - resultat'!$B$32:$B$45)*(INDEX('Landbrugsareal - resultat'!$L$32:$N$45,,MATCH(E160,'Landbrugsareal - resultat'!$L$4:$N$4,0)))),IF(C160=2030,SUMPRODUCT((B160='Landbrugsareal - resultat'!$B$32:$B$45)*(INDEX('Landbrugsareal - resultat'!$O$32:$Q$45,,MATCH(E160,'Landbrugsareal - resultat'!$O$4:$Q$4,0)))),SUMPRODUCT((B160='Landbrugsareal - resultat'!$B$32:$B$45)*(INDEX('Landbrugsareal - resultat'!$R$32:$T$45,,MATCH(E160,'Landbrugsareal - resultat'!$R$4:$T$4,0))))))))</f>
        <v>17.031872466299472</v>
      </c>
      <c r="H160" s="172">
        <f>G160*VLOOKUP(B160,[1]Afgrødedata!$A$5:$F$18,2,FALSE)*IF(D160="Økologisk",VLOOKUP(B160,[1]Afgrødedata!$A$5:$F$18,4,FALSE),1)*IF(E160&lt;&gt;Jordbund1,IF(E160=Organ6,VLOOKUP(B160,[1]Afgrødedata!$A$5:$F$18,5,FALSE),VLOOKUP(B160,[1]Afgrødedata!$A$5:$F$18,6,FALSE)),1)*0.1</f>
        <v>241.7333659141884</v>
      </c>
      <c r="I160" s="172">
        <f>G160*VLOOKUP(B160,[1]Afgrødedata!$A$5:$F$18,3,FALSE)*IF(D160="Økologisk",VLOOKUP(B160,[1]Afgrødedata!$A$5:$F$18,4,FALSE),1)*IF(E160&lt;&gt;Jordbund1,IF(E160=Organ6,VLOOKUP(B160,[1]Afgrødedata!$A$5:$F$18,5,FALSE),VLOOKUP(B160,[1]Afgrødedata!$A$5:$F$18,6,FALSE)),1)*HLOOKUP(C160,Landbrug!$C$15:$E$17,2,FALSE)*HLOOKUP(C160,Landbrug!$C$15:$E$17,3,FALSE)*0.1</f>
        <v>0</v>
      </c>
      <c r="J160" s="76">
        <f t="shared" si="29"/>
        <v>241.7333659141884</v>
      </c>
    </row>
    <row r="161" spans="1:10" x14ac:dyDescent="0.55000000000000004">
      <c r="A161" t="s">
        <v>23</v>
      </c>
      <c r="B161" s="1" t="str">
        <f>[1]Afgrødefordeling!$C$7</f>
        <v>Kartofler</v>
      </c>
      <c r="C161">
        <v>2050</v>
      </c>
      <c r="D161" t="s">
        <v>8</v>
      </c>
      <c r="E161" s="172" t="str">
        <f t="shared" si="30"/>
        <v>OC6</v>
      </c>
      <c r="F161" t="str">
        <f t="shared" si="28"/>
        <v>Kartofler</v>
      </c>
      <c r="G161" s="76" cm="1">
        <f t="array" ref="G161">IF(A161="Vestdanmark",IF(D161="Konventionel",IF(C161=2019,SUMPRODUCT((B161='Landbrugsareal - resultat'!$B$5:$B$18)*(INDEX('Landbrugsareal - resultat'!$C$5:$E$18,,MATCH(E161,'Landbrugsareal - resultat'!$C$4:$E$4,0)))),IF(C161=2030,SUMPRODUCT((B161='Landbrugsareal - resultat'!$B$5:$B$18)*(INDEX('Landbrugsareal - resultat'!$F$5:$H$18,,MATCH(E161,'Landbrugsareal - resultat'!$F$4:$H$4,0)))),SUMPRODUCT((B161='Landbrugsareal - resultat'!$B$5:$B$18)*(INDEX('Landbrugsareal - resultat'!$I$5:$K$18,,MATCH(E161,'Landbrugsareal - resultat'!$I$4:$K$4,0)))))),IF(C161=2019,SUMPRODUCT((B161='Landbrugsareal - resultat'!$B$5:$B$18)*(INDEX('Landbrugsareal - resultat'!$L$5:$N$18,,MATCH(E161,'Landbrugsareal - resultat'!$L$4:$N$4,0)))),IF(C161=2030,SUMPRODUCT((B161='Landbrugsareal - resultat'!$B$5:$B$18)*(INDEX('Landbrugsareal - resultat'!$O$5:$Q$18,,MATCH(E161,'Landbrugsareal - resultat'!$O$4:$Q$4,0)))),SUMPRODUCT((B161='Landbrugsareal - resultat'!$B$5:$B$18)*(INDEX('Landbrugsareal - resultat'!$R$5:$T$18,,MATCH(E161,'Landbrugsareal - resultat'!$R$4:$T$4,0))))))),IF(D161="Konventionel",IF(C161=2019,SUMPRODUCT((B161='Landbrugsareal - resultat'!$B$32:$B$45)*(INDEX('Landbrugsareal - resultat'!$C$32:$E$45,,MATCH(E161,'Landbrugsareal - resultat'!$C$4:$E$4,0)))),IF(C161=2030,SUMPRODUCT((B161='Landbrugsareal - resultat'!$B$32:$B$45)*(INDEX('Landbrugsareal - resultat'!$F$32:$H$45,,MATCH(E161,'Landbrugsareal - resultat'!$F$4:$H$4,0)))),SUMPRODUCT((B161='Landbrugsareal - resultat'!$B$32:$B$45)*(INDEX('Landbrugsareal - resultat'!$I$32:$K$45,,MATCH(E161,'Landbrugsareal - resultat'!$I$4:$K$4,0)))))),IF(C161=2019,SUMPRODUCT((B161='Landbrugsareal - resultat'!$B$32:$B$45)*(INDEX('Landbrugsareal - resultat'!$L$32:$N$45,,MATCH(E161,'Landbrugsareal - resultat'!$L$4:$N$4,0)))),IF(C161=2030,SUMPRODUCT((B161='Landbrugsareal - resultat'!$B$32:$B$45)*(INDEX('Landbrugsareal - resultat'!$O$32:$Q$45,,MATCH(E161,'Landbrugsareal - resultat'!$O$4:$Q$4,0)))),SUMPRODUCT((B161='Landbrugsareal - resultat'!$B$32:$B$45)*(INDEX('Landbrugsareal - resultat'!$R$32:$T$45,,MATCH(E161,'Landbrugsareal - resultat'!$R$4:$T$4,0))))))))</f>
        <v>268.88912123779335</v>
      </c>
      <c r="H161" s="172">
        <f>G161*VLOOKUP(B161,[1]Afgrødedata!$A$5:$F$18,2,FALSE)*IF(D161="Økologisk",VLOOKUP(B161,[1]Afgrødedata!$A$5:$F$18,4,FALSE),1)*IF(E161&lt;&gt;Jordbund1,IF(E161=Organ6,VLOOKUP(B161,[1]Afgrødedata!$A$5:$F$18,5,FALSE),VLOOKUP(B161,[1]Afgrødedata!$A$5:$F$18,6,FALSE)),1)*0.1</f>
        <v>7811.2545804456331</v>
      </c>
      <c r="I161" s="172">
        <f>G161*VLOOKUP(B161,[1]Afgrødedata!$A$5:$F$18,3,FALSE)*IF(D161="Økologisk",VLOOKUP(B161,[1]Afgrødedata!$A$5:$F$18,4,FALSE),1)*IF(E161&lt;&gt;Jordbund1,IF(E161=Organ6,VLOOKUP(B161,[1]Afgrødedata!$A$5:$F$18,5,FALSE),VLOOKUP(B161,[1]Afgrødedata!$A$5:$F$18,6,FALSE)),1)*HLOOKUP(C161,Landbrug!$C$15:$E$17,2,FALSE)*HLOOKUP(C161,Landbrug!$C$15:$E$17,3,FALSE)*0.1</f>
        <v>0</v>
      </c>
      <c r="J161" s="76">
        <f t="shared" si="29"/>
        <v>7811.2545804456331</v>
      </c>
    </row>
    <row r="162" spans="1:10" x14ac:dyDescent="0.55000000000000004">
      <c r="A162" t="s">
        <v>23</v>
      </c>
      <c r="B162" s="1" t="str">
        <f>[1]Afgrødefordeling!$C$8</f>
        <v>Roer</v>
      </c>
      <c r="C162">
        <v>2050</v>
      </c>
      <c r="D162" t="s">
        <v>8</v>
      </c>
      <c r="E162" s="172" t="str">
        <f t="shared" si="30"/>
        <v>OC6</v>
      </c>
      <c r="F162" t="str">
        <f t="shared" si="28"/>
        <v>Roer</v>
      </c>
      <c r="G162" s="76" cm="1">
        <f t="array" ref="G162">IF(A162="Vestdanmark",IF(D162="Konventionel",IF(C162=2019,SUMPRODUCT((B162='Landbrugsareal - resultat'!$B$5:$B$18)*(INDEX('Landbrugsareal - resultat'!$C$5:$E$18,,MATCH(E162,'Landbrugsareal - resultat'!$C$4:$E$4,0)))),IF(C162=2030,SUMPRODUCT((B162='Landbrugsareal - resultat'!$B$5:$B$18)*(INDEX('Landbrugsareal - resultat'!$F$5:$H$18,,MATCH(E162,'Landbrugsareal - resultat'!$F$4:$H$4,0)))),SUMPRODUCT((B162='Landbrugsareal - resultat'!$B$5:$B$18)*(INDEX('Landbrugsareal - resultat'!$I$5:$K$18,,MATCH(E162,'Landbrugsareal - resultat'!$I$4:$K$4,0)))))),IF(C162=2019,SUMPRODUCT((B162='Landbrugsareal - resultat'!$B$5:$B$18)*(INDEX('Landbrugsareal - resultat'!$L$5:$N$18,,MATCH(E162,'Landbrugsareal - resultat'!$L$4:$N$4,0)))),IF(C162=2030,SUMPRODUCT((B162='Landbrugsareal - resultat'!$B$5:$B$18)*(INDEX('Landbrugsareal - resultat'!$O$5:$Q$18,,MATCH(E162,'Landbrugsareal - resultat'!$O$4:$Q$4,0)))),SUMPRODUCT((B162='Landbrugsareal - resultat'!$B$5:$B$18)*(INDEX('Landbrugsareal - resultat'!$R$5:$T$18,,MATCH(E162,'Landbrugsareal - resultat'!$R$4:$T$4,0))))))),IF(D162="Konventionel",IF(C162=2019,SUMPRODUCT((B162='Landbrugsareal - resultat'!$B$32:$B$45)*(INDEX('Landbrugsareal - resultat'!$C$32:$E$45,,MATCH(E162,'Landbrugsareal - resultat'!$C$4:$E$4,0)))),IF(C162=2030,SUMPRODUCT((B162='Landbrugsareal - resultat'!$B$32:$B$45)*(INDEX('Landbrugsareal - resultat'!$F$32:$H$45,,MATCH(E162,'Landbrugsareal - resultat'!$F$4:$H$4,0)))),SUMPRODUCT((B162='Landbrugsareal - resultat'!$B$32:$B$45)*(INDEX('Landbrugsareal - resultat'!$I$32:$K$45,,MATCH(E162,'Landbrugsareal - resultat'!$I$4:$K$4,0)))))),IF(C162=2019,SUMPRODUCT((B162='Landbrugsareal - resultat'!$B$32:$B$45)*(INDEX('Landbrugsareal - resultat'!$L$32:$N$45,,MATCH(E162,'Landbrugsareal - resultat'!$L$4:$N$4,0)))),IF(C162=2030,SUMPRODUCT((B162='Landbrugsareal - resultat'!$B$32:$B$45)*(INDEX('Landbrugsareal - resultat'!$O$32:$Q$45,,MATCH(E162,'Landbrugsareal - resultat'!$O$4:$Q$4,0)))),SUMPRODUCT((B162='Landbrugsareal - resultat'!$B$32:$B$45)*(INDEX('Landbrugsareal - resultat'!$R$32:$T$45,,MATCH(E162,'Landbrugsareal - resultat'!$R$4:$T$4,0))))))))</f>
        <v>7.0543919843121516</v>
      </c>
      <c r="H162" s="172">
        <f>G162*VLOOKUP(B162,[1]Afgrødedata!$A$5:$F$18,2,FALSE)*IF(D162="Økologisk",VLOOKUP(B162,[1]Afgrødedata!$A$5:$F$18,4,FALSE),1)*IF(E162&lt;&gt;Jordbund1,IF(E162=Organ6,VLOOKUP(B162,[1]Afgrødedata!$A$5:$F$18,5,FALSE),VLOOKUP(B162,[1]Afgrødedata!$A$5:$F$18,6,FALSE)),1)*0.1</f>
        <v>392.06583902112266</v>
      </c>
      <c r="I162" s="172">
        <f>G162*VLOOKUP(B162,[1]Afgrødedata!$A$5:$F$18,3,FALSE)*IF(D162="Økologisk",VLOOKUP(B162,[1]Afgrødedata!$A$5:$F$18,4,FALSE),1)*IF(E162&lt;&gt;Jordbund1,IF(E162=Organ6,VLOOKUP(B162,[1]Afgrødedata!$A$5:$F$18,5,FALSE),VLOOKUP(B162,[1]Afgrødedata!$A$5:$F$18,6,FALSE)),1)*HLOOKUP(C162,Landbrug!$C$15:$E$17,2,FALSE)*HLOOKUP(C162,Landbrug!$C$15:$E$17,3,FALSE)*0.1</f>
        <v>0</v>
      </c>
      <c r="J162" s="76">
        <f t="shared" si="29"/>
        <v>392.06583902112266</v>
      </c>
    </row>
    <row r="163" spans="1:10" x14ac:dyDescent="0.55000000000000004">
      <c r="A163" t="s">
        <v>23</v>
      </c>
      <c r="B163" s="1" t="str">
        <f>[1]Afgrødefordeling!$C$9</f>
        <v>Majs</v>
      </c>
      <c r="C163">
        <v>2050</v>
      </c>
      <c r="D163" t="s">
        <v>8</v>
      </c>
      <c r="E163" s="172" t="str">
        <f t="shared" si="30"/>
        <v>OC6</v>
      </c>
      <c r="F163" t="str">
        <f t="shared" si="28"/>
        <v>Majs</v>
      </c>
      <c r="G163" s="76" cm="1">
        <f t="array" ref="G163">IF(A163="Vestdanmark",IF(D163="Konventionel",IF(C163=2019,SUMPRODUCT((B163='Landbrugsareal - resultat'!$B$5:$B$18)*(INDEX('Landbrugsareal - resultat'!$C$5:$E$18,,MATCH(E163,'Landbrugsareal - resultat'!$C$4:$E$4,0)))),IF(C163=2030,SUMPRODUCT((B163='Landbrugsareal - resultat'!$B$5:$B$18)*(INDEX('Landbrugsareal - resultat'!$F$5:$H$18,,MATCH(E163,'Landbrugsareal - resultat'!$F$4:$H$4,0)))),SUMPRODUCT((B163='Landbrugsareal - resultat'!$B$5:$B$18)*(INDEX('Landbrugsareal - resultat'!$I$5:$K$18,,MATCH(E163,'Landbrugsareal - resultat'!$I$4:$K$4,0)))))),IF(C163=2019,SUMPRODUCT((B163='Landbrugsareal - resultat'!$B$5:$B$18)*(INDEX('Landbrugsareal - resultat'!$L$5:$N$18,,MATCH(E163,'Landbrugsareal - resultat'!$L$4:$N$4,0)))),IF(C163=2030,SUMPRODUCT((B163='Landbrugsareal - resultat'!$B$5:$B$18)*(INDEX('Landbrugsareal - resultat'!$O$5:$Q$18,,MATCH(E163,'Landbrugsareal - resultat'!$O$4:$Q$4,0)))),SUMPRODUCT((B163='Landbrugsareal - resultat'!$B$5:$B$18)*(INDEX('Landbrugsareal - resultat'!$R$5:$T$18,,MATCH(E163,'Landbrugsareal - resultat'!$R$4:$T$4,0))))))),IF(D163="Konventionel",IF(C163=2019,SUMPRODUCT((B163='Landbrugsareal - resultat'!$B$32:$B$45)*(INDEX('Landbrugsareal - resultat'!$C$32:$E$45,,MATCH(E163,'Landbrugsareal - resultat'!$C$4:$E$4,0)))),IF(C163=2030,SUMPRODUCT((B163='Landbrugsareal - resultat'!$B$32:$B$45)*(INDEX('Landbrugsareal - resultat'!$F$32:$H$45,,MATCH(E163,'Landbrugsareal - resultat'!$F$4:$H$4,0)))),SUMPRODUCT((B163='Landbrugsareal - resultat'!$B$32:$B$45)*(INDEX('Landbrugsareal - resultat'!$I$32:$K$45,,MATCH(E163,'Landbrugsareal - resultat'!$I$4:$K$4,0)))))),IF(C163=2019,SUMPRODUCT((B163='Landbrugsareal - resultat'!$B$32:$B$45)*(INDEX('Landbrugsareal - resultat'!$L$32:$N$45,,MATCH(E163,'Landbrugsareal - resultat'!$L$4:$N$4,0)))),IF(C163=2030,SUMPRODUCT((B163='Landbrugsareal - resultat'!$B$32:$B$45)*(INDEX('Landbrugsareal - resultat'!$O$32:$Q$45,,MATCH(E163,'Landbrugsareal - resultat'!$O$4:$Q$4,0)))),SUMPRODUCT((B163='Landbrugsareal - resultat'!$B$32:$B$45)*(INDEX('Landbrugsareal - resultat'!$R$32:$T$45,,MATCH(E163,'Landbrugsareal - resultat'!$R$4:$T$4,0))))))))</f>
        <v>910.61599521716903</v>
      </c>
      <c r="H163" s="172">
        <f>G163*VLOOKUP(B163,[1]Afgrødedata!$A$5:$F$18,2,FALSE)*IF(D163="Økologisk",VLOOKUP(B163,[1]Afgrødedata!$A$5:$F$18,4,FALSE),1)*IF(E163&lt;&gt;Jordbund1,IF(E163=Organ6,VLOOKUP(B163,[1]Afgrødedata!$A$5:$F$18,5,FALSE),VLOOKUP(B163,[1]Afgrødedata!$A$5:$F$18,6,FALSE)),1)*0.1</f>
        <v>40369.391875327732</v>
      </c>
      <c r="I163" s="172">
        <f>G163*VLOOKUP(B163,[1]Afgrødedata!$A$5:$F$18,3,FALSE)*IF(D163="Økologisk",VLOOKUP(B163,[1]Afgrødedata!$A$5:$F$18,4,FALSE),1)*IF(E163&lt;&gt;Jordbund1,IF(E163=Organ6,VLOOKUP(B163,[1]Afgrødedata!$A$5:$F$18,5,FALSE),VLOOKUP(B163,[1]Afgrødedata!$A$5:$F$18,6,FALSE)),1)*HLOOKUP(C163,Landbrug!$C$15:$E$17,2,FALSE)*HLOOKUP(C163,Landbrug!$C$15:$E$17,3,FALSE)*0.1</f>
        <v>0</v>
      </c>
      <c r="J163" s="76">
        <f t="shared" si="29"/>
        <v>40369.391875327732</v>
      </c>
    </row>
    <row r="164" spans="1:10" x14ac:dyDescent="0.55000000000000004">
      <c r="A164" t="s">
        <v>23</v>
      </c>
      <c r="B164" s="1" t="str">
        <f>[1]Afgrødefordeling!$C$10</f>
        <v>Frugt</v>
      </c>
      <c r="C164">
        <v>2050</v>
      </c>
      <c r="D164" t="s">
        <v>8</v>
      </c>
      <c r="E164" s="172" t="str">
        <f t="shared" si="30"/>
        <v>OC6</v>
      </c>
      <c r="F164" t="str">
        <f t="shared" si="28"/>
        <v>Frugt</v>
      </c>
      <c r="G164" s="76" cm="1">
        <f t="array" ref="G164">IF(A164="Vestdanmark",IF(D164="Konventionel",IF(C164=2019,SUMPRODUCT((B164='Landbrugsareal - resultat'!$B$5:$B$18)*(INDEX('Landbrugsareal - resultat'!$C$5:$E$18,,MATCH(E164,'Landbrugsareal - resultat'!$C$4:$E$4,0)))),IF(C164=2030,SUMPRODUCT((B164='Landbrugsareal - resultat'!$B$5:$B$18)*(INDEX('Landbrugsareal - resultat'!$F$5:$H$18,,MATCH(E164,'Landbrugsareal - resultat'!$F$4:$H$4,0)))),SUMPRODUCT((B164='Landbrugsareal - resultat'!$B$5:$B$18)*(INDEX('Landbrugsareal - resultat'!$I$5:$K$18,,MATCH(E164,'Landbrugsareal - resultat'!$I$4:$K$4,0)))))),IF(C164=2019,SUMPRODUCT((B164='Landbrugsareal - resultat'!$B$5:$B$18)*(INDEX('Landbrugsareal - resultat'!$L$5:$N$18,,MATCH(E164,'Landbrugsareal - resultat'!$L$4:$N$4,0)))),IF(C164=2030,SUMPRODUCT((B164='Landbrugsareal - resultat'!$B$5:$B$18)*(INDEX('Landbrugsareal - resultat'!$O$5:$Q$18,,MATCH(E164,'Landbrugsareal - resultat'!$O$4:$Q$4,0)))),SUMPRODUCT((B164='Landbrugsareal - resultat'!$B$5:$B$18)*(INDEX('Landbrugsareal - resultat'!$R$5:$T$18,,MATCH(E164,'Landbrugsareal - resultat'!$R$4:$T$4,0))))))),IF(D164="Konventionel",IF(C164=2019,SUMPRODUCT((B164='Landbrugsareal - resultat'!$B$32:$B$45)*(INDEX('Landbrugsareal - resultat'!$C$32:$E$45,,MATCH(E164,'Landbrugsareal - resultat'!$C$4:$E$4,0)))),IF(C164=2030,SUMPRODUCT((B164='Landbrugsareal - resultat'!$B$32:$B$45)*(INDEX('Landbrugsareal - resultat'!$F$32:$H$45,,MATCH(E164,'Landbrugsareal - resultat'!$F$4:$H$4,0)))),SUMPRODUCT((B164='Landbrugsareal - resultat'!$B$32:$B$45)*(INDEX('Landbrugsareal - resultat'!$I$32:$K$45,,MATCH(E164,'Landbrugsareal - resultat'!$I$4:$K$4,0)))))),IF(C164=2019,SUMPRODUCT((B164='Landbrugsareal - resultat'!$B$32:$B$45)*(INDEX('Landbrugsareal - resultat'!$L$32:$N$45,,MATCH(E164,'Landbrugsareal - resultat'!$L$4:$N$4,0)))),IF(C164=2030,SUMPRODUCT((B164='Landbrugsareal - resultat'!$B$32:$B$45)*(INDEX('Landbrugsareal - resultat'!$O$32:$Q$45,,MATCH(E164,'Landbrugsareal - resultat'!$O$4:$Q$4,0)))),SUMPRODUCT((B164='Landbrugsareal - resultat'!$B$32:$B$45)*(INDEX('Landbrugsareal - resultat'!$R$32:$T$45,,MATCH(E164,'Landbrugsareal - resultat'!$R$4:$T$4,0))))))))</f>
        <v>15.513126294100001</v>
      </c>
      <c r="H164" s="172">
        <f>G164*VLOOKUP(B164,[1]Afgrødedata!$A$5:$F$18,2,FALSE)*IF(D164="Økologisk",VLOOKUP(B164,[1]Afgrødedata!$A$5:$F$18,4,FALSE),1)*IF(E164&lt;&gt;Jordbund1,IF(E164=Organ6,VLOOKUP(B164,[1]Afgrødedata!$A$5:$F$18,5,FALSE),VLOOKUP(B164,[1]Afgrødedata!$A$5:$F$18,6,FALSE)),1)*0.1</f>
        <v>90.087206490045759</v>
      </c>
      <c r="I164" s="172">
        <f>G164*VLOOKUP(B164,[1]Afgrødedata!$A$5:$F$18,3,FALSE)*IF(D164="Økologisk",VLOOKUP(B164,[1]Afgrødedata!$A$5:$F$18,4,FALSE),1)*IF(E164&lt;&gt;Jordbund1,IF(E164=Organ6,VLOOKUP(B164,[1]Afgrødedata!$A$5:$F$18,5,FALSE),VLOOKUP(B164,[1]Afgrødedata!$A$5:$F$18,6,FALSE)),1)*HLOOKUP(C164,Landbrug!$C$15:$E$17,2,FALSE)*HLOOKUP(C164,Landbrug!$C$15:$E$17,3,FALSE)*0.1</f>
        <v>0</v>
      </c>
      <c r="J164" s="76">
        <f t="shared" si="29"/>
        <v>90.087206490045759</v>
      </c>
    </row>
    <row r="165" spans="1:10" x14ac:dyDescent="0.55000000000000004">
      <c r="A165" t="s">
        <v>23</v>
      </c>
      <c r="B165" s="1" t="str">
        <f>[1]Afgrødefordeling!$C$11</f>
        <v>Øvrige</v>
      </c>
      <c r="C165">
        <v>2050</v>
      </c>
      <c r="D165" t="s">
        <v>8</v>
      </c>
      <c r="E165" s="172" t="str">
        <f t="shared" si="30"/>
        <v>OC6</v>
      </c>
      <c r="F165" t="str">
        <f t="shared" si="28"/>
        <v>Øvrige</v>
      </c>
      <c r="G165" s="76" cm="1">
        <f t="array" ref="G165">IF(A165="Vestdanmark",IF(D165="Konventionel",IF(C165=2019,SUMPRODUCT((B165='Landbrugsareal - resultat'!$B$5:$B$18)*(INDEX('Landbrugsareal - resultat'!$C$5:$E$18,,MATCH(E165,'Landbrugsareal - resultat'!$C$4:$E$4,0)))),IF(C165=2030,SUMPRODUCT((B165='Landbrugsareal - resultat'!$B$5:$B$18)*(INDEX('Landbrugsareal - resultat'!$F$5:$H$18,,MATCH(E165,'Landbrugsareal - resultat'!$F$4:$H$4,0)))),SUMPRODUCT((B165='Landbrugsareal - resultat'!$B$5:$B$18)*(INDEX('Landbrugsareal - resultat'!$I$5:$K$18,,MATCH(E165,'Landbrugsareal - resultat'!$I$4:$K$4,0)))))),IF(C165=2019,SUMPRODUCT((B165='Landbrugsareal - resultat'!$B$5:$B$18)*(INDEX('Landbrugsareal - resultat'!$L$5:$N$18,,MATCH(E165,'Landbrugsareal - resultat'!$L$4:$N$4,0)))),IF(C165=2030,SUMPRODUCT((B165='Landbrugsareal - resultat'!$B$5:$B$18)*(INDEX('Landbrugsareal - resultat'!$O$5:$Q$18,,MATCH(E165,'Landbrugsareal - resultat'!$O$4:$Q$4,0)))),SUMPRODUCT((B165='Landbrugsareal - resultat'!$B$5:$B$18)*(INDEX('Landbrugsareal - resultat'!$R$5:$T$18,,MATCH(E165,'Landbrugsareal - resultat'!$R$4:$T$4,0))))))),IF(D165="Konventionel",IF(C165=2019,SUMPRODUCT((B165='Landbrugsareal - resultat'!$B$32:$B$45)*(INDEX('Landbrugsareal - resultat'!$C$32:$E$45,,MATCH(E165,'Landbrugsareal - resultat'!$C$4:$E$4,0)))),IF(C165=2030,SUMPRODUCT((B165='Landbrugsareal - resultat'!$B$32:$B$45)*(INDEX('Landbrugsareal - resultat'!$F$32:$H$45,,MATCH(E165,'Landbrugsareal - resultat'!$F$4:$H$4,0)))),SUMPRODUCT((B165='Landbrugsareal - resultat'!$B$32:$B$45)*(INDEX('Landbrugsareal - resultat'!$I$32:$K$45,,MATCH(E165,'Landbrugsareal - resultat'!$I$4:$K$4,0)))))),IF(C165=2019,SUMPRODUCT((B165='Landbrugsareal - resultat'!$B$32:$B$45)*(INDEX('Landbrugsareal - resultat'!$L$32:$N$45,,MATCH(E165,'Landbrugsareal - resultat'!$L$4:$N$4,0)))),IF(C165=2030,SUMPRODUCT((B165='Landbrugsareal - resultat'!$B$32:$B$45)*(INDEX('Landbrugsareal - resultat'!$O$32:$Q$45,,MATCH(E165,'Landbrugsareal - resultat'!$O$4:$Q$4,0)))),SUMPRODUCT((B165='Landbrugsareal - resultat'!$B$32:$B$45)*(INDEX('Landbrugsareal - resultat'!$R$32:$T$45,,MATCH(E165,'Landbrugsareal - resultat'!$R$4:$T$4,0))))))))</f>
        <v>274.36362194383406</v>
      </c>
      <c r="H165" s="172">
        <f>G165*VLOOKUP(B165,[1]Afgrødedata!$A$5:$F$18,2,FALSE)*IF(D165="Økologisk",VLOOKUP(B165,[1]Afgrødedata!$A$5:$F$18,4,FALSE),1)*IF(E165&lt;&gt;Jordbund1,IF(E165=Organ6,VLOOKUP(B165,[1]Afgrødedata!$A$5:$F$18,5,FALSE),VLOOKUP(B165,[1]Afgrødedata!$A$5:$F$18,6,FALSE)),1)*0.1</f>
        <v>5591.6473184156675</v>
      </c>
      <c r="I165" s="172">
        <f>G165*VLOOKUP(B165,[1]Afgrødedata!$A$5:$F$18,3,FALSE)*IF(D165="Økologisk",VLOOKUP(B165,[1]Afgrødedata!$A$5:$F$18,4,FALSE),1)*IF(E165&lt;&gt;Jordbund1,IF(E165=Organ6,VLOOKUP(B165,[1]Afgrødedata!$A$5:$F$18,5,FALSE),VLOOKUP(B165,[1]Afgrødedata!$A$5:$F$18,6,FALSE)),1)*HLOOKUP(C165,Landbrug!$C$15:$E$17,2,FALSE)*HLOOKUP(C165,Landbrug!$C$15:$E$17,3,FALSE)*0.1</f>
        <v>0</v>
      </c>
      <c r="J165" s="76">
        <f t="shared" si="29"/>
        <v>5591.6473184156675</v>
      </c>
    </row>
    <row r="166" spans="1:10" x14ac:dyDescent="0.55000000000000004">
      <c r="A166" t="s">
        <v>23</v>
      </c>
      <c r="B166" s="1" t="str">
        <f>[1]Afgrødefordeling!$C$12</f>
        <v>Frø</v>
      </c>
      <c r="C166">
        <v>2050</v>
      </c>
      <c r="D166" t="s">
        <v>8</v>
      </c>
      <c r="E166" s="172" t="str">
        <f t="shared" si="30"/>
        <v>OC6</v>
      </c>
      <c r="F166" t="str">
        <f t="shared" si="28"/>
        <v>Halm</v>
      </c>
      <c r="G166" s="76" cm="1">
        <f t="array" ref="G166">IF(A166="Vestdanmark",IF(D166="Konventionel",IF(C166=2019,SUMPRODUCT((B166='Landbrugsareal - resultat'!$B$5:$B$18)*(INDEX('Landbrugsareal - resultat'!$C$5:$E$18,,MATCH(E166,'Landbrugsareal - resultat'!$C$4:$E$4,0)))),IF(C166=2030,SUMPRODUCT((B166='Landbrugsareal - resultat'!$B$5:$B$18)*(INDEX('Landbrugsareal - resultat'!$F$5:$H$18,,MATCH(E166,'Landbrugsareal - resultat'!$F$4:$H$4,0)))),SUMPRODUCT((B166='Landbrugsareal - resultat'!$B$5:$B$18)*(INDEX('Landbrugsareal - resultat'!$I$5:$K$18,,MATCH(E166,'Landbrugsareal - resultat'!$I$4:$K$4,0)))))),IF(C166=2019,SUMPRODUCT((B166='Landbrugsareal - resultat'!$B$5:$B$18)*(INDEX('Landbrugsareal - resultat'!$L$5:$N$18,,MATCH(E166,'Landbrugsareal - resultat'!$L$4:$N$4,0)))),IF(C166=2030,SUMPRODUCT((B166='Landbrugsareal - resultat'!$B$5:$B$18)*(INDEX('Landbrugsareal - resultat'!$O$5:$Q$18,,MATCH(E166,'Landbrugsareal - resultat'!$O$4:$Q$4,0)))),SUMPRODUCT((B166='Landbrugsareal - resultat'!$B$5:$B$18)*(INDEX('Landbrugsareal - resultat'!$R$5:$T$18,,MATCH(E166,'Landbrugsareal - resultat'!$R$4:$T$4,0))))))),IF(D166="Konventionel",IF(C166=2019,SUMPRODUCT((B166='Landbrugsareal - resultat'!$B$32:$B$45)*(INDEX('Landbrugsareal - resultat'!$C$32:$E$45,,MATCH(E166,'Landbrugsareal - resultat'!$C$4:$E$4,0)))),IF(C166=2030,SUMPRODUCT((B166='Landbrugsareal - resultat'!$B$32:$B$45)*(INDEX('Landbrugsareal - resultat'!$F$32:$H$45,,MATCH(E166,'Landbrugsareal - resultat'!$F$4:$H$4,0)))),SUMPRODUCT((B166='Landbrugsareal - resultat'!$B$32:$B$45)*(INDEX('Landbrugsareal - resultat'!$I$32:$K$45,,MATCH(E166,'Landbrugsareal - resultat'!$I$4:$K$4,0)))))),IF(C166=2019,SUMPRODUCT((B166='Landbrugsareal - resultat'!$B$32:$B$45)*(INDEX('Landbrugsareal - resultat'!$L$32:$N$45,,MATCH(E166,'Landbrugsareal - resultat'!$L$4:$N$4,0)))),IF(C166=2030,SUMPRODUCT((B166='Landbrugsareal - resultat'!$B$32:$B$45)*(INDEX('Landbrugsareal - resultat'!$O$32:$Q$45,,MATCH(E166,'Landbrugsareal - resultat'!$O$4:$Q$4,0)))),SUMPRODUCT((B166='Landbrugsareal - resultat'!$B$32:$B$45)*(INDEX('Landbrugsareal - resultat'!$R$32:$T$45,,MATCH(E166,'Landbrugsareal - resultat'!$R$4:$T$4,0))))))))</f>
        <v>677.21032856091165</v>
      </c>
      <c r="H166" s="172">
        <f>G166*VLOOKUP(B166,[1]Afgrødedata!$A$5:$F$18,2,FALSE)*IF(D166="Økologisk",VLOOKUP(B166,[1]Afgrødedata!$A$5:$F$18,4,FALSE),1)*IF(E166&lt;&gt;Jordbund1,IF(E166=Organ6,VLOOKUP(B166,[1]Afgrødedata!$A$5:$F$18,5,FALSE),VLOOKUP(B166,[1]Afgrødedata!$A$5:$F$18,6,FALSE)),1)*0.1</f>
        <v>6618.7698373533121</v>
      </c>
      <c r="I166" s="172">
        <f>G166*VLOOKUP(B166,[1]Afgrødedata!$A$5:$F$18,3,FALSE)*IF(D166="Økologisk",VLOOKUP(B166,[1]Afgrødedata!$A$5:$F$18,4,FALSE),1)*IF(E166&lt;&gt;Jordbund1,IF(E166=Organ6,VLOOKUP(B166,[1]Afgrødedata!$A$5:$F$18,5,FALSE),VLOOKUP(B166,[1]Afgrødedata!$A$5:$F$18,6,FALSE)),1)*HLOOKUP(C166,Landbrug!$C$15:$E$17,2,FALSE)*HLOOKUP(C166,Landbrug!$C$15:$E$17,3,FALSE)*0.1</f>
        <v>1093.1800007761658</v>
      </c>
      <c r="J166" s="76">
        <f t="shared" si="29"/>
        <v>1093.1800007761658</v>
      </c>
    </row>
    <row r="167" spans="1:10" x14ac:dyDescent="0.55000000000000004">
      <c r="A167" t="s">
        <v>23</v>
      </c>
      <c r="B167" s="1" t="str">
        <f>[1]Afgrødefordeling!$C$13</f>
        <v>Juletræer</v>
      </c>
      <c r="C167">
        <v>2050</v>
      </c>
      <c r="D167" t="s">
        <v>8</v>
      </c>
      <c r="E167" s="172" t="str">
        <f t="shared" si="30"/>
        <v>OC6</v>
      </c>
      <c r="F167" t="str">
        <f t="shared" si="28"/>
        <v>Juletræer</v>
      </c>
      <c r="G167" s="76" cm="1">
        <f t="array" ref="G167">IF(A167="Vestdanmark",IF(D167="Konventionel",IF(C167=2019,SUMPRODUCT((B167='Landbrugsareal - resultat'!$B$5:$B$18)*(INDEX('Landbrugsareal - resultat'!$C$5:$E$18,,MATCH(E167,'Landbrugsareal - resultat'!$C$4:$E$4,0)))),IF(C167=2030,SUMPRODUCT((B167='Landbrugsareal - resultat'!$B$5:$B$18)*(INDEX('Landbrugsareal - resultat'!$F$5:$H$18,,MATCH(E167,'Landbrugsareal - resultat'!$F$4:$H$4,0)))),SUMPRODUCT((B167='Landbrugsareal - resultat'!$B$5:$B$18)*(INDEX('Landbrugsareal - resultat'!$I$5:$K$18,,MATCH(E167,'Landbrugsareal - resultat'!$I$4:$K$4,0)))))),IF(C167=2019,SUMPRODUCT((B167='Landbrugsareal - resultat'!$B$5:$B$18)*(INDEX('Landbrugsareal - resultat'!$L$5:$N$18,,MATCH(E167,'Landbrugsareal - resultat'!$L$4:$N$4,0)))),IF(C167=2030,SUMPRODUCT((B167='Landbrugsareal - resultat'!$B$5:$B$18)*(INDEX('Landbrugsareal - resultat'!$O$5:$Q$18,,MATCH(E167,'Landbrugsareal - resultat'!$O$4:$Q$4,0)))),SUMPRODUCT((B167='Landbrugsareal - resultat'!$B$5:$B$18)*(INDEX('Landbrugsareal - resultat'!$R$5:$T$18,,MATCH(E167,'Landbrugsareal - resultat'!$R$4:$T$4,0))))))),IF(D167="Konventionel",IF(C167=2019,SUMPRODUCT((B167='Landbrugsareal - resultat'!$B$32:$B$45)*(INDEX('Landbrugsareal - resultat'!$C$32:$E$45,,MATCH(E167,'Landbrugsareal - resultat'!$C$4:$E$4,0)))),IF(C167=2030,SUMPRODUCT((B167='Landbrugsareal - resultat'!$B$32:$B$45)*(INDEX('Landbrugsareal - resultat'!$F$32:$H$45,,MATCH(E167,'Landbrugsareal - resultat'!$F$4:$H$4,0)))),SUMPRODUCT((B167='Landbrugsareal - resultat'!$B$32:$B$45)*(INDEX('Landbrugsareal - resultat'!$I$32:$K$45,,MATCH(E167,'Landbrugsareal - resultat'!$I$4:$K$4,0)))))),IF(C167=2019,SUMPRODUCT((B167='Landbrugsareal - resultat'!$B$32:$B$45)*(INDEX('Landbrugsareal - resultat'!$L$32:$N$45,,MATCH(E167,'Landbrugsareal - resultat'!$L$4:$N$4,0)))),IF(C167=2030,SUMPRODUCT((B167='Landbrugsareal - resultat'!$B$32:$B$45)*(INDEX('Landbrugsareal - resultat'!$O$32:$Q$45,,MATCH(E167,'Landbrugsareal - resultat'!$O$4:$Q$4,0)))),SUMPRODUCT((B167='Landbrugsareal - resultat'!$B$32:$B$45)*(INDEX('Landbrugsareal - resultat'!$R$32:$T$45,,MATCH(E167,'Landbrugsareal - resultat'!$R$4:$T$4,0))))))))</f>
        <v>77.80676814864664</v>
      </c>
      <c r="H167" s="172">
        <f>G167*VLOOKUP(B167,[1]Afgrødedata!$A$5:$F$18,2,FALSE)*IF(D167="Økologisk",VLOOKUP(B167,[1]Afgrødedata!$A$5:$F$18,4,FALSE),1)*IF(E167&lt;&gt;Jordbund1,IF(E167=Organ6,VLOOKUP(B167,[1]Afgrødedata!$A$5:$F$18,5,FALSE),VLOOKUP(B167,[1]Afgrødedata!$A$5:$F$18,6,FALSE)),1)*0.1</f>
        <v>2660.9914706837153</v>
      </c>
      <c r="I167" s="172">
        <f>G167*VLOOKUP(B167,[1]Afgrødedata!$A$5:$F$18,3,FALSE)*IF(D167="Økologisk",VLOOKUP(B167,[1]Afgrødedata!$A$5:$F$18,4,FALSE),1)*IF(E167&lt;&gt;Jordbund1,IF(E167=Organ6,VLOOKUP(B167,[1]Afgrødedata!$A$5:$F$18,5,FALSE),VLOOKUP(B167,[1]Afgrødedata!$A$5:$F$18,6,FALSE)),1)*HLOOKUP(C167,Landbrug!$C$15:$E$17,2,FALSE)*HLOOKUP(C167,Landbrug!$C$15:$E$17,3,FALSE)*0.1</f>
        <v>0</v>
      </c>
      <c r="J167" s="76">
        <f t="shared" si="29"/>
        <v>2660.9914706837153</v>
      </c>
    </row>
    <row r="168" spans="1:10" x14ac:dyDescent="0.55000000000000004">
      <c r="A168" t="s">
        <v>23</v>
      </c>
      <c r="B168" s="1" t="str">
        <f>[1]Afgrødefordeling!$C$14</f>
        <v>Pil &amp; poppel</v>
      </c>
      <c r="C168">
        <v>2050</v>
      </c>
      <c r="D168" t="s">
        <v>8</v>
      </c>
      <c r="E168" s="172" t="str">
        <f t="shared" si="30"/>
        <v>OC6</v>
      </c>
      <c r="F168" t="str">
        <f t="shared" ref="F168" si="33">IF(I168&lt;&gt;0,"Halm",IF(B168&lt;&gt;"Permanent græs",B168,"Græs"))</f>
        <v>Pil &amp; poppel</v>
      </c>
      <c r="G168" s="76" cm="1">
        <f t="array" ref="G168">IF(A168="Vestdanmark",IF(D168="Konventionel",IF(C168=2019,SUMPRODUCT((B168='Landbrugsareal - resultat'!$B$5:$B$18)*(INDEX('Landbrugsareal - resultat'!$C$5:$E$18,,MATCH(E168,'Landbrugsareal - resultat'!$C$4:$E$4,0)))),IF(C168=2030,SUMPRODUCT((B168='Landbrugsareal - resultat'!$B$5:$B$18)*(INDEX('Landbrugsareal - resultat'!$F$5:$H$18,,MATCH(E168,'Landbrugsareal - resultat'!$F$4:$H$4,0)))),SUMPRODUCT((B168='Landbrugsareal - resultat'!$B$5:$B$18)*(INDEX('Landbrugsareal - resultat'!$I$5:$K$18,,MATCH(E168,'Landbrugsareal - resultat'!$I$4:$K$4,0)))))),IF(C168=2019,SUMPRODUCT((B168='Landbrugsareal - resultat'!$B$5:$B$18)*(INDEX('Landbrugsareal - resultat'!$L$5:$N$18,,MATCH(E168,'Landbrugsareal - resultat'!$L$4:$N$4,0)))),IF(C168=2030,SUMPRODUCT((B168='Landbrugsareal - resultat'!$B$5:$B$18)*(INDEX('Landbrugsareal - resultat'!$O$5:$Q$18,,MATCH(E168,'Landbrugsareal - resultat'!$O$4:$Q$4,0)))),SUMPRODUCT((B168='Landbrugsareal - resultat'!$B$5:$B$18)*(INDEX('Landbrugsareal - resultat'!$R$5:$T$18,,MATCH(E168,'Landbrugsareal - resultat'!$R$4:$T$4,0))))))),IF(D168="Konventionel",IF(C168=2019,SUMPRODUCT((B168='Landbrugsareal - resultat'!$B$32:$B$45)*(INDEX('Landbrugsareal - resultat'!$C$32:$E$45,,MATCH(E168,'Landbrugsareal - resultat'!$C$4:$E$4,0)))),IF(C168=2030,SUMPRODUCT((B168='Landbrugsareal - resultat'!$B$32:$B$45)*(INDEX('Landbrugsareal - resultat'!$F$32:$H$45,,MATCH(E168,'Landbrugsareal - resultat'!$F$4:$H$4,0)))),SUMPRODUCT((B168='Landbrugsareal - resultat'!$B$32:$B$45)*(INDEX('Landbrugsareal - resultat'!$I$32:$K$45,,MATCH(E168,'Landbrugsareal - resultat'!$I$4:$K$4,0)))))),IF(C168=2019,SUMPRODUCT((B168='Landbrugsareal - resultat'!$B$32:$B$45)*(INDEX('Landbrugsareal - resultat'!$L$32:$N$45,,MATCH(E168,'Landbrugsareal - resultat'!$L$4:$N$4,0)))),IF(C168=2030,SUMPRODUCT((B168='Landbrugsareal - resultat'!$B$32:$B$45)*(INDEX('Landbrugsareal - resultat'!$O$32:$Q$45,,MATCH(E168,'Landbrugsareal - resultat'!$O$4:$Q$4,0)))),SUMPRODUCT((B168='Landbrugsareal - resultat'!$B$32:$B$45)*(INDEX('Landbrugsareal - resultat'!$R$32:$T$45,,MATCH(E168,'Landbrugsareal - resultat'!$R$4:$T$4,0))))))))</f>
        <v>127.78740390309231</v>
      </c>
      <c r="H168" s="172">
        <f>G168*VLOOKUP(B168,[1]Afgrødedata!$A$5:$F$18,2,FALSE)*IF(D168="Økologisk",VLOOKUP(B168,[1]Afgrødedata!$A$5:$F$18,4,FALSE),1)*IF(E168&lt;&gt;Jordbund1,IF(E168=Organ6,VLOOKUP(B168,[1]Afgrødedata!$A$5:$F$18,5,FALSE),VLOOKUP(B168,[1]Afgrødedata!$A$5:$F$18,6,FALSE)),1)*0.1</f>
        <v>2131.8679090174423</v>
      </c>
      <c r="I168" s="172">
        <f>G168*VLOOKUP(B168,[1]Afgrødedata!$A$5:$F$18,3,FALSE)*IF(D168="Økologisk",VLOOKUP(B168,[1]Afgrødedata!$A$5:$F$18,4,FALSE),1)*IF(E168&lt;&gt;Jordbund1,IF(E168=Organ6,VLOOKUP(B168,[1]Afgrødedata!$A$5:$F$18,5,FALSE),VLOOKUP(B168,[1]Afgrødedata!$A$5:$F$18,6,FALSE)),1)*HLOOKUP(C168,Landbrug!$C$15:$E$17,2,FALSE)*HLOOKUP(C168,Landbrug!$C$15:$E$17,3,FALSE)*0.1</f>
        <v>0</v>
      </c>
      <c r="J168" s="76">
        <f t="shared" ref="J168" si="34">IF(I168&lt;&gt;0,I168,H168)</f>
        <v>2131.8679090174423</v>
      </c>
    </row>
    <row r="169" spans="1:10" x14ac:dyDescent="0.55000000000000004">
      <c r="A169" t="s">
        <v>23</v>
      </c>
      <c r="B169" s="1" t="str">
        <f>[1]Afgrødefordeling!$C$15</f>
        <v>Permanent græs</v>
      </c>
      <c r="C169">
        <v>2050</v>
      </c>
      <c r="D169" t="s">
        <v>8</v>
      </c>
      <c r="E169" s="172" t="str">
        <f t="shared" si="30"/>
        <v>OC6</v>
      </c>
      <c r="F169" t="str">
        <f t="shared" si="28"/>
        <v>Græs</v>
      </c>
      <c r="G169" s="76" cm="1">
        <f t="array" ref="G169">IF(A169="Vestdanmark",IF(D169="Konventionel",IF(C169=2019,SUMPRODUCT((B169='Landbrugsareal - resultat'!$B$5:$B$18)*(INDEX('Landbrugsareal - resultat'!$C$5:$E$18,,MATCH(E169,'Landbrugsareal - resultat'!$C$4:$E$4,0)))),IF(C169=2030,SUMPRODUCT((B169='Landbrugsareal - resultat'!$B$5:$B$18)*(INDEX('Landbrugsareal - resultat'!$F$5:$H$18,,MATCH(E169,'Landbrugsareal - resultat'!$F$4:$H$4,0)))),SUMPRODUCT((B169='Landbrugsareal - resultat'!$B$5:$B$18)*(INDEX('Landbrugsareal - resultat'!$I$5:$K$18,,MATCH(E169,'Landbrugsareal - resultat'!$I$4:$K$4,0)))))),IF(C169=2019,SUMPRODUCT((B169='Landbrugsareal - resultat'!$B$5:$B$18)*(INDEX('Landbrugsareal - resultat'!$L$5:$N$18,,MATCH(E169,'Landbrugsareal - resultat'!$L$4:$N$4,0)))),IF(C169=2030,SUMPRODUCT((B169='Landbrugsareal - resultat'!$B$5:$B$18)*(INDEX('Landbrugsareal - resultat'!$O$5:$Q$18,,MATCH(E169,'Landbrugsareal - resultat'!$O$4:$Q$4,0)))),SUMPRODUCT((B169='Landbrugsareal - resultat'!$B$5:$B$18)*(INDEX('Landbrugsareal - resultat'!$R$5:$T$18,,MATCH(E169,'Landbrugsareal - resultat'!$R$4:$T$4,0))))))),IF(D169="Konventionel",IF(C169=2019,SUMPRODUCT((B169='Landbrugsareal - resultat'!$B$32:$B$45)*(INDEX('Landbrugsareal - resultat'!$C$32:$E$45,,MATCH(E169,'Landbrugsareal - resultat'!$C$4:$E$4,0)))),IF(C169=2030,SUMPRODUCT((B169='Landbrugsareal - resultat'!$B$32:$B$45)*(INDEX('Landbrugsareal - resultat'!$F$32:$H$45,,MATCH(E169,'Landbrugsareal - resultat'!$F$4:$H$4,0)))),SUMPRODUCT((B169='Landbrugsareal - resultat'!$B$32:$B$45)*(INDEX('Landbrugsareal - resultat'!$I$32:$K$45,,MATCH(E169,'Landbrugsareal - resultat'!$I$4:$K$4,0)))))),IF(C169=2019,SUMPRODUCT((B169='Landbrugsareal - resultat'!$B$32:$B$45)*(INDEX('Landbrugsareal - resultat'!$L$32:$N$45,,MATCH(E169,'Landbrugsareal - resultat'!$L$4:$N$4,0)))),IF(C169=2030,SUMPRODUCT((B169='Landbrugsareal - resultat'!$B$32:$B$45)*(INDEX('Landbrugsareal - resultat'!$O$32:$Q$45,,MATCH(E169,'Landbrugsareal - resultat'!$O$4:$Q$4,0)))),SUMPRODUCT((B169='Landbrugsareal - resultat'!$B$32:$B$45)*(INDEX('Landbrugsareal - resultat'!$R$32:$T$45,,MATCH(E169,'Landbrugsareal - resultat'!$R$4:$T$4,0))))))))</f>
        <v>3611.9192792443396</v>
      </c>
      <c r="H169" s="172">
        <f>G169*VLOOKUP(B169,[1]Afgrødedata!$A$5:$F$18,2,FALSE)*IF(D169="Økologisk",VLOOKUP(B169,[1]Afgrødedata!$A$5:$F$18,4,FALSE),1)*IF(E169&lt;&gt;Jordbund1,IF(E169=Organ6,VLOOKUP(B169,[1]Afgrødedata!$A$5:$F$18,5,FALSE),VLOOKUP(B169,[1]Afgrødedata!$A$5:$F$18,6,FALSE)),1)*0.1</f>
        <v>59770.040232935331</v>
      </c>
      <c r="I169" s="172">
        <f>G169*VLOOKUP(B169,[1]Afgrødedata!$A$5:$F$18,3,FALSE)*IF(D169="Økologisk",VLOOKUP(B169,[1]Afgrødedata!$A$5:$F$18,4,FALSE),1)*IF(E169&lt;&gt;Jordbund1,IF(E169=Organ6,VLOOKUP(B169,[1]Afgrødedata!$A$5:$F$18,5,FALSE),VLOOKUP(B169,[1]Afgrødedata!$A$5:$F$18,6,FALSE)),1)*HLOOKUP(C169,Landbrug!$C$15:$E$17,2,FALSE)*HLOOKUP(C169,Landbrug!$C$15:$E$17,3,FALSE)*0.1</f>
        <v>0</v>
      </c>
      <c r="J169" s="76">
        <f t="shared" si="29"/>
        <v>59770.040232935331</v>
      </c>
    </row>
    <row r="170" spans="1:10" x14ac:dyDescent="0.55000000000000004">
      <c r="A170" t="s">
        <v>23</v>
      </c>
      <c r="B170" s="1" t="str">
        <f>[1]Afgrødefordeling!$C$2</f>
        <v>Korn</v>
      </c>
      <c r="C170">
        <v>2019</v>
      </c>
      <c r="D170" t="s">
        <v>7</v>
      </c>
      <c r="E170" s="172" t="str">
        <f t="shared" ref="E170:E201" si="35">Organ12</f>
        <v>OC12</v>
      </c>
      <c r="F170" t="str">
        <f t="shared" si="28"/>
        <v>Halm</v>
      </c>
      <c r="G170" s="76" cm="1">
        <f t="array" ref="G170">IF(A170="Vestdanmark",IF(D170="Konventionel",IF(C170=2019,SUMPRODUCT((B170='Landbrugsareal - resultat'!$B$5:$B$18)*(INDEX('Landbrugsareal - resultat'!$C$5:$E$18,,MATCH(E170,'Landbrugsareal - resultat'!$C$4:$E$4,0)))),IF(C170=2030,SUMPRODUCT((B170='Landbrugsareal - resultat'!$B$5:$B$18)*(INDEX('Landbrugsareal - resultat'!$F$5:$H$18,,MATCH(E170,'Landbrugsareal - resultat'!$F$4:$H$4,0)))),SUMPRODUCT((B170='Landbrugsareal - resultat'!$B$5:$B$18)*(INDEX('Landbrugsareal - resultat'!$I$5:$K$18,,MATCH(E170,'Landbrugsareal - resultat'!$I$4:$K$4,0)))))),IF(C170=2019,SUMPRODUCT((B170='Landbrugsareal - resultat'!$B$5:$B$18)*(INDEX('Landbrugsareal - resultat'!$L$5:$N$18,,MATCH(E170,'Landbrugsareal - resultat'!$L$4:$N$4,0)))),IF(C170=2030,SUMPRODUCT((B170='Landbrugsareal - resultat'!$B$5:$B$18)*(INDEX('Landbrugsareal - resultat'!$O$5:$Q$18,,MATCH(E170,'Landbrugsareal - resultat'!$O$4:$Q$4,0)))),SUMPRODUCT((B170='Landbrugsareal - resultat'!$B$5:$B$18)*(INDEX('Landbrugsareal - resultat'!$R$5:$T$18,,MATCH(E170,'Landbrugsareal - resultat'!$R$4:$T$4,0))))))),IF(D170="Konventionel",IF(C170=2019,SUMPRODUCT((B170='Landbrugsareal - resultat'!$B$32:$B$45)*(INDEX('Landbrugsareal - resultat'!$C$32:$E$45,,MATCH(E170,'Landbrugsareal - resultat'!$C$4:$E$4,0)))),IF(C170=2030,SUMPRODUCT((B170='Landbrugsareal - resultat'!$B$32:$B$45)*(INDEX('Landbrugsareal - resultat'!$F$32:$H$45,,MATCH(E170,'Landbrugsareal - resultat'!$F$4:$H$4,0)))),SUMPRODUCT((B170='Landbrugsareal - resultat'!$B$32:$B$45)*(INDEX('Landbrugsareal - resultat'!$I$32:$K$45,,MATCH(E170,'Landbrugsareal - resultat'!$I$4:$K$4,0)))))),IF(C170=2019,SUMPRODUCT((B170='Landbrugsareal - resultat'!$B$32:$B$45)*(INDEX('Landbrugsareal - resultat'!$L$32:$N$45,,MATCH(E170,'Landbrugsareal - resultat'!$L$4:$N$4,0)))),IF(C170=2030,SUMPRODUCT((B170='Landbrugsareal - resultat'!$B$32:$B$45)*(INDEX('Landbrugsareal - resultat'!$O$32:$Q$45,,MATCH(E170,'Landbrugsareal - resultat'!$O$4:$Q$4,0)))),SUMPRODUCT((B170='Landbrugsareal - resultat'!$B$32:$B$45)*(INDEX('Landbrugsareal - resultat'!$R$32:$T$45,,MATCH(E170,'Landbrugsareal - resultat'!$R$4:$T$4,0))))))))</f>
        <v>11897.853201235472</v>
      </c>
      <c r="H170" s="172">
        <f>G170*VLOOKUP(B170,[1]Afgrødedata!$A$5:$F$18,2,FALSE)*IF(D170="Økologisk",VLOOKUP(B170,[1]Afgrødedata!$A$5:$F$18,4,FALSE),1)*IF(E170&lt;&gt;Jordbund1,IF(E170=Organ6,VLOOKUP(B170,[1]Afgrødedata!$A$5:$F$18,5,FALSE),VLOOKUP(B170,[1]Afgrødedata!$A$5:$F$18,6,FALSE)),1)*0.1</f>
        <v>116765.53131692491</v>
      </c>
      <c r="I170" s="172">
        <f>G170*VLOOKUP(B170,[1]Afgrødedata!$A$5:$F$18,3,FALSE)*IF(D170="Økologisk",VLOOKUP(B170,[1]Afgrødedata!$A$5:$F$18,4,FALSE),1)*IF(E170&lt;&gt;Jordbund1,IF(E170=Organ6,VLOOKUP(B170,[1]Afgrødedata!$A$5:$F$18,5,FALSE),VLOOKUP(B170,[1]Afgrødedata!$A$5:$F$18,6,FALSE)),1)*HLOOKUP(C170,Landbrug!$C$15:$E$17,2,FALSE)*HLOOKUP(C170,Landbrug!$C$15:$E$17,3,FALSE)*0.1</f>
        <v>38111.977508016003</v>
      </c>
      <c r="J170" s="76">
        <f t="shared" si="29"/>
        <v>38111.977508016003</v>
      </c>
    </row>
    <row r="171" spans="1:10" x14ac:dyDescent="0.55000000000000004">
      <c r="A171" t="s">
        <v>23</v>
      </c>
      <c r="B171" s="1" t="str">
        <f>[1]Afgrødefordeling!$C$3</f>
        <v>Bælgsæd</v>
      </c>
      <c r="C171">
        <v>2019</v>
      </c>
      <c r="D171" t="s">
        <v>7</v>
      </c>
      <c r="E171" s="172" t="str">
        <f t="shared" si="35"/>
        <v>OC12</v>
      </c>
      <c r="F171" t="str">
        <f t="shared" si="28"/>
        <v>Halm</v>
      </c>
      <c r="G171" s="76" cm="1">
        <f t="array" ref="G171">IF(A171="Vestdanmark",IF(D171="Konventionel",IF(C171=2019,SUMPRODUCT((B171='Landbrugsareal - resultat'!$B$5:$B$18)*(INDEX('Landbrugsareal - resultat'!$C$5:$E$18,,MATCH(E171,'Landbrugsareal - resultat'!$C$4:$E$4,0)))),IF(C171=2030,SUMPRODUCT((B171='Landbrugsareal - resultat'!$B$5:$B$18)*(INDEX('Landbrugsareal - resultat'!$F$5:$H$18,,MATCH(E171,'Landbrugsareal - resultat'!$F$4:$H$4,0)))),SUMPRODUCT((B171='Landbrugsareal - resultat'!$B$5:$B$18)*(INDEX('Landbrugsareal - resultat'!$I$5:$K$18,,MATCH(E171,'Landbrugsareal - resultat'!$I$4:$K$4,0)))))),IF(C171=2019,SUMPRODUCT((B171='Landbrugsareal - resultat'!$B$5:$B$18)*(INDEX('Landbrugsareal - resultat'!$L$5:$N$18,,MATCH(E171,'Landbrugsareal - resultat'!$L$4:$N$4,0)))),IF(C171=2030,SUMPRODUCT((B171='Landbrugsareal - resultat'!$B$5:$B$18)*(INDEX('Landbrugsareal - resultat'!$O$5:$Q$18,,MATCH(E171,'Landbrugsareal - resultat'!$O$4:$Q$4,0)))),SUMPRODUCT((B171='Landbrugsareal - resultat'!$B$5:$B$18)*(INDEX('Landbrugsareal - resultat'!$R$5:$T$18,,MATCH(E171,'Landbrugsareal - resultat'!$R$4:$T$4,0))))))),IF(D171="Konventionel",IF(C171=2019,SUMPRODUCT((B171='Landbrugsareal - resultat'!$B$32:$B$45)*(INDEX('Landbrugsareal - resultat'!$C$32:$E$45,,MATCH(E171,'Landbrugsareal - resultat'!$C$4:$E$4,0)))),IF(C171=2030,SUMPRODUCT((B171='Landbrugsareal - resultat'!$B$32:$B$45)*(INDEX('Landbrugsareal - resultat'!$F$32:$H$45,,MATCH(E171,'Landbrugsareal - resultat'!$F$4:$H$4,0)))),SUMPRODUCT((B171='Landbrugsareal - resultat'!$B$32:$B$45)*(INDEX('Landbrugsareal - resultat'!$I$32:$K$45,,MATCH(E171,'Landbrugsareal - resultat'!$I$4:$K$4,0)))))),IF(C171=2019,SUMPRODUCT((B171='Landbrugsareal - resultat'!$B$32:$B$45)*(INDEX('Landbrugsareal - resultat'!$L$32:$N$45,,MATCH(E171,'Landbrugsareal - resultat'!$L$4:$N$4,0)))),IF(C171=2030,SUMPRODUCT((B171='Landbrugsareal - resultat'!$B$32:$B$45)*(INDEX('Landbrugsareal - resultat'!$O$32:$Q$45,,MATCH(E171,'Landbrugsareal - resultat'!$O$4:$Q$4,0)))),SUMPRODUCT((B171='Landbrugsareal - resultat'!$B$32:$B$45)*(INDEX('Landbrugsareal - resultat'!$R$32:$T$45,,MATCH(E171,'Landbrugsareal - resultat'!$R$4:$T$4,0))))))))</f>
        <v>685.06913436036109</v>
      </c>
      <c r="H171" s="172">
        <f>G171*VLOOKUP(B171,[1]Afgrødedata!$A$5:$F$18,2,FALSE)*IF(D171="Økologisk",VLOOKUP(B171,[1]Afgrødedata!$A$5:$F$18,4,FALSE),1)*IF(E171&lt;&gt;Jordbund1,IF(E171=Organ6,VLOOKUP(B171,[1]Afgrødedata!$A$5:$F$18,5,FALSE),VLOOKUP(B171,[1]Afgrødedata!$A$5:$F$18,6,FALSE)),1)*0.1</f>
        <v>3702.113602083391</v>
      </c>
      <c r="I171" s="172">
        <f>G171*VLOOKUP(B171,[1]Afgrødedata!$A$5:$F$18,3,FALSE)*IF(D171="Økologisk",VLOOKUP(B171,[1]Afgrødedata!$A$5:$F$18,4,FALSE),1)*IF(E171&lt;&gt;Jordbund1,IF(E171=Organ6,VLOOKUP(B171,[1]Afgrødedata!$A$5:$F$18,5,FALSE),VLOOKUP(B171,[1]Afgrødedata!$A$5:$F$18,6,FALSE)),1)*HLOOKUP(C171,Landbrug!$C$15:$E$17,2,FALSE)*HLOOKUP(C171,Landbrug!$C$15:$E$17,3,FALSE)*0.1</f>
        <v>1099.0788345670951</v>
      </c>
      <c r="J171" s="76">
        <f t="shared" si="29"/>
        <v>1099.0788345670951</v>
      </c>
    </row>
    <row r="172" spans="1:10" x14ac:dyDescent="0.55000000000000004">
      <c r="A172" t="s">
        <v>23</v>
      </c>
      <c r="B172" s="1" t="str">
        <f>[1]Afgrødefordeling!$C$4</f>
        <v>Raps</v>
      </c>
      <c r="C172">
        <v>2019</v>
      </c>
      <c r="D172" t="s">
        <v>7</v>
      </c>
      <c r="E172" s="172" t="str">
        <f t="shared" si="35"/>
        <v>OC12</v>
      </c>
      <c r="F172" t="str">
        <f t="shared" si="28"/>
        <v>Halm</v>
      </c>
      <c r="G172" s="76" cm="1">
        <f t="array" ref="G172">IF(A172="Vestdanmark",IF(D172="Konventionel",IF(C172=2019,SUMPRODUCT((B172='Landbrugsareal - resultat'!$B$5:$B$18)*(INDEX('Landbrugsareal - resultat'!$C$5:$E$18,,MATCH(E172,'Landbrugsareal - resultat'!$C$4:$E$4,0)))),IF(C172=2030,SUMPRODUCT((B172='Landbrugsareal - resultat'!$B$5:$B$18)*(INDEX('Landbrugsareal - resultat'!$F$5:$H$18,,MATCH(E172,'Landbrugsareal - resultat'!$F$4:$H$4,0)))),SUMPRODUCT((B172='Landbrugsareal - resultat'!$B$5:$B$18)*(INDEX('Landbrugsareal - resultat'!$I$5:$K$18,,MATCH(E172,'Landbrugsareal - resultat'!$I$4:$K$4,0)))))),IF(C172=2019,SUMPRODUCT((B172='Landbrugsareal - resultat'!$B$5:$B$18)*(INDEX('Landbrugsareal - resultat'!$L$5:$N$18,,MATCH(E172,'Landbrugsareal - resultat'!$L$4:$N$4,0)))),IF(C172=2030,SUMPRODUCT((B172='Landbrugsareal - resultat'!$B$5:$B$18)*(INDEX('Landbrugsareal - resultat'!$O$5:$Q$18,,MATCH(E172,'Landbrugsareal - resultat'!$O$4:$Q$4,0)))),SUMPRODUCT((B172='Landbrugsareal - resultat'!$B$5:$B$18)*(INDEX('Landbrugsareal - resultat'!$R$5:$T$18,,MATCH(E172,'Landbrugsareal - resultat'!$R$4:$T$4,0))))))),IF(D172="Konventionel",IF(C172=2019,SUMPRODUCT((B172='Landbrugsareal - resultat'!$B$32:$B$45)*(INDEX('Landbrugsareal - resultat'!$C$32:$E$45,,MATCH(E172,'Landbrugsareal - resultat'!$C$4:$E$4,0)))),IF(C172=2030,SUMPRODUCT((B172='Landbrugsareal - resultat'!$B$32:$B$45)*(INDEX('Landbrugsareal - resultat'!$F$32:$H$45,,MATCH(E172,'Landbrugsareal - resultat'!$F$4:$H$4,0)))),SUMPRODUCT((B172='Landbrugsareal - resultat'!$B$32:$B$45)*(INDEX('Landbrugsareal - resultat'!$I$32:$K$45,,MATCH(E172,'Landbrugsareal - resultat'!$I$4:$K$4,0)))))),IF(C172=2019,SUMPRODUCT((B172='Landbrugsareal - resultat'!$B$32:$B$45)*(INDEX('Landbrugsareal - resultat'!$L$32:$N$45,,MATCH(E172,'Landbrugsareal - resultat'!$L$4:$N$4,0)))),IF(C172=2030,SUMPRODUCT((B172='Landbrugsareal - resultat'!$B$32:$B$45)*(INDEX('Landbrugsareal - resultat'!$O$32:$Q$45,,MATCH(E172,'Landbrugsareal - resultat'!$O$4:$Q$4,0)))),SUMPRODUCT((B172='Landbrugsareal - resultat'!$B$32:$B$45)*(INDEX('Landbrugsareal - resultat'!$R$32:$T$45,,MATCH(E172,'Landbrugsareal - resultat'!$R$4:$T$4,0))))))))</f>
        <v>887.13350750082327</v>
      </c>
      <c r="H172" s="172">
        <f>G172*VLOOKUP(B172,[1]Afgrødedata!$A$5:$F$18,2,FALSE)*IF(D172="Økologisk",VLOOKUP(B172,[1]Afgrødedata!$A$5:$F$18,4,FALSE),1)*IF(E172&lt;&gt;Jordbund1,IF(E172=Organ6,VLOOKUP(B172,[1]Afgrødedata!$A$5:$F$18,5,FALSE),VLOOKUP(B172,[1]Afgrødedata!$A$5:$F$18,6,FALSE)),1)*0.1</f>
        <v>5464.7424062050713</v>
      </c>
      <c r="I172" s="172">
        <f>G172*VLOOKUP(B172,[1]Afgrødedata!$A$5:$F$18,3,FALSE)*IF(D172="Økologisk",VLOOKUP(B172,[1]Afgrødedata!$A$5:$F$18,4,FALSE),1)*IF(E172&lt;&gt;Jordbund1,IF(E172=Organ6,VLOOKUP(B172,[1]Afgrødedata!$A$5:$F$18,5,FALSE),VLOOKUP(B172,[1]Afgrødedata!$A$5:$F$18,6,FALSE)),1)*HLOOKUP(C172,Landbrug!$C$15:$E$17,2,FALSE)*HLOOKUP(C172,Landbrug!$C$15:$E$17,3,FALSE)*0.1</f>
        <v>2918.7462428661602</v>
      </c>
      <c r="J172" s="76">
        <f t="shared" si="29"/>
        <v>2918.7462428661602</v>
      </c>
    </row>
    <row r="173" spans="1:10" x14ac:dyDescent="0.55000000000000004">
      <c r="A173" t="s">
        <v>23</v>
      </c>
      <c r="B173" s="1" t="str">
        <f>[1]Afgrødefordeling!$C$5</f>
        <v>Græs</v>
      </c>
      <c r="C173">
        <v>2019</v>
      </c>
      <c r="D173" t="s">
        <v>7</v>
      </c>
      <c r="E173" s="172" t="str">
        <f t="shared" si="35"/>
        <v>OC12</v>
      </c>
      <c r="F173" t="str">
        <f t="shared" si="28"/>
        <v>Græs</v>
      </c>
      <c r="G173" s="76" cm="1">
        <f t="array" ref="G173">IF(A173="Vestdanmark",IF(D173="Konventionel",IF(C173=2019,SUMPRODUCT((B173='Landbrugsareal - resultat'!$B$5:$B$18)*(INDEX('Landbrugsareal - resultat'!$C$5:$E$18,,MATCH(E173,'Landbrugsareal - resultat'!$C$4:$E$4,0)))),IF(C173=2030,SUMPRODUCT((B173='Landbrugsareal - resultat'!$B$5:$B$18)*(INDEX('Landbrugsareal - resultat'!$F$5:$H$18,,MATCH(E173,'Landbrugsareal - resultat'!$F$4:$H$4,0)))),SUMPRODUCT((B173='Landbrugsareal - resultat'!$B$5:$B$18)*(INDEX('Landbrugsareal - resultat'!$I$5:$K$18,,MATCH(E173,'Landbrugsareal - resultat'!$I$4:$K$4,0)))))),IF(C173=2019,SUMPRODUCT((B173='Landbrugsareal - resultat'!$B$5:$B$18)*(INDEX('Landbrugsareal - resultat'!$L$5:$N$18,,MATCH(E173,'Landbrugsareal - resultat'!$L$4:$N$4,0)))),IF(C173=2030,SUMPRODUCT((B173='Landbrugsareal - resultat'!$B$5:$B$18)*(INDEX('Landbrugsareal - resultat'!$O$5:$Q$18,,MATCH(E173,'Landbrugsareal - resultat'!$O$4:$Q$4,0)))),SUMPRODUCT((B173='Landbrugsareal - resultat'!$B$5:$B$18)*(INDEX('Landbrugsareal - resultat'!$R$5:$T$18,,MATCH(E173,'Landbrugsareal - resultat'!$R$4:$T$4,0))))))),IF(D173="Konventionel",IF(C173=2019,SUMPRODUCT((B173='Landbrugsareal - resultat'!$B$32:$B$45)*(INDEX('Landbrugsareal - resultat'!$C$32:$E$45,,MATCH(E173,'Landbrugsareal - resultat'!$C$4:$E$4,0)))),IF(C173=2030,SUMPRODUCT((B173='Landbrugsareal - resultat'!$B$32:$B$45)*(INDEX('Landbrugsareal - resultat'!$F$32:$H$45,,MATCH(E173,'Landbrugsareal - resultat'!$F$4:$H$4,0)))),SUMPRODUCT((B173='Landbrugsareal - resultat'!$B$32:$B$45)*(INDEX('Landbrugsareal - resultat'!$I$32:$K$45,,MATCH(E173,'Landbrugsareal - resultat'!$I$4:$K$4,0)))))),IF(C173=2019,SUMPRODUCT((B173='Landbrugsareal - resultat'!$B$32:$B$45)*(INDEX('Landbrugsareal - resultat'!$L$32:$N$45,,MATCH(E173,'Landbrugsareal - resultat'!$L$4:$N$4,0)))),IF(C173=2030,SUMPRODUCT((B173='Landbrugsareal - resultat'!$B$32:$B$45)*(INDEX('Landbrugsareal - resultat'!$O$32:$Q$45,,MATCH(E173,'Landbrugsareal - resultat'!$O$4:$Q$4,0)))),SUMPRODUCT((B173='Landbrugsareal - resultat'!$B$32:$B$45)*(INDEX('Landbrugsareal - resultat'!$R$32:$T$45,,MATCH(E173,'Landbrugsareal - resultat'!$R$4:$T$4,0))))))))</f>
        <v>20460.09912171523</v>
      </c>
      <c r="H173" s="172">
        <f>G173*VLOOKUP(B173,[1]Afgrødedata!$A$5:$F$18,2,FALSE)*IF(D173="Økologisk",VLOOKUP(B173,[1]Afgrødedata!$A$5:$F$18,4,FALSE),1)*IF(E173&lt;&gt;Jordbund1,IF(E173=Organ6,VLOOKUP(B173,[1]Afgrødedata!$A$5:$F$18,5,FALSE),VLOOKUP(B173,[1]Afgrødedata!$A$5:$F$18,6,FALSE)),1)*0.1</f>
        <v>1421322.1657873136</v>
      </c>
      <c r="I173" s="172">
        <f>G173*VLOOKUP(B173,[1]Afgrødedata!$A$5:$F$18,3,FALSE)*IF(D173="Økologisk",VLOOKUP(B173,[1]Afgrødedata!$A$5:$F$18,4,FALSE),1)*IF(E173&lt;&gt;Jordbund1,IF(E173=Organ6,VLOOKUP(B173,[1]Afgrødedata!$A$5:$F$18,5,FALSE),VLOOKUP(B173,[1]Afgrødedata!$A$5:$F$18,6,FALSE)),1)*HLOOKUP(C173,Landbrug!$C$15:$E$17,2,FALSE)*HLOOKUP(C173,Landbrug!$C$15:$E$17,3,FALSE)*0.1</f>
        <v>0</v>
      </c>
      <c r="J173" s="76">
        <f t="shared" si="29"/>
        <v>1421322.1657873136</v>
      </c>
    </row>
    <row r="174" spans="1:10" x14ac:dyDescent="0.55000000000000004">
      <c r="A174" t="s">
        <v>23</v>
      </c>
      <c r="B174" s="1" t="str">
        <f>[1]Afgrødefordeling!$C$6</f>
        <v>Grøntsager</v>
      </c>
      <c r="C174">
        <v>2019</v>
      </c>
      <c r="D174" t="s">
        <v>7</v>
      </c>
      <c r="E174" s="172" t="str">
        <f t="shared" si="35"/>
        <v>OC12</v>
      </c>
      <c r="F174" t="str">
        <f t="shared" si="28"/>
        <v>Grøntsager</v>
      </c>
      <c r="G174" s="76" cm="1">
        <f t="array" ref="G174">IF(A174="Vestdanmark",IF(D174="Konventionel",IF(C174=2019,SUMPRODUCT((B174='Landbrugsareal - resultat'!$B$5:$B$18)*(INDEX('Landbrugsareal - resultat'!$C$5:$E$18,,MATCH(E174,'Landbrugsareal - resultat'!$C$4:$E$4,0)))),IF(C174=2030,SUMPRODUCT((B174='Landbrugsareal - resultat'!$B$5:$B$18)*(INDEX('Landbrugsareal - resultat'!$F$5:$H$18,,MATCH(E174,'Landbrugsareal - resultat'!$F$4:$H$4,0)))),SUMPRODUCT((B174='Landbrugsareal - resultat'!$B$5:$B$18)*(INDEX('Landbrugsareal - resultat'!$I$5:$K$18,,MATCH(E174,'Landbrugsareal - resultat'!$I$4:$K$4,0)))))),IF(C174=2019,SUMPRODUCT((B174='Landbrugsareal - resultat'!$B$5:$B$18)*(INDEX('Landbrugsareal - resultat'!$L$5:$N$18,,MATCH(E174,'Landbrugsareal - resultat'!$L$4:$N$4,0)))),IF(C174=2030,SUMPRODUCT((B174='Landbrugsareal - resultat'!$B$5:$B$18)*(INDEX('Landbrugsareal - resultat'!$O$5:$Q$18,,MATCH(E174,'Landbrugsareal - resultat'!$O$4:$Q$4,0)))),SUMPRODUCT((B174='Landbrugsareal - resultat'!$B$5:$B$18)*(INDEX('Landbrugsareal - resultat'!$R$5:$T$18,,MATCH(E174,'Landbrugsareal - resultat'!$R$4:$T$4,0))))))),IF(D174="Konventionel",IF(C174=2019,SUMPRODUCT((B174='Landbrugsareal - resultat'!$B$32:$B$45)*(INDEX('Landbrugsareal - resultat'!$C$32:$E$45,,MATCH(E174,'Landbrugsareal - resultat'!$C$4:$E$4,0)))),IF(C174=2030,SUMPRODUCT((B174='Landbrugsareal - resultat'!$B$32:$B$45)*(INDEX('Landbrugsareal - resultat'!$F$32:$H$45,,MATCH(E174,'Landbrugsareal - resultat'!$F$4:$H$4,0)))),SUMPRODUCT((B174='Landbrugsareal - resultat'!$B$32:$B$45)*(INDEX('Landbrugsareal - resultat'!$I$32:$K$45,,MATCH(E174,'Landbrugsareal - resultat'!$I$4:$K$4,0)))))),IF(C174=2019,SUMPRODUCT((B174='Landbrugsareal - resultat'!$B$32:$B$45)*(INDEX('Landbrugsareal - resultat'!$L$32:$N$45,,MATCH(E174,'Landbrugsareal - resultat'!$L$4:$N$4,0)))),IF(C174=2030,SUMPRODUCT((B174='Landbrugsareal - resultat'!$B$32:$B$45)*(INDEX('Landbrugsareal - resultat'!$O$32:$Q$45,,MATCH(E174,'Landbrugsareal - resultat'!$O$4:$Q$4,0)))),SUMPRODUCT((B174='Landbrugsareal - resultat'!$B$32:$B$45)*(INDEX('Landbrugsareal - resultat'!$R$32:$T$45,,MATCH(E174,'Landbrugsareal - resultat'!$R$4:$T$4,0))))))))</f>
        <v>23.781029114723999</v>
      </c>
      <c r="H174" s="172">
        <f>G174*VLOOKUP(B174,[1]Afgrødedata!$A$5:$F$18,2,FALSE)*IF(D174="Økologisk",VLOOKUP(B174,[1]Afgrødedata!$A$5:$F$18,4,FALSE),1)*IF(E174&lt;&gt;Jordbund1,IF(E174=Organ6,VLOOKUP(B174,[1]Afgrødedata!$A$5:$F$18,5,FALSE),VLOOKUP(B174,[1]Afgrødedata!$A$5:$F$18,6,FALSE)),1)*0.1</f>
        <v>690.83889578273215</v>
      </c>
      <c r="I174" s="172">
        <f>G174*VLOOKUP(B174,[1]Afgrødedata!$A$5:$F$18,3,FALSE)*IF(D174="Økologisk",VLOOKUP(B174,[1]Afgrødedata!$A$5:$F$18,4,FALSE),1)*IF(E174&lt;&gt;Jordbund1,IF(E174=Organ6,VLOOKUP(B174,[1]Afgrødedata!$A$5:$F$18,5,FALSE),VLOOKUP(B174,[1]Afgrødedata!$A$5:$F$18,6,FALSE)),1)*HLOOKUP(C174,Landbrug!$C$15:$E$17,2,FALSE)*HLOOKUP(C174,Landbrug!$C$15:$E$17,3,FALSE)*0.1</f>
        <v>0</v>
      </c>
      <c r="J174" s="76">
        <f t="shared" si="29"/>
        <v>690.83889578273215</v>
      </c>
    </row>
    <row r="175" spans="1:10" x14ac:dyDescent="0.55000000000000004">
      <c r="A175" t="s">
        <v>23</v>
      </c>
      <c r="B175" s="1" t="str">
        <f>[1]Afgrødefordeling!$C$7</f>
        <v>Kartofler</v>
      </c>
      <c r="C175">
        <v>2019</v>
      </c>
      <c r="D175" t="s">
        <v>7</v>
      </c>
      <c r="E175" s="172" t="str">
        <f t="shared" si="35"/>
        <v>OC12</v>
      </c>
      <c r="F175" t="str">
        <f t="shared" si="28"/>
        <v>Kartofler</v>
      </c>
      <c r="G175" s="76" cm="1">
        <f t="array" ref="G175">IF(A175="Vestdanmark",IF(D175="Konventionel",IF(C175=2019,SUMPRODUCT((B175='Landbrugsareal - resultat'!$B$5:$B$18)*(INDEX('Landbrugsareal - resultat'!$C$5:$E$18,,MATCH(E175,'Landbrugsareal - resultat'!$C$4:$E$4,0)))),IF(C175=2030,SUMPRODUCT((B175='Landbrugsareal - resultat'!$B$5:$B$18)*(INDEX('Landbrugsareal - resultat'!$F$5:$H$18,,MATCH(E175,'Landbrugsareal - resultat'!$F$4:$H$4,0)))),SUMPRODUCT((B175='Landbrugsareal - resultat'!$B$5:$B$18)*(INDEX('Landbrugsareal - resultat'!$I$5:$K$18,,MATCH(E175,'Landbrugsareal - resultat'!$I$4:$K$4,0)))))),IF(C175=2019,SUMPRODUCT((B175='Landbrugsareal - resultat'!$B$5:$B$18)*(INDEX('Landbrugsareal - resultat'!$L$5:$N$18,,MATCH(E175,'Landbrugsareal - resultat'!$L$4:$N$4,0)))),IF(C175=2030,SUMPRODUCT((B175='Landbrugsareal - resultat'!$B$5:$B$18)*(INDEX('Landbrugsareal - resultat'!$O$5:$Q$18,,MATCH(E175,'Landbrugsareal - resultat'!$O$4:$Q$4,0)))),SUMPRODUCT((B175='Landbrugsareal - resultat'!$B$5:$B$18)*(INDEX('Landbrugsareal - resultat'!$R$5:$T$18,,MATCH(E175,'Landbrugsareal - resultat'!$R$4:$T$4,0))))))),IF(D175="Konventionel",IF(C175=2019,SUMPRODUCT((B175='Landbrugsareal - resultat'!$B$32:$B$45)*(INDEX('Landbrugsareal - resultat'!$C$32:$E$45,,MATCH(E175,'Landbrugsareal - resultat'!$C$4:$E$4,0)))),IF(C175=2030,SUMPRODUCT((B175='Landbrugsareal - resultat'!$B$32:$B$45)*(INDEX('Landbrugsareal - resultat'!$F$32:$H$45,,MATCH(E175,'Landbrugsareal - resultat'!$F$4:$H$4,0)))),SUMPRODUCT((B175='Landbrugsareal - resultat'!$B$32:$B$45)*(INDEX('Landbrugsareal - resultat'!$I$32:$K$45,,MATCH(E175,'Landbrugsareal - resultat'!$I$4:$K$4,0)))))),IF(C175=2019,SUMPRODUCT((B175='Landbrugsareal - resultat'!$B$32:$B$45)*(INDEX('Landbrugsareal - resultat'!$L$32:$N$45,,MATCH(E175,'Landbrugsareal - resultat'!$L$4:$N$4,0)))),IF(C175=2030,SUMPRODUCT((B175='Landbrugsareal - resultat'!$B$32:$B$45)*(INDEX('Landbrugsareal - resultat'!$O$32:$Q$45,,MATCH(E175,'Landbrugsareal - resultat'!$O$4:$Q$4,0)))),SUMPRODUCT((B175='Landbrugsareal - resultat'!$B$32:$B$45)*(INDEX('Landbrugsareal - resultat'!$R$32:$T$45,,MATCH(E175,'Landbrugsareal - resultat'!$R$4:$T$4,0))))))))</f>
        <v>1258.7368446928817</v>
      </c>
      <c r="H175" s="172">
        <f>G175*VLOOKUP(B175,[1]Afgrødedata!$A$5:$F$18,2,FALSE)*IF(D175="Økologisk",VLOOKUP(B175,[1]Afgrødedata!$A$5:$F$18,4,FALSE),1)*IF(E175&lt;&gt;Jordbund1,IF(E175=Organ6,VLOOKUP(B175,[1]Afgrødedata!$A$5:$F$18,5,FALSE),VLOOKUP(B175,[1]Afgrødedata!$A$5:$F$18,6,FALSE)),1)*0.1</f>
        <v>74843.560387776015</v>
      </c>
      <c r="I175" s="172">
        <f>G175*VLOOKUP(B175,[1]Afgrødedata!$A$5:$F$18,3,FALSE)*IF(D175="Økologisk",VLOOKUP(B175,[1]Afgrødedata!$A$5:$F$18,4,FALSE),1)*IF(E175&lt;&gt;Jordbund1,IF(E175=Organ6,VLOOKUP(B175,[1]Afgrødedata!$A$5:$F$18,5,FALSE),VLOOKUP(B175,[1]Afgrødedata!$A$5:$F$18,6,FALSE)),1)*HLOOKUP(C175,Landbrug!$C$15:$E$17,2,FALSE)*HLOOKUP(C175,Landbrug!$C$15:$E$17,3,FALSE)*0.1</f>
        <v>0</v>
      </c>
      <c r="J175" s="76">
        <f t="shared" si="29"/>
        <v>74843.560387776015</v>
      </c>
    </row>
    <row r="176" spans="1:10" x14ac:dyDescent="0.55000000000000004">
      <c r="A176" t="s">
        <v>23</v>
      </c>
      <c r="B176" s="1" t="str">
        <f>[1]Afgrødefordeling!$C$8</f>
        <v>Roer</v>
      </c>
      <c r="C176">
        <v>2019</v>
      </c>
      <c r="D176" t="s">
        <v>7</v>
      </c>
      <c r="E176" s="172" t="str">
        <f t="shared" si="35"/>
        <v>OC12</v>
      </c>
      <c r="F176" t="str">
        <f t="shared" si="28"/>
        <v>Roer</v>
      </c>
      <c r="G176" s="76" cm="1">
        <f t="array" ref="G176">IF(A176="Vestdanmark",IF(D176="Konventionel",IF(C176=2019,SUMPRODUCT((B176='Landbrugsareal - resultat'!$B$5:$B$18)*(INDEX('Landbrugsareal - resultat'!$C$5:$E$18,,MATCH(E176,'Landbrugsareal - resultat'!$C$4:$E$4,0)))),IF(C176=2030,SUMPRODUCT((B176='Landbrugsareal - resultat'!$B$5:$B$18)*(INDEX('Landbrugsareal - resultat'!$F$5:$H$18,,MATCH(E176,'Landbrugsareal - resultat'!$F$4:$H$4,0)))),SUMPRODUCT((B176='Landbrugsareal - resultat'!$B$5:$B$18)*(INDEX('Landbrugsareal - resultat'!$I$5:$K$18,,MATCH(E176,'Landbrugsareal - resultat'!$I$4:$K$4,0)))))),IF(C176=2019,SUMPRODUCT((B176='Landbrugsareal - resultat'!$B$5:$B$18)*(INDEX('Landbrugsareal - resultat'!$L$5:$N$18,,MATCH(E176,'Landbrugsareal - resultat'!$L$4:$N$4,0)))),IF(C176=2030,SUMPRODUCT((B176='Landbrugsareal - resultat'!$B$5:$B$18)*(INDEX('Landbrugsareal - resultat'!$O$5:$Q$18,,MATCH(E176,'Landbrugsareal - resultat'!$O$4:$Q$4,0)))),SUMPRODUCT((B176='Landbrugsareal - resultat'!$B$5:$B$18)*(INDEX('Landbrugsareal - resultat'!$R$5:$T$18,,MATCH(E176,'Landbrugsareal - resultat'!$R$4:$T$4,0))))))),IF(D176="Konventionel",IF(C176=2019,SUMPRODUCT((B176='Landbrugsareal - resultat'!$B$32:$B$45)*(INDEX('Landbrugsareal - resultat'!$C$32:$E$45,,MATCH(E176,'Landbrugsareal - resultat'!$C$4:$E$4,0)))),IF(C176=2030,SUMPRODUCT((B176='Landbrugsareal - resultat'!$B$32:$B$45)*(INDEX('Landbrugsareal - resultat'!$F$32:$H$45,,MATCH(E176,'Landbrugsareal - resultat'!$F$4:$H$4,0)))),SUMPRODUCT((B176='Landbrugsareal - resultat'!$B$32:$B$45)*(INDEX('Landbrugsareal - resultat'!$I$32:$K$45,,MATCH(E176,'Landbrugsareal - resultat'!$I$4:$K$4,0)))))),IF(C176=2019,SUMPRODUCT((B176='Landbrugsareal - resultat'!$B$32:$B$45)*(INDEX('Landbrugsareal - resultat'!$L$32:$N$45,,MATCH(E176,'Landbrugsareal - resultat'!$L$4:$N$4,0)))),IF(C176=2030,SUMPRODUCT((B176='Landbrugsareal - resultat'!$B$32:$B$45)*(INDEX('Landbrugsareal - resultat'!$O$32:$Q$45,,MATCH(E176,'Landbrugsareal - resultat'!$O$4:$Q$4,0)))),SUMPRODUCT((B176='Landbrugsareal - resultat'!$B$32:$B$45)*(INDEX('Landbrugsareal - resultat'!$R$32:$T$45,,MATCH(E176,'Landbrugsareal - resultat'!$R$4:$T$4,0))))))))</f>
        <v>13.612059153984784</v>
      </c>
      <c r="H176" s="172">
        <f>G176*VLOOKUP(B176,[1]Afgrødedata!$A$5:$F$18,2,FALSE)*IF(D176="Økologisk",VLOOKUP(B176,[1]Afgrødedata!$A$5:$F$18,4,FALSE),1)*IF(E176&lt;&gt;Jordbund1,IF(E176=Organ6,VLOOKUP(B176,[1]Afgrødedata!$A$5:$F$18,5,FALSE),VLOOKUP(B176,[1]Afgrødedata!$A$5:$F$18,6,FALSE)),1)*0.1</f>
        <v>1548.442836537469</v>
      </c>
      <c r="I176" s="172">
        <f>G176*VLOOKUP(B176,[1]Afgrødedata!$A$5:$F$18,3,FALSE)*IF(D176="Økologisk",VLOOKUP(B176,[1]Afgrødedata!$A$5:$F$18,4,FALSE),1)*IF(E176&lt;&gt;Jordbund1,IF(E176=Organ6,VLOOKUP(B176,[1]Afgrødedata!$A$5:$F$18,5,FALSE),VLOOKUP(B176,[1]Afgrødedata!$A$5:$F$18,6,FALSE)),1)*HLOOKUP(C176,Landbrug!$C$15:$E$17,2,FALSE)*HLOOKUP(C176,Landbrug!$C$15:$E$17,3,FALSE)*0.1</f>
        <v>0</v>
      </c>
      <c r="J176" s="76">
        <f t="shared" si="29"/>
        <v>1548.442836537469</v>
      </c>
    </row>
    <row r="177" spans="1:10" x14ac:dyDescent="0.55000000000000004">
      <c r="A177" t="s">
        <v>23</v>
      </c>
      <c r="B177" s="1" t="str">
        <f>[1]Afgrødefordeling!$C$9</f>
        <v>Majs</v>
      </c>
      <c r="C177">
        <v>2019</v>
      </c>
      <c r="D177" t="s">
        <v>7</v>
      </c>
      <c r="E177" s="172" t="str">
        <f t="shared" si="35"/>
        <v>OC12</v>
      </c>
      <c r="F177" t="str">
        <f t="shared" si="28"/>
        <v>Majs</v>
      </c>
      <c r="G177" s="76" cm="1">
        <f t="array" ref="G177">IF(A177="Vestdanmark",IF(D177="Konventionel",IF(C177=2019,SUMPRODUCT((B177='Landbrugsareal - resultat'!$B$5:$B$18)*(INDEX('Landbrugsareal - resultat'!$C$5:$E$18,,MATCH(E177,'Landbrugsareal - resultat'!$C$4:$E$4,0)))),IF(C177=2030,SUMPRODUCT((B177='Landbrugsareal - resultat'!$B$5:$B$18)*(INDEX('Landbrugsareal - resultat'!$F$5:$H$18,,MATCH(E177,'Landbrugsareal - resultat'!$F$4:$H$4,0)))),SUMPRODUCT((B177='Landbrugsareal - resultat'!$B$5:$B$18)*(INDEX('Landbrugsareal - resultat'!$I$5:$K$18,,MATCH(E177,'Landbrugsareal - resultat'!$I$4:$K$4,0)))))),IF(C177=2019,SUMPRODUCT((B177='Landbrugsareal - resultat'!$B$5:$B$18)*(INDEX('Landbrugsareal - resultat'!$L$5:$N$18,,MATCH(E177,'Landbrugsareal - resultat'!$L$4:$N$4,0)))),IF(C177=2030,SUMPRODUCT((B177='Landbrugsareal - resultat'!$B$5:$B$18)*(INDEX('Landbrugsareal - resultat'!$O$5:$Q$18,,MATCH(E177,'Landbrugsareal - resultat'!$O$4:$Q$4,0)))),SUMPRODUCT((B177='Landbrugsareal - resultat'!$B$5:$B$18)*(INDEX('Landbrugsareal - resultat'!$R$5:$T$18,,MATCH(E177,'Landbrugsareal - resultat'!$R$4:$T$4,0))))))),IF(D177="Konventionel",IF(C177=2019,SUMPRODUCT((B177='Landbrugsareal - resultat'!$B$32:$B$45)*(INDEX('Landbrugsareal - resultat'!$C$32:$E$45,,MATCH(E177,'Landbrugsareal - resultat'!$C$4:$E$4,0)))),IF(C177=2030,SUMPRODUCT((B177='Landbrugsareal - resultat'!$B$32:$B$45)*(INDEX('Landbrugsareal - resultat'!$F$32:$H$45,,MATCH(E177,'Landbrugsareal - resultat'!$F$4:$H$4,0)))),SUMPRODUCT((B177='Landbrugsareal - resultat'!$B$32:$B$45)*(INDEX('Landbrugsareal - resultat'!$I$32:$K$45,,MATCH(E177,'Landbrugsareal - resultat'!$I$4:$K$4,0)))))),IF(C177=2019,SUMPRODUCT((B177='Landbrugsareal - resultat'!$B$32:$B$45)*(INDEX('Landbrugsareal - resultat'!$L$32:$N$45,,MATCH(E177,'Landbrugsareal - resultat'!$L$4:$N$4,0)))),IF(C177=2030,SUMPRODUCT((B177='Landbrugsareal - resultat'!$B$32:$B$45)*(INDEX('Landbrugsareal - resultat'!$O$32:$Q$45,,MATCH(E177,'Landbrugsareal - resultat'!$O$4:$Q$4,0)))),SUMPRODUCT((B177='Landbrugsareal - resultat'!$B$32:$B$45)*(INDEX('Landbrugsareal - resultat'!$R$32:$T$45,,MATCH(E177,'Landbrugsareal - resultat'!$R$4:$T$4,0))))))))</f>
        <v>1692.7928122278877</v>
      </c>
      <c r="H177" s="172">
        <f>G177*VLOOKUP(B177,[1]Afgrødedata!$A$5:$F$18,2,FALSE)*IF(D177="Økologisk",VLOOKUP(B177,[1]Afgrødedata!$A$5:$F$18,4,FALSE),1)*IF(E177&lt;&gt;Jordbund1,IF(E177=Organ6,VLOOKUP(B177,[1]Afgrødedata!$A$5:$F$18,5,FALSE),VLOOKUP(B177,[1]Afgrødedata!$A$5:$F$18,6,FALSE)),1)*0.1</f>
        <v>105484.6913011686</v>
      </c>
      <c r="I177" s="172">
        <f>G177*VLOOKUP(B177,[1]Afgrødedata!$A$5:$F$18,3,FALSE)*IF(D177="Økologisk",VLOOKUP(B177,[1]Afgrødedata!$A$5:$F$18,4,FALSE),1)*IF(E177&lt;&gt;Jordbund1,IF(E177=Organ6,VLOOKUP(B177,[1]Afgrødedata!$A$5:$F$18,5,FALSE),VLOOKUP(B177,[1]Afgrødedata!$A$5:$F$18,6,FALSE)),1)*HLOOKUP(C177,Landbrug!$C$15:$E$17,2,FALSE)*HLOOKUP(C177,Landbrug!$C$15:$E$17,3,FALSE)*0.1</f>
        <v>0</v>
      </c>
      <c r="J177" s="76">
        <f t="shared" si="29"/>
        <v>105484.6913011686</v>
      </c>
    </row>
    <row r="178" spans="1:10" x14ac:dyDescent="0.55000000000000004">
      <c r="A178" t="s">
        <v>23</v>
      </c>
      <c r="B178" s="1" t="str">
        <f>[1]Afgrødefordeling!$C$10</f>
        <v>Frugt</v>
      </c>
      <c r="C178">
        <v>2019</v>
      </c>
      <c r="D178" t="s">
        <v>7</v>
      </c>
      <c r="E178" s="172" t="str">
        <f t="shared" si="35"/>
        <v>OC12</v>
      </c>
      <c r="F178" t="str">
        <f t="shared" si="28"/>
        <v>Frugt</v>
      </c>
      <c r="G178" s="76" cm="1">
        <f t="array" ref="G178">IF(A178="Vestdanmark",IF(D178="Konventionel",IF(C178=2019,SUMPRODUCT((B178='Landbrugsareal - resultat'!$B$5:$B$18)*(INDEX('Landbrugsareal - resultat'!$C$5:$E$18,,MATCH(E178,'Landbrugsareal - resultat'!$C$4:$E$4,0)))),IF(C178=2030,SUMPRODUCT((B178='Landbrugsareal - resultat'!$B$5:$B$18)*(INDEX('Landbrugsareal - resultat'!$F$5:$H$18,,MATCH(E178,'Landbrugsareal - resultat'!$F$4:$H$4,0)))),SUMPRODUCT((B178='Landbrugsareal - resultat'!$B$5:$B$18)*(INDEX('Landbrugsareal - resultat'!$I$5:$K$18,,MATCH(E178,'Landbrugsareal - resultat'!$I$4:$K$4,0)))))),IF(C178=2019,SUMPRODUCT((B178='Landbrugsareal - resultat'!$B$5:$B$18)*(INDEX('Landbrugsareal - resultat'!$L$5:$N$18,,MATCH(E178,'Landbrugsareal - resultat'!$L$4:$N$4,0)))),IF(C178=2030,SUMPRODUCT((B178='Landbrugsareal - resultat'!$B$5:$B$18)*(INDEX('Landbrugsareal - resultat'!$O$5:$Q$18,,MATCH(E178,'Landbrugsareal - resultat'!$O$4:$Q$4,0)))),SUMPRODUCT((B178='Landbrugsareal - resultat'!$B$5:$B$18)*(INDEX('Landbrugsareal - resultat'!$R$5:$T$18,,MATCH(E178,'Landbrugsareal - resultat'!$R$4:$T$4,0))))))),IF(D178="Konventionel",IF(C178=2019,SUMPRODUCT((B178='Landbrugsareal - resultat'!$B$32:$B$45)*(INDEX('Landbrugsareal - resultat'!$C$32:$E$45,,MATCH(E178,'Landbrugsareal - resultat'!$C$4:$E$4,0)))),IF(C178=2030,SUMPRODUCT((B178='Landbrugsareal - resultat'!$B$32:$B$45)*(INDEX('Landbrugsareal - resultat'!$F$32:$H$45,,MATCH(E178,'Landbrugsareal - resultat'!$F$4:$H$4,0)))),SUMPRODUCT((B178='Landbrugsareal - resultat'!$B$32:$B$45)*(INDEX('Landbrugsareal - resultat'!$I$32:$K$45,,MATCH(E178,'Landbrugsareal - resultat'!$I$4:$K$4,0)))))),IF(C178=2019,SUMPRODUCT((B178='Landbrugsareal - resultat'!$B$32:$B$45)*(INDEX('Landbrugsareal - resultat'!$L$32:$N$45,,MATCH(E178,'Landbrugsareal - resultat'!$L$4:$N$4,0)))),IF(C178=2030,SUMPRODUCT((B178='Landbrugsareal - resultat'!$B$32:$B$45)*(INDEX('Landbrugsareal - resultat'!$O$32:$Q$45,,MATCH(E178,'Landbrugsareal - resultat'!$O$4:$Q$4,0)))),SUMPRODUCT((B178='Landbrugsareal - resultat'!$B$32:$B$45)*(INDEX('Landbrugsareal - resultat'!$R$32:$T$45,,MATCH(E178,'Landbrugsareal - resultat'!$R$4:$T$4,0))))))))</f>
        <v>48.510297939945318</v>
      </c>
      <c r="H178" s="172">
        <f>G178*VLOOKUP(B178,[1]Afgrødedata!$A$5:$F$18,2,FALSE)*IF(D178="Økologisk",VLOOKUP(B178,[1]Afgrødedata!$A$5:$F$18,4,FALSE),1)*IF(E178&lt;&gt;Jordbund1,IF(E178=Organ6,VLOOKUP(B178,[1]Afgrødedata!$A$5:$F$18,5,FALSE),VLOOKUP(B178,[1]Afgrødedata!$A$5:$F$18,6,FALSE)),1)*0.1</f>
        <v>576.59340131419003</v>
      </c>
      <c r="I178" s="172">
        <f>G178*VLOOKUP(B178,[1]Afgrødedata!$A$5:$F$18,3,FALSE)*IF(D178="Økologisk",VLOOKUP(B178,[1]Afgrødedata!$A$5:$F$18,4,FALSE),1)*IF(E178&lt;&gt;Jordbund1,IF(E178=Organ6,VLOOKUP(B178,[1]Afgrødedata!$A$5:$F$18,5,FALSE),VLOOKUP(B178,[1]Afgrødedata!$A$5:$F$18,6,FALSE)),1)*HLOOKUP(C178,Landbrug!$C$15:$E$17,2,FALSE)*HLOOKUP(C178,Landbrug!$C$15:$E$17,3,FALSE)*0.1</f>
        <v>0</v>
      </c>
      <c r="J178" s="76">
        <f t="shared" si="29"/>
        <v>576.59340131419003</v>
      </c>
    </row>
    <row r="179" spans="1:10" x14ac:dyDescent="0.55000000000000004">
      <c r="A179" t="s">
        <v>23</v>
      </c>
      <c r="B179" s="1" t="str">
        <f>[1]Afgrødefordeling!$C$11</f>
        <v>Øvrige</v>
      </c>
      <c r="C179">
        <v>2019</v>
      </c>
      <c r="D179" t="s">
        <v>7</v>
      </c>
      <c r="E179" s="172" t="str">
        <f t="shared" si="35"/>
        <v>OC12</v>
      </c>
      <c r="F179" t="str">
        <f t="shared" si="28"/>
        <v>Øvrige</v>
      </c>
      <c r="G179" s="76" cm="1">
        <f t="array" ref="G179">IF(A179="Vestdanmark",IF(D179="Konventionel",IF(C179=2019,SUMPRODUCT((B179='Landbrugsareal - resultat'!$B$5:$B$18)*(INDEX('Landbrugsareal - resultat'!$C$5:$E$18,,MATCH(E179,'Landbrugsareal - resultat'!$C$4:$E$4,0)))),IF(C179=2030,SUMPRODUCT((B179='Landbrugsareal - resultat'!$B$5:$B$18)*(INDEX('Landbrugsareal - resultat'!$F$5:$H$18,,MATCH(E179,'Landbrugsareal - resultat'!$F$4:$H$4,0)))),SUMPRODUCT((B179='Landbrugsareal - resultat'!$B$5:$B$18)*(INDEX('Landbrugsareal - resultat'!$I$5:$K$18,,MATCH(E179,'Landbrugsareal - resultat'!$I$4:$K$4,0)))))),IF(C179=2019,SUMPRODUCT((B179='Landbrugsareal - resultat'!$B$5:$B$18)*(INDEX('Landbrugsareal - resultat'!$L$5:$N$18,,MATCH(E179,'Landbrugsareal - resultat'!$L$4:$N$4,0)))),IF(C179=2030,SUMPRODUCT((B179='Landbrugsareal - resultat'!$B$5:$B$18)*(INDEX('Landbrugsareal - resultat'!$O$5:$Q$18,,MATCH(E179,'Landbrugsareal - resultat'!$O$4:$Q$4,0)))),SUMPRODUCT((B179='Landbrugsareal - resultat'!$B$5:$B$18)*(INDEX('Landbrugsareal - resultat'!$R$5:$T$18,,MATCH(E179,'Landbrugsareal - resultat'!$R$4:$T$4,0))))))),IF(D179="Konventionel",IF(C179=2019,SUMPRODUCT((B179='Landbrugsareal - resultat'!$B$32:$B$45)*(INDEX('Landbrugsareal - resultat'!$C$32:$E$45,,MATCH(E179,'Landbrugsareal - resultat'!$C$4:$E$4,0)))),IF(C179=2030,SUMPRODUCT((B179='Landbrugsareal - resultat'!$B$32:$B$45)*(INDEX('Landbrugsareal - resultat'!$F$32:$H$45,,MATCH(E179,'Landbrugsareal - resultat'!$F$4:$H$4,0)))),SUMPRODUCT((B179='Landbrugsareal - resultat'!$B$32:$B$45)*(INDEX('Landbrugsareal - resultat'!$I$32:$K$45,,MATCH(E179,'Landbrugsareal - resultat'!$I$4:$K$4,0)))))),IF(C179=2019,SUMPRODUCT((B179='Landbrugsareal - resultat'!$B$32:$B$45)*(INDEX('Landbrugsareal - resultat'!$L$32:$N$45,,MATCH(E179,'Landbrugsareal - resultat'!$L$4:$N$4,0)))),IF(C179=2030,SUMPRODUCT((B179='Landbrugsareal - resultat'!$B$32:$B$45)*(INDEX('Landbrugsareal - resultat'!$O$32:$Q$45,,MATCH(E179,'Landbrugsareal - resultat'!$O$4:$Q$4,0)))),SUMPRODUCT((B179='Landbrugsareal - resultat'!$B$32:$B$45)*(INDEX('Landbrugsareal - resultat'!$R$32:$T$45,,MATCH(E179,'Landbrugsareal - resultat'!$R$4:$T$4,0))))))))</f>
        <v>857.94834593977373</v>
      </c>
      <c r="H179" s="172">
        <f>G179*VLOOKUP(B179,[1]Afgrødedata!$A$5:$F$18,2,FALSE)*IF(D179="Økologisk",VLOOKUP(B179,[1]Afgrødedata!$A$5:$F$18,4,FALSE),1)*IF(E179&lt;&gt;Jordbund1,IF(E179=Organ6,VLOOKUP(B179,[1]Afgrødedata!$A$5:$F$18,5,FALSE),VLOOKUP(B179,[1]Afgrødedata!$A$5:$F$18,6,FALSE)),1)*0.1</f>
        <v>35788.732627988727</v>
      </c>
      <c r="I179" s="172">
        <f>G179*VLOOKUP(B179,[1]Afgrødedata!$A$5:$F$18,3,FALSE)*IF(D179="Økologisk",VLOOKUP(B179,[1]Afgrødedata!$A$5:$F$18,4,FALSE),1)*IF(E179&lt;&gt;Jordbund1,IF(E179=Organ6,VLOOKUP(B179,[1]Afgrødedata!$A$5:$F$18,5,FALSE),VLOOKUP(B179,[1]Afgrødedata!$A$5:$F$18,6,FALSE)),1)*HLOOKUP(C179,Landbrug!$C$15:$E$17,2,FALSE)*HLOOKUP(C179,Landbrug!$C$15:$E$17,3,FALSE)*0.1</f>
        <v>0</v>
      </c>
      <c r="J179" s="76">
        <f t="shared" si="29"/>
        <v>35788.732627988727</v>
      </c>
    </row>
    <row r="180" spans="1:10" x14ac:dyDescent="0.55000000000000004">
      <c r="A180" t="s">
        <v>23</v>
      </c>
      <c r="B180" s="1" t="str">
        <f>[1]Afgrødefordeling!$C$12</f>
        <v>Frø</v>
      </c>
      <c r="C180">
        <v>2019</v>
      </c>
      <c r="D180" t="s">
        <v>7</v>
      </c>
      <c r="E180" s="172" t="str">
        <f t="shared" si="35"/>
        <v>OC12</v>
      </c>
      <c r="F180" t="str">
        <f t="shared" si="28"/>
        <v>Halm</v>
      </c>
      <c r="G180" s="76" cm="1">
        <f t="array" ref="G180">IF(A180="Vestdanmark",IF(D180="Konventionel",IF(C180=2019,SUMPRODUCT((B180='Landbrugsareal - resultat'!$B$5:$B$18)*(INDEX('Landbrugsareal - resultat'!$C$5:$E$18,,MATCH(E180,'Landbrugsareal - resultat'!$C$4:$E$4,0)))),IF(C180=2030,SUMPRODUCT((B180='Landbrugsareal - resultat'!$B$5:$B$18)*(INDEX('Landbrugsareal - resultat'!$F$5:$H$18,,MATCH(E180,'Landbrugsareal - resultat'!$F$4:$H$4,0)))),SUMPRODUCT((B180='Landbrugsareal - resultat'!$B$5:$B$18)*(INDEX('Landbrugsareal - resultat'!$I$5:$K$18,,MATCH(E180,'Landbrugsareal - resultat'!$I$4:$K$4,0)))))),IF(C180=2019,SUMPRODUCT((B180='Landbrugsareal - resultat'!$B$5:$B$18)*(INDEX('Landbrugsareal - resultat'!$L$5:$N$18,,MATCH(E180,'Landbrugsareal - resultat'!$L$4:$N$4,0)))),IF(C180=2030,SUMPRODUCT((B180='Landbrugsareal - resultat'!$B$5:$B$18)*(INDEX('Landbrugsareal - resultat'!$O$5:$Q$18,,MATCH(E180,'Landbrugsareal - resultat'!$O$4:$Q$4,0)))),SUMPRODUCT((B180='Landbrugsareal - resultat'!$B$5:$B$18)*(INDEX('Landbrugsareal - resultat'!$R$5:$T$18,,MATCH(E180,'Landbrugsareal - resultat'!$R$4:$T$4,0))))))),IF(D180="Konventionel",IF(C180=2019,SUMPRODUCT((B180='Landbrugsareal - resultat'!$B$32:$B$45)*(INDEX('Landbrugsareal - resultat'!$C$32:$E$45,,MATCH(E180,'Landbrugsareal - resultat'!$C$4:$E$4,0)))),IF(C180=2030,SUMPRODUCT((B180='Landbrugsareal - resultat'!$B$32:$B$45)*(INDEX('Landbrugsareal - resultat'!$F$32:$H$45,,MATCH(E180,'Landbrugsareal - resultat'!$F$4:$H$4,0)))),SUMPRODUCT((B180='Landbrugsareal - resultat'!$B$32:$B$45)*(INDEX('Landbrugsareal - resultat'!$I$32:$K$45,,MATCH(E180,'Landbrugsareal - resultat'!$I$4:$K$4,0)))))),IF(C180=2019,SUMPRODUCT((B180='Landbrugsareal - resultat'!$B$32:$B$45)*(INDEX('Landbrugsareal - resultat'!$L$32:$N$45,,MATCH(E180,'Landbrugsareal - resultat'!$L$4:$N$4,0)))),IF(C180=2030,SUMPRODUCT((B180='Landbrugsareal - resultat'!$B$32:$B$45)*(INDEX('Landbrugsareal - resultat'!$O$32:$Q$45,,MATCH(E180,'Landbrugsareal - resultat'!$O$4:$Q$4,0)))),SUMPRODUCT((B180='Landbrugsareal - resultat'!$B$32:$B$45)*(INDEX('Landbrugsareal - resultat'!$R$32:$T$45,,MATCH(E180,'Landbrugsareal - resultat'!$R$4:$T$4,0))))))))</f>
        <v>2729.7047934959128</v>
      </c>
      <c r="H180" s="172">
        <f>G180*VLOOKUP(B180,[1]Afgrødedata!$A$5:$F$18,2,FALSE)*IF(D180="Økologisk",VLOOKUP(B180,[1]Afgrødedata!$A$5:$F$18,4,FALSE),1)*IF(E180&lt;&gt;Jordbund1,IF(E180=Organ6,VLOOKUP(B180,[1]Afgrødedata!$A$5:$F$18,5,FALSE),VLOOKUP(B180,[1]Afgrødedata!$A$5:$F$18,6,FALSE)),1)*0.1</f>
        <v>54606.120392299723</v>
      </c>
      <c r="I180" s="172">
        <f>G180*VLOOKUP(B180,[1]Afgrødedata!$A$5:$F$18,3,FALSE)*IF(D180="Økologisk",VLOOKUP(B180,[1]Afgrødedata!$A$5:$F$18,4,FALSE),1)*IF(E180&lt;&gt;Jordbund1,IF(E180=Organ6,VLOOKUP(B180,[1]Afgrødedata!$A$5:$F$18,5,FALSE),VLOOKUP(B180,[1]Afgrødedata!$A$5:$F$18,6,FALSE)),1)*HLOOKUP(C180,Landbrug!$C$15:$E$17,2,FALSE)*HLOOKUP(C180,Landbrug!$C$15:$E$17,3,FALSE)*0.1</f>
        <v>9071.6825343208366</v>
      </c>
      <c r="J180" s="76">
        <f t="shared" si="29"/>
        <v>9071.6825343208366</v>
      </c>
    </row>
    <row r="181" spans="1:10" x14ac:dyDescent="0.55000000000000004">
      <c r="A181" t="s">
        <v>23</v>
      </c>
      <c r="B181" s="1" t="str">
        <f>[1]Afgrødefordeling!$C$13</f>
        <v>Juletræer</v>
      </c>
      <c r="C181">
        <v>2019</v>
      </c>
      <c r="D181" t="s">
        <v>7</v>
      </c>
      <c r="E181" s="172" t="str">
        <f t="shared" si="35"/>
        <v>OC12</v>
      </c>
      <c r="F181" t="str">
        <f t="shared" si="28"/>
        <v>Juletræer</v>
      </c>
      <c r="G181" s="76" cm="1">
        <f t="array" ref="G181">IF(A181="Vestdanmark",IF(D181="Konventionel",IF(C181=2019,SUMPRODUCT((B181='Landbrugsareal - resultat'!$B$5:$B$18)*(INDEX('Landbrugsareal - resultat'!$C$5:$E$18,,MATCH(E181,'Landbrugsareal - resultat'!$C$4:$E$4,0)))),IF(C181=2030,SUMPRODUCT((B181='Landbrugsareal - resultat'!$B$5:$B$18)*(INDEX('Landbrugsareal - resultat'!$F$5:$H$18,,MATCH(E181,'Landbrugsareal - resultat'!$F$4:$H$4,0)))),SUMPRODUCT((B181='Landbrugsareal - resultat'!$B$5:$B$18)*(INDEX('Landbrugsareal - resultat'!$I$5:$K$18,,MATCH(E181,'Landbrugsareal - resultat'!$I$4:$K$4,0)))))),IF(C181=2019,SUMPRODUCT((B181='Landbrugsareal - resultat'!$B$5:$B$18)*(INDEX('Landbrugsareal - resultat'!$L$5:$N$18,,MATCH(E181,'Landbrugsareal - resultat'!$L$4:$N$4,0)))),IF(C181=2030,SUMPRODUCT((B181='Landbrugsareal - resultat'!$B$5:$B$18)*(INDEX('Landbrugsareal - resultat'!$O$5:$Q$18,,MATCH(E181,'Landbrugsareal - resultat'!$O$4:$Q$4,0)))),SUMPRODUCT((B181='Landbrugsareal - resultat'!$B$5:$B$18)*(INDEX('Landbrugsareal - resultat'!$R$5:$T$18,,MATCH(E181,'Landbrugsareal - resultat'!$R$4:$T$4,0))))))),IF(D181="Konventionel",IF(C181=2019,SUMPRODUCT((B181='Landbrugsareal - resultat'!$B$32:$B$45)*(INDEX('Landbrugsareal - resultat'!$C$32:$E$45,,MATCH(E181,'Landbrugsareal - resultat'!$C$4:$E$4,0)))),IF(C181=2030,SUMPRODUCT((B181='Landbrugsareal - resultat'!$B$32:$B$45)*(INDEX('Landbrugsareal - resultat'!$F$32:$H$45,,MATCH(E181,'Landbrugsareal - resultat'!$F$4:$H$4,0)))),SUMPRODUCT((B181='Landbrugsareal - resultat'!$B$32:$B$45)*(INDEX('Landbrugsareal - resultat'!$I$32:$K$45,,MATCH(E181,'Landbrugsareal - resultat'!$I$4:$K$4,0)))))),IF(C181=2019,SUMPRODUCT((B181='Landbrugsareal - resultat'!$B$32:$B$45)*(INDEX('Landbrugsareal - resultat'!$L$32:$N$45,,MATCH(E181,'Landbrugsareal - resultat'!$L$4:$N$4,0)))),IF(C181=2030,SUMPRODUCT((B181='Landbrugsareal - resultat'!$B$32:$B$45)*(INDEX('Landbrugsareal - resultat'!$O$32:$Q$45,,MATCH(E181,'Landbrugsareal - resultat'!$O$4:$Q$4,0)))),SUMPRODUCT((B181='Landbrugsareal - resultat'!$B$32:$B$45)*(INDEX('Landbrugsareal - resultat'!$R$32:$T$45,,MATCH(E181,'Landbrugsareal - resultat'!$R$4:$T$4,0))))))))</f>
        <v>243.3055357816946</v>
      </c>
      <c r="H181" s="172">
        <f>G181*VLOOKUP(B181,[1]Afgrødedata!$A$5:$F$18,2,FALSE)*IF(D181="Økologisk",VLOOKUP(B181,[1]Afgrødedata!$A$5:$F$18,4,FALSE),1)*IF(E181&lt;&gt;Jordbund1,IF(E181=Organ6,VLOOKUP(B181,[1]Afgrødedata!$A$5:$F$18,5,FALSE),VLOOKUP(B181,[1]Afgrødedata!$A$5:$F$18,6,FALSE)),1)*0.1</f>
        <v>17031.387504718623</v>
      </c>
      <c r="I181" s="172">
        <f>G181*VLOOKUP(B181,[1]Afgrødedata!$A$5:$F$18,3,FALSE)*IF(D181="Økologisk",VLOOKUP(B181,[1]Afgrødedata!$A$5:$F$18,4,FALSE),1)*IF(E181&lt;&gt;Jordbund1,IF(E181=Organ6,VLOOKUP(B181,[1]Afgrødedata!$A$5:$F$18,5,FALSE),VLOOKUP(B181,[1]Afgrødedata!$A$5:$F$18,6,FALSE)),1)*HLOOKUP(C181,Landbrug!$C$15:$E$17,2,FALSE)*HLOOKUP(C181,Landbrug!$C$15:$E$17,3,FALSE)*0.1</f>
        <v>0</v>
      </c>
      <c r="J181" s="76">
        <f t="shared" si="29"/>
        <v>17031.387504718623</v>
      </c>
    </row>
    <row r="182" spans="1:10" x14ac:dyDescent="0.55000000000000004">
      <c r="A182" t="s">
        <v>23</v>
      </c>
      <c r="B182" s="1" t="str">
        <f>[1]Afgrødefordeling!$C$14</f>
        <v>Pil &amp; poppel</v>
      </c>
      <c r="C182">
        <v>2019</v>
      </c>
      <c r="D182" t="s">
        <v>7</v>
      </c>
      <c r="E182" s="172" t="str">
        <f t="shared" si="35"/>
        <v>OC12</v>
      </c>
      <c r="F182" t="str">
        <f t="shared" ref="F182" si="36">IF(I182&lt;&gt;0,"Halm",IF(B182&lt;&gt;"Permanent græs",B182,"Græs"))</f>
        <v>Pil &amp; poppel</v>
      </c>
      <c r="G182" s="76" cm="1">
        <f t="array" ref="G182">IF(A182="Vestdanmark",IF(D182="Konventionel",IF(C182=2019,SUMPRODUCT((B182='Landbrugsareal - resultat'!$B$5:$B$18)*(INDEX('Landbrugsareal - resultat'!$C$5:$E$18,,MATCH(E182,'Landbrugsareal - resultat'!$C$4:$E$4,0)))),IF(C182=2030,SUMPRODUCT((B182='Landbrugsareal - resultat'!$B$5:$B$18)*(INDEX('Landbrugsareal - resultat'!$F$5:$H$18,,MATCH(E182,'Landbrugsareal - resultat'!$F$4:$H$4,0)))),SUMPRODUCT((B182='Landbrugsareal - resultat'!$B$5:$B$18)*(INDEX('Landbrugsareal - resultat'!$I$5:$K$18,,MATCH(E182,'Landbrugsareal - resultat'!$I$4:$K$4,0)))))),IF(C182=2019,SUMPRODUCT((B182='Landbrugsareal - resultat'!$B$5:$B$18)*(INDEX('Landbrugsareal - resultat'!$L$5:$N$18,,MATCH(E182,'Landbrugsareal - resultat'!$L$4:$N$4,0)))),IF(C182=2030,SUMPRODUCT((B182='Landbrugsareal - resultat'!$B$5:$B$18)*(INDEX('Landbrugsareal - resultat'!$O$5:$Q$18,,MATCH(E182,'Landbrugsareal - resultat'!$O$4:$Q$4,0)))),SUMPRODUCT((B182='Landbrugsareal - resultat'!$B$5:$B$18)*(INDEX('Landbrugsareal - resultat'!$R$5:$T$18,,MATCH(E182,'Landbrugsareal - resultat'!$R$4:$T$4,0))))))),IF(D182="Konventionel",IF(C182=2019,SUMPRODUCT((B182='Landbrugsareal - resultat'!$B$32:$B$45)*(INDEX('Landbrugsareal - resultat'!$C$32:$E$45,,MATCH(E182,'Landbrugsareal - resultat'!$C$4:$E$4,0)))),IF(C182=2030,SUMPRODUCT((B182='Landbrugsareal - resultat'!$B$32:$B$45)*(INDEX('Landbrugsareal - resultat'!$F$32:$H$45,,MATCH(E182,'Landbrugsareal - resultat'!$F$4:$H$4,0)))),SUMPRODUCT((B182='Landbrugsareal - resultat'!$B$32:$B$45)*(INDEX('Landbrugsareal - resultat'!$I$32:$K$45,,MATCH(E182,'Landbrugsareal - resultat'!$I$4:$K$4,0)))))),IF(C182=2019,SUMPRODUCT((B182='Landbrugsareal - resultat'!$B$32:$B$45)*(INDEX('Landbrugsareal - resultat'!$L$32:$N$45,,MATCH(E182,'Landbrugsareal - resultat'!$L$4:$N$4,0)))),IF(C182=2030,SUMPRODUCT((B182='Landbrugsareal - resultat'!$B$32:$B$45)*(INDEX('Landbrugsareal - resultat'!$O$32:$Q$45,,MATCH(E182,'Landbrugsareal - resultat'!$O$4:$Q$4,0)))),SUMPRODUCT((B182='Landbrugsareal - resultat'!$B$32:$B$45)*(INDEX('Landbrugsareal - resultat'!$R$32:$T$45,,MATCH(E182,'Landbrugsareal - resultat'!$R$4:$T$4,0))))))))</f>
        <v>574.32851892788028</v>
      </c>
      <c r="H182" s="172">
        <f>G182*VLOOKUP(B182,[1]Afgrødedata!$A$5:$F$18,2,FALSE)*IF(D182="Økologisk",VLOOKUP(B182,[1]Afgrødedata!$A$5:$F$18,4,FALSE),1)*IF(E182&lt;&gt;Jordbund1,IF(E182=Organ6,VLOOKUP(B182,[1]Afgrødedata!$A$5:$F$18,5,FALSE),VLOOKUP(B182,[1]Afgrødedata!$A$5:$F$18,6,FALSE)),1)*0.1</f>
        <v>19611.217719488595</v>
      </c>
      <c r="I182" s="172">
        <f>G182*VLOOKUP(B182,[1]Afgrødedata!$A$5:$F$18,3,FALSE)*IF(D182="Økologisk",VLOOKUP(B182,[1]Afgrødedata!$A$5:$F$18,4,FALSE),1)*IF(E182&lt;&gt;Jordbund1,IF(E182=Organ6,VLOOKUP(B182,[1]Afgrødedata!$A$5:$F$18,5,FALSE),VLOOKUP(B182,[1]Afgrødedata!$A$5:$F$18,6,FALSE)),1)*HLOOKUP(C182,Landbrug!$C$15:$E$17,2,FALSE)*HLOOKUP(C182,Landbrug!$C$15:$E$17,3,FALSE)*0.1</f>
        <v>0</v>
      </c>
      <c r="J182" s="76">
        <f t="shared" ref="J182" si="37">IF(I182&lt;&gt;0,I182,H182)</f>
        <v>19611.217719488595</v>
      </c>
    </row>
    <row r="183" spans="1:10" x14ac:dyDescent="0.55000000000000004">
      <c r="A183" t="s">
        <v>23</v>
      </c>
      <c r="B183" s="1" t="str">
        <f>[1]Afgrødefordeling!$C$15</f>
        <v>Permanent græs</v>
      </c>
      <c r="C183">
        <v>2019</v>
      </c>
      <c r="D183" t="s">
        <v>7</v>
      </c>
      <c r="E183" s="172" t="str">
        <f t="shared" si="35"/>
        <v>OC12</v>
      </c>
      <c r="F183" t="str">
        <f t="shared" si="28"/>
        <v>Græs</v>
      </c>
      <c r="G183" s="76" cm="1">
        <f t="array" ref="G183">IF(A183="Vestdanmark",IF(D183="Konventionel",IF(C183=2019,SUMPRODUCT((B183='Landbrugsareal - resultat'!$B$5:$B$18)*(INDEX('Landbrugsareal - resultat'!$C$5:$E$18,,MATCH(E183,'Landbrugsareal - resultat'!$C$4:$E$4,0)))),IF(C183=2030,SUMPRODUCT((B183='Landbrugsareal - resultat'!$B$5:$B$18)*(INDEX('Landbrugsareal - resultat'!$F$5:$H$18,,MATCH(E183,'Landbrugsareal - resultat'!$F$4:$H$4,0)))),SUMPRODUCT((B183='Landbrugsareal - resultat'!$B$5:$B$18)*(INDEX('Landbrugsareal - resultat'!$I$5:$K$18,,MATCH(E183,'Landbrugsareal - resultat'!$I$4:$K$4,0)))))),IF(C183=2019,SUMPRODUCT((B183='Landbrugsareal - resultat'!$B$5:$B$18)*(INDEX('Landbrugsareal - resultat'!$L$5:$N$18,,MATCH(E183,'Landbrugsareal - resultat'!$L$4:$N$4,0)))),IF(C183=2030,SUMPRODUCT((B183='Landbrugsareal - resultat'!$B$5:$B$18)*(INDEX('Landbrugsareal - resultat'!$O$5:$Q$18,,MATCH(E183,'Landbrugsareal - resultat'!$O$4:$Q$4,0)))),SUMPRODUCT((B183='Landbrugsareal - resultat'!$B$5:$B$18)*(INDEX('Landbrugsareal - resultat'!$R$5:$T$18,,MATCH(E183,'Landbrugsareal - resultat'!$R$4:$T$4,0))))))),IF(D183="Konventionel",IF(C183=2019,SUMPRODUCT((B183='Landbrugsareal - resultat'!$B$32:$B$45)*(INDEX('Landbrugsareal - resultat'!$C$32:$E$45,,MATCH(E183,'Landbrugsareal - resultat'!$C$4:$E$4,0)))),IF(C183=2030,SUMPRODUCT((B183='Landbrugsareal - resultat'!$B$32:$B$45)*(INDEX('Landbrugsareal - resultat'!$F$32:$H$45,,MATCH(E183,'Landbrugsareal - resultat'!$F$4:$H$4,0)))),SUMPRODUCT((B183='Landbrugsareal - resultat'!$B$32:$B$45)*(INDEX('Landbrugsareal - resultat'!$I$32:$K$45,,MATCH(E183,'Landbrugsareal - resultat'!$I$4:$K$4,0)))))),IF(C183=2019,SUMPRODUCT((B183='Landbrugsareal - resultat'!$B$32:$B$45)*(INDEX('Landbrugsareal - resultat'!$L$32:$N$45,,MATCH(E183,'Landbrugsareal - resultat'!$L$4:$N$4,0)))),IF(C183=2030,SUMPRODUCT((B183='Landbrugsareal - resultat'!$B$32:$B$45)*(INDEX('Landbrugsareal - resultat'!$O$32:$Q$45,,MATCH(E183,'Landbrugsareal - resultat'!$O$4:$Q$4,0)))),SUMPRODUCT((B183='Landbrugsareal - resultat'!$B$32:$B$45)*(INDEX('Landbrugsareal - resultat'!$R$32:$T$45,,MATCH(E183,'Landbrugsareal - resultat'!$R$4:$T$4,0))))))))</f>
        <v>21241.691978712064</v>
      </c>
      <c r="H183" s="172">
        <f>G183*VLOOKUP(B183,[1]Afgrødedata!$A$5:$F$18,2,FALSE)*IF(D183="Økologisk",VLOOKUP(B183,[1]Afgrødedata!$A$5:$F$18,4,FALSE),1)*IF(E183&lt;&gt;Jordbund1,IF(E183=Organ6,VLOOKUP(B183,[1]Afgrødedata!$A$5:$F$18,5,FALSE),VLOOKUP(B183,[1]Afgrødedata!$A$5:$F$18,6,FALSE)),1)*0.1</f>
        <v>410092.10534101515</v>
      </c>
      <c r="I183" s="172">
        <f>G183*VLOOKUP(B183,[1]Afgrødedata!$A$5:$F$18,3,FALSE)*IF(D183="Økologisk",VLOOKUP(B183,[1]Afgrødedata!$A$5:$F$18,4,FALSE),1)*IF(E183&lt;&gt;Jordbund1,IF(E183=Organ6,VLOOKUP(B183,[1]Afgrødedata!$A$5:$F$18,5,FALSE),VLOOKUP(B183,[1]Afgrødedata!$A$5:$F$18,6,FALSE)),1)*HLOOKUP(C183,Landbrug!$C$15:$E$17,2,FALSE)*HLOOKUP(C183,Landbrug!$C$15:$E$17,3,FALSE)*0.1</f>
        <v>0</v>
      </c>
      <c r="J183" s="76">
        <f t="shared" si="29"/>
        <v>410092.10534101515</v>
      </c>
    </row>
    <row r="184" spans="1:10" x14ac:dyDescent="0.55000000000000004">
      <c r="A184" t="s">
        <v>23</v>
      </c>
      <c r="B184" s="1" t="str">
        <f>[1]Afgrødefordeling!$C$2</f>
        <v>Korn</v>
      </c>
      <c r="C184">
        <v>2030</v>
      </c>
      <c r="D184" t="s">
        <v>7</v>
      </c>
      <c r="E184" s="172" t="str">
        <f t="shared" si="35"/>
        <v>OC12</v>
      </c>
      <c r="F184" t="str">
        <f t="shared" si="28"/>
        <v>Halm</v>
      </c>
      <c r="G184" s="76" cm="1">
        <f t="array" ref="G184">IF(A184="Vestdanmark",IF(D184="Konventionel",IF(C184=2019,SUMPRODUCT((B184='Landbrugsareal - resultat'!$B$5:$B$18)*(INDEX('Landbrugsareal - resultat'!$C$5:$E$18,,MATCH(E184,'Landbrugsareal - resultat'!$C$4:$E$4,0)))),IF(C184=2030,SUMPRODUCT((B184='Landbrugsareal - resultat'!$B$5:$B$18)*(INDEX('Landbrugsareal - resultat'!$F$5:$H$18,,MATCH(E184,'Landbrugsareal - resultat'!$F$4:$H$4,0)))),SUMPRODUCT((B184='Landbrugsareal - resultat'!$B$5:$B$18)*(INDEX('Landbrugsareal - resultat'!$I$5:$K$18,,MATCH(E184,'Landbrugsareal - resultat'!$I$4:$K$4,0)))))),IF(C184=2019,SUMPRODUCT((B184='Landbrugsareal - resultat'!$B$5:$B$18)*(INDEX('Landbrugsareal - resultat'!$L$5:$N$18,,MATCH(E184,'Landbrugsareal - resultat'!$L$4:$N$4,0)))),IF(C184=2030,SUMPRODUCT((B184='Landbrugsareal - resultat'!$B$5:$B$18)*(INDEX('Landbrugsareal - resultat'!$O$5:$Q$18,,MATCH(E184,'Landbrugsareal - resultat'!$O$4:$Q$4,0)))),SUMPRODUCT((B184='Landbrugsareal - resultat'!$B$5:$B$18)*(INDEX('Landbrugsareal - resultat'!$R$5:$T$18,,MATCH(E184,'Landbrugsareal - resultat'!$R$4:$T$4,0))))))),IF(D184="Konventionel",IF(C184=2019,SUMPRODUCT((B184='Landbrugsareal - resultat'!$B$32:$B$45)*(INDEX('Landbrugsareal - resultat'!$C$32:$E$45,,MATCH(E184,'Landbrugsareal - resultat'!$C$4:$E$4,0)))),IF(C184=2030,SUMPRODUCT((B184='Landbrugsareal - resultat'!$B$32:$B$45)*(INDEX('Landbrugsareal - resultat'!$F$32:$H$45,,MATCH(E184,'Landbrugsareal - resultat'!$F$4:$H$4,0)))),SUMPRODUCT((B184='Landbrugsareal - resultat'!$B$32:$B$45)*(INDEX('Landbrugsareal - resultat'!$I$32:$K$45,,MATCH(E184,'Landbrugsareal - resultat'!$I$4:$K$4,0)))))),IF(C184=2019,SUMPRODUCT((B184='Landbrugsareal - resultat'!$B$32:$B$45)*(INDEX('Landbrugsareal - resultat'!$L$32:$N$45,,MATCH(E184,'Landbrugsareal - resultat'!$L$4:$N$4,0)))),IF(C184=2030,SUMPRODUCT((B184='Landbrugsareal - resultat'!$B$32:$B$45)*(INDEX('Landbrugsareal - resultat'!$O$32:$Q$45,,MATCH(E184,'Landbrugsareal - resultat'!$O$4:$Q$4,0)))),SUMPRODUCT((B184='Landbrugsareal - resultat'!$B$32:$B$45)*(INDEX('Landbrugsareal - resultat'!$R$32:$T$45,,MATCH(E184,'Landbrugsareal - resultat'!$R$4:$T$4,0))))))))</f>
        <v>10494.747555877077</v>
      </c>
      <c r="H184" s="172">
        <f>G184*VLOOKUP(B184,[1]Afgrødedata!$A$5:$F$18,2,FALSE)*IF(D184="Økologisk",VLOOKUP(B184,[1]Afgrødedata!$A$5:$F$18,4,FALSE),1)*IF(E184&lt;&gt;Jordbund1,IF(E184=Organ6,VLOOKUP(B184,[1]Afgrødedata!$A$5:$F$18,5,FALSE),VLOOKUP(B184,[1]Afgrødedata!$A$5:$F$18,6,FALSE)),1)*0.1</f>
        <v>102995.45251337762</v>
      </c>
      <c r="I184" s="172">
        <f>G184*VLOOKUP(B184,[1]Afgrødedata!$A$5:$F$18,3,FALSE)*IF(D184="Økologisk",VLOOKUP(B184,[1]Afgrødedata!$A$5:$F$18,4,FALSE),1)*IF(E184&lt;&gt;Jordbund1,IF(E184=Organ6,VLOOKUP(B184,[1]Afgrødedata!$A$5:$F$18,5,FALSE),VLOOKUP(B184,[1]Afgrødedata!$A$5:$F$18,6,FALSE)),1)*HLOOKUP(C184,Landbrug!$C$15:$E$17,2,FALSE)*HLOOKUP(C184,Landbrug!$C$15:$E$17,3,FALSE)*0.1</f>
        <v>33422.024340591037</v>
      </c>
      <c r="J184" s="76">
        <f t="shared" si="29"/>
        <v>33422.024340591037</v>
      </c>
    </row>
    <row r="185" spans="1:10" x14ac:dyDescent="0.55000000000000004">
      <c r="A185" t="s">
        <v>23</v>
      </c>
      <c r="B185" s="1" t="str">
        <f>[1]Afgrødefordeling!$C$3</f>
        <v>Bælgsæd</v>
      </c>
      <c r="C185">
        <v>2030</v>
      </c>
      <c r="D185" t="s">
        <v>7</v>
      </c>
      <c r="E185" s="172" t="str">
        <f t="shared" si="35"/>
        <v>OC12</v>
      </c>
      <c r="F185" t="str">
        <f t="shared" si="28"/>
        <v>Halm</v>
      </c>
      <c r="G185" s="76" cm="1">
        <f t="array" ref="G185">IF(A185="Vestdanmark",IF(D185="Konventionel",IF(C185=2019,SUMPRODUCT((B185='Landbrugsareal - resultat'!$B$5:$B$18)*(INDEX('Landbrugsareal - resultat'!$C$5:$E$18,,MATCH(E185,'Landbrugsareal - resultat'!$C$4:$E$4,0)))),IF(C185=2030,SUMPRODUCT((B185='Landbrugsareal - resultat'!$B$5:$B$18)*(INDEX('Landbrugsareal - resultat'!$F$5:$H$18,,MATCH(E185,'Landbrugsareal - resultat'!$F$4:$H$4,0)))),SUMPRODUCT((B185='Landbrugsareal - resultat'!$B$5:$B$18)*(INDEX('Landbrugsareal - resultat'!$I$5:$K$18,,MATCH(E185,'Landbrugsareal - resultat'!$I$4:$K$4,0)))))),IF(C185=2019,SUMPRODUCT((B185='Landbrugsareal - resultat'!$B$5:$B$18)*(INDEX('Landbrugsareal - resultat'!$L$5:$N$18,,MATCH(E185,'Landbrugsareal - resultat'!$L$4:$N$4,0)))),IF(C185=2030,SUMPRODUCT((B185='Landbrugsareal - resultat'!$B$5:$B$18)*(INDEX('Landbrugsareal - resultat'!$O$5:$Q$18,,MATCH(E185,'Landbrugsareal - resultat'!$O$4:$Q$4,0)))),SUMPRODUCT((B185='Landbrugsareal - resultat'!$B$5:$B$18)*(INDEX('Landbrugsareal - resultat'!$R$5:$T$18,,MATCH(E185,'Landbrugsareal - resultat'!$R$4:$T$4,0))))))),IF(D185="Konventionel",IF(C185=2019,SUMPRODUCT((B185='Landbrugsareal - resultat'!$B$32:$B$45)*(INDEX('Landbrugsareal - resultat'!$C$32:$E$45,,MATCH(E185,'Landbrugsareal - resultat'!$C$4:$E$4,0)))),IF(C185=2030,SUMPRODUCT((B185='Landbrugsareal - resultat'!$B$32:$B$45)*(INDEX('Landbrugsareal - resultat'!$F$32:$H$45,,MATCH(E185,'Landbrugsareal - resultat'!$F$4:$H$4,0)))),SUMPRODUCT((B185='Landbrugsareal - resultat'!$B$32:$B$45)*(INDEX('Landbrugsareal - resultat'!$I$32:$K$45,,MATCH(E185,'Landbrugsareal - resultat'!$I$4:$K$4,0)))))),IF(C185=2019,SUMPRODUCT((B185='Landbrugsareal - resultat'!$B$32:$B$45)*(INDEX('Landbrugsareal - resultat'!$L$32:$N$45,,MATCH(E185,'Landbrugsareal - resultat'!$L$4:$N$4,0)))),IF(C185=2030,SUMPRODUCT((B185='Landbrugsareal - resultat'!$B$32:$B$45)*(INDEX('Landbrugsareal - resultat'!$O$32:$Q$45,,MATCH(E185,'Landbrugsareal - resultat'!$O$4:$Q$4,0)))),SUMPRODUCT((B185='Landbrugsareal - resultat'!$B$32:$B$45)*(INDEX('Landbrugsareal - resultat'!$R$32:$T$45,,MATCH(E185,'Landbrugsareal - resultat'!$R$4:$T$4,0))))))))</f>
        <v>604.279402496633</v>
      </c>
      <c r="H185" s="172">
        <f>G185*VLOOKUP(B185,[1]Afgrødedata!$A$5:$F$18,2,FALSE)*IF(D185="Økologisk",VLOOKUP(B185,[1]Afgrødedata!$A$5:$F$18,4,FALSE),1)*IF(E185&lt;&gt;Jordbund1,IF(E185=Organ6,VLOOKUP(B185,[1]Afgrødedata!$A$5:$F$18,5,FALSE),VLOOKUP(B185,[1]Afgrødedata!$A$5:$F$18,6,FALSE)),1)*0.1</f>
        <v>3265.5258910918051</v>
      </c>
      <c r="I185" s="172">
        <f>G185*VLOOKUP(B185,[1]Afgrødedata!$A$5:$F$18,3,FALSE)*IF(D185="Økologisk",VLOOKUP(B185,[1]Afgrødedata!$A$5:$F$18,4,FALSE),1)*IF(E185&lt;&gt;Jordbund1,IF(E185=Organ6,VLOOKUP(B185,[1]Afgrødedata!$A$5:$F$18,5,FALSE),VLOOKUP(B185,[1]Afgrødedata!$A$5:$F$18,6,FALSE)),1)*HLOOKUP(C185,Landbrug!$C$15:$E$17,2,FALSE)*HLOOKUP(C185,Landbrug!$C$15:$E$17,3,FALSE)*0.1</f>
        <v>963.82927265854437</v>
      </c>
      <c r="J185" s="76">
        <f t="shared" si="29"/>
        <v>963.82927265854437</v>
      </c>
    </row>
    <row r="186" spans="1:10" x14ac:dyDescent="0.55000000000000004">
      <c r="A186" t="s">
        <v>23</v>
      </c>
      <c r="B186" s="1" t="str">
        <f>[1]Afgrødefordeling!$C$4</f>
        <v>Raps</v>
      </c>
      <c r="C186">
        <v>2030</v>
      </c>
      <c r="D186" t="s">
        <v>7</v>
      </c>
      <c r="E186" s="172" t="str">
        <f t="shared" si="35"/>
        <v>OC12</v>
      </c>
      <c r="F186" t="str">
        <f t="shared" si="28"/>
        <v>Halm</v>
      </c>
      <c r="G186" s="76" cm="1">
        <f t="array" ref="G186">IF(A186="Vestdanmark",IF(D186="Konventionel",IF(C186=2019,SUMPRODUCT((B186='Landbrugsareal - resultat'!$B$5:$B$18)*(INDEX('Landbrugsareal - resultat'!$C$5:$E$18,,MATCH(E186,'Landbrugsareal - resultat'!$C$4:$E$4,0)))),IF(C186=2030,SUMPRODUCT((B186='Landbrugsareal - resultat'!$B$5:$B$18)*(INDEX('Landbrugsareal - resultat'!$F$5:$H$18,,MATCH(E186,'Landbrugsareal - resultat'!$F$4:$H$4,0)))),SUMPRODUCT((B186='Landbrugsareal - resultat'!$B$5:$B$18)*(INDEX('Landbrugsareal - resultat'!$I$5:$K$18,,MATCH(E186,'Landbrugsareal - resultat'!$I$4:$K$4,0)))))),IF(C186=2019,SUMPRODUCT((B186='Landbrugsareal - resultat'!$B$5:$B$18)*(INDEX('Landbrugsareal - resultat'!$L$5:$N$18,,MATCH(E186,'Landbrugsareal - resultat'!$L$4:$N$4,0)))),IF(C186=2030,SUMPRODUCT((B186='Landbrugsareal - resultat'!$B$5:$B$18)*(INDEX('Landbrugsareal - resultat'!$O$5:$Q$18,,MATCH(E186,'Landbrugsareal - resultat'!$O$4:$Q$4,0)))),SUMPRODUCT((B186='Landbrugsareal - resultat'!$B$5:$B$18)*(INDEX('Landbrugsareal - resultat'!$R$5:$T$18,,MATCH(E186,'Landbrugsareal - resultat'!$R$4:$T$4,0))))))),IF(D186="Konventionel",IF(C186=2019,SUMPRODUCT((B186='Landbrugsareal - resultat'!$B$32:$B$45)*(INDEX('Landbrugsareal - resultat'!$C$32:$E$45,,MATCH(E186,'Landbrugsareal - resultat'!$C$4:$E$4,0)))),IF(C186=2030,SUMPRODUCT((B186='Landbrugsareal - resultat'!$B$32:$B$45)*(INDEX('Landbrugsareal - resultat'!$F$32:$H$45,,MATCH(E186,'Landbrugsareal - resultat'!$F$4:$H$4,0)))),SUMPRODUCT((B186='Landbrugsareal - resultat'!$B$32:$B$45)*(INDEX('Landbrugsareal - resultat'!$I$32:$K$45,,MATCH(E186,'Landbrugsareal - resultat'!$I$4:$K$4,0)))))),IF(C186=2019,SUMPRODUCT((B186='Landbrugsareal - resultat'!$B$32:$B$45)*(INDEX('Landbrugsareal - resultat'!$L$32:$N$45,,MATCH(E186,'Landbrugsareal - resultat'!$L$4:$N$4,0)))),IF(C186=2030,SUMPRODUCT((B186='Landbrugsareal - resultat'!$B$32:$B$45)*(INDEX('Landbrugsareal - resultat'!$O$32:$Q$45,,MATCH(E186,'Landbrugsareal - resultat'!$O$4:$Q$4,0)))),SUMPRODUCT((B186='Landbrugsareal - resultat'!$B$32:$B$45)*(INDEX('Landbrugsareal - resultat'!$R$32:$T$45,,MATCH(E186,'Landbrugsareal - resultat'!$R$4:$T$4,0))))))))</f>
        <v>782.5144630809657</v>
      </c>
      <c r="H186" s="172">
        <f>G186*VLOOKUP(B186,[1]Afgrødedata!$A$5:$F$18,2,FALSE)*IF(D186="Økologisk",VLOOKUP(B186,[1]Afgrødedata!$A$5:$F$18,4,FALSE),1)*IF(E186&lt;&gt;Jordbund1,IF(E186=Organ6,VLOOKUP(B186,[1]Afgrødedata!$A$5:$F$18,5,FALSE),VLOOKUP(B186,[1]Afgrødedata!$A$5:$F$18,6,FALSE)),1)*0.1</f>
        <v>4820.2890925787488</v>
      </c>
      <c r="I186" s="172">
        <f>G186*VLOOKUP(B186,[1]Afgrødedata!$A$5:$F$18,3,FALSE)*IF(D186="Økologisk",VLOOKUP(B186,[1]Afgrødedata!$A$5:$F$18,4,FALSE),1)*IF(E186&lt;&gt;Jordbund1,IF(E186=Organ6,VLOOKUP(B186,[1]Afgrødedata!$A$5:$F$18,5,FALSE),VLOOKUP(B186,[1]Afgrødedata!$A$5:$F$18,6,FALSE)),1)*HLOOKUP(C186,Landbrug!$C$15:$E$17,2,FALSE)*HLOOKUP(C186,Landbrug!$C$15:$E$17,3,FALSE)*0.1</f>
        <v>2559.5735081593152</v>
      </c>
      <c r="J186" s="76">
        <f t="shared" si="29"/>
        <v>2559.5735081593152</v>
      </c>
    </row>
    <row r="187" spans="1:10" x14ac:dyDescent="0.55000000000000004">
      <c r="A187" t="s">
        <v>23</v>
      </c>
      <c r="B187" s="1" t="str">
        <f>[1]Afgrødefordeling!$C$5</f>
        <v>Græs</v>
      </c>
      <c r="C187">
        <v>2030</v>
      </c>
      <c r="D187" t="s">
        <v>7</v>
      </c>
      <c r="E187" s="172" t="str">
        <f t="shared" si="35"/>
        <v>OC12</v>
      </c>
      <c r="F187" t="str">
        <f t="shared" si="28"/>
        <v>Græs</v>
      </c>
      <c r="G187" s="76" cm="1">
        <f t="array" ref="G187">IF(A187="Vestdanmark",IF(D187="Konventionel",IF(C187=2019,SUMPRODUCT((B187='Landbrugsareal - resultat'!$B$5:$B$18)*(INDEX('Landbrugsareal - resultat'!$C$5:$E$18,,MATCH(E187,'Landbrugsareal - resultat'!$C$4:$E$4,0)))),IF(C187=2030,SUMPRODUCT((B187='Landbrugsareal - resultat'!$B$5:$B$18)*(INDEX('Landbrugsareal - resultat'!$F$5:$H$18,,MATCH(E187,'Landbrugsareal - resultat'!$F$4:$H$4,0)))),SUMPRODUCT((B187='Landbrugsareal - resultat'!$B$5:$B$18)*(INDEX('Landbrugsareal - resultat'!$I$5:$K$18,,MATCH(E187,'Landbrugsareal - resultat'!$I$4:$K$4,0)))))),IF(C187=2019,SUMPRODUCT((B187='Landbrugsareal - resultat'!$B$5:$B$18)*(INDEX('Landbrugsareal - resultat'!$L$5:$N$18,,MATCH(E187,'Landbrugsareal - resultat'!$L$4:$N$4,0)))),IF(C187=2030,SUMPRODUCT((B187='Landbrugsareal - resultat'!$B$5:$B$18)*(INDEX('Landbrugsareal - resultat'!$O$5:$Q$18,,MATCH(E187,'Landbrugsareal - resultat'!$O$4:$Q$4,0)))),SUMPRODUCT((B187='Landbrugsareal - resultat'!$B$5:$B$18)*(INDEX('Landbrugsareal - resultat'!$R$5:$T$18,,MATCH(E187,'Landbrugsareal - resultat'!$R$4:$T$4,0))))))),IF(D187="Konventionel",IF(C187=2019,SUMPRODUCT((B187='Landbrugsareal - resultat'!$B$32:$B$45)*(INDEX('Landbrugsareal - resultat'!$C$32:$E$45,,MATCH(E187,'Landbrugsareal - resultat'!$C$4:$E$4,0)))),IF(C187=2030,SUMPRODUCT((B187='Landbrugsareal - resultat'!$B$32:$B$45)*(INDEX('Landbrugsareal - resultat'!$F$32:$H$45,,MATCH(E187,'Landbrugsareal - resultat'!$F$4:$H$4,0)))),SUMPRODUCT((B187='Landbrugsareal - resultat'!$B$32:$B$45)*(INDEX('Landbrugsareal - resultat'!$I$32:$K$45,,MATCH(E187,'Landbrugsareal - resultat'!$I$4:$K$4,0)))))),IF(C187=2019,SUMPRODUCT((B187='Landbrugsareal - resultat'!$B$32:$B$45)*(INDEX('Landbrugsareal - resultat'!$L$32:$N$45,,MATCH(E187,'Landbrugsareal - resultat'!$L$4:$N$4,0)))),IF(C187=2030,SUMPRODUCT((B187='Landbrugsareal - resultat'!$B$32:$B$45)*(INDEX('Landbrugsareal - resultat'!$O$32:$Q$45,,MATCH(E187,'Landbrugsareal - resultat'!$O$4:$Q$4,0)))),SUMPRODUCT((B187='Landbrugsareal - resultat'!$B$32:$B$45)*(INDEX('Landbrugsareal - resultat'!$R$32:$T$45,,MATCH(E187,'Landbrugsareal - resultat'!$R$4:$T$4,0))))))))</f>
        <v>18047.25370357795</v>
      </c>
      <c r="H187" s="172">
        <f>G187*VLOOKUP(B187,[1]Afgrødedata!$A$5:$F$18,2,FALSE)*IF(D187="Økologisk",VLOOKUP(B187,[1]Afgrødedata!$A$5:$F$18,4,FALSE),1)*IF(E187&lt;&gt;Jordbund1,IF(E187=Organ6,VLOOKUP(B187,[1]Afgrødedata!$A$5:$F$18,5,FALSE),VLOOKUP(B187,[1]Afgrødedata!$A$5:$F$18,6,FALSE)),1)*0.1</f>
        <v>1253706.6202801529</v>
      </c>
      <c r="I187" s="172">
        <f>G187*VLOOKUP(B187,[1]Afgrødedata!$A$5:$F$18,3,FALSE)*IF(D187="Økologisk",VLOOKUP(B187,[1]Afgrødedata!$A$5:$F$18,4,FALSE),1)*IF(E187&lt;&gt;Jordbund1,IF(E187=Organ6,VLOOKUP(B187,[1]Afgrødedata!$A$5:$F$18,5,FALSE),VLOOKUP(B187,[1]Afgrødedata!$A$5:$F$18,6,FALSE)),1)*HLOOKUP(C187,Landbrug!$C$15:$E$17,2,FALSE)*HLOOKUP(C187,Landbrug!$C$15:$E$17,3,FALSE)*0.1</f>
        <v>0</v>
      </c>
      <c r="J187" s="76">
        <f t="shared" si="29"/>
        <v>1253706.6202801529</v>
      </c>
    </row>
    <row r="188" spans="1:10" x14ac:dyDescent="0.55000000000000004">
      <c r="A188" t="s">
        <v>23</v>
      </c>
      <c r="B188" s="1" t="str">
        <f>[1]Afgrødefordeling!$C$6</f>
        <v>Grøntsager</v>
      </c>
      <c r="C188">
        <v>2030</v>
      </c>
      <c r="D188" t="s">
        <v>7</v>
      </c>
      <c r="E188" s="172" t="str">
        <f t="shared" si="35"/>
        <v>OC12</v>
      </c>
      <c r="F188" t="str">
        <f t="shared" si="28"/>
        <v>Grøntsager</v>
      </c>
      <c r="G188" s="76" cm="1">
        <f t="array" ref="G188">IF(A188="Vestdanmark",IF(D188="Konventionel",IF(C188=2019,SUMPRODUCT((B188='Landbrugsareal - resultat'!$B$5:$B$18)*(INDEX('Landbrugsareal - resultat'!$C$5:$E$18,,MATCH(E188,'Landbrugsareal - resultat'!$C$4:$E$4,0)))),IF(C188=2030,SUMPRODUCT((B188='Landbrugsareal - resultat'!$B$5:$B$18)*(INDEX('Landbrugsareal - resultat'!$F$5:$H$18,,MATCH(E188,'Landbrugsareal - resultat'!$F$4:$H$4,0)))),SUMPRODUCT((B188='Landbrugsareal - resultat'!$B$5:$B$18)*(INDEX('Landbrugsareal - resultat'!$I$5:$K$18,,MATCH(E188,'Landbrugsareal - resultat'!$I$4:$K$4,0)))))),IF(C188=2019,SUMPRODUCT((B188='Landbrugsareal - resultat'!$B$5:$B$18)*(INDEX('Landbrugsareal - resultat'!$L$5:$N$18,,MATCH(E188,'Landbrugsareal - resultat'!$L$4:$N$4,0)))),IF(C188=2030,SUMPRODUCT((B188='Landbrugsareal - resultat'!$B$5:$B$18)*(INDEX('Landbrugsareal - resultat'!$O$5:$Q$18,,MATCH(E188,'Landbrugsareal - resultat'!$O$4:$Q$4,0)))),SUMPRODUCT((B188='Landbrugsareal - resultat'!$B$5:$B$18)*(INDEX('Landbrugsareal - resultat'!$R$5:$T$18,,MATCH(E188,'Landbrugsareal - resultat'!$R$4:$T$4,0))))))),IF(D188="Konventionel",IF(C188=2019,SUMPRODUCT((B188='Landbrugsareal - resultat'!$B$32:$B$45)*(INDEX('Landbrugsareal - resultat'!$C$32:$E$45,,MATCH(E188,'Landbrugsareal - resultat'!$C$4:$E$4,0)))),IF(C188=2030,SUMPRODUCT((B188='Landbrugsareal - resultat'!$B$32:$B$45)*(INDEX('Landbrugsareal - resultat'!$F$32:$H$45,,MATCH(E188,'Landbrugsareal - resultat'!$F$4:$H$4,0)))),SUMPRODUCT((B188='Landbrugsareal - resultat'!$B$32:$B$45)*(INDEX('Landbrugsareal - resultat'!$I$32:$K$45,,MATCH(E188,'Landbrugsareal - resultat'!$I$4:$K$4,0)))))),IF(C188=2019,SUMPRODUCT((B188='Landbrugsareal - resultat'!$B$32:$B$45)*(INDEX('Landbrugsareal - resultat'!$L$32:$N$45,,MATCH(E188,'Landbrugsareal - resultat'!$L$4:$N$4,0)))),IF(C188=2030,SUMPRODUCT((B188='Landbrugsareal - resultat'!$B$32:$B$45)*(INDEX('Landbrugsareal - resultat'!$O$32:$Q$45,,MATCH(E188,'Landbrugsareal - resultat'!$O$4:$Q$4,0)))),SUMPRODUCT((B188='Landbrugsareal - resultat'!$B$32:$B$45)*(INDEX('Landbrugsareal - resultat'!$R$32:$T$45,,MATCH(E188,'Landbrugsareal - resultat'!$R$4:$T$4,0))))))))</f>
        <v>20.976548706457006</v>
      </c>
      <c r="H188" s="172">
        <f>G188*VLOOKUP(B188,[1]Afgrødedata!$A$5:$F$18,2,FALSE)*IF(D188="Økologisk",VLOOKUP(B188,[1]Afgrødedata!$A$5:$F$18,4,FALSE),1)*IF(E188&lt;&gt;Jordbund1,IF(E188=Organ6,VLOOKUP(B188,[1]Afgrødedata!$A$5:$F$18,5,FALSE),VLOOKUP(B188,[1]Afgrødedata!$A$5:$F$18,6,FALSE)),1)*0.1</f>
        <v>609.36873992257597</v>
      </c>
      <c r="I188" s="172">
        <f>G188*VLOOKUP(B188,[1]Afgrødedata!$A$5:$F$18,3,FALSE)*IF(D188="Økologisk",VLOOKUP(B188,[1]Afgrødedata!$A$5:$F$18,4,FALSE),1)*IF(E188&lt;&gt;Jordbund1,IF(E188=Organ6,VLOOKUP(B188,[1]Afgrødedata!$A$5:$F$18,5,FALSE),VLOOKUP(B188,[1]Afgrødedata!$A$5:$F$18,6,FALSE)),1)*HLOOKUP(C188,Landbrug!$C$15:$E$17,2,FALSE)*HLOOKUP(C188,Landbrug!$C$15:$E$17,3,FALSE)*0.1</f>
        <v>0</v>
      </c>
      <c r="J188" s="76">
        <f t="shared" si="29"/>
        <v>609.36873992257597</v>
      </c>
    </row>
    <row r="189" spans="1:10" x14ac:dyDescent="0.55000000000000004">
      <c r="A189" t="s">
        <v>23</v>
      </c>
      <c r="B189" s="1" t="str">
        <f>[1]Afgrødefordeling!$C$7</f>
        <v>Kartofler</v>
      </c>
      <c r="C189">
        <v>2030</v>
      </c>
      <c r="D189" t="s">
        <v>7</v>
      </c>
      <c r="E189" s="172" t="str">
        <f t="shared" si="35"/>
        <v>OC12</v>
      </c>
      <c r="F189" t="str">
        <f t="shared" si="28"/>
        <v>Kartofler</v>
      </c>
      <c r="G189" s="76" cm="1">
        <f t="array" ref="G189">IF(A189="Vestdanmark",IF(D189="Konventionel",IF(C189=2019,SUMPRODUCT((B189='Landbrugsareal - resultat'!$B$5:$B$18)*(INDEX('Landbrugsareal - resultat'!$C$5:$E$18,,MATCH(E189,'Landbrugsareal - resultat'!$C$4:$E$4,0)))),IF(C189=2030,SUMPRODUCT((B189='Landbrugsareal - resultat'!$B$5:$B$18)*(INDEX('Landbrugsareal - resultat'!$F$5:$H$18,,MATCH(E189,'Landbrugsareal - resultat'!$F$4:$H$4,0)))),SUMPRODUCT((B189='Landbrugsareal - resultat'!$B$5:$B$18)*(INDEX('Landbrugsareal - resultat'!$I$5:$K$18,,MATCH(E189,'Landbrugsareal - resultat'!$I$4:$K$4,0)))))),IF(C189=2019,SUMPRODUCT((B189='Landbrugsareal - resultat'!$B$5:$B$18)*(INDEX('Landbrugsareal - resultat'!$L$5:$N$18,,MATCH(E189,'Landbrugsareal - resultat'!$L$4:$N$4,0)))),IF(C189=2030,SUMPRODUCT((B189='Landbrugsareal - resultat'!$B$5:$B$18)*(INDEX('Landbrugsareal - resultat'!$O$5:$Q$18,,MATCH(E189,'Landbrugsareal - resultat'!$O$4:$Q$4,0)))),SUMPRODUCT((B189='Landbrugsareal - resultat'!$B$5:$B$18)*(INDEX('Landbrugsareal - resultat'!$R$5:$T$18,,MATCH(E189,'Landbrugsareal - resultat'!$R$4:$T$4,0))))))),IF(D189="Konventionel",IF(C189=2019,SUMPRODUCT((B189='Landbrugsareal - resultat'!$B$32:$B$45)*(INDEX('Landbrugsareal - resultat'!$C$32:$E$45,,MATCH(E189,'Landbrugsareal - resultat'!$C$4:$E$4,0)))),IF(C189=2030,SUMPRODUCT((B189='Landbrugsareal - resultat'!$B$32:$B$45)*(INDEX('Landbrugsareal - resultat'!$F$32:$H$45,,MATCH(E189,'Landbrugsareal - resultat'!$F$4:$H$4,0)))),SUMPRODUCT((B189='Landbrugsareal - resultat'!$B$32:$B$45)*(INDEX('Landbrugsareal - resultat'!$I$32:$K$45,,MATCH(E189,'Landbrugsareal - resultat'!$I$4:$K$4,0)))))),IF(C189=2019,SUMPRODUCT((B189='Landbrugsareal - resultat'!$B$32:$B$45)*(INDEX('Landbrugsareal - resultat'!$L$32:$N$45,,MATCH(E189,'Landbrugsareal - resultat'!$L$4:$N$4,0)))),IF(C189=2030,SUMPRODUCT((B189='Landbrugsareal - resultat'!$B$32:$B$45)*(INDEX('Landbrugsareal - resultat'!$O$32:$Q$45,,MATCH(E189,'Landbrugsareal - resultat'!$O$4:$Q$4,0)))),SUMPRODUCT((B189='Landbrugsareal - resultat'!$B$32:$B$45)*(INDEX('Landbrugsareal - resultat'!$R$32:$T$45,,MATCH(E189,'Landbrugsareal - resultat'!$R$4:$T$4,0))))))))</f>
        <v>1110.2948742854976</v>
      </c>
      <c r="H189" s="172">
        <f>G189*VLOOKUP(B189,[1]Afgrødedata!$A$5:$F$18,2,FALSE)*IF(D189="Økologisk",VLOOKUP(B189,[1]Afgrødedata!$A$5:$F$18,4,FALSE),1)*IF(E189&lt;&gt;Jordbund1,IF(E189=Organ6,VLOOKUP(B189,[1]Afgrødedata!$A$5:$F$18,5,FALSE),VLOOKUP(B189,[1]Afgrødedata!$A$5:$F$18,6,FALSE)),1)*0.1</f>
        <v>66017.310784368063</v>
      </c>
      <c r="I189" s="172">
        <f>G189*VLOOKUP(B189,[1]Afgrødedata!$A$5:$F$18,3,FALSE)*IF(D189="Økologisk",VLOOKUP(B189,[1]Afgrødedata!$A$5:$F$18,4,FALSE),1)*IF(E189&lt;&gt;Jordbund1,IF(E189=Organ6,VLOOKUP(B189,[1]Afgrødedata!$A$5:$F$18,5,FALSE),VLOOKUP(B189,[1]Afgrødedata!$A$5:$F$18,6,FALSE)),1)*HLOOKUP(C189,Landbrug!$C$15:$E$17,2,FALSE)*HLOOKUP(C189,Landbrug!$C$15:$E$17,3,FALSE)*0.1</f>
        <v>0</v>
      </c>
      <c r="J189" s="76">
        <f t="shared" si="29"/>
        <v>66017.310784368063</v>
      </c>
    </row>
    <row r="190" spans="1:10" x14ac:dyDescent="0.55000000000000004">
      <c r="A190" t="s">
        <v>23</v>
      </c>
      <c r="B190" s="1" t="str">
        <f>[1]Afgrødefordeling!$C$8</f>
        <v>Roer</v>
      </c>
      <c r="C190">
        <v>2030</v>
      </c>
      <c r="D190" t="s">
        <v>7</v>
      </c>
      <c r="E190" s="172" t="str">
        <f t="shared" si="35"/>
        <v>OC12</v>
      </c>
      <c r="F190" t="str">
        <f t="shared" si="28"/>
        <v>Roer</v>
      </c>
      <c r="G190" s="76" cm="1">
        <f t="array" ref="G190">IF(A190="Vestdanmark",IF(D190="Konventionel",IF(C190=2019,SUMPRODUCT((B190='Landbrugsareal - resultat'!$B$5:$B$18)*(INDEX('Landbrugsareal - resultat'!$C$5:$E$18,,MATCH(E190,'Landbrugsareal - resultat'!$C$4:$E$4,0)))),IF(C190=2030,SUMPRODUCT((B190='Landbrugsareal - resultat'!$B$5:$B$18)*(INDEX('Landbrugsareal - resultat'!$F$5:$H$18,,MATCH(E190,'Landbrugsareal - resultat'!$F$4:$H$4,0)))),SUMPRODUCT((B190='Landbrugsareal - resultat'!$B$5:$B$18)*(INDEX('Landbrugsareal - resultat'!$I$5:$K$18,,MATCH(E190,'Landbrugsareal - resultat'!$I$4:$K$4,0)))))),IF(C190=2019,SUMPRODUCT((B190='Landbrugsareal - resultat'!$B$5:$B$18)*(INDEX('Landbrugsareal - resultat'!$L$5:$N$18,,MATCH(E190,'Landbrugsareal - resultat'!$L$4:$N$4,0)))),IF(C190=2030,SUMPRODUCT((B190='Landbrugsareal - resultat'!$B$5:$B$18)*(INDEX('Landbrugsareal - resultat'!$O$5:$Q$18,,MATCH(E190,'Landbrugsareal - resultat'!$O$4:$Q$4,0)))),SUMPRODUCT((B190='Landbrugsareal - resultat'!$B$5:$B$18)*(INDEX('Landbrugsareal - resultat'!$R$5:$T$18,,MATCH(E190,'Landbrugsareal - resultat'!$R$4:$T$4,0))))))),IF(D190="Konventionel",IF(C190=2019,SUMPRODUCT((B190='Landbrugsareal - resultat'!$B$32:$B$45)*(INDEX('Landbrugsareal - resultat'!$C$32:$E$45,,MATCH(E190,'Landbrugsareal - resultat'!$C$4:$E$4,0)))),IF(C190=2030,SUMPRODUCT((B190='Landbrugsareal - resultat'!$B$32:$B$45)*(INDEX('Landbrugsareal - resultat'!$F$32:$H$45,,MATCH(E190,'Landbrugsareal - resultat'!$F$4:$H$4,0)))),SUMPRODUCT((B190='Landbrugsareal - resultat'!$B$32:$B$45)*(INDEX('Landbrugsareal - resultat'!$I$32:$K$45,,MATCH(E190,'Landbrugsareal - resultat'!$I$4:$K$4,0)))))),IF(C190=2019,SUMPRODUCT((B190='Landbrugsareal - resultat'!$B$32:$B$45)*(INDEX('Landbrugsareal - resultat'!$L$32:$N$45,,MATCH(E190,'Landbrugsareal - resultat'!$L$4:$N$4,0)))),IF(C190=2030,SUMPRODUCT((B190='Landbrugsareal - resultat'!$B$32:$B$45)*(INDEX('Landbrugsareal - resultat'!$O$32:$Q$45,,MATCH(E190,'Landbrugsareal - resultat'!$O$4:$Q$4,0)))),SUMPRODUCT((B190='Landbrugsareal - resultat'!$B$32:$B$45)*(INDEX('Landbrugsareal - resultat'!$R$32:$T$45,,MATCH(E190,'Landbrugsareal - resultat'!$R$4:$T$4,0))))))))</f>
        <v>12.006798379551526</v>
      </c>
      <c r="H190" s="172">
        <f>G190*VLOOKUP(B190,[1]Afgrødedata!$A$5:$F$18,2,FALSE)*IF(D190="Økologisk",VLOOKUP(B190,[1]Afgrødedata!$A$5:$F$18,4,FALSE),1)*IF(E190&lt;&gt;Jordbund1,IF(E190=Organ6,VLOOKUP(B190,[1]Afgrødedata!$A$5:$F$18,5,FALSE),VLOOKUP(B190,[1]Afgrødedata!$A$5:$F$18,6,FALSE)),1)*0.1</f>
        <v>1365.8360377550734</v>
      </c>
      <c r="I190" s="172">
        <f>G190*VLOOKUP(B190,[1]Afgrødedata!$A$5:$F$18,3,FALSE)*IF(D190="Økologisk",VLOOKUP(B190,[1]Afgrødedata!$A$5:$F$18,4,FALSE),1)*IF(E190&lt;&gt;Jordbund1,IF(E190=Organ6,VLOOKUP(B190,[1]Afgrødedata!$A$5:$F$18,5,FALSE),VLOOKUP(B190,[1]Afgrødedata!$A$5:$F$18,6,FALSE)),1)*HLOOKUP(C190,Landbrug!$C$15:$E$17,2,FALSE)*HLOOKUP(C190,Landbrug!$C$15:$E$17,3,FALSE)*0.1</f>
        <v>0</v>
      </c>
      <c r="J190" s="76">
        <f t="shared" si="29"/>
        <v>1365.8360377550734</v>
      </c>
    </row>
    <row r="191" spans="1:10" x14ac:dyDescent="0.55000000000000004">
      <c r="A191" t="s">
        <v>23</v>
      </c>
      <c r="B191" s="1" t="str">
        <f>[1]Afgrødefordeling!$C$9</f>
        <v>Majs</v>
      </c>
      <c r="C191">
        <v>2030</v>
      </c>
      <c r="D191" t="s">
        <v>7</v>
      </c>
      <c r="E191" s="172" t="str">
        <f t="shared" si="35"/>
        <v>OC12</v>
      </c>
      <c r="F191" t="str">
        <f t="shared" si="28"/>
        <v>Majs</v>
      </c>
      <c r="G191" s="76" cm="1">
        <f t="array" ref="G191">IF(A191="Vestdanmark",IF(D191="Konventionel",IF(C191=2019,SUMPRODUCT((B191='Landbrugsareal - resultat'!$B$5:$B$18)*(INDEX('Landbrugsareal - resultat'!$C$5:$E$18,,MATCH(E191,'Landbrugsareal - resultat'!$C$4:$E$4,0)))),IF(C191=2030,SUMPRODUCT((B191='Landbrugsareal - resultat'!$B$5:$B$18)*(INDEX('Landbrugsareal - resultat'!$F$5:$H$18,,MATCH(E191,'Landbrugsareal - resultat'!$F$4:$H$4,0)))),SUMPRODUCT((B191='Landbrugsareal - resultat'!$B$5:$B$18)*(INDEX('Landbrugsareal - resultat'!$I$5:$K$18,,MATCH(E191,'Landbrugsareal - resultat'!$I$4:$K$4,0)))))),IF(C191=2019,SUMPRODUCT((B191='Landbrugsareal - resultat'!$B$5:$B$18)*(INDEX('Landbrugsareal - resultat'!$L$5:$N$18,,MATCH(E191,'Landbrugsareal - resultat'!$L$4:$N$4,0)))),IF(C191=2030,SUMPRODUCT((B191='Landbrugsareal - resultat'!$B$5:$B$18)*(INDEX('Landbrugsareal - resultat'!$O$5:$Q$18,,MATCH(E191,'Landbrugsareal - resultat'!$O$4:$Q$4,0)))),SUMPRODUCT((B191='Landbrugsareal - resultat'!$B$5:$B$18)*(INDEX('Landbrugsareal - resultat'!$R$5:$T$18,,MATCH(E191,'Landbrugsareal - resultat'!$R$4:$T$4,0))))))),IF(D191="Konventionel",IF(C191=2019,SUMPRODUCT((B191='Landbrugsareal - resultat'!$B$32:$B$45)*(INDEX('Landbrugsareal - resultat'!$C$32:$E$45,,MATCH(E191,'Landbrugsareal - resultat'!$C$4:$E$4,0)))),IF(C191=2030,SUMPRODUCT((B191='Landbrugsareal - resultat'!$B$32:$B$45)*(INDEX('Landbrugsareal - resultat'!$F$32:$H$45,,MATCH(E191,'Landbrugsareal - resultat'!$F$4:$H$4,0)))),SUMPRODUCT((B191='Landbrugsareal - resultat'!$B$32:$B$45)*(INDEX('Landbrugsareal - resultat'!$I$32:$K$45,,MATCH(E191,'Landbrugsareal - resultat'!$I$4:$K$4,0)))))),IF(C191=2019,SUMPRODUCT((B191='Landbrugsareal - resultat'!$B$32:$B$45)*(INDEX('Landbrugsareal - resultat'!$L$32:$N$45,,MATCH(E191,'Landbrugsareal - resultat'!$L$4:$N$4,0)))),IF(C191=2030,SUMPRODUCT((B191='Landbrugsareal - resultat'!$B$32:$B$45)*(INDEX('Landbrugsareal - resultat'!$O$32:$Q$45,,MATCH(E191,'Landbrugsareal - resultat'!$O$4:$Q$4,0)))),SUMPRODUCT((B191='Landbrugsareal - resultat'!$B$32:$B$45)*(INDEX('Landbrugsareal - resultat'!$R$32:$T$45,,MATCH(E191,'Landbrugsareal - resultat'!$R$4:$T$4,0))))))))</f>
        <v>1493.1629200879825</v>
      </c>
      <c r="H191" s="172">
        <f>G191*VLOOKUP(B191,[1]Afgrødedata!$A$5:$F$18,2,FALSE)*IF(D191="Økologisk",VLOOKUP(B191,[1]Afgrødedata!$A$5:$F$18,4,FALSE),1)*IF(E191&lt;&gt;Jordbund1,IF(E191=Organ6,VLOOKUP(B191,[1]Afgrødedata!$A$5:$F$18,5,FALSE),VLOOKUP(B191,[1]Afgrødedata!$A$5:$F$18,6,FALSE)),1)*0.1</f>
        <v>93044.95420236254</v>
      </c>
      <c r="I191" s="172">
        <f>G191*VLOOKUP(B191,[1]Afgrødedata!$A$5:$F$18,3,FALSE)*IF(D191="Økologisk",VLOOKUP(B191,[1]Afgrødedata!$A$5:$F$18,4,FALSE),1)*IF(E191&lt;&gt;Jordbund1,IF(E191=Organ6,VLOOKUP(B191,[1]Afgrødedata!$A$5:$F$18,5,FALSE),VLOOKUP(B191,[1]Afgrødedata!$A$5:$F$18,6,FALSE)),1)*HLOOKUP(C191,Landbrug!$C$15:$E$17,2,FALSE)*HLOOKUP(C191,Landbrug!$C$15:$E$17,3,FALSE)*0.1</f>
        <v>0</v>
      </c>
      <c r="J191" s="76">
        <f t="shared" si="29"/>
        <v>93044.95420236254</v>
      </c>
    </row>
    <row r="192" spans="1:10" x14ac:dyDescent="0.55000000000000004">
      <c r="A192" t="s">
        <v>23</v>
      </c>
      <c r="B192" s="1" t="str">
        <f>[1]Afgrødefordeling!$C$10</f>
        <v>Frugt</v>
      </c>
      <c r="C192">
        <v>2030</v>
      </c>
      <c r="D192" t="s">
        <v>7</v>
      </c>
      <c r="E192" s="172" t="str">
        <f t="shared" si="35"/>
        <v>OC12</v>
      </c>
      <c r="F192" t="str">
        <f t="shared" si="28"/>
        <v>Frugt</v>
      </c>
      <c r="G192" s="76" cm="1">
        <f t="array" ref="G192">IF(A192="Vestdanmark",IF(D192="Konventionel",IF(C192=2019,SUMPRODUCT((B192='Landbrugsareal - resultat'!$B$5:$B$18)*(INDEX('Landbrugsareal - resultat'!$C$5:$E$18,,MATCH(E192,'Landbrugsareal - resultat'!$C$4:$E$4,0)))),IF(C192=2030,SUMPRODUCT((B192='Landbrugsareal - resultat'!$B$5:$B$18)*(INDEX('Landbrugsareal - resultat'!$F$5:$H$18,,MATCH(E192,'Landbrugsareal - resultat'!$F$4:$H$4,0)))),SUMPRODUCT((B192='Landbrugsareal - resultat'!$B$5:$B$18)*(INDEX('Landbrugsareal - resultat'!$I$5:$K$18,,MATCH(E192,'Landbrugsareal - resultat'!$I$4:$K$4,0)))))),IF(C192=2019,SUMPRODUCT((B192='Landbrugsareal - resultat'!$B$5:$B$18)*(INDEX('Landbrugsareal - resultat'!$L$5:$N$18,,MATCH(E192,'Landbrugsareal - resultat'!$L$4:$N$4,0)))),IF(C192=2030,SUMPRODUCT((B192='Landbrugsareal - resultat'!$B$5:$B$18)*(INDEX('Landbrugsareal - resultat'!$O$5:$Q$18,,MATCH(E192,'Landbrugsareal - resultat'!$O$4:$Q$4,0)))),SUMPRODUCT((B192='Landbrugsareal - resultat'!$B$5:$B$18)*(INDEX('Landbrugsareal - resultat'!$R$5:$T$18,,MATCH(E192,'Landbrugsareal - resultat'!$R$4:$T$4,0))))))),IF(D192="Konventionel",IF(C192=2019,SUMPRODUCT((B192='Landbrugsareal - resultat'!$B$32:$B$45)*(INDEX('Landbrugsareal - resultat'!$C$32:$E$45,,MATCH(E192,'Landbrugsareal - resultat'!$C$4:$E$4,0)))),IF(C192=2030,SUMPRODUCT((B192='Landbrugsareal - resultat'!$B$32:$B$45)*(INDEX('Landbrugsareal - resultat'!$F$32:$H$45,,MATCH(E192,'Landbrugsareal - resultat'!$F$4:$H$4,0)))),SUMPRODUCT((B192='Landbrugsareal - resultat'!$B$32:$B$45)*(INDEX('Landbrugsareal - resultat'!$I$32:$K$45,,MATCH(E192,'Landbrugsareal - resultat'!$I$4:$K$4,0)))))),IF(C192=2019,SUMPRODUCT((B192='Landbrugsareal - resultat'!$B$32:$B$45)*(INDEX('Landbrugsareal - resultat'!$L$32:$N$45,,MATCH(E192,'Landbrugsareal - resultat'!$L$4:$N$4,0)))),IF(C192=2030,SUMPRODUCT((B192='Landbrugsareal - resultat'!$B$32:$B$45)*(INDEX('Landbrugsareal - resultat'!$O$32:$Q$45,,MATCH(E192,'Landbrugsareal - resultat'!$O$4:$Q$4,0)))),SUMPRODUCT((B192='Landbrugsareal - resultat'!$B$32:$B$45)*(INDEX('Landbrugsareal - resultat'!$R$32:$T$45,,MATCH(E192,'Landbrugsareal - resultat'!$R$4:$T$4,0))))))))</f>
        <v>42.789511866497449</v>
      </c>
      <c r="H192" s="172">
        <f>G192*VLOOKUP(B192,[1]Afgrødedata!$A$5:$F$18,2,FALSE)*IF(D192="Økologisk",VLOOKUP(B192,[1]Afgrødedata!$A$5:$F$18,4,FALSE),1)*IF(E192&lt;&gt;Jordbund1,IF(E192=Organ6,VLOOKUP(B192,[1]Afgrødedata!$A$5:$F$18,5,FALSE),VLOOKUP(B192,[1]Afgrødedata!$A$5:$F$18,6,FALSE)),1)*0.1</f>
        <v>508.5961380451887</v>
      </c>
      <c r="I192" s="172">
        <f>G192*VLOOKUP(B192,[1]Afgrødedata!$A$5:$F$18,3,FALSE)*IF(D192="Økologisk",VLOOKUP(B192,[1]Afgrødedata!$A$5:$F$18,4,FALSE),1)*IF(E192&lt;&gt;Jordbund1,IF(E192=Organ6,VLOOKUP(B192,[1]Afgrødedata!$A$5:$F$18,5,FALSE),VLOOKUP(B192,[1]Afgrødedata!$A$5:$F$18,6,FALSE)),1)*HLOOKUP(C192,Landbrug!$C$15:$E$17,2,FALSE)*HLOOKUP(C192,Landbrug!$C$15:$E$17,3,FALSE)*0.1</f>
        <v>0</v>
      </c>
      <c r="J192" s="76">
        <f t="shared" si="29"/>
        <v>508.5961380451887</v>
      </c>
    </row>
    <row r="193" spans="1:10" x14ac:dyDescent="0.55000000000000004">
      <c r="A193" t="s">
        <v>23</v>
      </c>
      <c r="B193" s="1" t="str">
        <f>[1]Afgrødefordeling!$C$11</f>
        <v>Øvrige</v>
      </c>
      <c r="C193">
        <v>2030</v>
      </c>
      <c r="D193" t="s">
        <v>7</v>
      </c>
      <c r="E193" s="172" t="str">
        <f t="shared" si="35"/>
        <v>OC12</v>
      </c>
      <c r="F193" t="str">
        <f t="shared" si="28"/>
        <v>Øvrige</v>
      </c>
      <c r="G193" s="76" cm="1">
        <f t="array" ref="G193">IF(A193="Vestdanmark",IF(D193="Konventionel",IF(C193=2019,SUMPRODUCT((B193='Landbrugsareal - resultat'!$B$5:$B$18)*(INDEX('Landbrugsareal - resultat'!$C$5:$E$18,,MATCH(E193,'Landbrugsareal - resultat'!$C$4:$E$4,0)))),IF(C193=2030,SUMPRODUCT((B193='Landbrugsareal - resultat'!$B$5:$B$18)*(INDEX('Landbrugsareal - resultat'!$F$5:$H$18,,MATCH(E193,'Landbrugsareal - resultat'!$F$4:$H$4,0)))),SUMPRODUCT((B193='Landbrugsareal - resultat'!$B$5:$B$18)*(INDEX('Landbrugsareal - resultat'!$I$5:$K$18,,MATCH(E193,'Landbrugsareal - resultat'!$I$4:$K$4,0)))))),IF(C193=2019,SUMPRODUCT((B193='Landbrugsareal - resultat'!$B$5:$B$18)*(INDEX('Landbrugsareal - resultat'!$L$5:$N$18,,MATCH(E193,'Landbrugsareal - resultat'!$L$4:$N$4,0)))),IF(C193=2030,SUMPRODUCT((B193='Landbrugsareal - resultat'!$B$5:$B$18)*(INDEX('Landbrugsareal - resultat'!$O$5:$Q$18,,MATCH(E193,'Landbrugsareal - resultat'!$O$4:$Q$4,0)))),SUMPRODUCT((B193='Landbrugsareal - resultat'!$B$5:$B$18)*(INDEX('Landbrugsareal - resultat'!$R$5:$T$18,,MATCH(E193,'Landbrugsareal - resultat'!$R$4:$T$4,0))))))),IF(D193="Konventionel",IF(C193=2019,SUMPRODUCT((B193='Landbrugsareal - resultat'!$B$32:$B$45)*(INDEX('Landbrugsareal - resultat'!$C$32:$E$45,,MATCH(E193,'Landbrugsareal - resultat'!$C$4:$E$4,0)))),IF(C193=2030,SUMPRODUCT((B193='Landbrugsareal - resultat'!$B$32:$B$45)*(INDEX('Landbrugsareal - resultat'!$F$32:$H$45,,MATCH(E193,'Landbrugsareal - resultat'!$F$4:$H$4,0)))),SUMPRODUCT((B193='Landbrugsareal - resultat'!$B$32:$B$45)*(INDEX('Landbrugsareal - resultat'!$I$32:$K$45,,MATCH(E193,'Landbrugsareal - resultat'!$I$4:$K$4,0)))))),IF(C193=2019,SUMPRODUCT((B193='Landbrugsareal - resultat'!$B$32:$B$45)*(INDEX('Landbrugsareal - resultat'!$L$32:$N$45,,MATCH(E193,'Landbrugsareal - resultat'!$L$4:$N$4,0)))),IF(C193=2030,SUMPRODUCT((B193='Landbrugsareal - resultat'!$B$32:$B$45)*(INDEX('Landbrugsareal - resultat'!$O$32:$Q$45,,MATCH(E193,'Landbrugsareal - resultat'!$O$4:$Q$4,0)))),SUMPRODUCT((B193='Landbrugsareal - resultat'!$B$32:$B$45)*(INDEX('Landbrugsareal - resultat'!$R$32:$T$45,,MATCH(E193,'Landbrugsareal - resultat'!$R$4:$T$4,0))))))))</f>
        <v>756.77108755092502</v>
      </c>
      <c r="H193" s="172">
        <f>G193*VLOOKUP(B193,[1]Afgrødedata!$A$5:$F$18,2,FALSE)*IF(D193="Økologisk",VLOOKUP(B193,[1]Afgrødedata!$A$5:$F$18,4,FALSE),1)*IF(E193&lt;&gt;Jordbund1,IF(E193=Organ6,VLOOKUP(B193,[1]Afgrødedata!$A$5:$F$18,5,FALSE),VLOOKUP(B193,[1]Afgrødedata!$A$5:$F$18,6,FALSE)),1)*0.1</f>
        <v>31568.192002614502</v>
      </c>
      <c r="I193" s="172">
        <f>G193*VLOOKUP(B193,[1]Afgrødedata!$A$5:$F$18,3,FALSE)*IF(D193="Økologisk",VLOOKUP(B193,[1]Afgrødedata!$A$5:$F$18,4,FALSE),1)*IF(E193&lt;&gt;Jordbund1,IF(E193=Organ6,VLOOKUP(B193,[1]Afgrødedata!$A$5:$F$18,5,FALSE),VLOOKUP(B193,[1]Afgrødedata!$A$5:$F$18,6,FALSE)),1)*HLOOKUP(C193,Landbrug!$C$15:$E$17,2,FALSE)*HLOOKUP(C193,Landbrug!$C$15:$E$17,3,FALSE)*0.1</f>
        <v>0</v>
      </c>
      <c r="J193" s="76">
        <f t="shared" si="29"/>
        <v>31568.192002614502</v>
      </c>
    </row>
    <row r="194" spans="1:10" x14ac:dyDescent="0.55000000000000004">
      <c r="A194" t="s">
        <v>23</v>
      </c>
      <c r="B194" s="1" t="str">
        <f>[1]Afgrødefordeling!$C$12</f>
        <v>Frø</v>
      </c>
      <c r="C194">
        <v>2030</v>
      </c>
      <c r="D194" t="s">
        <v>7</v>
      </c>
      <c r="E194" s="172" t="str">
        <f t="shared" si="35"/>
        <v>OC12</v>
      </c>
      <c r="F194" t="str">
        <f t="shared" si="28"/>
        <v>Halm</v>
      </c>
      <c r="G194" s="76" cm="1">
        <f t="array" ref="G194">IF(A194="Vestdanmark",IF(D194="Konventionel",IF(C194=2019,SUMPRODUCT((B194='Landbrugsareal - resultat'!$B$5:$B$18)*(INDEX('Landbrugsareal - resultat'!$C$5:$E$18,,MATCH(E194,'Landbrugsareal - resultat'!$C$4:$E$4,0)))),IF(C194=2030,SUMPRODUCT((B194='Landbrugsareal - resultat'!$B$5:$B$18)*(INDEX('Landbrugsareal - resultat'!$F$5:$H$18,,MATCH(E194,'Landbrugsareal - resultat'!$F$4:$H$4,0)))),SUMPRODUCT((B194='Landbrugsareal - resultat'!$B$5:$B$18)*(INDEX('Landbrugsareal - resultat'!$I$5:$K$18,,MATCH(E194,'Landbrugsareal - resultat'!$I$4:$K$4,0)))))),IF(C194=2019,SUMPRODUCT((B194='Landbrugsareal - resultat'!$B$5:$B$18)*(INDEX('Landbrugsareal - resultat'!$L$5:$N$18,,MATCH(E194,'Landbrugsareal - resultat'!$L$4:$N$4,0)))),IF(C194=2030,SUMPRODUCT((B194='Landbrugsareal - resultat'!$B$5:$B$18)*(INDEX('Landbrugsareal - resultat'!$O$5:$Q$18,,MATCH(E194,'Landbrugsareal - resultat'!$O$4:$Q$4,0)))),SUMPRODUCT((B194='Landbrugsareal - resultat'!$B$5:$B$18)*(INDEX('Landbrugsareal - resultat'!$R$5:$T$18,,MATCH(E194,'Landbrugsareal - resultat'!$R$4:$T$4,0))))))),IF(D194="Konventionel",IF(C194=2019,SUMPRODUCT((B194='Landbrugsareal - resultat'!$B$32:$B$45)*(INDEX('Landbrugsareal - resultat'!$C$32:$E$45,,MATCH(E194,'Landbrugsareal - resultat'!$C$4:$E$4,0)))),IF(C194=2030,SUMPRODUCT((B194='Landbrugsareal - resultat'!$B$32:$B$45)*(INDEX('Landbrugsareal - resultat'!$F$32:$H$45,,MATCH(E194,'Landbrugsareal - resultat'!$F$4:$H$4,0)))),SUMPRODUCT((B194='Landbrugsareal - resultat'!$B$32:$B$45)*(INDEX('Landbrugsareal - resultat'!$I$32:$K$45,,MATCH(E194,'Landbrugsareal - resultat'!$I$4:$K$4,0)))))),IF(C194=2019,SUMPRODUCT((B194='Landbrugsareal - resultat'!$B$32:$B$45)*(INDEX('Landbrugsareal - resultat'!$L$32:$N$45,,MATCH(E194,'Landbrugsareal - resultat'!$L$4:$N$4,0)))),IF(C194=2030,SUMPRODUCT((B194='Landbrugsareal - resultat'!$B$32:$B$45)*(INDEX('Landbrugsareal - resultat'!$O$32:$Q$45,,MATCH(E194,'Landbrugsareal - resultat'!$O$4:$Q$4,0)))),SUMPRODUCT((B194='Landbrugsareal - resultat'!$B$32:$B$45)*(INDEX('Landbrugsareal - resultat'!$R$32:$T$45,,MATCH(E194,'Landbrugsareal - resultat'!$R$4:$T$4,0))))))))</f>
        <v>2407.7925845338555</v>
      </c>
      <c r="H194" s="172">
        <f>G194*VLOOKUP(B194,[1]Afgrødedata!$A$5:$F$18,2,FALSE)*IF(D194="Økologisk",VLOOKUP(B194,[1]Afgrødedata!$A$5:$F$18,4,FALSE),1)*IF(E194&lt;&gt;Jordbund1,IF(E194=Organ6,VLOOKUP(B194,[1]Afgrødedata!$A$5:$F$18,5,FALSE),VLOOKUP(B194,[1]Afgrødedata!$A$5:$F$18,6,FALSE)),1)*0.1</f>
        <v>48166.458169403915</v>
      </c>
      <c r="I194" s="172">
        <f>G194*VLOOKUP(B194,[1]Afgrødedata!$A$5:$F$18,3,FALSE)*IF(D194="Økologisk",VLOOKUP(B194,[1]Afgrødedata!$A$5:$F$18,4,FALSE),1)*IF(E194&lt;&gt;Jordbund1,IF(E194=Organ6,VLOOKUP(B194,[1]Afgrødedata!$A$5:$F$18,5,FALSE),VLOOKUP(B194,[1]Afgrødedata!$A$5:$F$18,6,FALSE)),1)*HLOOKUP(C194,Landbrug!$C$15:$E$17,2,FALSE)*HLOOKUP(C194,Landbrug!$C$15:$E$17,3,FALSE)*0.1</f>
        <v>7955.3466992998583</v>
      </c>
      <c r="J194" s="76">
        <f t="shared" si="29"/>
        <v>7955.3466992998583</v>
      </c>
    </row>
    <row r="195" spans="1:10" x14ac:dyDescent="0.55000000000000004">
      <c r="A195" t="s">
        <v>23</v>
      </c>
      <c r="B195" s="1" t="str">
        <f>[1]Afgrødefordeling!$C$13</f>
        <v>Juletræer</v>
      </c>
      <c r="C195">
        <v>2030</v>
      </c>
      <c r="D195" t="s">
        <v>7</v>
      </c>
      <c r="E195" s="172" t="str">
        <f t="shared" si="35"/>
        <v>OC12</v>
      </c>
      <c r="F195" t="str">
        <f t="shared" si="28"/>
        <v>Juletræer</v>
      </c>
      <c r="G195" s="76" cm="1">
        <f t="array" ref="G195">IF(A195="Vestdanmark",IF(D195="Konventionel",IF(C195=2019,SUMPRODUCT((B195='Landbrugsareal - resultat'!$B$5:$B$18)*(INDEX('Landbrugsareal - resultat'!$C$5:$E$18,,MATCH(E195,'Landbrugsareal - resultat'!$C$4:$E$4,0)))),IF(C195=2030,SUMPRODUCT((B195='Landbrugsareal - resultat'!$B$5:$B$18)*(INDEX('Landbrugsareal - resultat'!$F$5:$H$18,,MATCH(E195,'Landbrugsareal - resultat'!$F$4:$H$4,0)))),SUMPRODUCT((B195='Landbrugsareal - resultat'!$B$5:$B$18)*(INDEX('Landbrugsareal - resultat'!$I$5:$K$18,,MATCH(E195,'Landbrugsareal - resultat'!$I$4:$K$4,0)))))),IF(C195=2019,SUMPRODUCT((B195='Landbrugsareal - resultat'!$B$5:$B$18)*(INDEX('Landbrugsareal - resultat'!$L$5:$N$18,,MATCH(E195,'Landbrugsareal - resultat'!$L$4:$N$4,0)))),IF(C195=2030,SUMPRODUCT((B195='Landbrugsareal - resultat'!$B$5:$B$18)*(INDEX('Landbrugsareal - resultat'!$O$5:$Q$18,,MATCH(E195,'Landbrugsareal - resultat'!$O$4:$Q$4,0)))),SUMPRODUCT((B195='Landbrugsareal - resultat'!$B$5:$B$18)*(INDEX('Landbrugsareal - resultat'!$R$5:$T$18,,MATCH(E195,'Landbrugsareal - resultat'!$R$4:$T$4,0))))))),IF(D195="Konventionel",IF(C195=2019,SUMPRODUCT((B195='Landbrugsareal - resultat'!$B$32:$B$45)*(INDEX('Landbrugsareal - resultat'!$C$32:$E$45,,MATCH(E195,'Landbrugsareal - resultat'!$C$4:$E$4,0)))),IF(C195=2030,SUMPRODUCT((B195='Landbrugsareal - resultat'!$B$32:$B$45)*(INDEX('Landbrugsareal - resultat'!$F$32:$H$45,,MATCH(E195,'Landbrugsareal - resultat'!$F$4:$H$4,0)))),SUMPRODUCT((B195='Landbrugsareal - resultat'!$B$32:$B$45)*(INDEX('Landbrugsareal - resultat'!$I$32:$K$45,,MATCH(E195,'Landbrugsareal - resultat'!$I$4:$K$4,0)))))),IF(C195=2019,SUMPRODUCT((B195='Landbrugsareal - resultat'!$B$32:$B$45)*(INDEX('Landbrugsareal - resultat'!$L$32:$N$45,,MATCH(E195,'Landbrugsareal - resultat'!$L$4:$N$4,0)))),IF(C195=2030,SUMPRODUCT((B195='Landbrugsareal - resultat'!$B$32:$B$45)*(INDEX('Landbrugsareal - resultat'!$O$32:$Q$45,,MATCH(E195,'Landbrugsareal - resultat'!$O$4:$Q$4,0)))),SUMPRODUCT((B195='Landbrugsareal - resultat'!$B$32:$B$45)*(INDEX('Landbrugsareal - resultat'!$R$32:$T$45,,MATCH(E195,'Landbrugsareal - resultat'!$R$4:$T$4,0))))))))</f>
        <v>214.61268127859856</v>
      </c>
      <c r="H195" s="172">
        <f>G195*VLOOKUP(B195,[1]Afgrødedata!$A$5:$F$18,2,FALSE)*IF(D195="Økologisk",VLOOKUP(B195,[1]Afgrødedata!$A$5:$F$18,4,FALSE),1)*IF(E195&lt;&gt;Jordbund1,IF(E195=Organ6,VLOOKUP(B195,[1]Afgrødedata!$A$5:$F$18,5,FALSE),VLOOKUP(B195,[1]Afgrødedata!$A$5:$F$18,6,FALSE)),1)*0.1</f>
        <v>15022.887689501898</v>
      </c>
      <c r="I195" s="172">
        <f>G195*VLOOKUP(B195,[1]Afgrødedata!$A$5:$F$18,3,FALSE)*IF(D195="Økologisk",VLOOKUP(B195,[1]Afgrødedata!$A$5:$F$18,4,FALSE),1)*IF(E195&lt;&gt;Jordbund1,IF(E195=Organ6,VLOOKUP(B195,[1]Afgrødedata!$A$5:$F$18,5,FALSE),VLOOKUP(B195,[1]Afgrødedata!$A$5:$F$18,6,FALSE)),1)*HLOOKUP(C195,Landbrug!$C$15:$E$17,2,FALSE)*HLOOKUP(C195,Landbrug!$C$15:$E$17,3,FALSE)*0.1</f>
        <v>0</v>
      </c>
      <c r="J195" s="76">
        <f t="shared" si="29"/>
        <v>15022.887689501898</v>
      </c>
    </row>
    <row r="196" spans="1:10" x14ac:dyDescent="0.55000000000000004">
      <c r="A196" t="s">
        <v>23</v>
      </c>
      <c r="B196" s="1" t="str">
        <f>[1]Afgrødefordeling!$C$14</f>
        <v>Pil &amp; poppel</v>
      </c>
      <c r="C196">
        <v>2030</v>
      </c>
      <c r="D196" t="s">
        <v>7</v>
      </c>
      <c r="E196" s="172" t="str">
        <f t="shared" si="35"/>
        <v>OC12</v>
      </c>
      <c r="F196" t="str">
        <f t="shared" ref="F196" si="38">IF(I196&lt;&gt;0,"Halm",IF(B196&lt;&gt;"Permanent græs",B196,"Græs"))</f>
        <v>Pil &amp; poppel</v>
      </c>
      <c r="G196" s="76" cm="1">
        <f t="array" ref="G196">IF(A196="Vestdanmark",IF(D196="Konventionel",IF(C196=2019,SUMPRODUCT((B196='Landbrugsareal - resultat'!$B$5:$B$18)*(INDEX('Landbrugsareal - resultat'!$C$5:$E$18,,MATCH(E196,'Landbrugsareal - resultat'!$C$4:$E$4,0)))),IF(C196=2030,SUMPRODUCT((B196='Landbrugsareal - resultat'!$B$5:$B$18)*(INDEX('Landbrugsareal - resultat'!$F$5:$H$18,,MATCH(E196,'Landbrugsareal - resultat'!$F$4:$H$4,0)))),SUMPRODUCT((B196='Landbrugsareal - resultat'!$B$5:$B$18)*(INDEX('Landbrugsareal - resultat'!$I$5:$K$18,,MATCH(E196,'Landbrugsareal - resultat'!$I$4:$K$4,0)))))),IF(C196=2019,SUMPRODUCT((B196='Landbrugsareal - resultat'!$B$5:$B$18)*(INDEX('Landbrugsareal - resultat'!$L$5:$N$18,,MATCH(E196,'Landbrugsareal - resultat'!$L$4:$N$4,0)))),IF(C196=2030,SUMPRODUCT((B196='Landbrugsareal - resultat'!$B$5:$B$18)*(INDEX('Landbrugsareal - resultat'!$O$5:$Q$18,,MATCH(E196,'Landbrugsareal - resultat'!$O$4:$Q$4,0)))),SUMPRODUCT((B196='Landbrugsareal - resultat'!$B$5:$B$18)*(INDEX('Landbrugsareal - resultat'!$R$5:$T$18,,MATCH(E196,'Landbrugsareal - resultat'!$R$4:$T$4,0))))))),IF(D196="Konventionel",IF(C196=2019,SUMPRODUCT((B196='Landbrugsareal - resultat'!$B$32:$B$45)*(INDEX('Landbrugsareal - resultat'!$C$32:$E$45,,MATCH(E196,'Landbrugsareal - resultat'!$C$4:$E$4,0)))),IF(C196=2030,SUMPRODUCT((B196='Landbrugsareal - resultat'!$B$32:$B$45)*(INDEX('Landbrugsareal - resultat'!$F$32:$H$45,,MATCH(E196,'Landbrugsareal - resultat'!$F$4:$H$4,0)))),SUMPRODUCT((B196='Landbrugsareal - resultat'!$B$32:$B$45)*(INDEX('Landbrugsareal - resultat'!$I$32:$K$45,,MATCH(E196,'Landbrugsareal - resultat'!$I$4:$K$4,0)))))),IF(C196=2019,SUMPRODUCT((B196='Landbrugsareal - resultat'!$B$32:$B$45)*(INDEX('Landbrugsareal - resultat'!$L$32:$N$45,,MATCH(E196,'Landbrugsareal - resultat'!$L$4:$N$4,0)))),IF(C196=2030,SUMPRODUCT((B196='Landbrugsareal - resultat'!$B$32:$B$45)*(INDEX('Landbrugsareal - resultat'!$O$32:$Q$45,,MATCH(E196,'Landbrugsareal - resultat'!$O$4:$Q$4,0)))),SUMPRODUCT((B196='Landbrugsareal - resultat'!$B$32:$B$45)*(INDEX('Landbrugsareal - resultat'!$R$32:$T$45,,MATCH(E196,'Landbrugsareal - resultat'!$R$4:$T$4,0))))))))</f>
        <v>506.59835168103979</v>
      </c>
      <c r="H196" s="172">
        <f>G196*VLOOKUP(B196,[1]Afgrødedata!$A$5:$F$18,2,FALSE)*IF(D196="Økologisk",VLOOKUP(B196,[1]Afgrødedata!$A$5:$F$18,4,FALSE),1)*IF(E196&lt;&gt;Jordbund1,IF(E196=Organ6,VLOOKUP(B196,[1]Afgrødedata!$A$5:$F$18,5,FALSE),VLOOKUP(B196,[1]Afgrødedata!$A$5:$F$18,6,FALSE)),1)*0.1</f>
        <v>17298.4803013038</v>
      </c>
      <c r="I196" s="172">
        <f>G196*VLOOKUP(B196,[1]Afgrødedata!$A$5:$F$18,3,FALSE)*IF(D196="Økologisk",VLOOKUP(B196,[1]Afgrødedata!$A$5:$F$18,4,FALSE),1)*IF(E196&lt;&gt;Jordbund1,IF(E196=Organ6,VLOOKUP(B196,[1]Afgrødedata!$A$5:$F$18,5,FALSE),VLOOKUP(B196,[1]Afgrødedata!$A$5:$F$18,6,FALSE)),1)*HLOOKUP(C196,Landbrug!$C$15:$E$17,2,FALSE)*HLOOKUP(C196,Landbrug!$C$15:$E$17,3,FALSE)*0.1</f>
        <v>0</v>
      </c>
      <c r="J196" s="76">
        <f t="shared" ref="J196" si="39">IF(I196&lt;&gt;0,I196,H196)</f>
        <v>17298.4803013038</v>
      </c>
    </row>
    <row r="197" spans="1:10" x14ac:dyDescent="0.55000000000000004">
      <c r="A197" t="s">
        <v>23</v>
      </c>
      <c r="B197" s="1" t="str">
        <f>[1]Afgrødefordeling!$C$15</f>
        <v>Permanent græs</v>
      </c>
      <c r="C197">
        <v>2030</v>
      </c>
      <c r="D197" t="s">
        <v>7</v>
      </c>
      <c r="E197" s="172" t="str">
        <f t="shared" si="35"/>
        <v>OC12</v>
      </c>
      <c r="F197" t="str">
        <f t="shared" si="28"/>
        <v>Græs</v>
      </c>
      <c r="G197" s="76" cm="1">
        <f t="array" ref="G197">IF(A197="Vestdanmark",IF(D197="Konventionel",IF(C197=2019,SUMPRODUCT((B197='Landbrugsareal - resultat'!$B$5:$B$18)*(INDEX('Landbrugsareal - resultat'!$C$5:$E$18,,MATCH(E197,'Landbrugsareal - resultat'!$C$4:$E$4,0)))),IF(C197=2030,SUMPRODUCT((B197='Landbrugsareal - resultat'!$B$5:$B$18)*(INDEX('Landbrugsareal - resultat'!$F$5:$H$18,,MATCH(E197,'Landbrugsareal - resultat'!$F$4:$H$4,0)))),SUMPRODUCT((B197='Landbrugsareal - resultat'!$B$5:$B$18)*(INDEX('Landbrugsareal - resultat'!$I$5:$K$18,,MATCH(E197,'Landbrugsareal - resultat'!$I$4:$K$4,0)))))),IF(C197=2019,SUMPRODUCT((B197='Landbrugsareal - resultat'!$B$5:$B$18)*(INDEX('Landbrugsareal - resultat'!$L$5:$N$18,,MATCH(E197,'Landbrugsareal - resultat'!$L$4:$N$4,0)))),IF(C197=2030,SUMPRODUCT((B197='Landbrugsareal - resultat'!$B$5:$B$18)*(INDEX('Landbrugsareal - resultat'!$O$5:$Q$18,,MATCH(E197,'Landbrugsareal - resultat'!$O$4:$Q$4,0)))),SUMPRODUCT((B197='Landbrugsareal - resultat'!$B$5:$B$18)*(INDEX('Landbrugsareal - resultat'!$R$5:$T$18,,MATCH(E197,'Landbrugsareal - resultat'!$R$4:$T$4,0))))))),IF(D197="Konventionel",IF(C197=2019,SUMPRODUCT((B197='Landbrugsareal - resultat'!$B$32:$B$45)*(INDEX('Landbrugsareal - resultat'!$C$32:$E$45,,MATCH(E197,'Landbrugsareal - resultat'!$C$4:$E$4,0)))),IF(C197=2030,SUMPRODUCT((B197='Landbrugsareal - resultat'!$B$32:$B$45)*(INDEX('Landbrugsareal - resultat'!$F$32:$H$45,,MATCH(E197,'Landbrugsareal - resultat'!$F$4:$H$4,0)))),SUMPRODUCT((B197='Landbrugsareal - resultat'!$B$32:$B$45)*(INDEX('Landbrugsareal - resultat'!$I$32:$K$45,,MATCH(E197,'Landbrugsareal - resultat'!$I$4:$K$4,0)))))),IF(C197=2019,SUMPRODUCT((B197='Landbrugsareal - resultat'!$B$32:$B$45)*(INDEX('Landbrugsareal - resultat'!$L$32:$N$45,,MATCH(E197,'Landbrugsareal - resultat'!$L$4:$N$4,0)))),IF(C197=2030,SUMPRODUCT((B197='Landbrugsareal - resultat'!$B$32:$B$45)*(INDEX('Landbrugsareal - resultat'!$O$32:$Q$45,,MATCH(E197,'Landbrugsareal - resultat'!$O$4:$Q$4,0)))),SUMPRODUCT((B197='Landbrugsareal - resultat'!$B$32:$B$45)*(INDEX('Landbrugsareal - resultat'!$R$32:$T$45,,MATCH(E197,'Landbrugsareal - resultat'!$R$4:$T$4,0))))))))</f>
        <v>18736.673852484033</v>
      </c>
      <c r="H197" s="172">
        <f>G197*VLOOKUP(B197,[1]Afgrødedata!$A$5:$F$18,2,FALSE)*IF(D197="Økologisk",VLOOKUP(B197,[1]Afgrødedata!$A$5:$F$18,4,FALSE),1)*IF(E197&lt;&gt;Jordbund1,IF(E197=Organ6,VLOOKUP(B197,[1]Afgrødedata!$A$5:$F$18,5,FALSE),VLOOKUP(B197,[1]Afgrødedata!$A$5:$F$18,6,FALSE)),1)*0.1</f>
        <v>361730.22539605678</v>
      </c>
      <c r="I197" s="172">
        <f>G197*VLOOKUP(B197,[1]Afgrødedata!$A$5:$F$18,3,FALSE)*IF(D197="Økologisk",VLOOKUP(B197,[1]Afgrødedata!$A$5:$F$18,4,FALSE),1)*IF(E197&lt;&gt;Jordbund1,IF(E197=Organ6,VLOOKUP(B197,[1]Afgrødedata!$A$5:$F$18,5,FALSE),VLOOKUP(B197,[1]Afgrødedata!$A$5:$F$18,6,FALSE)),1)*HLOOKUP(C197,Landbrug!$C$15:$E$17,2,FALSE)*HLOOKUP(C197,Landbrug!$C$15:$E$17,3,FALSE)*0.1</f>
        <v>0</v>
      </c>
      <c r="J197" s="76">
        <f t="shared" si="29"/>
        <v>361730.22539605678</v>
      </c>
    </row>
    <row r="198" spans="1:10" x14ac:dyDescent="0.55000000000000004">
      <c r="A198" t="s">
        <v>23</v>
      </c>
      <c r="B198" s="1" t="str">
        <f>[1]Afgrødefordeling!$C$2</f>
        <v>Korn</v>
      </c>
      <c r="C198">
        <v>2050</v>
      </c>
      <c r="D198" t="s">
        <v>7</v>
      </c>
      <c r="E198" s="172" t="str">
        <f t="shared" si="35"/>
        <v>OC12</v>
      </c>
      <c r="F198" t="str">
        <f t="shared" si="28"/>
        <v>Halm</v>
      </c>
      <c r="G198" s="76" cm="1">
        <f t="array" ref="G198">IF(A198="Vestdanmark",IF(D198="Konventionel",IF(C198=2019,SUMPRODUCT((B198='Landbrugsareal - resultat'!$B$5:$B$18)*(INDEX('Landbrugsareal - resultat'!$C$5:$E$18,,MATCH(E198,'Landbrugsareal - resultat'!$C$4:$E$4,0)))),IF(C198=2030,SUMPRODUCT((B198='Landbrugsareal - resultat'!$B$5:$B$18)*(INDEX('Landbrugsareal - resultat'!$F$5:$H$18,,MATCH(E198,'Landbrugsareal - resultat'!$F$4:$H$4,0)))),SUMPRODUCT((B198='Landbrugsareal - resultat'!$B$5:$B$18)*(INDEX('Landbrugsareal - resultat'!$I$5:$K$18,,MATCH(E198,'Landbrugsareal - resultat'!$I$4:$K$4,0)))))),IF(C198=2019,SUMPRODUCT((B198='Landbrugsareal - resultat'!$B$5:$B$18)*(INDEX('Landbrugsareal - resultat'!$L$5:$N$18,,MATCH(E198,'Landbrugsareal - resultat'!$L$4:$N$4,0)))),IF(C198=2030,SUMPRODUCT((B198='Landbrugsareal - resultat'!$B$5:$B$18)*(INDEX('Landbrugsareal - resultat'!$O$5:$Q$18,,MATCH(E198,'Landbrugsareal - resultat'!$O$4:$Q$4,0)))),SUMPRODUCT((B198='Landbrugsareal - resultat'!$B$5:$B$18)*(INDEX('Landbrugsareal - resultat'!$R$5:$T$18,,MATCH(E198,'Landbrugsareal - resultat'!$R$4:$T$4,0))))))),IF(D198="Konventionel",IF(C198=2019,SUMPRODUCT((B198='Landbrugsareal - resultat'!$B$32:$B$45)*(INDEX('Landbrugsareal - resultat'!$C$32:$E$45,,MATCH(E198,'Landbrugsareal - resultat'!$C$4:$E$4,0)))),IF(C198=2030,SUMPRODUCT((B198='Landbrugsareal - resultat'!$B$32:$B$45)*(INDEX('Landbrugsareal - resultat'!$F$32:$H$45,,MATCH(E198,'Landbrugsareal - resultat'!$F$4:$H$4,0)))),SUMPRODUCT((B198='Landbrugsareal - resultat'!$B$32:$B$45)*(INDEX('Landbrugsareal - resultat'!$I$32:$K$45,,MATCH(E198,'Landbrugsareal - resultat'!$I$4:$K$4,0)))))),IF(C198=2019,SUMPRODUCT((B198='Landbrugsareal - resultat'!$B$32:$B$45)*(INDEX('Landbrugsareal - resultat'!$L$32:$N$45,,MATCH(E198,'Landbrugsareal - resultat'!$L$4:$N$4,0)))),IF(C198=2030,SUMPRODUCT((B198='Landbrugsareal - resultat'!$B$32:$B$45)*(INDEX('Landbrugsareal - resultat'!$O$32:$Q$45,,MATCH(E198,'Landbrugsareal - resultat'!$O$4:$Q$4,0)))),SUMPRODUCT((B198='Landbrugsareal - resultat'!$B$32:$B$45)*(INDEX('Landbrugsareal - resultat'!$R$32:$T$45,,MATCH(E198,'Landbrugsareal - resultat'!$R$4:$T$4,0))))))))</f>
        <v>10009.441310518599</v>
      </c>
      <c r="H198" s="172">
        <f>G198*VLOOKUP(B198,[1]Afgrødedata!$A$5:$F$18,2,FALSE)*IF(D198="Økologisk",VLOOKUP(B198,[1]Afgrødedata!$A$5:$F$18,4,FALSE),1)*IF(E198&lt;&gt;Jordbund1,IF(E198=Organ6,VLOOKUP(B198,[1]Afgrødedata!$A$5:$F$18,5,FALSE),VLOOKUP(B198,[1]Afgrødedata!$A$5:$F$18,6,FALSE)),1)*0.1</f>
        <v>98232.657021429521</v>
      </c>
      <c r="I198" s="172">
        <f>G198*VLOOKUP(B198,[1]Afgrødedata!$A$5:$F$18,3,FALSE)*IF(D198="Økologisk",VLOOKUP(B198,[1]Afgrødedata!$A$5:$F$18,4,FALSE),1)*IF(E198&lt;&gt;Jordbund1,IF(E198=Organ6,VLOOKUP(B198,[1]Afgrødedata!$A$5:$F$18,5,FALSE),VLOOKUP(B198,[1]Afgrødedata!$A$5:$F$18,6,FALSE)),1)*HLOOKUP(C198,Landbrug!$C$15:$E$17,2,FALSE)*HLOOKUP(C198,Landbrug!$C$15:$E$17,3,FALSE)*0.1</f>
        <v>31876.497203453881</v>
      </c>
      <c r="J198" s="76">
        <f t="shared" si="29"/>
        <v>31876.497203453881</v>
      </c>
    </row>
    <row r="199" spans="1:10" x14ac:dyDescent="0.55000000000000004">
      <c r="A199" t="s">
        <v>23</v>
      </c>
      <c r="B199" s="1" t="str">
        <f>[1]Afgrødefordeling!$C$3</f>
        <v>Bælgsæd</v>
      </c>
      <c r="C199">
        <v>2050</v>
      </c>
      <c r="D199" t="s">
        <v>7</v>
      </c>
      <c r="E199" s="172" t="str">
        <f t="shared" si="35"/>
        <v>OC12</v>
      </c>
      <c r="F199" t="str">
        <f t="shared" si="28"/>
        <v>Halm</v>
      </c>
      <c r="G199" s="76" cm="1">
        <f t="array" ref="G199">IF(A199="Vestdanmark",IF(D199="Konventionel",IF(C199=2019,SUMPRODUCT((B199='Landbrugsareal - resultat'!$B$5:$B$18)*(INDEX('Landbrugsareal - resultat'!$C$5:$E$18,,MATCH(E199,'Landbrugsareal - resultat'!$C$4:$E$4,0)))),IF(C199=2030,SUMPRODUCT((B199='Landbrugsareal - resultat'!$B$5:$B$18)*(INDEX('Landbrugsareal - resultat'!$F$5:$H$18,,MATCH(E199,'Landbrugsareal - resultat'!$F$4:$H$4,0)))),SUMPRODUCT((B199='Landbrugsareal - resultat'!$B$5:$B$18)*(INDEX('Landbrugsareal - resultat'!$I$5:$K$18,,MATCH(E199,'Landbrugsareal - resultat'!$I$4:$K$4,0)))))),IF(C199=2019,SUMPRODUCT((B199='Landbrugsareal - resultat'!$B$5:$B$18)*(INDEX('Landbrugsareal - resultat'!$L$5:$N$18,,MATCH(E199,'Landbrugsareal - resultat'!$L$4:$N$4,0)))),IF(C199=2030,SUMPRODUCT((B199='Landbrugsareal - resultat'!$B$5:$B$18)*(INDEX('Landbrugsareal - resultat'!$O$5:$Q$18,,MATCH(E199,'Landbrugsareal - resultat'!$O$4:$Q$4,0)))),SUMPRODUCT((B199='Landbrugsareal - resultat'!$B$5:$B$18)*(INDEX('Landbrugsareal - resultat'!$R$5:$T$18,,MATCH(E199,'Landbrugsareal - resultat'!$R$4:$T$4,0))))))),IF(D199="Konventionel",IF(C199=2019,SUMPRODUCT((B199='Landbrugsareal - resultat'!$B$32:$B$45)*(INDEX('Landbrugsareal - resultat'!$C$32:$E$45,,MATCH(E199,'Landbrugsareal - resultat'!$C$4:$E$4,0)))),IF(C199=2030,SUMPRODUCT((B199='Landbrugsareal - resultat'!$B$32:$B$45)*(INDEX('Landbrugsareal - resultat'!$F$32:$H$45,,MATCH(E199,'Landbrugsareal - resultat'!$F$4:$H$4,0)))),SUMPRODUCT((B199='Landbrugsareal - resultat'!$B$32:$B$45)*(INDEX('Landbrugsareal - resultat'!$I$32:$K$45,,MATCH(E199,'Landbrugsareal - resultat'!$I$4:$K$4,0)))))),IF(C199=2019,SUMPRODUCT((B199='Landbrugsareal - resultat'!$B$32:$B$45)*(INDEX('Landbrugsareal - resultat'!$L$32:$N$45,,MATCH(E199,'Landbrugsareal - resultat'!$L$4:$N$4,0)))),IF(C199=2030,SUMPRODUCT((B199='Landbrugsareal - resultat'!$B$32:$B$45)*(INDEX('Landbrugsareal - resultat'!$O$32:$Q$45,,MATCH(E199,'Landbrugsareal - resultat'!$O$4:$Q$4,0)))),SUMPRODUCT((B199='Landbrugsareal - resultat'!$B$32:$B$45)*(INDEX('Landbrugsareal - resultat'!$R$32:$T$45,,MATCH(E199,'Landbrugsareal - resultat'!$R$4:$T$4,0))))))))</f>
        <v>576.33584631181759</v>
      </c>
      <c r="H199" s="172">
        <f>G199*VLOOKUP(B199,[1]Afgrødedata!$A$5:$F$18,2,FALSE)*IF(D199="Økologisk",VLOOKUP(B199,[1]Afgrødedata!$A$5:$F$18,4,FALSE),1)*IF(E199&lt;&gt;Jordbund1,IF(E199=Organ6,VLOOKUP(B199,[1]Afgrødedata!$A$5:$F$18,5,FALSE),VLOOKUP(B199,[1]Afgrødedata!$A$5:$F$18,6,FALSE)),1)*0.1</f>
        <v>3114.5189134690627</v>
      </c>
      <c r="I199" s="172">
        <f>G199*VLOOKUP(B199,[1]Afgrødedata!$A$5:$F$18,3,FALSE)*IF(D199="Økologisk",VLOOKUP(B199,[1]Afgrødedata!$A$5:$F$18,4,FALSE),1)*IF(E199&lt;&gt;Jordbund1,IF(E199=Organ6,VLOOKUP(B199,[1]Afgrødedata!$A$5:$F$18,5,FALSE),VLOOKUP(B199,[1]Afgrødedata!$A$5:$F$18,6,FALSE)),1)*HLOOKUP(C199,Landbrug!$C$15:$E$17,2,FALSE)*HLOOKUP(C199,Landbrug!$C$15:$E$17,3,FALSE)*0.1</f>
        <v>919.25913288242691</v>
      </c>
      <c r="J199" s="76">
        <f t="shared" si="29"/>
        <v>919.25913288242691</v>
      </c>
    </row>
    <row r="200" spans="1:10" x14ac:dyDescent="0.55000000000000004">
      <c r="A200" t="s">
        <v>23</v>
      </c>
      <c r="B200" s="1" t="str">
        <f>[1]Afgrødefordeling!$C$4</f>
        <v>Raps</v>
      </c>
      <c r="C200">
        <v>2050</v>
      </c>
      <c r="D200" t="s">
        <v>7</v>
      </c>
      <c r="E200" s="172" t="str">
        <f t="shared" si="35"/>
        <v>OC12</v>
      </c>
      <c r="F200" t="str">
        <f t="shared" si="28"/>
        <v>Halm</v>
      </c>
      <c r="G200" s="76" cm="1">
        <f t="array" ref="G200">IF(A200="Vestdanmark",IF(D200="Konventionel",IF(C200=2019,SUMPRODUCT((B200='Landbrugsareal - resultat'!$B$5:$B$18)*(INDEX('Landbrugsareal - resultat'!$C$5:$E$18,,MATCH(E200,'Landbrugsareal - resultat'!$C$4:$E$4,0)))),IF(C200=2030,SUMPRODUCT((B200='Landbrugsareal - resultat'!$B$5:$B$18)*(INDEX('Landbrugsareal - resultat'!$F$5:$H$18,,MATCH(E200,'Landbrugsareal - resultat'!$F$4:$H$4,0)))),SUMPRODUCT((B200='Landbrugsareal - resultat'!$B$5:$B$18)*(INDEX('Landbrugsareal - resultat'!$I$5:$K$18,,MATCH(E200,'Landbrugsareal - resultat'!$I$4:$K$4,0)))))),IF(C200=2019,SUMPRODUCT((B200='Landbrugsareal - resultat'!$B$5:$B$18)*(INDEX('Landbrugsareal - resultat'!$L$5:$N$18,,MATCH(E200,'Landbrugsareal - resultat'!$L$4:$N$4,0)))),IF(C200=2030,SUMPRODUCT((B200='Landbrugsareal - resultat'!$B$5:$B$18)*(INDEX('Landbrugsareal - resultat'!$O$5:$Q$18,,MATCH(E200,'Landbrugsareal - resultat'!$O$4:$Q$4,0)))),SUMPRODUCT((B200='Landbrugsareal - resultat'!$B$5:$B$18)*(INDEX('Landbrugsareal - resultat'!$R$5:$T$18,,MATCH(E200,'Landbrugsareal - resultat'!$R$4:$T$4,0))))))),IF(D200="Konventionel",IF(C200=2019,SUMPRODUCT((B200='Landbrugsareal - resultat'!$B$32:$B$45)*(INDEX('Landbrugsareal - resultat'!$C$32:$E$45,,MATCH(E200,'Landbrugsareal - resultat'!$C$4:$E$4,0)))),IF(C200=2030,SUMPRODUCT((B200='Landbrugsareal - resultat'!$B$32:$B$45)*(INDEX('Landbrugsareal - resultat'!$F$32:$H$45,,MATCH(E200,'Landbrugsareal - resultat'!$F$4:$H$4,0)))),SUMPRODUCT((B200='Landbrugsareal - resultat'!$B$32:$B$45)*(INDEX('Landbrugsareal - resultat'!$I$32:$K$45,,MATCH(E200,'Landbrugsareal - resultat'!$I$4:$K$4,0)))))),IF(C200=2019,SUMPRODUCT((B200='Landbrugsareal - resultat'!$B$32:$B$45)*(INDEX('Landbrugsareal - resultat'!$L$32:$N$45,,MATCH(E200,'Landbrugsareal - resultat'!$L$4:$N$4,0)))),IF(C200=2030,SUMPRODUCT((B200='Landbrugsareal - resultat'!$B$32:$B$45)*(INDEX('Landbrugsareal - resultat'!$O$32:$Q$45,,MATCH(E200,'Landbrugsareal - resultat'!$O$4:$Q$4,0)))),SUMPRODUCT((B200='Landbrugsareal - resultat'!$B$32:$B$45)*(INDEX('Landbrugsareal - resultat'!$R$32:$T$45,,MATCH(E200,'Landbrugsareal - resultat'!$R$4:$T$4,0))))))))</f>
        <v>746.32882316970711</v>
      </c>
      <c r="H200" s="172">
        <f>G200*VLOOKUP(B200,[1]Afgrødedata!$A$5:$F$18,2,FALSE)*IF(D200="Økologisk",VLOOKUP(B200,[1]Afgrødedata!$A$5:$F$18,4,FALSE),1)*IF(E200&lt;&gt;Jordbund1,IF(E200=Organ6,VLOOKUP(B200,[1]Afgrødedata!$A$5:$F$18,5,FALSE),VLOOKUP(B200,[1]Afgrødedata!$A$5:$F$18,6,FALSE)),1)*0.1</f>
        <v>4597.3855507253957</v>
      </c>
      <c r="I200" s="172">
        <f>G200*VLOOKUP(B200,[1]Afgrødedata!$A$5:$F$18,3,FALSE)*IF(D200="Økologisk",VLOOKUP(B200,[1]Afgrødedata!$A$5:$F$18,4,FALSE),1)*IF(E200&lt;&gt;Jordbund1,IF(E200=Organ6,VLOOKUP(B200,[1]Afgrødedata!$A$5:$F$18,5,FALSE),VLOOKUP(B200,[1]Afgrødedata!$A$5:$F$18,6,FALSE)),1)*HLOOKUP(C200,Landbrug!$C$15:$E$17,2,FALSE)*HLOOKUP(C200,Landbrug!$C$15:$E$17,3,FALSE)*0.1</f>
        <v>2441.2117274351849</v>
      </c>
      <c r="J200" s="76">
        <f t="shared" si="29"/>
        <v>2441.2117274351849</v>
      </c>
    </row>
    <row r="201" spans="1:10" x14ac:dyDescent="0.55000000000000004">
      <c r="A201" t="s">
        <v>23</v>
      </c>
      <c r="B201" s="1" t="str">
        <f>[1]Afgrødefordeling!$C$5</f>
        <v>Græs</v>
      </c>
      <c r="C201">
        <v>2050</v>
      </c>
      <c r="D201" t="s">
        <v>7</v>
      </c>
      <c r="E201" s="172" t="str">
        <f t="shared" si="35"/>
        <v>OC12</v>
      </c>
      <c r="F201" t="str">
        <f t="shared" si="28"/>
        <v>Græs</v>
      </c>
      <c r="G201" s="76" cm="1">
        <f t="array" ref="G201">IF(A201="Vestdanmark",IF(D201="Konventionel",IF(C201=2019,SUMPRODUCT((B201='Landbrugsareal - resultat'!$B$5:$B$18)*(INDEX('Landbrugsareal - resultat'!$C$5:$E$18,,MATCH(E201,'Landbrugsareal - resultat'!$C$4:$E$4,0)))),IF(C201=2030,SUMPRODUCT((B201='Landbrugsareal - resultat'!$B$5:$B$18)*(INDEX('Landbrugsareal - resultat'!$F$5:$H$18,,MATCH(E201,'Landbrugsareal - resultat'!$F$4:$H$4,0)))),SUMPRODUCT((B201='Landbrugsareal - resultat'!$B$5:$B$18)*(INDEX('Landbrugsareal - resultat'!$I$5:$K$18,,MATCH(E201,'Landbrugsareal - resultat'!$I$4:$K$4,0)))))),IF(C201=2019,SUMPRODUCT((B201='Landbrugsareal - resultat'!$B$5:$B$18)*(INDEX('Landbrugsareal - resultat'!$L$5:$N$18,,MATCH(E201,'Landbrugsareal - resultat'!$L$4:$N$4,0)))),IF(C201=2030,SUMPRODUCT((B201='Landbrugsareal - resultat'!$B$5:$B$18)*(INDEX('Landbrugsareal - resultat'!$O$5:$Q$18,,MATCH(E201,'Landbrugsareal - resultat'!$O$4:$Q$4,0)))),SUMPRODUCT((B201='Landbrugsareal - resultat'!$B$5:$B$18)*(INDEX('Landbrugsareal - resultat'!$R$5:$T$18,,MATCH(E201,'Landbrugsareal - resultat'!$R$4:$T$4,0))))))),IF(D201="Konventionel",IF(C201=2019,SUMPRODUCT((B201='Landbrugsareal - resultat'!$B$32:$B$45)*(INDEX('Landbrugsareal - resultat'!$C$32:$E$45,,MATCH(E201,'Landbrugsareal - resultat'!$C$4:$E$4,0)))),IF(C201=2030,SUMPRODUCT((B201='Landbrugsareal - resultat'!$B$32:$B$45)*(INDEX('Landbrugsareal - resultat'!$F$32:$H$45,,MATCH(E201,'Landbrugsareal - resultat'!$F$4:$H$4,0)))),SUMPRODUCT((B201='Landbrugsareal - resultat'!$B$32:$B$45)*(INDEX('Landbrugsareal - resultat'!$I$32:$K$45,,MATCH(E201,'Landbrugsareal - resultat'!$I$4:$K$4,0)))))),IF(C201=2019,SUMPRODUCT((B201='Landbrugsareal - resultat'!$B$32:$B$45)*(INDEX('Landbrugsareal - resultat'!$L$32:$N$45,,MATCH(E201,'Landbrugsareal - resultat'!$L$4:$N$4,0)))),IF(C201=2030,SUMPRODUCT((B201='Landbrugsareal - resultat'!$B$32:$B$45)*(INDEX('Landbrugsareal - resultat'!$O$32:$Q$45,,MATCH(E201,'Landbrugsareal - resultat'!$O$4:$Q$4,0)))),SUMPRODUCT((B201='Landbrugsareal - resultat'!$B$32:$B$45)*(INDEX('Landbrugsareal - resultat'!$R$32:$T$45,,MATCH(E201,'Landbrugsareal - resultat'!$R$4:$T$4,0))))))))</f>
        <v>17212.698619019429</v>
      </c>
      <c r="H201" s="172">
        <f>G201*VLOOKUP(B201,[1]Afgrødedata!$A$5:$F$18,2,FALSE)*IF(D201="Økologisk",VLOOKUP(B201,[1]Afgrødedata!$A$5:$F$18,4,FALSE),1)*IF(E201&lt;&gt;Jordbund1,IF(E201=Organ6,VLOOKUP(B201,[1]Afgrødedata!$A$5:$F$18,5,FALSE),VLOOKUP(B201,[1]Afgrødedata!$A$5:$F$18,6,FALSE)),1)*0.1</f>
        <v>1195731.7476660416</v>
      </c>
      <c r="I201" s="172">
        <f>G201*VLOOKUP(B201,[1]Afgrødedata!$A$5:$F$18,3,FALSE)*IF(D201="Økologisk",VLOOKUP(B201,[1]Afgrødedata!$A$5:$F$18,4,FALSE),1)*IF(E201&lt;&gt;Jordbund1,IF(E201=Organ6,VLOOKUP(B201,[1]Afgrødedata!$A$5:$F$18,5,FALSE),VLOOKUP(B201,[1]Afgrødedata!$A$5:$F$18,6,FALSE)),1)*HLOOKUP(C201,Landbrug!$C$15:$E$17,2,FALSE)*HLOOKUP(C201,Landbrug!$C$15:$E$17,3,FALSE)*0.1</f>
        <v>0</v>
      </c>
      <c r="J201" s="76">
        <f t="shared" si="29"/>
        <v>1195731.7476660416</v>
      </c>
    </row>
    <row r="202" spans="1:10" x14ac:dyDescent="0.55000000000000004">
      <c r="A202" t="s">
        <v>23</v>
      </c>
      <c r="B202" s="1" t="str">
        <f>[1]Afgrødefordeling!$C$6</f>
        <v>Grøntsager</v>
      </c>
      <c r="C202">
        <v>2050</v>
      </c>
      <c r="D202" t="s">
        <v>7</v>
      </c>
      <c r="E202" s="172" t="str">
        <f t="shared" ref="E202:E233" si="40">Organ12</f>
        <v>OC12</v>
      </c>
      <c r="F202" t="str">
        <f t="shared" si="28"/>
        <v>Grøntsager</v>
      </c>
      <c r="G202" s="76" cm="1">
        <f t="array" ref="G202">IF(A202="Vestdanmark",IF(D202="Konventionel",IF(C202=2019,SUMPRODUCT((B202='Landbrugsareal - resultat'!$B$5:$B$18)*(INDEX('Landbrugsareal - resultat'!$C$5:$E$18,,MATCH(E202,'Landbrugsareal - resultat'!$C$4:$E$4,0)))),IF(C202=2030,SUMPRODUCT((B202='Landbrugsareal - resultat'!$B$5:$B$18)*(INDEX('Landbrugsareal - resultat'!$F$5:$H$18,,MATCH(E202,'Landbrugsareal - resultat'!$F$4:$H$4,0)))),SUMPRODUCT((B202='Landbrugsareal - resultat'!$B$5:$B$18)*(INDEX('Landbrugsareal - resultat'!$I$5:$K$18,,MATCH(E202,'Landbrugsareal - resultat'!$I$4:$K$4,0)))))),IF(C202=2019,SUMPRODUCT((B202='Landbrugsareal - resultat'!$B$5:$B$18)*(INDEX('Landbrugsareal - resultat'!$L$5:$N$18,,MATCH(E202,'Landbrugsareal - resultat'!$L$4:$N$4,0)))),IF(C202=2030,SUMPRODUCT((B202='Landbrugsareal - resultat'!$B$5:$B$18)*(INDEX('Landbrugsareal - resultat'!$O$5:$Q$18,,MATCH(E202,'Landbrugsareal - resultat'!$O$4:$Q$4,0)))),SUMPRODUCT((B202='Landbrugsareal - resultat'!$B$5:$B$18)*(INDEX('Landbrugsareal - resultat'!$R$5:$T$18,,MATCH(E202,'Landbrugsareal - resultat'!$R$4:$T$4,0))))))),IF(D202="Konventionel",IF(C202=2019,SUMPRODUCT((B202='Landbrugsareal - resultat'!$B$32:$B$45)*(INDEX('Landbrugsareal - resultat'!$C$32:$E$45,,MATCH(E202,'Landbrugsareal - resultat'!$C$4:$E$4,0)))),IF(C202=2030,SUMPRODUCT((B202='Landbrugsareal - resultat'!$B$32:$B$45)*(INDEX('Landbrugsareal - resultat'!$F$32:$H$45,,MATCH(E202,'Landbrugsareal - resultat'!$F$4:$H$4,0)))),SUMPRODUCT((B202='Landbrugsareal - resultat'!$B$32:$B$45)*(INDEX('Landbrugsareal - resultat'!$I$32:$K$45,,MATCH(E202,'Landbrugsareal - resultat'!$I$4:$K$4,0)))))),IF(C202=2019,SUMPRODUCT((B202='Landbrugsareal - resultat'!$B$32:$B$45)*(INDEX('Landbrugsareal - resultat'!$L$32:$N$45,,MATCH(E202,'Landbrugsareal - resultat'!$L$4:$N$4,0)))),IF(C202=2030,SUMPRODUCT((B202='Landbrugsareal - resultat'!$B$32:$B$45)*(INDEX('Landbrugsareal - resultat'!$O$32:$Q$45,,MATCH(E202,'Landbrugsareal - resultat'!$O$4:$Q$4,0)))),SUMPRODUCT((B202='Landbrugsareal - resultat'!$B$32:$B$45)*(INDEX('Landbrugsareal - resultat'!$R$32:$T$45,,MATCH(E202,'Landbrugsareal - resultat'!$R$4:$T$4,0))))))))</f>
        <v>20.00653489344165</v>
      </c>
      <c r="H202" s="172">
        <f>G202*VLOOKUP(B202,[1]Afgrødedata!$A$5:$F$18,2,FALSE)*IF(D202="Økologisk",VLOOKUP(B202,[1]Afgrødedata!$A$5:$F$18,4,FALSE),1)*IF(E202&lt;&gt;Jordbund1,IF(E202=Organ6,VLOOKUP(B202,[1]Afgrødedata!$A$5:$F$18,5,FALSE),VLOOKUP(B202,[1]Afgrødedata!$A$5:$F$18,6,FALSE)),1)*0.1</f>
        <v>581.18983865448001</v>
      </c>
      <c r="I202" s="172">
        <f>G202*VLOOKUP(B202,[1]Afgrødedata!$A$5:$F$18,3,FALSE)*IF(D202="Økologisk",VLOOKUP(B202,[1]Afgrødedata!$A$5:$F$18,4,FALSE),1)*IF(E202&lt;&gt;Jordbund1,IF(E202=Organ6,VLOOKUP(B202,[1]Afgrødedata!$A$5:$F$18,5,FALSE),VLOOKUP(B202,[1]Afgrødedata!$A$5:$F$18,6,FALSE)),1)*HLOOKUP(C202,Landbrug!$C$15:$E$17,2,FALSE)*HLOOKUP(C202,Landbrug!$C$15:$E$17,3,FALSE)*0.1</f>
        <v>0</v>
      </c>
      <c r="J202" s="76">
        <f t="shared" si="29"/>
        <v>581.18983865448001</v>
      </c>
    </row>
    <row r="203" spans="1:10" x14ac:dyDescent="0.55000000000000004">
      <c r="A203" t="s">
        <v>23</v>
      </c>
      <c r="B203" s="1" t="str">
        <f>[1]Afgrødefordeling!$C$7</f>
        <v>Kartofler</v>
      </c>
      <c r="C203">
        <v>2050</v>
      </c>
      <c r="D203" t="s">
        <v>7</v>
      </c>
      <c r="E203" s="172" t="str">
        <f t="shared" si="40"/>
        <v>OC12</v>
      </c>
      <c r="F203" t="str">
        <f t="shared" si="28"/>
        <v>Kartofler</v>
      </c>
      <c r="G203" s="76" cm="1">
        <f t="array" ref="G203">IF(A203="Vestdanmark",IF(D203="Konventionel",IF(C203=2019,SUMPRODUCT((B203='Landbrugsareal - resultat'!$B$5:$B$18)*(INDEX('Landbrugsareal - resultat'!$C$5:$E$18,,MATCH(E203,'Landbrugsareal - resultat'!$C$4:$E$4,0)))),IF(C203=2030,SUMPRODUCT((B203='Landbrugsareal - resultat'!$B$5:$B$18)*(INDEX('Landbrugsareal - resultat'!$F$5:$H$18,,MATCH(E203,'Landbrugsareal - resultat'!$F$4:$H$4,0)))),SUMPRODUCT((B203='Landbrugsareal - resultat'!$B$5:$B$18)*(INDEX('Landbrugsareal - resultat'!$I$5:$K$18,,MATCH(E203,'Landbrugsareal - resultat'!$I$4:$K$4,0)))))),IF(C203=2019,SUMPRODUCT((B203='Landbrugsareal - resultat'!$B$5:$B$18)*(INDEX('Landbrugsareal - resultat'!$L$5:$N$18,,MATCH(E203,'Landbrugsareal - resultat'!$L$4:$N$4,0)))),IF(C203=2030,SUMPRODUCT((B203='Landbrugsareal - resultat'!$B$5:$B$18)*(INDEX('Landbrugsareal - resultat'!$O$5:$Q$18,,MATCH(E203,'Landbrugsareal - resultat'!$O$4:$Q$4,0)))),SUMPRODUCT((B203='Landbrugsareal - resultat'!$B$5:$B$18)*(INDEX('Landbrugsareal - resultat'!$R$5:$T$18,,MATCH(E203,'Landbrugsareal - resultat'!$R$4:$T$4,0))))))),IF(D203="Konventionel",IF(C203=2019,SUMPRODUCT((B203='Landbrugsareal - resultat'!$B$32:$B$45)*(INDEX('Landbrugsareal - resultat'!$C$32:$E$45,,MATCH(E203,'Landbrugsareal - resultat'!$C$4:$E$4,0)))),IF(C203=2030,SUMPRODUCT((B203='Landbrugsareal - resultat'!$B$32:$B$45)*(INDEX('Landbrugsareal - resultat'!$F$32:$H$45,,MATCH(E203,'Landbrugsareal - resultat'!$F$4:$H$4,0)))),SUMPRODUCT((B203='Landbrugsareal - resultat'!$B$32:$B$45)*(INDEX('Landbrugsareal - resultat'!$I$32:$K$45,,MATCH(E203,'Landbrugsareal - resultat'!$I$4:$K$4,0)))))),IF(C203=2019,SUMPRODUCT((B203='Landbrugsareal - resultat'!$B$32:$B$45)*(INDEX('Landbrugsareal - resultat'!$L$32:$N$45,,MATCH(E203,'Landbrugsareal - resultat'!$L$4:$N$4,0)))),IF(C203=2030,SUMPRODUCT((B203='Landbrugsareal - resultat'!$B$32:$B$45)*(INDEX('Landbrugsareal - resultat'!$O$32:$Q$45,,MATCH(E203,'Landbrugsareal - resultat'!$O$4:$Q$4,0)))),SUMPRODUCT((B203='Landbrugsareal - resultat'!$B$32:$B$45)*(INDEX('Landbrugsareal - resultat'!$R$32:$T$45,,MATCH(E203,'Landbrugsareal - resultat'!$R$4:$T$4,0))))))))</f>
        <v>1058.9517587116018</v>
      </c>
      <c r="H203" s="172">
        <f>G203*VLOOKUP(B203,[1]Afgrødedata!$A$5:$F$18,2,FALSE)*IF(D203="Økologisk",VLOOKUP(B203,[1]Afgrødedata!$A$5:$F$18,4,FALSE),1)*IF(E203&lt;&gt;Jordbund1,IF(E203=Organ6,VLOOKUP(B203,[1]Afgrødedata!$A$5:$F$18,5,FALSE),VLOOKUP(B203,[1]Afgrødedata!$A$5:$F$18,6,FALSE)),1)*0.1</f>
        <v>62964.487164281672</v>
      </c>
      <c r="I203" s="172">
        <f>G203*VLOOKUP(B203,[1]Afgrødedata!$A$5:$F$18,3,FALSE)*IF(D203="Økologisk",VLOOKUP(B203,[1]Afgrødedata!$A$5:$F$18,4,FALSE),1)*IF(E203&lt;&gt;Jordbund1,IF(E203=Organ6,VLOOKUP(B203,[1]Afgrødedata!$A$5:$F$18,5,FALSE),VLOOKUP(B203,[1]Afgrødedata!$A$5:$F$18,6,FALSE)),1)*HLOOKUP(C203,Landbrug!$C$15:$E$17,2,FALSE)*HLOOKUP(C203,Landbrug!$C$15:$E$17,3,FALSE)*0.1</f>
        <v>0</v>
      </c>
      <c r="J203" s="76">
        <f t="shared" si="29"/>
        <v>62964.487164281672</v>
      </c>
    </row>
    <row r="204" spans="1:10" x14ac:dyDescent="0.55000000000000004">
      <c r="A204" t="s">
        <v>23</v>
      </c>
      <c r="B204" s="1" t="str">
        <f>[1]Afgrødefordeling!$C$8</f>
        <v>Roer</v>
      </c>
      <c r="C204">
        <v>2050</v>
      </c>
      <c r="D204" t="s">
        <v>7</v>
      </c>
      <c r="E204" s="172" t="str">
        <f t="shared" si="40"/>
        <v>OC12</v>
      </c>
      <c r="F204" t="str">
        <f t="shared" si="28"/>
        <v>Roer</v>
      </c>
      <c r="G204" s="76" cm="1">
        <f t="array" ref="G204">IF(A204="Vestdanmark",IF(D204="Konventionel",IF(C204=2019,SUMPRODUCT((B204='Landbrugsareal - resultat'!$B$5:$B$18)*(INDEX('Landbrugsareal - resultat'!$C$5:$E$18,,MATCH(E204,'Landbrugsareal - resultat'!$C$4:$E$4,0)))),IF(C204=2030,SUMPRODUCT((B204='Landbrugsareal - resultat'!$B$5:$B$18)*(INDEX('Landbrugsareal - resultat'!$F$5:$H$18,,MATCH(E204,'Landbrugsareal - resultat'!$F$4:$H$4,0)))),SUMPRODUCT((B204='Landbrugsareal - resultat'!$B$5:$B$18)*(INDEX('Landbrugsareal - resultat'!$I$5:$K$18,,MATCH(E204,'Landbrugsareal - resultat'!$I$4:$K$4,0)))))),IF(C204=2019,SUMPRODUCT((B204='Landbrugsareal - resultat'!$B$5:$B$18)*(INDEX('Landbrugsareal - resultat'!$L$5:$N$18,,MATCH(E204,'Landbrugsareal - resultat'!$L$4:$N$4,0)))),IF(C204=2030,SUMPRODUCT((B204='Landbrugsareal - resultat'!$B$5:$B$18)*(INDEX('Landbrugsareal - resultat'!$O$5:$Q$18,,MATCH(E204,'Landbrugsareal - resultat'!$O$4:$Q$4,0)))),SUMPRODUCT((B204='Landbrugsareal - resultat'!$B$5:$B$18)*(INDEX('Landbrugsareal - resultat'!$R$5:$T$18,,MATCH(E204,'Landbrugsareal - resultat'!$R$4:$T$4,0))))))),IF(D204="Konventionel",IF(C204=2019,SUMPRODUCT((B204='Landbrugsareal - resultat'!$B$32:$B$45)*(INDEX('Landbrugsareal - resultat'!$C$32:$E$45,,MATCH(E204,'Landbrugsareal - resultat'!$C$4:$E$4,0)))),IF(C204=2030,SUMPRODUCT((B204='Landbrugsareal - resultat'!$B$32:$B$45)*(INDEX('Landbrugsareal - resultat'!$F$32:$H$45,,MATCH(E204,'Landbrugsareal - resultat'!$F$4:$H$4,0)))),SUMPRODUCT((B204='Landbrugsareal - resultat'!$B$32:$B$45)*(INDEX('Landbrugsareal - resultat'!$I$32:$K$45,,MATCH(E204,'Landbrugsareal - resultat'!$I$4:$K$4,0)))))),IF(C204=2019,SUMPRODUCT((B204='Landbrugsareal - resultat'!$B$32:$B$45)*(INDEX('Landbrugsareal - resultat'!$L$32:$N$45,,MATCH(E204,'Landbrugsareal - resultat'!$L$4:$N$4,0)))),IF(C204=2030,SUMPRODUCT((B204='Landbrugsareal - resultat'!$B$32:$B$45)*(INDEX('Landbrugsareal - resultat'!$O$32:$Q$45,,MATCH(E204,'Landbrugsareal - resultat'!$O$4:$Q$4,0)))),SUMPRODUCT((B204='Landbrugsareal - resultat'!$B$32:$B$45)*(INDEX('Landbrugsareal - resultat'!$R$32:$T$45,,MATCH(E204,'Landbrugsareal - resultat'!$R$4:$T$4,0))))))))</f>
        <v>11.451570708820819</v>
      </c>
      <c r="H204" s="172">
        <f>G204*VLOOKUP(B204,[1]Afgrødedata!$A$5:$F$18,2,FALSE)*IF(D204="Økologisk",VLOOKUP(B204,[1]Afgrødedata!$A$5:$F$18,4,FALSE),1)*IF(E204&lt;&gt;Jordbund1,IF(E204=Organ6,VLOOKUP(B204,[1]Afgrødedata!$A$5:$F$18,5,FALSE),VLOOKUP(B204,[1]Afgrødedata!$A$5:$F$18,6,FALSE)),1)*0.1</f>
        <v>1302.6759897663992</v>
      </c>
      <c r="I204" s="172">
        <f>G204*VLOOKUP(B204,[1]Afgrødedata!$A$5:$F$18,3,FALSE)*IF(D204="Økologisk",VLOOKUP(B204,[1]Afgrødedata!$A$5:$F$18,4,FALSE),1)*IF(E204&lt;&gt;Jordbund1,IF(E204=Organ6,VLOOKUP(B204,[1]Afgrødedata!$A$5:$F$18,5,FALSE),VLOOKUP(B204,[1]Afgrødedata!$A$5:$F$18,6,FALSE)),1)*HLOOKUP(C204,Landbrug!$C$15:$E$17,2,FALSE)*HLOOKUP(C204,Landbrug!$C$15:$E$17,3,FALSE)*0.1</f>
        <v>0</v>
      </c>
      <c r="J204" s="76">
        <f t="shared" si="29"/>
        <v>1302.6759897663992</v>
      </c>
    </row>
    <row r="205" spans="1:10" x14ac:dyDescent="0.55000000000000004">
      <c r="A205" t="s">
        <v>23</v>
      </c>
      <c r="B205" s="1" t="str">
        <f>[1]Afgrødefordeling!$C$9</f>
        <v>Majs</v>
      </c>
      <c r="C205">
        <v>2050</v>
      </c>
      <c r="D205" t="s">
        <v>7</v>
      </c>
      <c r="E205" s="172" t="str">
        <f t="shared" si="40"/>
        <v>OC12</v>
      </c>
      <c r="F205" t="str">
        <f t="shared" si="28"/>
        <v>Majs</v>
      </c>
      <c r="G205" s="76" cm="1">
        <f t="array" ref="G205">IF(A205="Vestdanmark",IF(D205="Konventionel",IF(C205=2019,SUMPRODUCT((B205='Landbrugsareal - resultat'!$B$5:$B$18)*(INDEX('Landbrugsareal - resultat'!$C$5:$E$18,,MATCH(E205,'Landbrugsareal - resultat'!$C$4:$E$4,0)))),IF(C205=2030,SUMPRODUCT((B205='Landbrugsareal - resultat'!$B$5:$B$18)*(INDEX('Landbrugsareal - resultat'!$F$5:$H$18,,MATCH(E205,'Landbrugsareal - resultat'!$F$4:$H$4,0)))),SUMPRODUCT((B205='Landbrugsareal - resultat'!$B$5:$B$18)*(INDEX('Landbrugsareal - resultat'!$I$5:$K$18,,MATCH(E205,'Landbrugsareal - resultat'!$I$4:$K$4,0)))))),IF(C205=2019,SUMPRODUCT((B205='Landbrugsareal - resultat'!$B$5:$B$18)*(INDEX('Landbrugsareal - resultat'!$L$5:$N$18,,MATCH(E205,'Landbrugsareal - resultat'!$L$4:$N$4,0)))),IF(C205=2030,SUMPRODUCT((B205='Landbrugsareal - resultat'!$B$5:$B$18)*(INDEX('Landbrugsareal - resultat'!$O$5:$Q$18,,MATCH(E205,'Landbrugsareal - resultat'!$O$4:$Q$4,0)))),SUMPRODUCT((B205='Landbrugsareal - resultat'!$B$5:$B$18)*(INDEX('Landbrugsareal - resultat'!$R$5:$T$18,,MATCH(E205,'Landbrugsareal - resultat'!$R$4:$T$4,0))))))),IF(D205="Konventionel",IF(C205=2019,SUMPRODUCT((B205='Landbrugsareal - resultat'!$B$32:$B$45)*(INDEX('Landbrugsareal - resultat'!$C$32:$E$45,,MATCH(E205,'Landbrugsareal - resultat'!$C$4:$E$4,0)))),IF(C205=2030,SUMPRODUCT((B205='Landbrugsareal - resultat'!$B$32:$B$45)*(INDEX('Landbrugsareal - resultat'!$F$32:$H$45,,MATCH(E205,'Landbrugsareal - resultat'!$F$4:$H$4,0)))),SUMPRODUCT((B205='Landbrugsareal - resultat'!$B$32:$B$45)*(INDEX('Landbrugsareal - resultat'!$I$32:$K$45,,MATCH(E205,'Landbrugsareal - resultat'!$I$4:$K$4,0)))))),IF(C205=2019,SUMPRODUCT((B205='Landbrugsareal - resultat'!$B$32:$B$45)*(INDEX('Landbrugsareal - resultat'!$L$32:$N$45,,MATCH(E205,'Landbrugsareal - resultat'!$L$4:$N$4,0)))),IF(C205=2030,SUMPRODUCT((B205='Landbrugsareal - resultat'!$B$32:$B$45)*(INDEX('Landbrugsareal - resultat'!$O$32:$Q$45,,MATCH(E205,'Landbrugsareal - resultat'!$O$4:$Q$4,0)))),SUMPRODUCT((B205='Landbrugsareal - resultat'!$B$32:$B$45)*(INDEX('Landbrugsareal - resultat'!$R$32:$T$45,,MATCH(E205,'Landbrugsareal - resultat'!$R$4:$T$4,0))))))))</f>
        <v>1424.1149237833358</v>
      </c>
      <c r="H205" s="172">
        <f>G205*VLOOKUP(B205,[1]Afgrødedata!$A$5:$F$18,2,FALSE)*IF(D205="Økologisk",VLOOKUP(B205,[1]Afgrødedata!$A$5:$F$18,4,FALSE),1)*IF(E205&lt;&gt;Jordbund1,IF(E205=Organ6,VLOOKUP(B205,[1]Afgrødedata!$A$5:$F$18,5,FALSE),VLOOKUP(B205,[1]Afgrødedata!$A$5:$F$18,6,FALSE)),1)*0.1</f>
        <v>88742.297360634795</v>
      </c>
      <c r="I205" s="172">
        <f>G205*VLOOKUP(B205,[1]Afgrødedata!$A$5:$F$18,3,FALSE)*IF(D205="Økologisk",VLOOKUP(B205,[1]Afgrødedata!$A$5:$F$18,4,FALSE),1)*IF(E205&lt;&gt;Jordbund1,IF(E205=Organ6,VLOOKUP(B205,[1]Afgrødedata!$A$5:$F$18,5,FALSE),VLOOKUP(B205,[1]Afgrødedata!$A$5:$F$18,6,FALSE)),1)*HLOOKUP(C205,Landbrug!$C$15:$E$17,2,FALSE)*HLOOKUP(C205,Landbrug!$C$15:$E$17,3,FALSE)*0.1</f>
        <v>0</v>
      </c>
      <c r="J205" s="76">
        <f t="shared" si="29"/>
        <v>88742.297360634795</v>
      </c>
    </row>
    <row r="206" spans="1:10" x14ac:dyDescent="0.55000000000000004">
      <c r="A206" t="s">
        <v>23</v>
      </c>
      <c r="B206" s="1" t="str">
        <f>[1]Afgrødefordeling!$C$10</f>
        <v>Frugt</v>
      </c>
      <c r="C206">
        <v>2050</v>
      </c>
      <c r="D206" t="s">
        <v>7</v>
      </c>
      <c r="E206" s="172" t="str">
        <f t="shared" si="40"/>
        <v>OC12</v>
      </c>
      <c r="F206" t="str">
        <f t="shared" si="28"/>
        <v>Frugt</v>
      </c>
      <c r="G206" s="76" cm="1">
        <f t="array" ref="G206">IF(A206="Vestdanmark",IF(D206="Konventionel",IF(C206=2019,SUMPRODUCT((B206='Landbrugsareal - resultat'!$B$5:$B$18)*(INDEX('Landbrugsareal - resultat'!$C$5:$E$18,,MATCH(E206,'Landbrugsareal - resultat'!$C$4:$E$4,0)))),IF(C206=2030,SUMPRODUCT((B206='Landbrugsareal - resultat'!$B$5:$B$18)*(INDEX('Landbrugsareal - resultat'!$F$5:$H$18,,MATCH(E206,'Landbrugsareal - resultat'!$F$4:$H$4,0)))),SUMPRODUCT((B206='Landbrugsareal - resultat'!$B$5:$B$18)*(INDEX('Landbrugsareal - resultat'!$I$5:$K$18,,MATCH(E206,'Landbrugsareal - resultat'!$I$4:$K$4,0)))))),IF(C206=2019,SUMPRODUCT((B206='Landbrugsareal - resultat'!$B$5:$B$18)*(INDEX('Landbrugsareal - resultat'!$L$5:$N$18,,MATCH(E206,'Landbrugsareal - resultat'!$L$4:$N$4,0)))),IF(C206=2030,SUMPRODUCT((B206='Landbrugsareal - resultat'!$B$5:$B$18)*(INDEX('Landbrugsareal - resultat'!$O$5:$Q$18,,MATCH(E206,'Landbrugsareal - resultat'!$O$4:$Q$4,0)))),SUMPRODUCT((B206='Landbrugsareal - resultat'!$B$5:$B$18)*(INDEX('Landbrugsareal - resultat'!$R$5:$T$18,,MATCH(E206,'Landbrugsareal - resultat'!$R$4:$T$4,0))))))),IF(D206="Konventionel",IF(C206=2019,SUMPRODUCT((B206='Landbrugsareal - resultat'!$B$32:$B$45)*(INDEX('Landbrugsareal - resultat'!$C$32:$E$45,,MATCH(E206,'Landbrugsareal - resultat'!$C$4:$E$4,0)))),IF(C206=2030,SUMPRODUCT((B206='Landbrugsareal - resultat'!$B$32:$B$45)*(INDEX('Landbrugsareal - resultat'!$F$32:$H$45,,MATCH(E206,'Landbrugsareal - resultat'!$F$4:$H$4,0)))),SUMPRODUCT((B206='Landbrugsareal - resultat'!$B$32:$B$45)*(INDEX('Landbrugsareal - resultat'!$I$32:$K$45,,MATCH(E206,'Landbrugsareal - resultat'!$I$4:$K$4,0)))))),IF(C206=2019,SUMPRODUCT((B206='Landbrugsareal - resultat'!$B$32:$B$45)*(INDEX('Landbrugsareal - resultat'!$L$32:$N$45,,MATCH(E206,'Landbrugsareal - resultat'!$L$4:$N$4,0)))),IF(C206=2030,SUMPRODUCT((B206='Landbrugsareal - resultat'!$B$32:$B$45)*(INDEX('Landbrugsareal - resultat'!$O$32:$Q$45,,MATCH(E206,'Landbrugsareal - resultat'!$O$4:$Q$4,0)))),SUMPRODUCT((B206='Landbrugsareal - resultat'!$B$32:$B$45)*(INDEX('Landbrugsareal - resultat'!$R$32:$T$45,,MATCH(E206,'Landbrugsareal - resultat'!$R$4:$T$4,0))))))))</f>
        <v>40.810806115445544</v>
      </c>
      <c r="H206" s="172">
        <f>G206*VLOOKUP(B206,[1]Afgrødedata!$A$5:$F$18,2,FALSE)*IF(D206="Økologisk",VLOOKUP(B206,[1]Afgrødedata!$A$5:$F$18,4,FALSE),1)*IF(E206&lt;&gt;Jordbund1,IF(E206=Organ6,VLOOKUP(B206,[1]Afgrødedata!$A$5:$F$18,5,FALSE),VLOOKUP(B206,[1]Afgrødedata!$A$5:$F$18,6,FALSE)),1)*0.1</f>
        <v>485.07724148818579</v>
      </c>
      <c r="I206" s="172">
        <f>G206*VLOOKUP(B206,[1]Afgrødedata!$A$5:$F$18,3,FALSE)*IF(D206="Økologisk",VLOOKUP(B206,[1]Afgrødedata!$A$5:$F$18,4,FALSE),1)*IF(E206&lt;&gt;Jordbund1,IF(E206=Organ6,VLOOKUP(B206,[1]Afgrødedata!$A$5:$F$18,5,FALSE),VLOOKUP(B206,[1]Afgrødedata!$A$5:$F$18,6,FALSE)),1)*HLOOKUP(C206,Landbrug!$C$15:$E$17,2,FALSE)*HLOOKUP(C206,Landbrug!$C$15:$E$17,3,FALSE)*0.1</f>
        <v>0</v>
      </c>
      <c r="J206" s="76">
        <f t="shared" si="29"/>
        <v>485.07724148818579</v>
      </c>
    </row>
    <row r="207" spans="1:10" x14ac:dyDescent="0.55000000000000004">
      <c r="A207" t="s">
        <v>23</v>
      </c>
      <c r="B207" s="1" t="str">
        <f>[1]Afgrødefordeling!$C$11</f>
        <v>Øvrige</v>
      </c>
      <c r="C207">
        <v>2050</v>
      </c>
      <c r="D207" t="s">
        <v>7</v>
      </c>
      <c r="E207" s="172" t="str">
        <f t="shared" si="40"/>
        <v>OC12</v>
      </c>
      <c r="F207" t="str">
        <f t="shared" si="28"/>
        <v>Øvrige</v>
      </c>
      <c r="G207" s="76" cm="1">
        <f t="array" ref="G207">IF(A207="Vestdanmark",IF(D207="Konventionel",IF(C207=2019,SUMPRODUCT((B207='Landbrugsareal - resultat'!$B$5:$B$18)*(INDEX('Landbrugsareal - resultat'!$C$5:$E$18,,MATCH(E207,'Landbrugsareal - resultat'!$C$4:$E$4,0)))),IF(C207=2030,SUMPRODUCT((B207='Landbrugsareal - resultat'!$B$5:$B$18)*(INDEX('Landbrugsareal - resultat'!$F$5:$H$18,,MATCH(E207,'Landbrugsareal - resultat'!$F$4:$H$4,0)))),SUMPRODUCT((B207='Landbrugsareal - resultat'!$B$5:$B$18)*(INDEX('Landbrugsareal - resultat'!$I$5:$K$18,,MATCH(E207,'Landbrugsareal - resultat'!$I$4:$K$4,0)))))),IF(C207=2019,SUMPRODUCT((B207='Landbrugsareal - resultat'!$B$5:$B$18)*(INDEX('Landbrugsareal - resultat'!$L$5:$N$18,,MATCH(E207,'Landbrugsareal - resultat'!$L$4:$N$4,0)))),IF(C207=2030,SUMPRODUCT((B207='Landbrugsareal - resultat'!$B$5:$B$18)*(INDEX('Landbrugsareal - resultat'!$O$5:$Q$18,,MATCH(E207,'Landbrugsareal - resultat'!$O$4:$Q$4,0)))),SUMPRODUCT((B207='Landbrugsareal - resultat'!$B$5:$B$18)*(INDEX('Landbrugsareal - resultat'!$R$5:$T$18,,MATCH(E207,'Landbrugsareal - resultat'!$R$4:$T$4,0))))))),IF(D207="Konventionel",IF(C207=2019,SUMPRODUCT((B207='Landbrugsareal - resultat'!$B$32:$B$45)*(INDEX('Landbrugsareal - resultat'!$C$32:$E$45,,MATCH(E207,'Landbrugsareal - resultat'!$C$4:$E$4,0)))),IF(C207=2030,SUMPRODUCT((B207='Landbrugsareal - resultat'!$B$32:$B$45)*(INDEX('Landbrugsareal - resultat'!$F$32:$H$45,,MATCH(E207,'Landbrugsareal - resultat'!$F$4:$H$4,0)))),SUMPRODUCT((B207='Landbrugsareal - resultat'!$B$32:$B$45)*(INDEX('Landbrugsareal - resultat'!$I$32:$K$45,,MATCH(E207,'Landbrugsareal - resultat'!$I$4:$K$4,0)))))),IF(C207=2019,SUMPRODUCT((B207='Landbrugsareal - resultat'!$B$32:$B$45)*(INDEX('Landbrugsareal - resultat'!$L$32:$N$45,,MATCH(E207,'Landbrugsareal - resultat'!$L$4:$N$4,0)))),IF(C207=2030,SUMPRODUCT((B207='Landbrugsareal - resultat'!$B$32:$B$45)*(INDEX('Landbrugsareal - resultat'!$O$32:$Q$45,,MATCH(E207,'Landbrugsareal - resultat'!$O$4:$Q$4,0)))),SUMPRODUCT((B207='Landbrugsareal - resultat'!$B$32:$B$45)*(INDEX('Landbrugsareal - resultat'!$R$32:$T$45,,MATCH(E207,'Landbrugsareal - resultat'!$R$4:$T$4,0))))))))</f>
        <v>721.77589275088224</v>
      </c>
      <c r="H207" s="172">
        <f>G207*VLOOKUP(B207,[1]Afgrødedata!$A$5:$F$18,2,FALSE)*IF(D207="Økologisk",VLOOKUP(B207,[1]Afgrødedata!$A$5:$F$18,4,FALSE),1)*IF(E207&lt;&gt;Jordbund1,IF(E207=Organ6,VLOOKUP(B207,[1]Afgrødedata!$A$5:$F$18,5,FALSE),VLOOKUP(B207,[1]Afgrødedata!$A$5:$F$18,6,FALSE)),1)*0.1</f>
        <v>30108.391216366432</v>
      </c>
      <c r="I207" s="172">
        <f>G207*VLOOKUP(B207,[1]Afgrødedata!$A$5:$F$18,3,FALSE)*IF(D207="Økologisk",VLOOKUP(B207,[1]Afgrødedata!$A$5:$F$18,4,FALSE),1)*IF(E207&lt;&gt;Jordbund1,IF(E207=Organ6,VLOOKUP(B207,[1]Afgrødedata!$A$5:$F$18,5,FALSE),VLOOKUP(B207,[1]Afgrødedata!$A$5:$F$18,6,FALSE)),1)*HLOOKUP(C207,Landbrug!$C$15:$E$17,2,FALSE)*HLOOKUP(C207,Landbrug!$C$15:$E$17,3,FALSE)*0.1</f>
        <v>0</v>
      </c>
      <c r="J207" s="76">
        <f t="shared" si="29"/>
        <v>30108.391216366432</v>
      </c>
    </row>
    <row r="208" spans="1:10" x14ac:dyDescent="0.55000000000000004">
      <c r="A208" t="s">
        <v>23</v>
      </c>
      <c r="B208" s="1" t="str">
        <f>[1]Afgrødefordeling!$C$12</f>
        <v>Frø</v>
      </c>
      <c r="C208">
        <v>2050</v>
      </c>
      <c r="D208" t="s">
        <v>7</v>
      </c>
      <c r="E208" s="172" t="str">
        <f t="shared" si="40"/>
        <v>OC12</v>
      </c>
      <c r="F208" t="str">
        <f t="shared" si="28"/>
        <v>Halm</v>
      </c>
      <c r="G208" s="76" cm="1">
        <f t="array" ref="G208">IF(A208="Vestdanmark",IF(D208="Konventionel",IF(C208=2019,SUMPRODUCT((B208='Landbrugsareal - resultat'!$B$5:$B$18)*(INDEX('Landbrugsareal - resultat'!$C$5:$E$18,,MATCH(E208,'Landbrugsareal - resultat'!$C$4:$E$4,0)))),IF(C208=2030,SUMPRODUCT((B208='Landbrugsareal - resultat'!$B$5:$B$18)*(INDEX('Landbrugsareal - resultat'!$F$5:$H$18,,MATCH(E208,'Landbrugsareal - resultat'!$F$4:$H$4,0)))),SUMPRODUCT((B208='Landbrugsareal - resultat'!$B$5:$B$18)*(INDEX('Landbrugsareal - resultat'!$I$5:$K$18,,MATCH(E208,'Landbrugsareal - resultat'!$I$4:$K$4,0)))))),IF(C208=2019,SUMPRODUCT((B208='Landbrugsareal - resultat'!$B$5:$B$18)*(INDEX('Landbrugsareal - resultat'!$L$5:$N$18,,MATCH(E208,'Landbrugsareal - resultat'!$L$4:$N$4,0)))),IF(C208=2030,SUMPRODUCT((B208='Landbrugsareal - resultat'!$B$5:$B$18)*(INDEX('Landbrugsareal - resultat'!$O$5:$Q$18,,MATCH(E208,'Landbrugsareal - resultat'!$O$4:$Q$4,0)))),SUMPRODUCT((B208='Landbrugsareal - resultat'!$B$5:$B$18)*(INDEX('Landbrugsareal - resultat'!$R$5:$T$18,,MATCH(E208,'Landbrugsareal - resultat'!$R$4:$T$4,0))))))),IF(D208="Konventionel",IF(C208=2019,SUMPRODUCT((B208='Landbrugsareal - resultat'!$B$32:$B$45)*(INDEX('Landbrugsareal - resultat'!$C$32:$E$45,,MATCH(E208,'Landbrugsareal - resultat'!$C$4:$E$4,0)))),IF(C208=2030,SUMPRODUCT((B208='Landbrugsareal - resultat'!$B$32:$B$45)*(INDEX('Landbrugsareal - resultat'!$F$32:$H$45,,MATCH(E208,'Landbrugsareal - resultat'!$F$4:$H$4,0)))),SUMPRODUCT((B208='Landbrugsareal - resultat'!$B$32:$B$45)*(INDEX('Landbrugsareal - resultat'!$I$32:$K$45,,MATCH(E208,'Landbrugsareal - resultat'!$I$4:$K$4,0)))))),IF(C208=2019,SUMPRODUCT((B208='Landbrugsareal - resultat'!$B$32:$B$45)*(INDEX('Landbrugsareal - resultat'!$L$32:$N$45,,MATCH(E208,'Landbrugsareal - resultat'!$L$4:$N$4,0)))),IF(C208=2030,SUMPRODUCT((B208='Landbrugsareal - resultat'!$B$32:$B$45)*(INDEX('Landbrugsareal - resultat'!$O$32:$Q$45,,MATCH(E208,'Landbrugsareal - resultat'!$O$4:$Q$4,0)))),SUMPRODUCT((B208='Landbrugsareal - resultat'!$B$32:$B$45)*(INDEX('Landbrugsareal - resultat'!$R$32:$T$45,,MATCH(E208,'Landbrugsareal - resultat'!$R$4:$T$4,0))))))))</f>
        <v>2296.4495748444288</v>
      </c>
      <c r="H208" s="172">
        <f>G208*VLOOKUP(B208,[1]Afgrødedata!$A$5:$F$18,2,FALSE)*IF(D208="Økologisk",VLOOKUP(B208,[1]Afgrødedata!$A$5:$F$18,4,FALSE),1)*IF(E208&lt;&gt;Jordbund1,IF(E208=Organ6,VLOOKUP(B208,[1]Afgrødedata!$A$5:$F$18,5,FALSE),VLOOKUP(B208,[1]Afgrødedata!$A$5:$F$18,6,FALSE)),1)*0.1</f>
        <v>45939.10750261067</v>
      </c>
      <c r="I208" s="172">
        <f>G208*VLOOKUP(B208,[1]Afgrødedata!$A$5:$F$18,3,FALSE)*IF(D208="Økologisk",VLOOKUP(B208,[1]Afgrødedata!$A$5:$F$18,4,FALSE),1)*IF(E208&lt;&gt;Jordbund1,IF(E208=Organ6,VLOOKUP(B208,[1]Afgrødedata!$A$5:$F$18,5,FALSE),VLOOKUP(B208,[1]Afgrødedata!$A$5:$F$18,6,FALSE)),1)*HLOOKUP(C208,Landbrug!$C$15:$E$17,2,FALSE)*HLOOKUP(C208,Landbrug!$C$15:$E$17,3,FALSE)*0.1</f>
        <v>7587.4693952859907</v>
      </c>
      <c r="J208" s="76">
        <f t="shared" si="29"/>
        <v>7587.4693952859907</v>
      </c>
    </row>
    <row r="209" spans="1:10" x14ac:dyDescent="0.55000000000000004">
      <c r="A209" t="s">
        <v>23</v>
      </c>
      <c r="B209" s="1" t="str">
        <f>[1]Afgrødefordeling!$C$13</f>
        <v>Juletræer</v>
      </c>
      <c r="C209">
        <v>2050</v>
      </c>
      <c r="D209" t="s">
        <v>7</v>
      </c>
      <c r="E209" s="172" t="str">
        <f t="shared" si="40"/>
        <v>OC12</v>
      </c>
      <c r="F209" t="str">
        <f t="shared" ref="F209:F253" si="41">IF(I209&lt;&gt;0,"Halm",IF(B209&lt;&gt;"Permanent græs",B209,"Græs"))</f>
        <v>Juletræer</v>
      </c>
      <c r="G209" s="76" cm="1">
        <f t="array" ref="G209">IF(A209="Vestdanmark",IF(D209="Konventionel",IF(C209=2019,SUMPRODUCT((B209='Landbrugsareal - resultat'!$B$5:$B$18)*(INDEX('Landbrugsareal - resultat'!$C$5:$E$18,,MATCH(E209,'Landbrugsareal - resultat'!$C$4:$E$4,0)))),IF(C209=2030,SUMPRODUCT((B209='Landbrugsareal - resultat'!$B$5:$B$18)*(INDEX('Landbrugsareal - resultat'!$F$5:$H$18,,MATCH(E209,'Landbrugsareal - resultat'!$F$4:$H$4,0)))),SUMPRODUCT((B209='Landbrugsareal - resultat'!$B$5:$B$18)*(INDEX('Landbrugsareal - resultat'!$I$5:$K$18,,MATCH(E209,'Landbrugsareal - resultat'!$I$4:$K$4,0)))))),IF(C209=2019,SUMPRODUCT((B209='Landbrugsareal - resultat'!$B$5:$B$18)*(INDEX('Landbrugsareal - resultat'!$L$5:$N$18,,MATCH(E209,'Landbrugsareal - resultat'!$L$4:$N$4,0)))),IF(C209=2030,SUMPRODUCT((B209='Landbrugsareal - resultat'!$B$5:$B$18)*(INDEX('Landbrugsareal - resultat'!$O$5:$Q$18,,MATCH(E209,'Landbrugsareal - resultat'!$O$4:$Q$4,0)))),SUMPRODUCT((B209='Landbrugsareal - resultat'!$B$5:$B$18)*(INDEX('Landbrugsareal - resultat'!$R$5:$T$18,,MATCH(E209,'Landbrugsareal - resultat'!$R$4:$T$4,0))))))),IF(D209="Konventionel",IF(C209=2019,SUMPRODUCT((B209='Landbrugsareal - resultat'!$B$32:$B$45)*(INDEX('Landbrugsareal - resultat'!$C$32:$E$45,,MATCH(E209,'Landbrugsareal - resultat'!$C$4:$E$4,0)))),IF(C209=2030,SUMPRODUCT((B209='Landbrugsareal - resultat'!$B$32:$B$45)*(INDEX('Landbrugsareal - resultat'!$F$32:$H$45,,MATCH(E209,'Landbrugsareal - resultat'!$F$4:$H$4,0)))),SUMPRODUCT((B209='Landbrugsareal - resultat'!$B$32:$B$45)*(INDEX('Landbrugsareal - resultat'!$I$32:$K$45,,MATCH(E209,'Landbrugsareal - resultat'!$I$4:$K$4,0)))))),IF(C209=2019,SUMPRODUCT((B209='Landbrugsareal - resultat'!$B$32:$B$45)*(INDEX('Landbrugsareal - resultat'!$L$32:$N$45,,MATCH(E209,'Landbrugsareal - resultat'!$L$4:$N$4,0)))),IF(C209=2030,SUMPRODUCT((B209='Landbrugsareal - resultat'!$B$32:$B$45)*(INDEX('Landbrugsareal - resultat'!$O$32:$Q$45,,MATCH(E209,'Landbrugsareal - resultat'!$O$4:$Q$4,0)))),SUMPRODUCT((B209='Landbrugsareal - resultat'!$B$32:$B$45)*(INDEX('Landbrugsareal - resultat'!$R$32:$T$45,,MATCH(E209,'Landbrugsareal - resultat'!$R$4:$T$4,0))))))))</f>
        <v>204.6883954391258</v>
      </c>
      <c r="H209" s="172">
        <f>G209*VLOOKUP(B209,[1]Afgrødedata!$A$5:$F$18,2,FALSE)*IF(D209="Økologisk",VLOOKUP(B209,[1]Afgrødedata!$A$5:$F$18,4,FALSE),1)*IF(E209&lt;&gt;Jordbund1,IF(E209=Organ6,VLOOKUP(B209,[1]Afgrødedata!$A$5:$F$18,5,FALSE),VLOOKUP(B209,[1]Afgrødedata!$A$5:$F$18,6,FALSE)),1)*0.1</f>
        <v>14328.187680738807</v>
      </c>
      <c r="I209" s="172">
        <f>G209*VLOOKUP(B209,[1]Afgrødedata!$A$5:$F$18,3,FALSE)*IF(D209="Økologisk",VLOOKUP(B209,[1]Afgrødedata!$A$5:$F$18,4,FALSE),1)*IF(E209&lt;&gt;Jordbund1,IF(E209=Organ6,VLOOKUP(B209,[1]Afgrødedata!$A$5:$F$18,5,FALSE),VLOOKUP(B209,[1]Afgrødedata!$A$5:$F$18,6,FALSE)),1)*HLOOKUP(C209,Landbrug!$C$15:$E$17,2,FALSE)*HLOOKUP(C209,Landbrug!$C$15:$E$17,3,FALSE)*0.1</f>
        <v>0</v>
      </c>
      <c r="J209" s="76">
        <f t="shared" ref="J209:J276" si="42">IF(I209&lt;&gt;0,I209,H209)</f>
        <v>14328.187680738807</v>
      </c>
    </row>
    <row r="210" spans="1:10" x14ac:dyDescent="0.55000000000000004">
      <c r="A210" t="s">
        <v>23</v>
      </c>
      <c r="B210" s="1" t="str">
        <f>[1]Afgrødefordeling!$C$14</f>
        <v>Pil &amp; poppel</v>
      </c>
      <c r="C210">
        <v>2050</v>
      </c>
      <c r="D210" t="s">
        <v>7</v>
      </c>
      <c r="E210" s="172" t="str">
        <f t="shared" si="40"/>
        <v>OC12</v>
      </c>
      <c r="F210" t="str">
        <f t="shared" ref="F210" si="43">IF(I210&lt;&gt;0,"Halm",IF(B210&lt;&gt;"Permanent græs",B210,"Græs"))</f>
        <v>Pil &amp; poppel</v>
      </c>
      <c r="G210" s="76" cm="1">
        <f t="array" ref="G210">IF(A210="Vestdanmark",IF(D210="Konventionel",IF(C210=2019,SUMPRODUCT((B210='Landbrugsareal - resultat'!$B$5:$B$18)*(INDEX('Landbrugsareal - resultat'!$C$5:$E$18,,MATCH(E210,'Landbrugsareal - resultat'!$C$4:$E$4,0)))),IF(C210=2030,SUMPRODUCT((B210='Landbrugsareal - resultat'!$B$5:$B$18)*(INDEX('Landbrugsareal - resultat'!$F$5:$H$18,,MATCH(E210,'Landbrugsareal - resultat'!$F$4:$H$4,0)))),SUMPRODUCT((B210='Landbrugsareal - resultat'!$B$5:$B$18)*(INDEX('Landbrugsareal - resultat'!$I$5:$K$18,,MATCH(E210,'Landbrugsareal - resultat'!$I$4:$K$4,0)))))),IF(C210=2019,SUMPRODUCT((B210='Landbrugsareal - resultat'!$B$5:$B$18)*(INDEX('Landbrugsareal - resultat'!$L$5:$N$18,,MATCH(E210,'Landbrugsareal - resultat'!$L$4:$N$4,0)))),IF(C210=2030,SUMPRODUCT((B210='Landbrugsareal - resultat'!$B$5:$B$18)*(INDEX('Landbrugsareal - resultat'!$O$5:$Q$18,,MATCH(E210,'Landbrugsareal - resultat'!$O$4:$Q$4,0)))),SUMPRODUCT((B210='Landbrugsareal - resultat'!$B$5:$B$18)*(INDEX('Landbrugsareal - resultat'!$R$5:$T$18,,MATCH(E210,'Landbrugsareal - resultat'!$R$4:$T$4,0))))))),IF(D210="Konventionel",IF(C210=2019,SUMPRODUCT((B210='Landbrugsareal - resultat'!$B$32:$B$45)*(INDEX('Landbrugsareal - resultat'!$C$32:$E$45,,MATCH(E210,'Landbrugsareal - resultat'!$C$4:$E$4,0)))),IF(C210=2030,SUMPRODUCT((B210='Landbrugsareal - resultat'!$B$32:$B$45)*(INDEX('Landbrugsareal - resultat'!$F$32:$H$45,,MATCH(E210,'Landbrugsareal - resultat'!$F$4:$H$4,0)))),SUMPRODUCT((B210='Landbrugsareal - resultat'!$B$32:$B$45)*(INDEX('Landbrugsareal - resultat'!$I$32:$K$45,,MATCH(E210,'Landbrugsareal - resultat'!$I$4:$K$4,0)))))),IF(C210=2019,SUMPRODUCT((B210='Landbrugsareal - resultat'!$B$32:$B$45)*(INDEX('Landbrugsareal - resultat'!$L$32:$N$45,,MATCH(E210,'Landbrugsareal - resultat'!$L$4:$N$4,0)))),IF(C210=2030,SUMPRODUCT((B210='Landbrugsareal - resultat'!$B$32:$B$45)*(INDEX('Landbrugsareal - resultat'!$O$32:$Q$45,,MATCH(E210,'Landbrugsareal - resultat'!$O$4:$Q$4,0)))),SUMPRODUCT((B210='Landbrugsareal - resultat'!$B$32:$B$45)*(INDEX('Landbrugsareal - resultat'!$R$32:$T$45,,MATCH(E210,'Landbrugsareal - resultat'!$R$4:$T$4,0))))))))</f>
        <v>483.1718383085061</v>
      </c>
      <c r="H210" s="172">
        <f>G210*VLOOKUP(B210,[1]Afgrødedata!$A$5:$F$18,2,FALSE)*IF(D210="Økologisk",VLOOKUP(B210,[1]Afgrødedata!$A$5:$F$18,4,FALSE),1)*IF(E210&lt;&gt;Jordbund1,IF(E210=Organ6,VLOOKUP(B210,[1]Afgrødedata!$A$5:$F$18,5,FALSE),VLOOKUP(B210,[1]Afgrødedata!$A$5:$F$18,6,FALSE)),1)*0.1</f>
        <v>16498.550576388014</v>
      </c>
      <c r="I210" s="172">
        <f>G210*VLOOKUP(B210,[1]Afgrødedata!$A$5:$F$18,3,FALSE)*IF(D210="Økologisk",VLOOKUP(B210,[1]Afgrødedata!$A$5:$F$18,4,FALSE),1)*IF(E210&lt;&gt;Jordbund1,IF(E210=Organ6,VLOOKUP(B210,[1]Afgrødedata!$A$5:$F$18,5,FALSE),VLOOKUP(B210,[1]Afgrødedata!$A$5:$F$18,6,FALSE)),1)*HLOOKUP(C210,Landbrug!$C$15:$E$17,2,FALSE)*HLOOKUP(C210,Landbrug!$C$15:$E$17,3,FALSE)*0.1</f>
        <v>0</v>
      </c>
      <c r="J210" s="76">
        <f t="shared" ref="J210" si="44">IF(I210&lt;&gt;0,I210,H210)</f>
        <v>16498.550576388014</v>
      </c>
    </row>
    <row r="211" spans="1:10" x14ac:dyDescent="0.55000000000000004">
      <c r="A211" t="s">
        <v>23</v>
      </c>
      <c r="B211" s="1" t="str">
        <f>[1]Afgrødefordeling!$C$15</f>
        <v>Permanent græs</v>
      </c>
      <c r="C211">
        <v>2050</v>
      </c>
      <c r="D211" t="s">
        <v>7</v>
      </c>
      <c r="E211" s="172" t="str">
        <f t="shared" si="40"/>
        <v>OC12</v>
      </c>
      <c r="F211" t="str">
        <f t="shared" si="41"/>
        <v>Græs</v>
      </c>
      <c r="G211" s="76" cm="1">
        <f t="array" ref="G211">IF(A211="Vestdanmark",IF(D211="Konventionel",IF(C211=2019,SUMPRODUCT((B211='Landbrugsareal - resultat'!$B$5:$B$18)*(INDEX('Landbrugsareal - resultat'!$C$5:$E$18,,MATCH(E211,'Landbrugsareal - resultat'!$C$4:$E$4,0)))),IF(C211=2030,SUMPRODUCT((B211='Landbrugsareal - resultat'!$B$5:$B$18)*(INDEX('Landbrugsareal - resultat'!$F$5:$H$18,,MATCH(E211,'Landbrugsareal - resultat'!$F$4:$H$4,0)))),SUMPRODUCT((B211='Landbrugsareal - resultat'!$B$5:$B$18)*(INDEX('Landbrugsareal - resultat'!$I$5:$K$18,,MATCH(E211,'Landbrugsareal - resultat'!$I$4:$K$4,0)))))),IF(C211=2019,SUMPRODUCT((B211='Landbrugsareal - resultat'!$B$5:$B$18)*(INDEX('Landbrugsareal - resultat'!$L$5:$N$18,,MATCH(E211,'Landbrugsareal - resultat'!$L$4:$N$4,0)))),IF(C211=2030,SUMPRODUCT((B211='Landbrugsareal - resultat'!$B$5:$B$18)*(INDEX('Landbrugsareal - resultat'!$O$5:$Q$18,,MATCH(E211,'Landbrugsareal - resultat'!$O$4:$Q$4,0)))),SUMPRODUCT((B211='Landbrugsareal - resultat'!$B$5:$B$18)*(INDEX('Landbrugsareal - resultat'!$R$5:$T$18,,MATCH(E211,'Landbrugsareal - resultat'!$R$4:$T$4,0))))))),IF(D211="Konventionel",IF(C211=2019,SUMPRODUCT((B211='Landbrugsareal - resultat'!$B$32:$B$45)*(INDEX('Landbrugsareal - resultat'!$C$32:$E$45,,MATCH(E211,'Landbrugsareal - resultat'!$C$4:$E$4,0)))),IF(C211=2030,SUMPRODUCT((B211='Landbrugsareal - resultat'!$B$32:$B$45)*(INDEX('Landbrugsareal - resultat'!$F$32:$H$45,,MATCH(E211,'Landbrugsareal - resultat'!$F$4:$H$4,0)))),SUMPRODUCT((B211='Landbrugsareal - resultat'!$B$32:$B$45)*(INDEX('Landbrugsareal - resultat'!$I$32:$K$45,,MATCH(E211,'Landbrugsareal - resultat'!$I$4:$K$4,0)))))),IF(C211=2019,SUMPRODUCT((B211='Landbrugsareal - resultat'!$B$32:$B$45)*(INDEX('Landbrugsareal - resultat'!$L$32:$N$45,,MATCH(E211,'Landbrugsareal - resultat'!$L$4:$N$4,0)))),IF(C211=2030,SUMPRODUCT((B211='Landbrugsareal - resultat'!$B$32:$B$45)*(INDEX('Landbrugsareal - resultat'!$O$32:$Q$45,,MATCH(E211,'Landbrugsareal - resultat'!$O$4:$Q$4,0)))),SUMPRODUCT((B211='Landbrugsareal - resultat'!$B$32:$B$45)*(INDEX('Landbrugsareal - resultat'!$R$32:$T$45,,MATCH(E211,'Landbrugsareal - resultat'!$R$4:$T$4,0))))))))</f>
        <v>17870.23806739807</v>
      </c>
      <c r="H211" s="172">
        <f>G211*VLOOKUP(B211,[1]Afgrødedata!$A$5:$F$18,2,FALSE)*IF(D211="Økologisk",VLOOKUP(B211,[1]Afgrødedata!$A$5:$F$18,4,FALSE),1)*IF(E211&lt;&gt;Jordbund1,IF(E211=Organ6,VLOOKUP(B211,[1]Afgrødedata!$A$5:$F$18,5,FALSE),VLOOKUP(B211,[1]Afgrødedata!$A$5:$F$18,6,FALSE)),1)*0.1</f>
        <v>345002.81612918718</v>
      </c>
      <c r="I211" s="172">
        <f>G211*VLOOKUP(B211,[1]Afgrødedata!$A$5:$F$18,3,FALSE)*IF(D211="Økologisk",VLOOKUP(B211,[1]Afgrødedata!$A$5:$F$18,4,FALSE),1)*IF(E211&lt;&gt;Jordbund1,IF(E211=Organ6,VLOOKUP(B211,[1]Afgrødedata!$A$5:$F$18,5,FALSE),VLOOKUP(B211,[1]Afgrødedata!$A$5:$F$18,6,FALSE)),1)*HLOOKUP(C211,Landbrug!$C$15:$E$17,2,FALSE)*HLOOKUP(C211,Landbrug!$C$15:$E$17,3,FALSE)*0.1</f>
        <v>0</v>
      </c>
      <c r="J211" s="76">
        <f t="shared" si="42"/>
        <v>345002.81612918718</v>
      </c>
    </row>
    <row r="212" spans="1:10" x14ac:dyDescent="0.55000000000000004">
      <c r="A212" t="s">
        <v>23</v>
      </c>
      <c r="B212" s="1" t="str">
        <f>[1]Afgrødefordeling!$C$2</f>
        <v>Korn</v>
      </c>
      <c r="C212">
        <v>2019</v>
      </c>
      <c r="D212" t="s">
        <v>8</v>
      </c>
      <c r="E212" s="172" t="str">
        <f t="shared" si="40"/>
        <v>OC12</v>
      </c>
      <c r="F212" t="str">
        <f t="shared" si="41"/>
        <v>Halm</v>
      </c>
      <c r="G212" s="76" cm="1">
        <f t="array" ref="G212">IF(A212="Vestdanmark",IF(D212="Konventionel",IF(C212=2019,SUMPRODUCT((B212='Landbrugsareal - resultat'!$B$5:$B$18)*(INDEX('Landbrugsareal - resultat'!$C$5:$E$18,,MATCH(E212,'Landbrugsareal - resultat'!$C$4:$E$4,0)))),IF(C212=2030,SUMPRODUCT((B212='Landbrugsareal - resultat'!$B$5:$B$18)*(INDEX('Landbrugsareal - resultat'!$F$5:$H$18,,MATCH(E212,'Landbrugsareal - resultat'!$F$4:$H$4,0)))),SUMPRODUCT((B212='Landbrugsareal - resultat'!$B$5:$B$18)*(INDEX('Landbrugsareal - resultat'!$I$5:$K$18,,MATCH(E212,'Landbrugsareal - resultat'!$I$4:$K$4,0)))))),IF(C212=2019,SUMPRODUCT((B212='Landbrugsareal - resultat'!$B$5:$B$18)*(INDEX('Landbrugsareal - resultat'!$L$5:$N$18,,MATCH(E212,'Landbrugsareal - resultat'!$L$4:$N$4,0)))),IF(C212=2030,SUMPRODUCT((B212='Landbrugsareal - resultat'!$B$5:$B$18)*(INDEX('Landbrugsareal - resultat'!$O$5:$Q$18,,MATCH(E212,'Landbrugsareal - resultat'!$O$4:$Q$4,0)))),SUMPRODUCT((B212='Landbrugsareal - resultat'!$B$5:$B$18)*(INDEX('Landbrugsareal - resultat'!$R$5:$T$18,,MATCH(E212,'Landbrugsareal - resultat'!$R$4:$T$4,0))))))),IF(D212="Konventionel",IF(C212=2019,SUMPRODUCT((B212='Landbrugsareal - resultat'!$B$32:$B$45)*(INDEX('Landbrugsareal - resultat'!$C$32:$E$45,,MATCH(E212,'Landbrugsareal - resultat'!$C$4:$E$4,0)))),IF(C212=2030,SUMPRODUCT((B212='Landbrugsareal - resultat'!$B$32:$B$45)*(INDEX('Landbrugsareal - resultat'!$F$32:$H$45,,MATCH(E212,'Landbrugsareal - resultat'!$F$4:$H$4,0)))),SUMPRODUCT((B212='Landbrugsareal - resultat'!$B$32:$B$45)*(INDEX('Landbrugsareal - resultat'!$I$32:$K$45,,MATCH(E212,'Landbrugsareal - resultat'!$I$4:$K$4,0)))))),IF(C212=2019,SUMPRODUCT((B212='Landbrugsareal - resultat'!$B$32:$B$45)*(INDEX('Landbrugsareal - resultat'!$L$32:$N$45,,MATCH(E212,'Landbrugsareal - resultat'!$L$4:$N$4,0)))),IF(C212=2030,SUMPRODUCT((B212='Landbrugsareal - resultat'!$B$32:$B$45)*(INDEX('Landbrugsareal - resultat'!$O$32:$Q$45,,MATCH(E212,'Landbrugsareal - resultat'!$O$4:$Q$4,0)))),SUMPRODUCT((B212='Landbrugsareal - resultat'!$B$32:$B$45)*(INDEX('Landbrugsareal - resultat'!$R$32:$T$45,,MATCH(E212,'Landbrugsareal - resultat'!$R$4:$T$4,0))))))))</f>
        <v>1521.2775270361781</v>
      </c>
      <c r="H212" s="172">
        <f>G212*VLOOKUP(B212,[1]Afgrødedata!$A$5:$F$18,2,FALSE)*IF(D212="Økologisk",VLOOKUP(B212,[1]Afgrødedata!$A$5:$F$18,4,FALSE),1)*IF(E212&lt;&gt;Jordbund1,IF(E212=Organ6,VLOOKUP(B212,[1]Afgrødedata!$A$5:$F$18,5,FALSE),VLOOKUP(B212,[1]Afgrødedata!$A$5:$F$18,6,FALSE)),1)*0.1</f>
        <v>10002.977825723145</v>
      </c>
      <c r="I212" s="172">
        <f>G212*VLOOKUP(B212,[1]Afgrødedata!$A$5:$F$18,3,FALSE)*IF(D212="Økologisk",VLOOKUP(B212,[1]Afgrødedata!$A$5:$F$18,4,FALSE),1)*IF(E212&lt;&gt;Jordbund1,IF(E212=Organ6,VLOOKUP(B212,[1]Afgrødedata!$A$5:$F$18,5,FALSE),VLOOKUP(B212,[1]Afgrødedata!$A$5:$F$18,6,FALSE)),1)*HLOOKUP(C212,Landbrug!$C$15:$E$17,2,FALSE)*HLOOKUP(C212,Landbrug!$C$15:$E$17,3,FALSE)*0.1</f>
        <v>3264.9469548714701</v>
      </c>
      <c r="J212" s="76">
        <f t="shared" si="42"/>
        <v>3264.9469548714701</v>
      </c>
    </row>
    <row r="213" spans="1:10" x14ac:dyDescent="0.55000000000000004">
      <c r="A213" t="s">
        <v>23</v>
      </c>
      <c r="B213" s="1" t="str">
        <f>[1]Afgrødefordeling!$C$3</f>
        <v>Bælgsæd</v>
      </c>
      <c r="C213">
        <v>2019</v>
      </c>
      <c r="D213" t="s">
        <v>8</v>
      </c>
      <c r="E213" s="172" t="str">
        <f t="shared" si="40"/>
        <v>OC12</v>
      </c>
      <c r="F213" t="str">
        <f t="shared" si="41"/>
        <v>Halm</v>
      </c>
      <c r="G213" s="76" cm="1">
        <f t="array" ref="G213">IF(A213="Vestdanmark",IF(D213="Konventionel",IF(C213=2019,SUMPRODUCT((B213='Landbrugsareal - resultat'!$B$5:$B$18)*(INDEX('Landbrugsareal - resultat'!$C$5:$E$18,,MATCH(E213,'Landbrugsareal - resultat'!$C$4:$E$4,0)))),IF(C213=2030,SUMPRODUCT((B213='Landbrugsareal - resultat'!$B$5:$B$18)*(INDEX('Landbrugsareal - resultat'!$F$5:$H$18,,MATCH(E213,'Landbrugsareal - resultat'!$F$4:$H$4,0)))),SUMPRODUCT((B213='Landbrugsareal - resultat'!$B$5:$B$18)*(INDEX('Landbrugsareal - resultat'!$I$5:$K$18,,MATCH(E213,'Landbrugsareal - resultat'!$I$4:$K$4,0)))))),IF(C213=2019,SUMPRODUCT((B213='Landbrugsareal - resultat'!$B$5:$B$18)*(INDEX('Landbrugsareal - resultat'!$L$5:$N$18,,MATCH(E213,'Landbrugsareal - resultat'!$L$4:$N$4,0)))),IF(C213=2030,SUMPRODUCT((B213='Landbrugsareal - resultat'!$B$5:$B$18)*(INDEX('Landbrugsareal - resultat'!$O$5:$Q$18,,MATCH(E213,'Landbrugsareal - resultat'!$O$4:$Q$4,0)))),SUMPRODUCT((B213='Landbrugsareal - resultat'!$B$5:$B$18)*(INDEX('Landbrugsareal - resultat'!$R$5:$T$18,,MATCH(E213,'Landbrugsareal - resultat'!$R$4:$T$4,0))))))),IF(D213="Konventionel",IF(C213=2019,SUMPRODUCT((B213='Landbrugsareal - resultat'!$B$32:$B$45)*(INDEX('Landbrugsareal - resultat'!$C$32:$E$45,,MATCH(E213,'Landbrugsareal - resultat'!$C$4:$E$4,0)))),IF(C213=2030,SUMPRODUCT((B213='Landbrugsareal - resultat'!$B$32:$B$45)*(INDEX('Landbrugsareal - resultat'!$F$32:$H$45,,MATCH(E213,'Landbrugsareal - resultat'!$F$4:$H$4,0)))),SUMPRODUCT((B213='Landbrugsareal - resultat'!$B$32:$B$45)*(INDEX('Landbrugsareal - resultat'!$I$32:$K$45,,MATCH(E213,'Landbrugsareal - resultat'!$I$4:$K$4,0)))))),IF(C213=2019,SUMPRODUCT((B213='Landbrugsareal - resultat'!$B$32:$B$45)*(INDEX('Landbrugsareal - resultat'!$L$32:$N$45,,MATCH(E213,'Landbrugsareal - resultat'!$L$4:$N$4,0)))),IF(C213=2030,SUMPRODUCT((B213='Landbrugsareal - resultat'!$B$32:$B$45)*(INDEX('Landbrugsareal - resultat'!$O$32:$Q$45,,MATCH(E213,'Landbrugsareal - resultat'!$O$4:$Q$4,0)))),SUMPRODUCT((B213='Landbrugsareal - resultat'!$B$32:$B$45)*(INDEX('Landbrugsareal - resultat'!$R$32:$T$45,,MATCH(E213,'Landbrugsareal - resultat'!$R$4:$T$4,0))))))))</f>
        <v>87.593976908399355</v>
      </c>
      <c r="H213" s="172">
        <f>G213*VLOOKUP(B213,[1]Afgrødedata!$A$5:$F$18,2,FALSE)*IF(D213="Økologisk",VLOOKUP(B213,[1]Afgrødedata!$A$5:$F$18,4,FALSE),1)*IF(E213&lt;&gt;Jordbund1,IF(E213=Organ6,VLOOKUP(B213,[1]Afgrødedata!$A$5:$F$18,5,FALSE),VLOOKUP(B213,[1]Afgrødedata!$A$5:$F$18,6,FALSE)),1)*0.1</f>
        <v>269.81397519140432</v>
      </c>
      <c r="I213" s="172">
        <f>G213*VLOOKUP(B213,[1]Afgrødedata!$A$5:$F$18,3,FALSE)*IF(D213="Økologisk",VLOOKUP(B213,[1]Afgrødedata!$A$5:$F$18,4,FALSE),1)*IF(E213&lt;&gt;Jordbund1,IF(E213=Organ6,VLOOKUP(B213,[1]Afgrødedata!$A$5:$F$18,5,FALSE),VLOOKUP(B213,[1]Afgrødedata!$A$5:$F$18,6,FALSE)),1)*HLOOKUP(C213,Landbrug!$C$15:$E$17,2,FALSE)*HLOOKUP(C213,Landbrug!$C$15:$E$17,3,FALSE)*0.1</f>
        <v>80.102033939855289</v>
      </c>
      <c r="J213" s="76">
        <f t="shared" si="42"/>
        <v>80.102033939855289</v>
      </c>
    </row>
    <row r="214" spans="1:10" x14ac:dyDescent="0.55000000000000004">
      <c r="A214" t="s">
        <v>23</v>
      </c>
      <c r="B214" s="1" t="str">
        <f>[1]Afgrødefordeling!$C$4</f>
        <v>Raps</v>
      </c>
      <c r="C214">
        <v>2019</v>
      </c>
      <c r="D214" t="s">
        <v>8</v>
      </c>
      <c r="E214" s="172" t="str">
        <f t="shared" si="40"/>
        <v>OC12</v>
      </c>
      <c r="F214" t="str">
        <f t="shared" si="41"/>
        <v>Halm</v>
      </c>
      <c r="G214" s="76" cm="1">
        <f t="array" ref="G214">IF(A214="Vestdanmark",IF(D214="Konventionel",IF(C214=2019,SUMPRODUCT((B214='Landbrugsareal - resultat'!$B$5:$B$18)*(INDEX('Landbrugsareal - resultat'!$C$5:$E$18,,MATCH(E214,'Landbrugsareal - resultat'!$C$4:$E$4,0)))),IF(C214=2030,SUMPRODUCT((B214='Landbrugsareal - resultat'!$B$5:$B$18)*(INDEX('Landbrugsareal - resultat'!$F$5:$H$18,,MATCH(E214,'Landbrugsareal - resultat'!$F$4:$H$4,0)))),SUMPRODUCT((B214='Landbrugsareal - resultat'!$B$5:$B$18)*(INDEX('Landbrugsareal - resultat'!$I$5:$K$18,,MATCH(E214,'Landbrugsareal - resultat'!$I$4:$K$4,0)))))),IF(C214=2019,SUMPRODUCT((B214='Landbrugsareal - resultat'!$B$5:$B$18)*(INDEX('Landbrugsareal - resultat'!$L$5:$N$18,,MATCH(E214,'Landbrugsareal - resultat'!$L$4:$N$4,0)))),IF(C214=2030,SUMPRODUCT((B214='Landbrugsareal - resultat'!$B$5:$B$18)*(INDEX('Landbrugsareal - resultat'!$O$5:$Q$18,,MATCH(E214,'Landbrugsareal - resultat'!$O$4:$Q$4,0)))),SUMPRODUCT((B214='Landbrugsareal - resultat'!$B$5:$B$18)*(INDEX('Landbrugsareal - resultat'!$R$5:$T$18,,MATCH(E214,'Landbrugsareal - resultat'!$R$4:$T$4,0))))))),IF(D214="Konventionel",IF(C214=2019,SUMPRODUCT((B214='Landbrugsareal - resultat'!$B$32:$B$45)*(INDEX('Landbrugsareal - resultat'!$C$32:$E$45,,MATCH(E214,'Landbrugsareal - resultat'!$C$4:$E$4,0)))),IF(C214=2030,SUMPRODUCT((B214='Landbrugsareal - resultat'!$B$32:$B$45)*(INDEX('Landbrugsareal - resultat'!$F$32:$H$45,,MATCH(E214,'Landbrugsareal - resultat'!$F$4:$H$4,0)))),SUMPRODUCT((B214='Landbrugsareal - resultat'!$B$32:$B$45)*(INDEX('Landbrugsareal - resultat'!$I$32:$K$45,,MATCH(E214,'Landbrugsareal - resultat'!$I$4:$K$4,0)))))),IF(C214=2019,SUMPRODUCT((B214='Landbrugsareal - resultat'!$B$32:$B$45)*(INDEX('Landbrugsareal - resultat'!$L$32:$N$45,,MATCH(E214,'Landbrugsareal - resultat'!$L$4:$N$4,0)))),IF(C214=2030,SUMPRODUCT((B214='Landbrugsareal - resultat'!$B$32:$B$45)*(INDEX('Landbrugsareal - resultat'!$O$32:$Q$45,,MATCH(E214,'Landbrugsareal - resultat'!$O$4:$Q$4,0)))),SUMPRODUCT((B214='Landbrugsareal - resultat'!$B$32:$B$45)*(INDEX('Landbrugsareal - resultat'!$R$32:$T$45,,MATCH(E214,'Landbrugsareal - resultat'!$R$4:$T$4,0))))))))</f>
        <v>113.43023364094317</v>
      </c>
      <c r="H214" s="172">
        <f>G214*VLOOKUP(B214,[1]Afgrødedata!$A$5:$F$18,2,FALSE)*IF(D214="Økologisk",VLOOKUP(B214,[1]Afgrødedata!$A$5:$F$18,4,FALSE),1)*IF(E214&lt;&gt;Jordbund1,IF(E214=Organ6,VLOOKUP(B214,[1]Afgrødedata!$A$5:$F$18,5,FALSE),VLOOKUP(B214,[1]Afgrødedata!$A$5:$F$18,6,FALSE)),1)*0.1</f>
        <v>384.3016315755155</v>
      </c>
      <c r="I214" s="172">
        <f>G214*VLOOKUP(B214,[1]Afgrødedata!$A$5:$F$18,3,FALSE)*IF(D214="Økologisk",VLOOKUP(B214,[1]Afgrødedata!$A$5:$F$18,4,FALSE),1)*IF(E214&lt;&gt;Jordbund1,IF(E214=Organ6,VLOOKUP(B214,[1]Afgrødedata!$A$5:$F$18,5,FALSE),VLOOKUP(B214,[1]Afgrødedata!$A$5:$F$18,6,FALSE)),1)*HLOOKUP(C214,Landbrug!$C$15:$E$17,2,FALSE)*HLOOKUP(C214,Landbrug!$C$15:$E$17,3,FALSE)*0.1</f>
        <v>205.25742293264076</v>
      </c>
      <c r="J214" s="76">
        <f t="shared" si="42"/>
        <v>205.25742293264076</v>
      </c>
    </row>
    <row r="215" spans="1:10" x14ac:dyDescent="0.55000000000000004">
      <c r="A215" t="s">
        <v>23</v>
      </c>
      <c r="B215" s="1" t="str">
        <f>[1]Afgrødefordeling!$C$5</f>
        <v>Græs</v>
      </c>
      <c r="C215">
        <v>2019</v>
      </c>
      <c r="D215" t="s">
        <v>8</v>
      </c>
      <c r="E215" s="172" t="str">
        <f t="shared" si="40"/>
        <v>OC12</v>
      </c>
      <c r="F215" t="str">
        <f t="shared" si="41"/>
        <v>Græs</v>
      </c>
      <c r="G215" s="76" cm="1">
        <f t="array" ref="G215">IF(A215="Vestdanmark",IF(D215="Konventionel",IF(C215=2019,SUMPRODUCT((B215='Landbrugsareal - resultat'!$B$5:$B$18)*(INDEX('Landbrugsareal - resultat'!$C$5:$E$18,,MATCH(E215,'Landbrugsareal - resultat'!$C$4:$E$4,0)))),IF(C215=2030,SUMPRODUCT((B215='Landbrugsareal - resultat'!$B$5:$B$18)*(INDEX('Landbrugsareal - resultat'!$F$5:$H$18,,MATCH(E215,'Landbrugsareal - resultat'!$F$4:$H$4,0)))),SUMPRODUCT((B215='Landbrugsareal - resultat'!$B$5:$B$18)*(INDEX('Landbrugsareal - resultat'!$I$5:$K$18,,MATCH(E215,'Landbrugsareal - resultat'!$I$4:$K$4,0)))))),IF(C215=2019,SUMPRODUCT((B215='Landbrugsareal - resultat'!$B$5:$B$18)*(INDEX('Landbrugsareal - resultat'!$L$5:$N$18,,MATCH(E215,'Landbrugsareal - resultat'!$L$4:$N$4,0)))),IF(C215=2030,SUMPRODUCT((B215='Landbrugsareal - resultat'!$B$5:$B$18)*(INDEX('Landbrugsareal - resultat'!$O$5:$Q$18,,MATCH(E215,'Landbrugsareal - resultat'!$O$4:$Q$4,0)))),SUMPRODUCT((B215='Landbrugsareal - resultat'!$B$5:$B$18)*(INDEX('Landbrugsareal - resultat'!$R$5:$T$18,,MATCH(E215,'Landbrugsareal - resultat'!$R$4:$T$4,0))))))),IF(D215="Konventionel",IF(C215=2019,SUMPRODUCT((B215='Landbrugsareal - resultat'!$B$32:$B$45)*(INDEX('Landbrugsareal - resultat'!$C$32:$E$45,,MATCH(E215,'Landbrugsareal - resultat'!$C$4:$E$4,0)))),IF(C215=2030,SUMPRODUCT((B215='Landbrugsareal - resultat'!$B$32:$B$45)*(INDEX('Landbrugsareal - resultat'!$F$32:$H$45,,MATCH(E215,'Landbrugsareal - resultat'!$F$4:$H$4,0)))),SUMPRODUCT((B215='Landbrugsareal - resultat'!$B$32:$B$45)*(INDEX('Landbrugsareal - resultat'!$I$32:$K$45,,MATCH(E215,'Landbrugsareal - resultat'!$I$4:$K$4,0)))))),IF(C215=2019,SUMPRODUCT((B215='Landbrugsareal - resultat'!$B$32:$B$45)*(INDEX('Landbrugsareal - resultat'!$L$32:$N$45,,MATCH(E215,'Landbrugsareal - resultat'!$L$4:$N$4,0)))),IF(C215=2030,SUMPRODUCT((B215='Landbrugsareal - resultat'!$B$32:$B$45)*(INDEX('Landbrugsareal - resultat'!$O$32:$Q$45,,MATCH(E215,'Landbrugsareal - resultat'!$O$4:$Q$4,0)))),SUMPRODUCT((B215='Landbrugsareal - resultat'!$B$32:$B$45)*(INDEX('Landbrugsareal - resultat'!$R$32:$T$45,,MATCH(E215,'Landbrugsareal - resultat'!$R$4:$T$4,0))))))))</f>
        <v>2616.0592560989035</v>
      </c>
      <c r="H215" s="172">
        <f>G215*VLOOKUP(B215,[1]Afgrødedata!$A$5:$F$18,2,FALSE)*IF(D215="Økologisk",VLOOKUP(B215,[1]Afgrødedata!$A$5:$F$18,4,FALSE),1)*IF(E215&lt;&gt;Jordbund1,IF(E215=Organ6,VLOOKUP(B215,[1]Afgrødedata!$A$5:$F$18,5,FALSE),VLOOKUP(B215,[1]Afgrødedata!$A$5:$F$18,6,FALSE)),1)*0.1</f>
        <v>141751.27543408933</v>
      </c>
      <c r="I215" s="172">
        <f>G215*VLOOKUP(B215,[1]Afgrødedata!$A$5:$F$18,3,FALSE)*IF(D215="Økologisk",VLOOKUP(B215,[1]Afgrødedata!$A$5:$F$18,4,FALSE),1)*IF(E215&lt;&gt;Jordbund1,IF(E215=Organ6,VLOOKUP(B215,[1]Afgrødedata!$A$5:$F$18,5,FALSE),VLOOKUP(B215,[1]Afgrødedata!$A$5:$F$18,6,FALSE)),1)*HLOOKUP(C215,Landbrug!$C$15:$E$17,2,FALSE)*HLOOKUP(C215,Landbrug!$C$15:$E$17,3,FALSE)*0.1</f>
        <v>0</v>
      </c>
      <c r="J215" s="76">
        <f t="shared" si="42"/>
        <v>141751.27543408933</v>
      </c>
    </row>
    <row r="216" spans="1:10" x14ac:dyDescent="0.55000000000000004">
      <c r="A216" t="s">
        <v>23</v>
      </c>
      <c r="B216" s="1" t="str">
        <f>[1]Afgrødefordeling!$C$6</f>
        <v>Grøntsager</v>
      </c>
      <c r="C216">
        <v>2019</v>
      </c>
      <c r="D216" t="s">
        <v>8</v>
      </c>
      <c r="E216" s="172" t="str">
        <f t="shared" si="40"/>
        <v>OC12</v>
      </c>
      <c r="F216" t="str">
        <f t="shared" si="41"/>
        <v>Grøntsager</v>
      </c>
      <c r="G216" s="76" cm="1">
        <f t="array" ref="G216">IF(A216="Vestdanmark",IF(D216="Konventionel",IF(C216=2019,SUMPRODUCT((B216='Landbrugsareal - resultat'!$B$5:$B$18)*(INDEX('Landbrugsareal - resultat'!$C$5:$E$18,,MATCH(E216,'Landbrugsareal - resultat'!$C$4:$E$4,0)))),IF(C216=2030,SUMPRODUCT((B216='Landbrugsareal - resultat'!$B$5:$B$18)*(INDEX('Landbrugsareal - resultat'!$F$5:$H$18,,MATCH(E216,'Landbrugsareal - resultat'!$F$4:$H$4,0)))),SUMPRODUCT((B216='Landbrugsareal - resultat'!$B$5:$B$18)*(INDEX('Landbrugsareal - resultat'!$I$5:$K$18,,MATCH(E216,'Landbrugsareal - resultat'!$I$4:$K$4,0)))))),IF(C216=2019,SUMPRODUCT((B216='Landbrugsareal - resultat'!$B$5:$B$18)*(INDEX('Landbrugsareal - resultat'!$L$5:$N$18,,MATCH(E216,'Landbrugsareal - resultat'!$L$4:$N$4,0)))),IF(C216=2030,SUMPRODUCT((B216='Landbrugsareal - resultat'!$B$5:$B$18)*(INDEX('Landbrugsareal - resultat'!$O$5:$Q$18,,MATCH(E216,'Landbrugsareal - resultat'!$O$4:$Q$4,0)))),SUMPRODUCT((B216='Landbrugsareal - resultat'!$B$5:$B$18)*(INDEX('Landbrugsareal - resultat'!$R$5:$T$18,,MATCH(E216,'Landbrugsareal - resultat'!$R$4:$T$4,0))))))),IF(D216="Konventionel",IF(C216=2019,SUMPRODUCT((B216='Landbrugsareal - resultat'!$B$32:$B$45)*(INDEX('Landbrugsareal - resultat'!$C$32:$E$45,,MATCH(E216,'Landbrugsareal - resultat'!$C$4:$E$4,0)))),IF(C216=2030,SUMPRODUCT((B216='Landbrugsareal - resultat'!$B$32:$B$45)*(INDEX('Landbrugsareal - resultat'!$F$32:$H$45,,MATCH(E216,'Landbrugsareal - resultat'!$F$4:$H$4,0)))),SUMPRODUCT((B216='Landbrugsareal - resultat'!$B$32:$B$45)*(INDEX('Landbrugsareal - resultat'!$I$32:$K$45,,MATCH(E216,'Landbrugsareal - resultat'!$I$4:$K$4,0)))))),IF(C216=2019,SUMPRODUCT((B216='Landbrugsareal - resultat'!$B$32:$B$45)*(INDEX('Landbrugsareal - resultat'!$L$32:$N$45,,MATCH(E216,'Landbrugsareal - resultat'!$L$4:$N$4,0)))),IF(C216=2030,SUMPRODUCT((B216='Landbrugsareal - resultat'!$B$32:$B$45)*(INDEX('Landbrugsareal - resultat'!$O$32:$Q$45,,MATCH(E216,'Landbrugsareal - resultat'!$O$4:$Q$4,0)))),SUMPRODUCT((B216='Landbrugsareal - resultat'!$B$32:$B$45)*(INDEX('Landbrugsareal - resultat'!$R$32:$T$45,,MATCH(E216,'Landbrugsareal - resultat'!$R$4:$T$4,0))))))))</f>
        <v>3.0406783938354529</v>
      </c>
      <c r="H216" s="172">
        <f>G216*VLOOKUP(B216,[1]Afgrødedata!$A$5:$F$18,2,FALSE)*IF(D216="Økologisk",VLOOKUP(B216,[1]Afgrødedata!$A$5:$F$18,4,FALSE),1)*IF(E216&lt;&gt;Jordbund1,IF(E216=Organ6,VLOOKUP(B216,[1]Afgrødedata!$A$5:$F$18,5,FALSE),VLOOKUP(B216,[1]Afgrødedata!$A$5:$F$18,6,FALSE)),1)*0.1</f>
        <v>50.34907318432434</v>
      </c>
      <c r="I216" s="172">
        <f>G216*VLOOKUP(B216,[1]Afgrødedata!$A$5:$F$18,3,FALSE)*IF(D216="Økologisk",VLOOKUP(B216,[1]Afgrødedata!$A$5:$F$18,4,FALSE),1)*IF(E216&lt;&gt;Jordbund1,IF(E216=Organ6,VLOOKUP(B216,[1]Afgrødedata!$A$5:$F$18,5,FALSE),VLOOKUP(B216,[1]Afgrødedata!$A$5:$F$18,6,FALSE)),1)*HLOOKUP(C216,Landbrug!$C$15:$E$17,2,FALSE)*HLOOKUP(C216,Landbrug!$C$15:$E$17,3,FALSE)*0.1</f>
        <v>0</v>
      </c>
      <c r="J216" s="76">
        <f t="shared" si="42"/>
        <v>50.34907318432434</v>
      </c>
    </row>
    <row r="217" spans="1:10" x14ac:dyDescent="0.55000000000000004">
      <c r="A217" t="s">
        <v>23</v>
      </c>
      <c r="B217" s="1" t="str">
        <f>[1]Afgrødefordeling!$C$7</f>
        <v>Kartofler</v>
      </c>
      <c r="C217">
        <v>2019</v>
      </c>
      <c r="D217" t="s">
        <v>8</v>
      </c>
      <c r="E217" s="172" t="str">
        <f t="shared" si="40"/>
        <v>OC12</v>
      </c>
      <c r="F217" t="str">
        <f t="shared" si="41"/>
        <v>Kartofler</v>
      </c>
      <c r="G217" s="76" cm="1">
        <f t="array" ref="G217">IF(A217="Vestdanmark",IF(D217="Konventionel",IF(C217=2019,SUMPRODUCT((B217='Landbrugsareal - resultat'!$B$5:$B$18)*(INDEX('Landbrugsareal - resultat'!$C$5:$E$18,,MATCH(E217,'Landbrugsareal - resultat'!$C$4:$E$4,0)))),IF(C217=2030,SUMPRODUCT((B217='Landbrugsareal - resultat'!$B$5:$B$18)*(INDEX('Landbrugsareal - resultat'!$F$5:$H$18,,MATCH(E217,'Landbrugsareal - resultat'!$F$4:$H$4,0)))),SUMPRODUCT((B217='Landbrugsareal - resultat'!$B$5:$B$18)*(INDEX('Landbrugsareal - resultat'!$I$5:$K$18,,MATCH(E217,'Landbrugsareal - resultat'!$I$4:$K$4,0)))))),IF(C217=2019,SUMPRODUCT((B217='Landbrugsareal - resultat'!$B$5:$B$18)*(INDEX('Landbrugsareal - resultat'!$L$5:$N$18,,MATCH(E217,'Landbrugsareal - resultat'!$L$4:$N$4,0)))),IF(C217=2030,SUMPRODUCT((B217='Landbrugsareal - resultat'!$B$5:$B$18)*(INDEX('Landbrugsareal - resultat'!$O$5:$Q$18,,MATCH(E217,'Landbrugsareal - resultat'!$O$4:$Q$4,0)))),SUMPRODUCT((B217='Landbrugsareal - resultat'!$B$5:$B$18)*(INDEX('Landbrugsareal - resultat'!$R$5:$T$18,,MATCH(E217,'Landbrugsareal - resultat'!$R$4:$T$4,0))))))),IF(D217="Konventionel",IF(C217=2019,SUMPRODUCT((B217='Landbrugsareal - resultat'!$B$32:$B$45)*(INDEX('Landbrugsareal - resultat'!$C$32:$E$45,,MATCH(E217,'Landbrugsareal - resultat'!$C$4:$E$4,0)))),IF(C217=2030,SUMPRODUCT((B217='Landbrugsareal - resultat'!$B$32:$B$45)*(INDEX('Landbrugsareal - resultat'!$F$32:$H$45,,MATCH(E217,'Landbrugsareal - resultat'!$F$4:$H$4,0)))),SUMPRODUCT((B217='Landbrugsareal - resultat'!$B$32:$B$45)*(INDEX('Landbrugsareal - resultat'!$I$32:$K$45,,MATCH(E217,'Landbrugsareal - resultat'!$I$4:$K$4,0)))))),IF(C217=2019,SUMPRODUCT((B217='Landbrugsareal - resultat'!$B$32:$B$45)*(INDEX('Landbrugsareal - resultat'!$L$32:$N$45,,MATCH(E217,'Landbrugsareal - resultat'!$L$4:$N$4,0)))),IF(C217=2030,SUMPRODUCT((B217='Landbrugsareal - resultat'!$B$32:$B$45)*(INDEX('Landbrugsareal - resultat'!$O$32:$Q$45,,MATCH(E217,'Landbrugsareal - resultat'!$O$4:$Q$4,0)))),SUMPRODUCT((B217='Landbrugsareal - resultat'!$B$32:$B$45)*(INDEX('Landbrugsareal - resultat'!$R$32:$T$45,,MATCH(E217,'Landbrugsareal - resultat'!$R$4:$T$4,0))))))))</f>
        <v>160.94399904722869</v>
      </c>
      <c r="H217" s="172">
        <f>G217*VLOOKUP(B217,[1]Afgrødedata!$A$5:$F$18,2,FALSE)*IF(D217="Økologisk",VLOOKUP(B217,[1]Afgrødedata!$A$5:$F$18,4,FALSE),1)*IF(E217&lt;&gt;Jordbund1,IF(E217=Organ6,VLOOKUP(B217,[1]Afgrødedata!$A$5:$F$18,5,FALSE),VLOOKUP(B217,[1]Afgrødedata!$A$5:$F$18,6,FALSE)),1)*0.1</f>
        <v>5454.6782503755512</v>
      </c>
      <c r="I217" s="172">
        <f>G217*VLOOKUP(B217,[1]Afgrødedata!$A$5:$F$18,3,FALSE)*IF(D217="Økologisk",VLOOKUP(B217,[1]Afgrødedata!$A$5:$F$18,4,FALSE),1)*IF(E217&lt;&gt;Jordbund1,IF(E217=Organ6,VLOOKUP(B217,[1]Afgrødedata!$A$5:$F$18,5,FALSE),VLOOKUP(B217,[1]Afgrødedata!$A$5:$F$18,6,FALSE)),1)*HLOOKUP(C217,Landbrug!$C$15:$E$17,2,FALSE)*HLOOKUP(C217,Landbrug!$C$15:$E$17,3,FALSE)*0.1</f>
        <v>0</v>
      </c>
      <c r="J217" s="76">
        <f t="shared" si="42"/>
        <v>5454.6782503755512</v>
      </c>
    </row>
    <row r="218" spans="1:10" x14ac:dyDescent="0.55000000000000004">
      <c r="A218" t="s">
        <v>23</v>
      </c>
      <c r="B218" s="1" t="str">
        <f>[1]Afgrødefordeling!$C$8</f>
        <v>Roer</v>
      </c>
      <c r="C218">
        <v>2019</v>
      </c>
      <c r="D218" t="s">
        <v>8</v>
      </c>
      <c r="E218" s="172" t="str">
        <f t="shared" si="40"/>
        <v>OC12</v>
      </c>
      <c r="F218" t="str">
        <f t="shared" si="41"/>
        <v>Roer</v>
      </c>
      <c r="G218" s="76" cm="1">
        <f t="array" ref="G218">IF(A218="Vestdanmark",IF(D218="Konventionel",IF(C218=2019,SUMPRODUCT((B218='Landbrugsareal - resultat'!$B$5:$B$18)*(INDEX('Landbrugsareal - resultat'!$C$5:$E$18,,MATCH(E218,'Landbrugsareal - resultat'!$C$4:$E$4,0)))),IF(C218=2030,SUMPRODUCT((B218='Landbrugsareal - resultat'!$B$5:$B$18)*(INDEX('Landbrugsareal - resultat'!$F$5:$H$18,,MATCH(E218,'Landbrugsareal - resultat'!$F$4:$H$4,0)))),SUMPRODUCT((B218='Landbrugsareal - resultat'!$B$5:$B$18)*(INDEX('Landbrugsareal - resultat'!$I$5:$K$18,,MATCH(E218,'Landbrugsareal - resultat'!$I$4:$K$4,0)))))),IF(C218=2019,SUMPRODUCT((B218='Landbrugsareal - resultat'!$B$5:$B$18)*(INDEX('Landbrugsareal - resultat'!$L$5:$N$18,,MATCH(E218,'Landbrugsareal - resultat'!$L$4:$N$4,0)))),IF(C218=2030,SUMPRODUCT((B218='Landbrugsareal - resultat'!$B$5:$B$18)*(INDEX('Landbrugsareal - resultat'!$O$5:$Q$18,,MATCH(E218,'Landbrugsareal - resultat'!$O$4:$Q$4,0)))),SUMPRODUCT((B218='Landbrugsareal - resultat'!$B$5:$B$18)*(INDEX('Landbrugsareal - resultat'!$R$5:$T$18,,MATCH(E218,'Landbrugsareal - resultat'!$R$4:$T$4,0))))))),IF(D218="Konventionel",IF(C218=2019,SUMPRODUCT((B218='Landbrugsareal - resultat'!$B$32:$B$45)*(INDEX('Landbrugsareal - resultat'!$C$32:$E$45,,MATCH(E218,'Landbrugsareal - resultat'!$C$4:$E$4,0)))),IF(C218=2030,SUMPRODUCT((B218='Landbrugsareal - resultat'!$B$32:$B$45)*(INDEX('Landbrugsareal - resultat'!$F$32:$H$45,,MATCH(E218,'Landbrugsareal - resultat'!$F$4:$H$4,0)))),SUMPRODUCT((B218='Landbrugsareal - resultat'!$B$32:$B$45)*(INDEX('Landbrugsareal - resultat'!$I$32:$K$45,,MATCH(E218,'Landbrugsareal - resultat'!$I$4:$K$4,0)))))),IF(C218=2019,SUMPRODUCT((B218='Landbrugsareal - resultat'!$B$32:$B$45)*(INDEX('Landbrugsareal - resultat'!$L$32:$N$45,,MATCH(E218,'Landbrugsareal - resultat'!$L$4:$N$4,0)))),IF(C218=2030,SUMPRODUCT((B218='Landbrugsareal - resultat'!$B$32:$B$45)*(INDEX('Landbrugsareal - resultat'!$O$32:$Q$45,,MATCH(E218,'Landbrugsareal - resultat'!$O$4:$Q$4,0)))),SUMPRODUCT((B218='Landbrugsareal - resultat'!$B$32:$B$45)*(INDEX('Landbrugsareal - resultat'!$R$32:$T$45,,MATCH(E218,'Landbrugsareal - resultat'!$R$4:$T$4,0))))))))</f>
        <v>1.7404584959489884</v>
      </c>
      <c r="H218" s="172">
        <f>G218*VLOOKUP(B218,[1]Afgrødedata!$A$5:$F$18,2,FALSE)*IF(D218="Økologisk",VLOOKUP(B218,[1]Afgrødedata!$A$5:$F$18,4,FALSE),1)*IF(E218&lt;&gt;Jordbund1,IF(E218=Organ6,VLOOKUP(B218,[1]Afgrødedata!$A$5:$F$18,5,FALSE),VLOOKUP(B218,[1]Afgrødedata!$A$5:$F$18,6,FALSE)),1)*0.1</f>
        <v>112.85216014109164</v>
      </c>
      <c r="I218" s="172">
        <f>G218*VLOOKUP(B218,[1]Afgrødedata!$A$5:$F$18,3,FALSE)*IF(D218="Økologisk",VLOOKUP(B218,[1]Afgrødedata!$A$5:$F$18,4,FALSE),1)*IF(E218&lt;&gt;Jordbund1,IF(E218=Organ6,VLOOKUP(B218,[1]Afgrødedata!$A$5:$F$18,5,FALSE),VLOOKUP(B218,[1]Afgrødedata!$A$5:$F$18,6,FALSE)),1)*HLOOKUP(C218,Landbrug!$C$15:$E$17,2,FALSE)*HLOOKUP(C218,Landbrug!$C$15:$E$17,3,FALSE)*0.1</f>
        <v>0</v>
      </c>
      <c r="J218" s="76">
        <f t="shared" si="42"/>
        <v>112.85216014109164</v>
      </c>
    </row>
    <row r="219" spans="1:10" x14ac:dyDescent="0.55000000000000004">
      <c r="A219" t="s">
        <v>23</v>
      </c>
      <c r="B219" s="1" t="str">
        <f>[1]Afgrødefordeling!$C$9</f>
        <v>Majs</v>
      </c>
      <c r="C219">
        <v>2019</v>
      </c>
      <c r="D219" t="s">
        <v>8</v>
      </c>
      <c r="E219" s="172" t="str">
        <f t="shared" si="40"/>
        <v>OC12</v>
      </c>
      <c r="F219" t="str">
        <f t="shared" si="41"/>
        <v>Majs</v>
      </c>
      <c r="G219" s="76" cm="1">
        <f t="array" ref="G219">IF(A219="Vestdanmark",IF(D219="Konventionel",IF(C219=2019,SUMPRODUCT((B219='Landbrugsareal - resultat'!$B$5:$B$18)*(INDEX('Landbrugsareal - resultat'!$C$5:$E$18,,MATCH(E219,'Landbrugsareal - resultat'!$C$4:$E$4,0)))),IF(C219=2030,SUMPRODUCT((B219='Landbrugsareal - resultat'!$B$5:$B$18)*(INDEX('Landbrugsareal - resultat'!$F$5:$H$18,,MATCH(E219,'Landbrugsareal - resultat'!$F$4:$H$4,0)))),SUMPRODUCT((B219='Landbrugsareal - resultat'!$B$5:$B$18)*(INDEX('Landbrugsareal - resultat'!$I$5:$K$18,,MATCH(E219,'Landbrugsareal - resultat'!$I$4:$K$4,0)))))),IF(C219=2019,SUMPRODUCT((B219='Landbrugsareal - resultat'!$B$5:$B$18)*(INDEX('Landbrugsareal - resultat'!$L$5:$N$18,,MATCH(E219,'Landbrugsareal - resultat'!$L$4:$N$4,0)))),IF(C219=2030,SUMPRODUCT((B219='Landbrugsareal - resultat'!$B$5:$B$18)*(INDEX('Landbrugsareal - resultat'!$O$5:$Q$18,,MATCH(E219,'Landbrugsareal - resultat'!$O$4:$Q$4,0)))),SUMPRODUCT((B219='Landbrugsareal - resultat'!$B$5:$B$18)*(INDEX('Landbrugsareal - resultat'!$R$5:$T$18,,MATCH(E219,'Landbrugsareal - resultat'!$R$4:$T$4,0))))))),IF(D219="Konventionel",IF(C219=2019,SUMPRODUCT((B219='Landbrugsareal - resultat'!$B$32:$B$45)*(INDEX('Landbrugsareal - resultat'!$C$32:$E$45,,MATCH(E219,'Landbrugsareal - resultat'!$C$4:$E$4,0)))),IF(C219=2030,SUMPRODUCT((B219='Landbrugsareal - resultat'!$B$32:$B$45)*(INDEX('Landbrugsareal - resultat'!$F$32:$H$45,,MATCH(E219,'Landbrugsareal - resultat'!$F$4:$H$4,0)))),SUMPRODUCT((B219='Landbrugsareal - resultat'!$B$32:$B$45)*(INDEX('Landbrugsareal - resultat'!$I$32:$K$45,,MATCH(E219,'Landbrugsareal - resultat'!$I$4:$K$4,0)))))),IF(C219=2019,SUMPRODUCT((B219='Landbrugsareal - resultat'!$B$32:$B$45)*(INDEX('Landbrugsareal - resultat'!$L$32:$N$45,,MATCH(E219,'Landbrugsareal - resultat'!$L$4:$N$4,0)))),IF(C219=2030,SUMPRODUCT((B219='Landbrugsareal - resultat'!$B$32:$B$45)*(INDEX('Landbrugsareal - resultat'!$O$32:$Q$45,,MATCH(E219,'Landbrugsareal - resultat'!$O$4:$Q$4,0)))),SUMPRODUCT((B219='Landbrugsareal - resultat'!$B$32:$B$45)*(INDEX('Landbrugsareal - resultat'!$R$32:$T$45,,MATCH(E219,'Landbrugsareal - resultat'!$R$4:$T$4,0))))))))</f>
        <v>216.44305234016915</v>
      </c>
      <c r="H219" s="172">
        <f>G219*VLOOKUP(B219,[1]Afgrødedata!$A$5:$F$18,2,FALSE)*IF(D219="Økologisk",VLOOKUP(B219,[1]Afgrødedata!$A$5:$F$18,4,FALSE),1)*IF(E219&lt;&gt;Jordbund1,IF(E219=Organ6,VLOOKUP(B219,[1]Afgrødedata!$A$5:$F$18,5,FALSE),VLOOKUP(B219,[1]Afgrødedata!$A$5:$F$18,6,FALSE)),1)*0.1</f>
        <v>11194.568861726002</v>
      </c>
      <c r="I219" s="172">
        <f>G219*VLOOKUP(B219,[1]Afgrødedata!$A$5:$F$18,3,FALSE)*IF(D219="Økologisk",VLOOKUP(B219,[1]Afgrødedata!$A$5:$F$18,4,FALSE),1)*IF(E219&lt;&gt;Jordbund1,IF(E219=Organ6,VLOOKUP(B219,[1]Afgrødedata!$A$5:$F$18,5,FALSE),VLOOKUP(B219,[1]Afgrødedata!$A$5:$F$18,6,FALSE)),1)*HLOOKUP(C219,Landbrug!$C$15:$E$17,2,FALSE)*HLOOKUP(C219,Landbrug!$C$15:$E$17,3,FALSE)*0.1</f>
        <v>0</v>
      </c>
      <c r="J219" s="76">
        <f t="shared" si="42"/>
        <v>11194.568861726002</v>
      </c>
    </row>
    <row r="220" spans="1:10" x14ac:dyDescent="0.55000000000000004">
      <c r="A220" t="s">
        <v>23</v>
      </c>
      <c r="B220" s="1" t="str">
        <f>[1]Afgrødefordeling!$C$10</f>
        <v>Frugt</v>
      </c>
      <c r="C220">
        <v>2019</v>
      </c>
      <c r="D220" t="s">
        <v>8</v>
      </c>
      <c r="E220" s="172" t="str">
        <f t="shared" si="40"/>
        <v>OC12</v>
      </c>
      <c r="F220" t="str">
        <f t="shared" si="41"/>
        <v>Frugt</v>
      </c>
      <c r="G220" s="76" cm="1">
        <f t="array" ref="G220">IF(A220="Vestdanmark",IF(D220="Konventionel",IF(C220=2019,SUMPRODUCT((B220='Landbrugsareal - resultat'!$B$5:$B$18)*(INDEX('Landbrugsareal - resultat'!$C$5:$E$18,,MATCH(E220,'Landbrugsareal - resultat'!$C$4:$E$4,0)))),IF(C220=2030,SUMPRODUCT((B220='Landbrugsareal - resultat'!$B$5:$B$18)*(INDEX('Landbrugsareal - resultat'!$F$5:$H$18,,MATCH(E220,'Landbrugsareal - resultat'!$F$4:$H$4,0)))),SUMPRODUCT((B220='Landbrugsareal - resultat'!$B$5:$B$18)*(INDEX('Landbrugsareal - resultat'!$I$5:$K$18,,MATCH(E220,'Landbrugsareal - resultat'!$I$4:$K$4,0)))))),IF(C220=2019,SUMPRODUCT((B220='Landbrugsareal - resultat'!$B$5:$B$18)*(INDEX('Landbrugsareal - resultat'!$L$5:$N$18,,MATCH(E220,'Landbrugsareal - resultat'!$L$4:$N$4,0)))),IF(C220=2030,SUMPRODUCT((B220='Landbrugsareal - resultat'!$B$5:$B$18)*(INDEX('Landbrugsareal - resultat'!$O$5:$Q$18,,MATCH(E220,'Landbrugsareal - resultat'!$O$4:$Q$4,0)))),SUMPRODUCT((B220='Landbrugsareal - resultat'!$B$5:$B$18)*(INDEX('Landbrugsareal - resultat'!$R$5:$T$18,,MATCH(E220,'Landbrugsareal - resultat'!$R$4:$T$4,0))))))),IF(D220="Konventionel",IF(C220=2019,SUMPRODUCT((B220='Landbrugsareal - resultat'!$B$32:$B$45)*(INDEX('Landbrugsareal - resultat'!$C$32:$E$45,,MATCH(E220,'Landbrugsareal - resultat'!$C$4:$E$4,0)))),IF(C220=2030,SUMPRODUCT((B220='Landbrugsareal - resultat'!$B$32:$B$45)*(INDEX('Landbrugsareal - resultat'!$F$32:$H$45,,MATCH(E220,'Landbrugsareal - resultat'!$F$4:$H$4,0)))),SUMPRODUCT((B220='Landbrugsareal - resultat'!$B$32:$B$45)*(INDEX('Landbrugsareal - resultat'!$I$32:$K$45,,MATCH(E220,'Landbrugsareal - resultat'!$I$4:$K$4,0)))))),IF(C220=2019,SUMPRODUCT((B220='Landbrugsareal - resultat'!$B$32:$B$45)*(INDEX('Landbrugsareal - resultat'!$L$32:$N$45,,MATCH(E220,'Landbrugsareal - resultat'!$L$4:$N$4,0)))),IF(C220=2030,SUMPRODUCT((B220='Landbrugsareal - resultat'!$B$32:$B$45)*(INDEX('Landbrugsareal - resultat'!$O$32:$Q$45,,MATCH(E220,'Landbrugsareal - resultat'!$O$4:$Q$4,0)))),SUMPRODUCT((B220='Landbrugsareal - resultat'!$B$32:$B$45)*(INDEX('Landbrugsareal - resultat'!$R$32:$T$45,,MATCH(E220,'Landbrugsareal - resultat'!$R$4:$T$4,0))))))))</f>
        <v>6.2026001529591133</v>
      </c>
      <c r="H220" s="172">
        <f>G220*VLOOKUP(B220,[1]Afgrødedata!$A$5:$F$18,2,FALSE)*IF(D220="Økologisk",VLOOKUP(B220,[1]Afgrødedata!$A$5:$F$18,4,FALSE),1)*IF(E220&lt;&gt;Jordbund1,IF(E220=Organ6,VLOOKUP(B220,[1]Afgrødedata!$A$5:$F$18,5,FALSE),VLOOKUP(B220,[1]Afgrødedata!$A$5:$F$18,6,FALSE)),1)*0.1</f>
        <v>42.022740088301049</v>
      </c>
      <c r="I220" s="172">
        <f>G220*VLOOKUP(B220,[1]Afgrødedata!$A$5:$F$18,3,FALSE)*IF(D220="Økologisk",VLOOKUP(B220,[1]Afgrødedata!$A$5:$F$18,4,FALSE),1)*IF(E220&lt;&gt;Jordbund1,IF(E220=Organ6,VLOOKUP(B220,[1]Afgrødedata!$A$5:$F$18,5,FALSE),VLOOKUP(B220,[1]Afgrødedata!$A$5:$F$18,6,FALSE)),1)*HLOOKUP(C220,Landbrug!$C$15:$E$17,2,FALSE)*HLOOKUP(C220,Landbrug!$C$15:$E$17,3,FALSE)*0.1</f>
        <v>0</v>
      </c>
      <c r="J220" s="76">
        <f t="shared" si="42"/>
        <v>42.022740088301049</v>
      </c>
    </row>
    <row r="221" spans="1:10" x14ac:dyDescent="0.55000000000000004">
      <c r="A221" t="s">
        <v>23</v>
      </c>
      <c r="B221" s="1" t="str">
        <f>[1]Afgrødefordeling!$C$11</f>
        <v>Øvrige</v>
      </c>
      <c r="C221">
        <v>2019</v>
      </c>
      <c r="D221" t="s">
        <v>8</v>
      </c>
      <c r="E221" s="172" t="str">
        <f t="shared" si="40"/>
        <v>OC12</v>
      </c>
      <c r="F221" t="str">
        <f t="shared" si="41"/>
        <v>Øvrige</v>
      </c>
      <c r="G221" s="76" cm="1">
        <f t="array" ref="G221">IF(A221="Vestdanmark",IF(D221="Konventionel",IF(C221=2019,SUMPRODUCT((B221='Landbrugsareal - resultat'!$B$5:$B$18)*(INDEX('Landbrugsareal - resultat'!$C$5:$E$18,,MATCH(E221,'Landbrugsareal - resultat'!$C$4:$E$4,0)))),IF(C221=2030,SUMPRODUCT((B221='Landbrugsareal - resultat'!$B$5:$B$18)*(INDEX('Landbrugsareal - resultat'!$F$5:$H$18,,MATCH(E221,'Landbrugsareal - resultat'!$F$4:$H$4,0)))),SUMPRODUCT((B221='Landbrugsareal - resultat'!$B$5:$B$18)*(INDEX('Landbrugsareal - resultat'!$I$5:$K$18,,MATCH(E221,'Landbrugsareal - resultat'!$I$4:$K$4,0)))))),IF(C221=2019,SUMPRODUCT((B221='Landbrugsareal - resultat'!$B$5:$B$18)*(INDEX('Landbrugsareal - resultat'!$L$5:$N$18,,MATCH(E221,'Landbrugsareal - resultat'!$L$4:$N$4,0)))),IF(C221=2030,SUMPRODUCT((B221='Landbrugsareal - resultat'!$B$5:$B$18)*(INDEX('Landbrugsareal - resultat'!$O$5:$Q$18,,MATCH(E221,'Landbrugsareal - resultat'!$O$4:$Q$4,0)))),SUMPRODUCT((B221='Landbrugsareal - resultat'!$B$5:$B$18)*(INDEX('Landbrugsareal - resultat'!$R$5:$T$18,,MATCH(E221,'Landbrugsareal - resultat'!$R$4:$T$4,0))))))),IF(D221="Konventionel",IF(C221=2019,SUMPRODUCT((B221='Landbrugsareal - resultat'!$B$32:$B$45)*(INDEX('Landbrugsareal - resultat'!$C$32:$E$45,,MATCH(E221,'Landbrugsareal - resultat'!$C$4:$E$4,0)))),IF(C221=2030,SUMPRODUCT((B221='Landbrugsareal - resultat'!$B$32:$B$45)*(INDEX('Landbrugsareal - resultat'!$F$32:$H$45,,MATCH(E221,'Landbrugsareal - resultat'!$F$4:$H$4,0)))),SUMPRODUCT((B221='Landbrugsareal - resultat'!$B$32:$B$45)*(INDEX('Landbrugsareal - resultat'!$I$32:$K$45,,MATCH(E221,'Landbrugsareal - resultat'!$I$4:$K$4,0)))))),IF(C221=2019,SUMPRODUCT((B221='Landbrugsareal - resultat'!$B$32:$B$45)*(INDEX('Landbrugsareal - resultat'!$L$32:$N$45,,MATCH(E221,'Landbrugsareal - resultat'!$L$4:$N$4,0)))),IF(C221=2030,SUMPRODUCT((B221='Landbrugsareal - resultat'!$B$32:$B$45)*(INDEX('Landbrugsareal - resultat'!$O$32:$Q$45,,MATCH(E221,'Landbrugsareal - resultat'!$O$4:$Q$4,0)))),SUMPRODUCT((B221='Landbrugsareal - resultat'!$B$32:$B$45)*(INDEX('Landbrugsareal - resultat'!$R$32:$T$45,,MATCH(E221,'Landbrugsareal - resultat'!$R$4:$T$4,0))))))))</f>
        <v>109.69857468913038</v>
      </c>
      <c r="H221" s="172">
        <f>G221*VLOOKUP(B221,[1]Afgrødedata!$A$5:$F$18,2,FALSE)*IF(D221="Økologisk",VLOOKUP(B221,[1]Afgrødedata!$A$5:$F$18,4,FALSE),1)*IF(E221&lt;&gt;Jordbund1,IF(E221=Organ6,VLOOKUP(B221,[1]Afgrødedata!$A$5:$F$18,5,FALSE),VLOOKUP(B221,[1]Afgrødedata!$A$5:$F$18,6,FALSE)),1)*0.1</f>
        <v>2608.3208824239755</v>
      </c>
      <c r="I221" s="172">
        <f>G221*VLOOKUP(B221,[1]Afgrødedata!$A$5:$F$18,3,FALSE)*IF(D221="Økologisk",VLOOKUP(B221,[1]Afgrødedata!$A$5:$F$18,4,FALSE),1)*IF(E221&lt;&gt;Jordbund1,IF(E221=Organ6,VLOOKUP(B221,[1]Afgrødedata!$A$5:$F$18,5,FALSE),VLOOKUP(B221,[1]Afgrødedata!$A$5:$F$18,6,FALSE)),1)*HLOOKUP(C221,Landbrug!$C$15:$E$17,2,FALSE)*HLOOKUP(C221,Landbrug!$C$15:$E$17,3,FALSE)*0.1</f>
        <v>0</v>
      </c>
      <c r="J221" s="76">
        <f t="shared" si="42"/>
        <v>2608.3208824239755</v>
      </c>
    </row>
    <row r="222" spans="1:10" x14ac:dyDescent="0.55000000000000004">
      <c r="A222" t="s">
        <v>23</v>
      </c>
      <c r="B222" s="1" t="str">
        <f>[1]Afgrødefordeling!$C$12</f>
        <v>Frø</v>
      </c>
      <c r="C222">
        <v>2019</v>
      </c>
      <c r="D222" t="s">
        <v>8</v>
      </c>
      <c r="E222" s="172" t="str">
        <f t="shared" si="40"/>
        <v>OC12</v>
      </c>
      <c r="F222" t="str">
        <f t="shared" si="41"/>
        <v>Halm</v>
      </c>
      <c r="G222" s="76" cm="1">
        <f t="array" ref="G222">IF(A222="Vestdanmark",IF(D222="Konventionel",IF(C222=2019,SUMPRODUCT((B222='Landbrugsareal - resultat'!$B$5:$B$18)*(INDEX('Landbrugsareal - resultat'!$C$5:$E$18,,MATCH(E222,'Landbrugsareal - resultat'!$C$4:$E$4,0)))),IF(C222=2030,SUMPRODUCT((B222='Landbrugsareal - resultat'!$B$5:$B$18)*(INDEX('Landbrugsareal - resultat'!$F$5:$H$18,,MATCH(E222,'Landbrugsareal - resultat'!$F$4:$H$4,0)))),SUMPRODUCT((B222='Landbrugsareal - resultat'!$B$5:$B$18)*(INDEX('Landbrugsareal - resultat'!$I$5:$K$18,,MATCH(E222,'Landbrugsareal - resultat'!$I$4:$K$4,0)))))),IF(C222=2019,SUMPRODUCT((B222='Landbrugsareal - resultat'!$B$5:$B$18)*(INDEX('Landbrugsareal - resultat'!$L$5:$N$18,,MATCH(E222,'Landbrugsareal - resultat'!$L$4:$N$4,0)))),IF(C222=2030,SUMPRODUCT((B222='Landbrugsareal - resultat'!$B$5:$B$18)*(INDEX('Landbrugsareal - resultat'!$O$5:$Q$18,,MATCH(E222,'Landbrugsareal - resultat'!$O$4:$Q$4,0)))),SUMPRODUCT((B222='Landbrugsareal - resultat'!$B$5:$B$18)*(INDEX('Landbrugsareal - resultat'!$R$5:$T$18,,MATCH(E222,'Landbrugsareal - resultat'!$R$4:$T$4,0))))))),IF(D222="Konventionel",IF(C222=2019,SUMPRODUCT((B222='Landbrugsareal - resultat'!$B$32:$B$45)*(INDEX('Landbrugsareal - resultat'!$C$32:$E$45,,MATCH(E222,'Landbrugsareal - resultat'!$C$4:$E$4,0)))),IF(C222=2030,SUMPRODUCT((B222='Landbrugsareal - resultat'!$B$32:$B$45)*(INDEX('Landbrugsareal - resultat'!$F$32:$H$45,,MATCH(E222,'Landbrugsareal - resultat'!$F$4:$H$4,0)))),SUMPRODUCT((B222='Landbrugsareal - resultat'!$B$32:$B$45)*(INDEX('Landbrugsareal - resultat'!$I$32:$K$45,,MATCH(E222,'Landbrugsareal - resultat'!$I$4:$K$4,0)))))),IF(C222=2019,SUMPRODUCT((B222='Landbrugsareal - resultat'!$B$32:$B$45)*(INDEX('Landbrugsareal - resultat'!$L$32:$N$45,,MATCH(E222,'Landbrugsareal - resultat'!$L$4:$N$4,0)))),IF(C222=2030,SUMPRODUCT((B222='Landbrugsareal - resultat'!$B$32:$B$45)*(INDEX('Landbrugsareal - resultat'!$O$32:$Q$45,,MATCH(E222,'Landbrugsareal - resultat'!$O$4:$Q$4,0)))),SUMPRODUCT((B222='Landbrugsareal - resultat'!$B$32:$B$45)*(INDEX('Landbrugsareal - resultat'!$R$32:$T$45,,MATCH(E222,'Landbrugsareal - resultat'!$R$4:$T$4,0))))))))</f>
        <v>349.0241884441013</v>
      </c>
      <c r="H222" s="172">
        <f>G222*VLOOKUP(B222,[1]Afgrødedata!$A$5:$F$18,2,FALSE)*IF(D222="Økologisk",VLOOKUP(B222,[1]Afgrødedata!$A$5:$F$18,4,FALSE),1)*IF(E222&lt;&gt;Jordbund1,IF(E222=Organ6,VLOOKUP(B222,[1]Afgrødedata!$A$5:$F$18,5,FALSE),VLOOKUP(B222,[1]Afgrødedata!$A$5:$F$18,6,FALSE)),1)*0.1</f>
        <v>3979.7521082376879</v>
      </c>
      <c r="I222" s="172">
        <f>G222*VLOOKUP(B222,[1]Afgrødedata!$A$5:$F$18,3,FALSE)*IF(D222="Økologisk",VLOOKUP(B222,[1]Afgrødedata!$A$5:$F$18,4,FALSE),1)*IF(E222&lt;&gt;Jordbund1,IF(E222=Organ6,VLOOKUP(B222,[1]Afgrødedata!$A$5:$F$18,5,FALSE),VLOOKUP(B222,[1]Afgrødedata!$A$5:$F$18,6,FALSE)),1)*HLOOKUP(C222,Landbrug!$C$15:$E$17,2,FALSE)*HLOOKUP(C222,Landbrug!$C$15:$E$17,3,FALSE)*0.1</f>
        <v>661.15386758582895</v>
      </c>
      <c r="J222" s="76">
        <f t="shared" si="42"/>
        <v>661.15386758582895</v>
      </c>
    </row>
    <row r="223" spans="1:10" x14ac:dyDescent="0.55000000000000004">
      <c r="A223" t="s">
        <v>23</v>
      </c>
      <c r="B223" s="1" t="str">
        <f>[1]Afgrødefordeling!$C$13</f>
        <v>Juletræer</v>
      </c>
      <c r="C223">
        <v>2019</v>
      </c>
      <c r="D223" t="s">
        <v>8</v>
      </c>
      <c r="E223" s="172" t="str">
        <f t="shared" si="40"/>
        <v>OC12</v>
      </c>
      <c r="F223" t="str">
        <f t="shared" si="41"/>
        <v>Juletræer</v>
      </c>
      <c r="G223" s="76" cm="1">
        <f t="array" ref="G223">IF(A223="Vestdanmark",IF(D223="Konventionel",IF(C223=2019,SUMPRODUCT((B223='Landbrugsareal - resultat'!$B$5:$B$18)*(INDEX('Landbrugsareal - resultat'!$C$5:$E$18,,MATCH(E223,'Landbrugsareal - resultat'!$C$4:$E$4,0)))),IF(C223=2030,SUMPRODUCT((B223='Landbrugsareal - resultat'!$B$5:$B$18)*(INDEX('Landbrugsareal - resultat'!$F$5:$H$18,,MATCH(E223,'Landbrugsareal - resultat'!$F$4:$H$4,0)))),SUMPRODUCT((B223='Landbrugsareal - resultat'!$B$5:$B$18)*(INDEX('Landbrugsareal - resultat'!$I$5:$K$18,,MATCH(E223,'Landbrugsareal - resultat'!$I$4:$K$4,0)))))),IF(C223=2019,SUMPRODUCT((B223='Landbrugsareal - resultat'!$B$5:$B$18)*(INDEX('Landbrugsareal - resultat'!$L$5:$N$18,,MATCH(E223,'Landbrugsareal - resultat'!$L$4:$N$4,0)))),IF(C223=2030,SUMPRODUCT((B223='Landbrugsareal - resultat'!$B$5:$B$18)*(INDEX('Landbrugsareal - resultat'!$O$5:$Q$18,,MATCH(E223,'Landbrugsareal - resultat'!$O$4:$Q$4,0)))),SUMPRODUCT((B223='Landbrugsareal - resultat'!$B$5:$B$18)*(INDEX('Landbrugsareal - resultat'!$R$5:$T$18,,MATCH(E223,'Landbrugsareal - resultat'!$R$4:$T$4,0))))))),IF(D223="Konventionel",IF(C223=2019,SUMPRODUCT((B223='Landbrugsareal - resultat'!$B$32:$B$45)*(INDEX('Landbrugsareal - resultat'!$C$32:$E$45,,MATCH(E223,'Landbrugsareal - resultat'!$C$4:$E$4,0)))),IF(C223=2030,SUMPRODUCT((B223='Landbrugsareal - resultat'!$B$32:$B$45)*(INDEX('Landbrugsareal - resultat'!$F$32:$H$45,,MATCH(E223,'Landbrugsareal - resultat'!$F$4:$H$4,0)))),SUMPRODUCT((B223='Landbrugsareal - resultat'!$B$32:$B$45)*(INDEX('Landbrugsareal - resultat'!$I$32:$K$45,,MATCH(E223,'Landbrugsareal - resultat'!$I$4:$K$4,0)))))),IF(C223=2019,SUMPRODUCT((B223='Landbrugsareal - resultat'!$B$32:$B$45)*(INDEX('Landbrugsareal - resultat'!$L$32:$N$45,,MATCH(E223,'Landbrugsareal - resultat'!$L$4:$N$4,0)))),IF(C223=2030,SUMPRODUCT((B223='Landbrugsareal - resultat'!$B$32:$B$45)*(INDEX('Landbrugsareal - resultat'!$O$32:$Q$45,,MATCH(E223,'Landbrugsareal - resultat'!$O$4:$Q$4,0)))),SUMPRODUCT((B223='Landbrugsareal - resultat'!$B$32:$B$45)*(INDEX('Landbrugsareal - resultat'!$R$32:$T$45,,MATCH(E223,'Landbrugsareal - resultat'!$R$4:$T$4,0))))))))</f>
        <v>31.109414238675758</v>
      </c>
      <c r="H223" s="172">
        <f>G223*VLOOKUP(B223,[1]Afgrødedata!$A$5:$F$18,2,FALSE)*IF(D223="Økologisk",VLOOKUP(B223,[1]Afgrødedata!$A$5:$F$18,4,FALSE),1)*IF(E223&lt;&gt;Jordbund1,IF(E223=Organ6,VLOOKUP(B223,[1]Afgrødedata!$A$5:$F$18,5,FALSE),VLOOKUP(B223,[1]Afgrødedata!$A$5:$F$18,6,FALSE)),1)*0.1</f>
        <v>1241.2656281231625</v>
      </c>
      <c r="I223" s="172">
        <f>G223*VLOOKUP(B223,[1]Afgrødedata!$A$5:$F$18,3,FALSE)*IF(D223="Økologisk",VLOOKUP(B223,[1]Afgrødedata!$A$5:$F$18,4,FALSE),1)*IF(E223&lt;&gt;Jordbund1,IF(E223=Organ6,VLOOKUP(B223,[1]Afgrødedata!$A$5:$F$18,5,FALSE),VLOOKUP(B223,[1]Afgrødedata!$A$5:$F$18,6,FALSE)),1)*HLOOKUP(C223,Landbrug!$C$15:$E$17,2,FALSE)*HLOOKUP(C223,Landbrug!$C$15:$E$17,3,FALSE)*0.1</f>
        <v>0</v>
      </c>
      <c r="J223" s="76">
        <f t="shared" si="42"/>
        <v>1241.2656281231625</v>
      </c>
    </row>
    <row r="224" spans="1:10" x14ac:dyDescent="0.55000000000000004">
      <c r="A224" t="s">
        <v>23</v>
      </c>
      <c r="B224" s="1" t="str">
        <f>[1]Afgrødefordeling!$C$14</f>
        <v>Pil &amp; poppel</v>
      </c>
      <c r="C224">
        <v>2019</v>
      </c>
      <c r="D224" t="s">
        <v>8</v>
      </c>
      <c r="E224" s="172" t="str">
        <f t="shared" si="40"/>
        <v>OC12</v>
      </c>
      <c r="F224" t="str">
        <f t="shared" ref="F224" si="45">IF(I224&lt;&gt;0,"Halm",IF(B224&lt;&gt;"Permanent græs",B224,"Græs"))</f>
        <v>Pil &amp; poppel</v>
      </c>
      <c r="G224" s="76" cm="1">
        <f t="array" ref="G224">IF(A224="Vestdanmark",IF(D224="Konventionel",IF(C224=2019,SUMPRODUCT((B224='Landbrugsareal - resultat'!$B$5:$B$18)*(INDEX('Landbrugsareal - resultat'!$C$5:$E$18,,MATCH(E224,'Landbrugsareal - resultat'!$C$4:$E$4,0)))),IF(C224=2030,SUMPRODUCT((B224='Landbrugsareal - resultat'!$B$5:$B$18)*(INDEX('Landbrugsareal - resultat'!$F$5:$H$18,,MATCH(E224,'Landbrugsareal - resultat'!$F$4:$H$4,0)))),SUMPRODUCT((B224='Landbrugsareal - resultat'!$B$5:$B$18)*(INDEX('Landbrugsareal - resultat'!$I$5:$K$18,,MATCH(E224,'Landbrugsareal - resultat'!$I$4:$K$4,0)))))),IF(C224=2019,SUMPRODUCT((B224='Landbrugsareal - resultat'!$B$5:$B$18)*(INDEX('Landbrugsareal - resultat'!$L$5:$N$18,,MATCH(E224,'Landbrugsareal - resultat'!$L$4:$N$4,0)))),IF(C224=2030,SUMPRODUCT((B224='Landbrugsareal - resultat'!$B$5:$B$18)*(INDEX('Landbrugsareal - resultat'!$O$5:$Q$18,,MATCH(E224,'Landbrugsareal - resultat'!$O$4:$Q$4,0)))),SUMPRODUCT((B224='Landbrugsareal - resultat'!$B$5:$B$18)*(INDEX('Landbrugsareal - resultat'!$R$5:$T$18,,MATCH(E224,'Landbrugsareal - resultat'!$R$4:$T$4,0))))))),IF(D224="Konventionel",IF(C224=2019,SUMPRODUCT((B224='Landbrugsareal - resultat'!$B$32:$B$45)*(INDEX('Landbrugsareal - resultat'!$C$32:$E$45,,MATCH(E224,'Landbrugsareal - resultat'!$C$4:$E$4,0)))),IF(C224=2030,SUMPRODUCT((B224='Landbrugsareal - resultat'!$B$32:$B$45)*(INDEX('Landbrugsareal - resultat'!$F$32:$H$45,,MATCH(E224,'Landbrugsareal - resultat'!$F$4:$H$4,0)))),SUMPRODUCT((B224='Landbrugsareal - resultat'!$B$32:$B$45)*(INDEX('Landbrugsareal - resultat'!$I$32:$K$45,,MATCH(E224,'Landbrugsareal - resultat'!$I$4:$K$4,0)))))),IF(C224=2019,SUMPRODUCT((B224='Landbrugsareal - resultat'!$B$32:$B$45)*(INDEX('Landbrugsareal - resultat'!$L$32:$N$45,,MATCH(E224,'Landbrugsareal - resultat'!$L$4:$N$4,0)))),IF(C224=2030,SUMPRODUCT((B224='Landbrugsareal - resultat'!$B$32:$B$45)*(INDEX('Landbrugsareal - resultat'!$O$32:$Q$45,,MATCH(E224,'Landbrugsareal - resultat'!$O$4:$Q$4,0)))),SUMPRODUCT((B224='Landbrugsareal - resultat'!$B$32:$B$45)*(INDEX('Landbrugsareal - resultat'!$R$32:$T$45,,MATCH(E224,'Landbrugsareal - resultat'!$R$4:$T$4,0))))))))</f>
        <v>73.434514126483776</v>
      </c>
      <c r="H224" s="172">
        <f>G224*VLOOKUP(B224,[1]Afgrødedata!$A$5:$F$18,2,FALSE)*IF(D224="Økologisk",VLOOKUP(B224,[1]Afgrødedata!$A$5:$F$18,4,FALSE),1)*IF(E224&lt;&gt;Jordbund1,IF(E224=Organ6,VLOOKUP(B224,[1]Afgrødedata!$A$5:$F$18,5,FALSE),VLOOKUP(B224,[1]Afgrødedata!$A$5:$F$18,6,FALSE)),1)*0.1</f>
        <v>1429.2863969008304</v>
      </c>
      <c r="I224" s="172">
        <f>G224*VLOOKUP(B224,[1]Afgrødedata!$A$5:$F$18,3,FALSE)*IF(D224="Økologisk",VLOOKUP(B224,[1]Afgrødedata!$A$5:$F$18,4,FALSE),1)*IF(E224&lt;&gt;Jordbund1,IF(E224=Organ6,VLOOKUP(B224,[1]Afgrødedata!$A$5:$F$18,5,FALSE),VLOOKUP(B224,[1]Afgrødedata!$A$5:$F$18,6,FALSE)),1)*HLOOKUP(C224,Landbrug!$C$15:$E$17,2,FALSE)*HLOOKUP(C224,Landbrug!$C$15:$E$17,3,FALSE)*0.1</f>
        <v>0</v>
      </c>
      <c r="J224" s="76">
        <f t="shared" ref="J224" si="46">IF(I224&lt;&gt;0,I224,H224)</f>
        <v>1429.2863969008304</v>
      </c>
    </row>
    <row r="225" spans="1:10" x14ac:dyDescent="0.55000000000000004">
      <c r="A225" t="s">
        <v>23</v>
      </c>
      <c r="B225" s="1" t="str">
        <f>[1]Afgrødefordeling!$C$15</f>
        <v>Permanent græs</v>
      </c>
      <c r="C225">
        <v>2019</v>
      </c>
      <c r="D225" t="s">
        <v>8</v>
      </c>
      <c r="E225" s="172" t="str">
        <f t="shared" si="40"/>
        <v>OC12</v>
      </c>
      <c r="F225" t="str">
        <f t="shared" si="41"/>
        <v>Græs</v>
      </c>
      <c r="G225" s="76" cm="1">
        <f t="array" ref="G225">IF(A225="Vestdanmark",IF(D225="Konventionel",IF(C225=2019,SUMPRODUCT((B225='Landbrugsareal - resultat'!$B$5:$B$18)*(INDEX('Landbrugsareal - resultat'!$C$5:$E$18,,MATCH(E225,'Landbrugsareal - resultat'!$C$4:$E$4,0)))),IF(C225=2030,SUMPRODUCT((B225='Landbrugsareal - resultat'!$B$5:$B$18)*(INDEX('Landbrugsareal - resultat'!$F$5:$H$18,,MATCH(E225,'Landbrugsareal - resultat'!$F$4:$H$4,0)))),SUMPRODUCT((B225='Landbrugsareal - resultat'!$B$5:$B$18)*(INDEX('Landbrugsareal - resultat'!$I$5:$K$18,,MATCH(E225,'Landbrugsareal - resultat'!$I$4:$K$4,0)))))),IF(C225=2019,SUMPRODUCT((B225='Landbrugsareal - resultat'!$B$5:$B$18)*(INDEX('Landbrugsareal - resultat'!$L$5:$N$18,,MATCH(E225,'Landbrugsareal - resultat'!$L$4:$N$4,0)))),IF(C225=2030,SUMPRODUCT((B225='Landbrugsareal - resultat'!$B$5:$B$18)*(INDEX('Landbrugsareal - resultat'!$O$5:$Q$18,,MATCH(E225,'Landbrugsareal - resultat'!$O$4:$Q$4,0)))),SUMPRODUCT((B225='Landbrugsareal - resultat'!$B$5:$B$18)*(INDEX('Landbrugsareal - resultat'!$R$5:$T$18,,MATCH(E225,'Landbrugsareal - resultat'!$R$4:$T$4,0))))))),IF(D225="Konventionel",IF(C225=2019,SUMPRODUCT((B225='Landbrugsareal - resultat'!$B$32:$B$45)*(INDEX('Landbrugsareal - resultat'!$C$32:$E$45,,MATCH(E225,'Landbrugsareal - resultat'!$C$4:$E$4,0)))),IF(C225=2030,SUMPRODUCT((B225='Landbrugsareal - resultat'!$B$32:$B$45)*(INDEX('Landbrugsareal - resultat'!$F$32:$H$45,,MATCH(E225,'Landbrugsareal - resultat'!$F$4:$H$4,0)))),SUMPRODUCT((B225='Landbrugsareal - resultat'!$B$32:$B$45)*(INDEX('Landbrugsareal - resultat'!$I$32:$K$45,,MATCH(E225,'Landbrugsareal - resultat'!$I$4:$K$4,0)))))),IF(C225=2019,SUMPRODUCT((B225='Landbrugsareal - resultat'!$B$32:$B$45)*(INDEX('Landbrugsareal - resultat'!$L$32:$N$45,,MATCH(E225,'Landbrugsareal - resultat'!$L$4:$N$4,0)))),IF(C225=2030,SUMPRODUCT((B225='Landbrugsareal - resultat'!$B$32:$B$45)*(INDEX('Landbrugsareal - resultat'!$O$32:$Q$45,,MATCH(E225,'Landbrugsareal - resultat'!$O$4:$Q$4,0)))),SUMPRODUCT((B225='Landbrugsareal - resultat'!$B$32:$B$45)*(INDEX('Landbrugsareal - resultat'!$R$32:$T$45,,MATCH(E225,'Landbrugsareal - resultat'!$R$4:$T$4,0))))))))</f>
        <v>2715.9949023479103</v>
      </c>
      <c r="H225" s="172">
        <f>G225*VLOOKUP(B225,[1]Afgrødedata!$A$5:$F$18,2,FALSE)*IF(D225="Økologisk",VLOOKUP(B225,[1]Afgrødedata!$A$5:$F$18,4,FALSE),1)*IF(E225&lt;&gt;Jordbund1,IF(E225=Organ6,VLOOKUP(B225,[1]Afgrødedata!$A$5:$F$18,5,FALSE),VLOOKUP(B225,[1]Afgrødedata!$A$5:$F$18,6,FALSE)),1)*0.1</f>
        <v>52434.997584728757</v>
      </c>
      <c r="I225" s="172">
        <f>G225*VLOOKUP(B225,[1]Afgrødedata!$A$5:$F$18,3,FALSE)*IF(D225="Økologisk",VLOOKUP(B225,[1]Afgrødedata!$A$5:$F$18,4,FALSE),1)*IF(E225&lt;&gt;Jordbund1,IF(E225=Organ6,VLOOKUP(B225,[1]Afgrødedata!$A$5:$F$18,5,FALSE),VLOOKUP(B225,[1]Afgrødedata!$A$5:$F$18,6,FALSE)),1)*HLOOKUP(C225,Landbrug!$C$15:$E$17,2,FALSE)*HLOOKUP(C225,Landbrug!$C$15:$E$17,3,FALSE)*0.1</f>
        <v>0</v>
      </c>
      <c r="J225" s="76">
        <f t="shared" si="42"/>
        <v>52434.997584728757</v>
      </c>
    </row>
    <row r="226" spans="1:10" x14ac:dyDescent="0.55000000000000004">
      <c r="A226" t="s">
        <v>23</v>
      </c>
      <c r="B226" s="1" t="str">
        <f>[1]Afgrødefordeling!$C$2</f>
        <v>Korn</v>
      </c>
      <c r="C226">
        <v>2030</v>
      </c>
      <c r="D226" t="s">
        <v>8</v>
      </c>
      <c r="E226" s="172" t="str">
        <f t="shared" si="40"/>
        <v>OC12</v>
      </c>
      <c r="F226" t="str">
        <f t="shared" si="41"/>
        <v>Halm</v>
      </c>
      <c r="G226" s="76" cm="1">
        <f t="array" ref="G226">IF(A226="Vestdanmark",IF(D226="Konventionel",IF(C226=2019,SUMPRODUCT((B226='Landbrugsareal - resultat'!$B$5:$B$18)*(INDEX('Landbrugsareal - resultat'!$C$5:$E$18,,MATCH(E226,'Landbrugsareal - resultat'!$C$4:$E$4,0)))),IF(C226=2030,SUMPRODUCT((B226='Landbrugsareal - resultat'!$B$5:$B$18)*(INDEX('Landbrugsareal - resultat'!$F$5:$H$18,,MATCH(E226,'Landbrugsareal - resultat'!$F$4:$H$4,0)))),SUMPRODUCT((B226='Landbrugsareal - resultat'!$B$5:$B$18)*(INDEX('Landbrugsareal - resultat'!$I$5:$K$18,,MATCH(E226,'Landbrugsareal - resultat'!$I$4:$K$4,0)))))),IF(C226=2019,SUMPRODUCT((B226='Landbrugsareal - resultat'!$B$5:$B$18)*(INDEX('Landbrugsareal - resultat'!$L$5:$N$18,,MATCH(E226,'Landbrugsareal - resultat'!$L$4:$N$4,0)))),IF(C226=2030,SUMPRODUCT((B226='Landbrugsareal - resultat'!$B$5:$B$18)*(INDEX('Landbrugsareal - resultat'!$O$5:$Q$18,,MATCH(E226,'Landbrugsareal - resultat'!$O$4:$Q$4,0)))),SUMPRODUCT((B226='Landbrugsareal - resultat'!$B$5:$B$18)*(INDEX('Landbrugsareal - resultat'!$R$5:$T$18,,MATCH(E226,'Landbrugsareal - resultat'!$R$4:$T$4,0))))))),IF(D226="Konventionel",IF(C226=2019,SUMPRODUCT((B226='Landbrugsareal - resultat'!$B$32:$B$45)*(INDEX('Landbrugsareal - resultat'!$C$32:$E$45,,MATCH(E226,'Landbrugsareal - resultat'!$C$4:$E$4,0)))),IF(C226=2030,SUMPRODUCT((B226='Landbrugsareal - resultat'!$B$32:$B$45)*(INDEX('Landbrugsareal - resultat'!$F$32:$H$45,,MATCH(E226,'Landbrugsareal - resultat'!$F$4:$H$4,0)))),SUMPRODUCT((B226='Landbrugsareal - resultat'!$B$32:$B$45)*(INDEX('Landbrugsareal - resultat'!$I$32:$K$45,,MATCH(E226,'Landbrugsareal - resultat'!$I$4:$K$4,0)))))),IF(C226=2019,SUMPRODUCT((B226='Landbrugsareal - resultat'!$B$32:$B$45)*(INDEX('Landbrugsareal - resultat'!$L$32:$N$45,,MATCH(E226,'Landbrugsareal - resultat'!$L$4:$N$4,0)))),IF(C226=2030,SUMPRODUCT((B226='Landbrugsareal - resultat'!$B$32:$B$45)*(INDEX('Landbrugsareal - resultat'!$O$32:$Q$45,,MATCH(E226,'Landbrugsareal - resultat'!$O$4:$Q$4,0)))),SUMPRODUCT((B226='Landbrugsareal - resultat'!$B$32:$B$45)*(INDEX('Landbrugsareal - resultat'!$R$32:$T$45,,MATCH(E226,'Landbrugsareal - resultat'!$R$4:$T$4,0))))))))</f>
        <v>1637.9085780848618</v>
      </c>
      <c r="H226" s="172">
        <f>G226*VLOOKUP(B226,[1]Afgrødedata!$A$5:$F$18,2,FALSE)*IF(D226="Økologisk",VLOOKUP(B226,[1]Afgrødedata!$A$5:$F$18,4,FALSE),1)*IF(E226&lt;&gt;Jordbund1,IF(E226=Organ6,VLOOKUP(B226,[1]Afgrødedata!$A$5:$F$18,5,FALSE),VLOOKUP(B226,[1]Afgrødedata!$A$5:$F$18,6,FALSE)),1)*0.1</f>
        <v>10769.871306167639</v>
      </c>
      <c r="I226" s="172">
        <f>G226*VLOOKUP(B226,[1]Afgrødedata!$A$5:$F$18,3,FALSE)*IF(D226="Økologisk",VLOOKUP(B226,[1]Afgrødedata!$A$5:$F$18,4,FALSE),1)*IF(E226&lt;&gt;Jordbund1,IF(E226=Organ6,VLOOKUP(B226,[1]Afgrødedata!$A$5:$F$18,5,FALSE),VLOOKUP(B226,[1]Afgrødedata!$A$5:$F$18,6,FALSE)),1)*HLOOKUP(C226,Landbrug!$C$15:$E$17,2,FALSE)*HLOOKUP(C226,Landbrug!$C$15:$E$17,3,FALSE)*0.1</f>
        <v>3494.8232388513989</v>
      </c>
      <c r="J226" s="76">
        <f t="shared" si="42"/>
        <v>3494.8232388513989</v>
      </c>
    </row>
    <row r="227" spans="1:10" x14ac:dyDescent="0.55000000000000004">
      <c r="A227" t="s">
        <v>23</v>
      </c>
      <c r="B227" s="1" t="str">
        <f>[1]Afgrødefordeling!$C$3</f>
        <v>Bælgsæd</v>
      </c>
      <c r="C227">
        <v>2030</v>
      </c>
      <c r="D227" t="s">
        <v>8</v>
      </c>
      <c r="E227" s="172" t="str">
        <f t="shared" si="40"/>
        <v>OC12</v>
      </c>
      <c r="F227" t="str">
        <f t="shared" si="41"/>
        <v>Halm</v>
      </c>
      <c r="G227" s="76" cm="1">
        <f t="array" ref="G227">IF(A227="Vestdanmark",IF(D227="Konventionel",IF(C227=2019,SUMPRODUCT((B227='Landbrugsareal - resultat'!$B$5:$B$18)*(INDEX('Landbrugsareal - resultat'!$C$5:$E$18,,MATCH(E227,'Landbrugsareal - resultat'!$C$4:$E$4,0)))),IF(C227=2030,SUMPRODUCT((B227='Landbrugsareal - resultat'!$B$5:$B$18)*(INDEX('Landbrugsareal - resultat'!$F$5:$H$18,,MATCH(E227,'Landbrugsareal - resultat'!$F$4:$H$4,0)))),SUMPRODUCT((B227='Landbrugsareal - resultat'!$B$5:$B$18)*(INDEX('Landbrugsareal - resultat'!$I$5:$K$18,,MATCH(E227,'Landbrugsareal - resultat'!$I$4:$K$4,0)))))),IF(C227=2019,SUMPRODUCT((B227='Landbrugsareal - resultat'!$B$5:$B$18)*(INDEX('Landbrugsareal - resultat'!$L$5:$N$18,,MATCH(E227,'Landbrugsareal - resultat'!$L$4:$N$4,0)))),IF(C227=2030,SUMPRODUCT((B227='Landbrugsareal - resultat'!$B$5:$B$18)*(INDEX('Landbrugsareal - resultat'!$O$5:$Q$18,,MATCH(E227,'Landbrugsareal - resultat'!$O$4:$Q$4,0)))),SUMPRODUCT((B227='Landbrugsareal - resultat'!$B$5:$B$18)*(INDEX('Landbrugsareal - resultat'!$R$5:$T$18,,MATCH(E227,'Landbrugsareal - resultat'!$R$4:$T$4,0))))))),IF(D227="Konventionel",IF(C227=2019,SUMPRODUCT((B227='Landbrugsareal - resultat'!$B$32:$B$45)*(INDEX('Landbrugsareal - resultat'!$C$32:$E$45,,MATCH(E227,'Landbrugsareal - resultat'!$C$4:$E$4,0)))),IF(C227=2030,SUMPRODUCT((B227='Landbrugsareal - resultat'!$B$32:$B$45)*(INDEX('Landbrugsareal - resultat'!$F$32:$H$45,,MATCH(E227,'Landbrugsareal - resultat'!$F$4:$H$4,0)))),SUMPRODUCT((B227='Landbrugsareal - resultat'!$B$32:$B$45)*(INDEX('Landbrugsareal - resultat'!$I$32:$K$45,,MATCH(E227,'Landbrugsareal - resultat'!$I$4:$K$4,0)))))),IF(C227=2019,SUMPRODUCT((B227='Landbrugsareal - resultat'!$B$32:$B$45)*(INDEX('Landbrugsareal - resultat'!$L$32:$N$45,,MATCH(E227,'Landbrugsareal - resultat'!$L$4:$N$4,0)))),IF(C227=2030,SUMPRODUCT((B227='Landbrugsareal - resultat'!$B$32:$B$45)*(INDEX('Landbrugsareal - resultat'!$O$32:$Q$45,,MATCH(E227,'Landbrugsareal - resultat'!$O$4:$Q$4,0)))),SUMPRODUCT((B227='Landbrugsareal - resultat'!$B$32:$B$45)*(INDEX('Landbrugsareal - resultat'!$R$32:$T$45,,MATCH(E227,'Landbrugsareal - resultat'!$R$4:$T$4,0))))))))</f>
        <v>94.309502123751969</v>
      </c>
      <c r="H227" s="172">
        <f>G227*VLOOKUP(B227,[1]Afgrødedata!$A$5:$F$18,2,FALSE)*IF(D227="Økologisk",VLOOKUP(B227,[1]Afgrødedata!$A$5:$F$18,4,FALSE),1)*IF(E227&lt;&gt;Jordbund1,IF(E227=Organ6,VLOOKUP(B227,[1]Afgrødedata!$A$5:$F$18,5,FALSE),VLOOKUP(B227,[1]Afgrødedata!$A$5:$F$18,6,FALSE)),1)*0.1</f>
        <v>290.49967320175068</v>
      </c>
      <c r="I227" s="172">
        <f>G227*VLOOKUP(B227,[1]Afgrødedata!$A$5:$F$18,3,FALSE)*IF(D227="Økologisk",VLOOKUP(B227,[1]Afgrødedata!$A$5:$F$18,4,FALSE),1)*IF(E227&lt;&gt;Jordbund1,IF(E227=Organ6,VLOOKUP(B227,[1]Afgrødedata!$A$5:$F$18,5,FALSE),VLOOKUP(B227,[1]Afgrødedata!$A$5:$F$18,6,FALSE)),1)*HLOOKUP(C227,Landbrug!$C$15:$E$17,2,FALSE)*HLOOKUP(C227,Landbrug!$C$15:$E$17,3,FALSE)*0.1</f>
        <v>85.741806394306337</v>
      </c>
      <c r="J227" s="76">
        <f t="shared" si="42"/>
        <v>85.741806394306337</v>
      </c>
    </row>
    <row r="228" spans="1:10" x14ac:dyDescent="0.55000000000000004">
      <c r="A228" t="s">
        <v>23</v>
      </c>
      <c r="B228" s="1" t="str">
        <f>[1]Afgrødefordeling!$C$4</f>
        <v>Raps</v>
      </c>
      <c r="C228">
        <v>2030</v>
      </c>
      <c r="D228" t="s">
        <v>8</v>
      </c>
      <c r="E228" s="172" t="str">
        <f t="shared" si="40"/>
        <v>OC12</v>
      </c>
      <c r="F228" t="str">
        <f t="shared" si="41"/>
        <v>Halm</v>
      </c>
      <c r="G228" s="76" cm="1">
        <f t="array" ref="G228">IF(A228="Vestdanmark",IF(D228="Konventionel",IF(C228=2019,SUMPRODUCT((B228='Landbrugsareal - resultat'!$B$5:$B$18)*(INDEX('Landbrugsareal - resultat'!$C$5:$E$18,,MATCH(E228,'Landbrugsareal - resultat'!$C$4:$E$4,0)))),IF(C228=2030,SUMPRODUCT((B228='Landbrugsareal - resultat'!$B$5:$B$18)*(INDEX('Landbrugsareal - resultat'!$F$5:$H$18,,MATCH(E228,'Landbrugsareal - resultat'!$F$4:$H$4,0)))),SUMPRODUCT((B228='Landbrugsareal - resultat'!$B$5:$B$18)*(INDEX('Landbrugsareal - resultat'!$I$5:$K$18,,MATCH(E228,'Landbrugsareal - resultat'!$I$4:$K$4,0)))))),IF(C228=2019,SUMPRODUCT((B228='Landbrugsareal - resultat'!$B$5:$B$18)*(INDEX('Landbrugsareal - resultat'!$L$5:$N$18,,MATCH(E228,'Landbrugsareal - resultat'!$L$4:$N$4,0)))),IF(C228=2030,SUMPRODUCT((B228='Landbrugsareal - resultat'!$B$5:$B$18)*(INDEX('Landbrugsareal - resultat'!$O$5:$Q$18,,MATCH(E228,'Landbrugsareal - resultat'!$O$4:$Q$4,0)))),SUMPRODUCT((B228='Landbrugsareal - resultat'!$B$5:$B$18)*(INDEX('Landbrugsareal - resultat'!$R$5:$T$18,,MATCH(E228,'Landbrugsareal - resultat'!$R$4:$T$4,0))))))),IF(D228="Konventionel",IF(C228=2019,SUMPRODUCT((B228='Landbrugsareal - resultat'!$B$32:$B$45)*(INDEX('Landbrugsareal - resultat'!$C$32:$E$45,,MATCH(E228,'Landbrugsareal - resultat'!$C$4:$E$4,0)))),IF(C228=2030,SUMPRODUCT((B228='Landbrugsareal - resultat'!$B$32:$B$45)*(INDEX('Landbrugsareal - resultat'!$F$32:$H$45,,MATCH(E228,'Landbrugsareal - resultat'!$F$4:$H$4,0)))),SUMPRODUCT((B228='Landbrugsareal - resultat'!$B$32:$B$45)*(INDEX('Landbrugsareal - resultat'!$I$32:$K$45,,MATCH(E228,'Landbrugsareal - resultat'!$I$4:$K$4,0)))))),IF(C228=2019,SUMPRODUCT((B228='Landbrugsareal - resultat'!$B$32:$B$45)*(INDEX('Landbrugsareal - resultat'!$L$32:$N$45,,MATCH(E228,'Landbrugsareal - resultat'!$L$4:$N$4,0)))),IF(C228=2030,SUMPRODUCT((B228='Landbrugsareal - resultat'!$B$32:$B$45)*(INDEX('Landbrugsareal - resultat'!$O$32:$Q$45,,MATCH(E228,'Landbrugsareal - resultat'!$O$4:$Q$4,0)))),SUMPRODUCT((B228='Landbrugsareal - resultat'!$B$32:$B$45)*(INDEX('Landbrugsareal - resultat'!$R$32:$T$45,,MATCH(E228,'Landbrugsareal - resultat'!$R$4:$T$4,0))))))))</f>
        <v>122.12653470049754</v>
      </c>
      <c r="H228" s="172">
        <f>G228*VLOOKUP(B228,[1]Afgrødedata!$A$5:$F$18,2,FALSE)*IF(D228="Økologisk",VLOOKUP(B228,[1]Afgrødedata!$A$5:$F$18,4,FALSE),1)*IF(E228&lt;&gt;Jordbund1,IF(E228=Organ6,VLOOKUP(B228,[1]Afgrødedata!$A$5:$F$18,5,FALSE),VLOOKUP(B228,[1]Afgrødedata!$A$5:$F$18,6,FALSE)),1)*0.1</f>
        <v>413.76469956528575</v>
      </c>
      <c r="I228" s="172">
        <f>G228*VLOOKUP(B228,[1]Afgrødedata!$A$5:$F$18,3,FALSE)*IF(D228="Økologisk",VLOOKUP(B228,[1]Afgrødedata!$A$5:$F$18,4,FALSE),1)*IF(E228&lt;&gt;Jordbund1,IF(E228=Organ6,VLOOKUP(B228,[1]Afgrødedata!$A$5:$F$18,5,FALSE),VLOOKUP(B228,[1]Afgrødedata!$A$5:$F$18,6,FALSE)),1)*HLOOKUP(C228,Landbrug!$C$15:$E$17,2,FALSE)*HLOOKUP(C228,Landbrug!$C$15:$E$17,3,FALSE)*0.1</f>
        <v>219.70905546916671</v>
      </c>
      <c r="J228" s="76">
        <f t="shared" si="42"/>
        <v>219.70905546916671</v>
      </c>
    </row>
    <row r="229" spans="1:10" x14ac:dyDescent="0.55000000000000004">
      <c r="A229" t="s">
        <v>23</v>
      </c>
      <c r="B229" s="1" t="str">
        <f>[1]Afgrødefordeling!$C$5</f>
        <v>Græs</v>
      </c>
      <c r="C229">
        <v>2030</v>
      </c>
      <c r="D229" t="s">
        <v>8</v>
      </c>
      <c r="E229" s="172" t="str">
        <f t="shared" si="40"/>
        <v>OC12</v>
      </c>
      <c r="F229" t="str">
        <f t="shared" si="41"/>
        <v>Græs</v>
      </c>
      <c r="G229" s="76" cm="1">
        <f t="array" ref="G229">IF(A229="Vestdanmark",IF(D229="Konventionel",IF(C229=2019,SUMPRODUCT((B229='Landbrugsareal - resultat'!$B$5:$B$18)*(INDEX('Landbrugsareal - resultat'!$C$5:$E$18,,MATCH(E229,'Landbrugsareal - resultat'!$C$4:$E$4,0)))),IF(C229=2030,SUMPRODUCT((B229='Landbrugsareal - resultat'!$B$5:$B$18)*(INDEX('Landbrugsareal - resultat'!$F$5:$H$18,,MATCH(E229,'Landbrugsareal - resultat'!$F$4:$H$4,0)))),SUMPRODUCT((B229='Landbrugsareal - resultat'!$B$5:$B$18)*(INDEX('Landbrugsareal - resultat'!$I$5:$K$18,,MATCH(E229,'Landbrugsareal - resultat'!$I$4:$K$4,0)))))),IF(C229=2019,SUMPRODUCT((B229='Landbrugsareal - resultat'!$B$5:$B$18)*(INDEX('Landbrugsareal - resultat'!$L$5:$N$18,,MATCH(E229,'Landbrugsareal - resultat'!$L$4:$N$4,0)))),IF(C229=2030,SUMPRODUCT((B229='Landbrugsareal - resultat'!$B$5:$B$18)*(INDEX('Landbrugsareal - resultat'!$O$5:$Q$18,,MATCH(E229,'Landbrugsareal - resultat'!$O$4:$Q$4,0)))),SUMPRODUCT((B229='Landbrugsareal - resultat'!$B$5:$B$18)*(INDEX('Landbrugsareal - resultat'!$R$5:$T$18,,MATCH(E229,'Landbrugsareal - resultat'!$R$4:$T$4,0))))))),IF(D229="Konventionel",IF(C229=2019,SUMPRODUCT((B229='Landbrugsareal - resultat'!$B$32:$B$45)*(INDEX('Landbrugsareal - resultat'!$C$32:$E$45,,MATCH(E229,'Landbrugsareal - resultat'!$C$4:$E$4,0)))),IF(C229=2030,SUMPRODUCT((B229='Landbrugsareal - resultat'!$B$32:$B$45)*(INDEX('Landbrugsareal - resultat'!$F$32:$H$45,,MATCH(E229,'Landbrugsareal - resultat'!$F$4:$H$4,0)))),SUMPRODUCT((B229='Landbrugsareal - resultat'!$B$32:$B$45)*(INDEX('Landbrugsareal - resultat'!$I$32:$K$45,,MATCH(E229,'Landbrugsareal - resultat'!$I$4:$K$4,0)))))),IF(C229=2019,SUMPRODUCT((B229='Landbrugsareal - resultat'!$B$32:$B$45)*(INDEX('Landbrugsareal - resultat'!$L$32:$N$45,,MATCH(E229,'Landbrugsareal - resultat'!$L$4:$N$4,0)))),IF(C229=2030,SUMPRODUCT((B229='Landbrugsareal - resultat'!$B$32:$B$45)*(INDEX('Landbrugsareal - resultat'!$O$32:$Q$45,,MATCH(E229,'Landbrugsareal - resultat'!$O$4:$Q$4,0)))),SUMPRODUCT((B229='Landbrugsareal - resultat'!$B$32:$B$45)*(INDEX('Landbrugsareal - resultat'!$R$32:$T$45,,MATCH(E229,'Landbrugsareal - resultat'!$R$4:$T$4,0))))))))</f>
        <v>2816.6234103849979</v>
      </c>
      <c r="H229" s="172">
        <f>G229*VLOOKUP(B229,[1]Afgrødedata!$A$5:$F$18,2,FALSE)*IF(D229="Økologisk",VLOOKUP(B229,[1]Afgrødedata!$A$5:$F$18,4,FALSE),1)*IF(E229&lt;&gt;Jordbund1,IF(E229=Organ6,VLOOKUP(B229,[1]Afgrødedata!$A$5:$F$18,5,FALSE),VLOOKUP(B229,[1]Afgrødedata!$A$5:$F$18,6,FALSE)),1)*0.1</f>
        <v>152618.85215664754</v>
      </c>
      <c r="I229" s="172">
        <f>G229*VLOOKUP(B229,[1]Afgrødedata!$A$5:$F$18,3,FALSE)*IF(D229="Økologisk",VLOOKUP(B229,[1]Afgrødedata!$A$5:$F$18,4,FALSE),1)*IF(E229&lt;&gt;Jordbund1,IF(E229=Organ6,VLOOKUP(B229,[1]Afgrødedata!$A$5:$F$18,5,FALSE),VLOOKUP(B229,[1]Afgrødedata!$A$5:$F$18,6,FALSE)),1)*HLOOKUP(C229,Landbrug!$C$15:$E$17,2,FALSE)*HLOOKUP(C229,Landbrug!$C$15:$E$17,3,FALSE)*0.1</f>
        <v>0</v>
      </c>
      <c r="J229" s="76">
        <f t="shared" si="42"/>
        <v>152618.85215664754</v>
      </c>
    </row>
    <row r="230" spans="1:10" x14ac:dyDescent="0.55000000000000004">
      <c r="A230" t="s">
        <v>23</v>
      </c>
      <c r="B230" s="1" t="str">
        <f>[1]Afgrødefordeling!$C$6</f>
        <v>Grøntsager</v>
      </c>
      <c r="C230">
        <v>2030</v>
      </c>
      <c r="D230" t="s">
        <v>8</v>
      </c>
      <c r="E230" s="172" t="str">
        <f t="shared" si="40"/>
        <v>OC12</v>
      </c>
      <c r="F230" t="str">
        <f t="shared" si="41"/>
        <v>Grøntsager</v>
      </c>
      <c r="G230" s="76" cm="1">
        <f t="array" ref="G230">IF(A230="Vestdanmark",IF(D230="Konventionel",IF(C230=2019,SUMPRODUCT((B230='Landbrugsareal - resultat'!$B$5:$B$18)*(INDEX('Landbrugsareal - resultat'!$C$5:$E$18,,MATCH(E230,'Landbrugsareal - resultat'!$C$4:$E$4,0)))),IF(C230=2030,SUMPRODUCT((B230='Landbrugsareal - resultat'!$B$5:$B$18)*(INDEX('Landbrugsareal - resultat'!$F$5:$H$18,,MATCH(E230,'Landbrugsareal - resultat'!$F$4:$H$4,0)))),SUMPRODUCT((B230='Landbrugsareal - resultat'!$B$5:$B$18)*(INDEX('Landbrugsareal - resultat'!$I$5:$K$18,,MATCH(E230,'Landbrugsareal - resultat'!$I$4:$K$4,0)))))),IF(C230=2019,SUMPRODUCT((B230='Landbrugsareal - resultat'!$B$5:$B$18)*(INDEX('Landbrugsareal - resultat'!$L$5:$N$18,,MATCH(E230,'Landbrugsareal - resultat'!$L$4:$N$4,0)))),IF(C230=2030,SUMPRODUCT((B230='Landbrugsareal - resultat'!$B$5:$B$18)*(INDEX('Landbrugsareal - resultat'!$O$5:$Q$18,,MATCH(E230,'Landbrugsareal - resultat'!$O$4:$Q$4,0)))),SUMPRODUCT((B230='Landbrugsareal - resultat'!$B$5:$B$18)*(INDEX('Landbrugsareal - resultat'!$R$5:$T$18,,MATCH(E230,'Landbrugsareal - resultat'!$R$4:$T$4,0))))))),IF(D230="Konventionel",IF(C230=2019,SUMPRODUCT((B230='Landbrugsareal - resultat'!$B$32:$B$45)*(INDEX('Landbrugsareal - resultat'!$C$32:$E$45,,MATCH(E230,'Landbrugsareal - resultat'!$C$4:$E$4,0)))),IF(C230=2030,SUMPRODUCT((B230='Landbrugsareal - resultat'!$B$32:$B$45)*(INDEX('Landbrugsareal - resultat'!$F$32:$H$45,,MATCH(E230,'Landbrugsareal - resultat'!$F$4:$H$4,0)))),SUMPRODUCT((B230='Landbrugsareal - resultat'!$B$32:$B$45)*(INDEX('Landbrugsareal - resultat'!$I$32:$K$45,,MATCH(E230,'Landbrugsareal - resultat'!$I$4:$K$4,0)))))),IF(C230=2019,SUMPRODUCT((B230='Landbrugsareal - resultat'!$B$32:$B$45)*(INDEX('Landbrugsareal - resultat'!$L$32:$N$45,,MATCH(E230,'Landbrugsareal - resultat'!$L$4:$N$4,0)))),IF(C230=2030,SUMPRODUCT((B230='Landbrugsareal - resultat'!$B$32:$B$45)*(INDEX('Landbrugsareal - resultat'!$O$32:$Q$45,,MATCH(E230,'Landbrugsareal - resultat'!$O$4:$Q$4,0)))),SUMPRODUCT((B230='Landbrugsareal - resultat'!$B$32:$B$45)*(INDEX('Landbrugsareal - resultat'!$R$32:$T$45,,MATCH(E230,'Landbrugsareal - resultat'!$R$4:$T$4,0))))))))</f>
        <v>3.2737966189268159</v>
      </c>
      <c r="H230" s="172">
        <f>G230*VLOOKUP(B230,[1]Afgrødedata!$A$5:$F$18,2,FALSE)*IF(D230="Økologisk",VLOOKUP(B230,[1]Afgrødedata!$A$5:$F$18,4,FALSE),1)*IF(E230&lt;&gt;Jordbund1,IF(E230=Organ6,VLOOKUP(B230,[1]Afgrødedata!$A$5:$F$18,5,FALSE),VLOOKUP(B230,[1]Afgrødedata!$A$5:$F$18,6,FALSE)),1)*0.1</f>
        <v>54.209161314499674</v>
      </c>
      <c r="I230" s="172">
        <f>G230*VLOOKUP(B230,[1]Afgrødedata!$A$5:$F$18,3,FALSE)*IF(D230="Økologisk",VLOOKUP(B230,[1]Afgrødedata!$A$5:$F$18,4,FALSE),1)*IF(E230&lt;&gt;Jordbund1,IF(E230=Organ6,VLOOKUP(B230,[1]Afgrødedata!$A$5:$F$18,5,FALSE),VLOOKUP(B230,[1]Afgrødedata!$A$5:$F$18,6,FALSE)),1)*HLOOKUP(C230,Landbrug!$C$15:$E$17,2,FALSE)*HLOOKUP(C230,Landbrug!$C$15:$E$17,3,FALSE)*0.1</f>
        <v>0</v>
      </c>
      <c r="J230" s="76">
        <f t="shared" si="42"/>
        <v>54.209161314499674</v>
      </c>
    </row>
    <row r="231" spans="1:10" x14ac:dyDescent="0.55000000000000004">
      <c r="A231" t="s">
        <v>23</v>
      </c>
      <c r="B231" s="1" t="str">
        <f>[1]Afgrødefordeling!$C$7</f>
        <v>Kartofler</v>
      </c>
      <c r="C231">
        <v>2030</v>
      </c>
      <c r="D231" t="s">
        <v>8</v>
      </c>
      <c r="E231" s="172" t="str">
        <f t="shared" si="40"/>
        <v>OC12</v>
      </c>
      <c r="F231" t="str">
        <f t="shared" si="41"/>
        <v>Kartofler</v>
      </c>
      <c r="G231" s="76" cm="1">
        <f t="array" ref="G231">IF(A231="Vestdanmark",IF(D231="Konventionel",IF(C231=2019,SUMPRODUCT((B231='Landbrugsareal - resultat'!$B$5:$B$18)*(INDEX('Landbrugsareal - resultat'!$C$5:$E$18,,MATCH(E231,'Landbrugsareal - resultat'!$C$4:$E$4,0)))),IF(C231=2030,SUMPRODUCT((B231='Landbrugsareal - resultat'!$B$5:$B$18)*(INDEX('Landbrugsareal - resultat'!$F$5:$H$18,,MATCH(E231,'Landbrugsareal - resultat'!$F$4:$H$4,0)))),SUMPRODUCT((B231='Landbrugsareal - resultat'!$B$5:$B$18)*(INDEX('Landbrugsareal - resultat'!$I$5:$K$18,,MATCH(E231,'Landbrugsareal - resultat'!$I$4:$K$4,0)))))),IF(C231=2019,SUMPRODUCT((B231='Landbrugsareal - resultat'!$B$5:$B$18)*(INDEX('Landbrugsareal - resultat'!$L$5:$N$18,,MATCH(E231,'Landbrugsareal - resultat'!$L$4:$N$4,0)))),IF(C231=2030,SUMPRODUCT((B231='Landbrugsareal - resultat'!$B$5:$B$18)*(INDEX('Landbrugsareal - resultat'!$O$5:$Q$18,,MATCH(E231,'Landbrugsareal - resultat'!$O$4:$Q$4,0)))),SUMPRODUCT((B231='Landbrugsareal - resultat'!$B$5:$B$18)*(INDEX('Landbrugsareal - resultat'!$R$5:$T$18,,MATCH(E231,'Landbrugsareal - resultat'!$R$4:$T$4,0))))))),IF(D231="Konventionel",IF(C231=2019,SUMPRODUCT((B231='Landbrugsareal - resultat'!$B$32:$B$45)*(INDEX('Landbrugsareal - resultat'!$C$32:$E$45,,MATCH(E231,'Landbrugsareal - resultat'!$C$4:$E$4,0)))),IF(C231=2030,SUMPRODUCT((B231='Landbrugsareal - resultat'!$B$32:$B$45)*(INDEX('Landbrugsareal - resultat'!$F$32:$H$45,,MATCH(E231,'Landbrugsareal - resultat'!$F$4:$H$4,0)))),SUMPRODUCT((B231='Landbrugsareal - resultat'!$B$32:$B$45)*(INDEX('Landbrugsareal - resultat'!$I$32:$K$45,,MATCH(E231,'Landbrugsareal - resultat'!$I$4:$K$4,0)))))),IF(C231=2019,SUMPRODUCT((B231='Landbrugsareal - resultat'!$B$32:$B$45)*(INDEX('Landbrugsareal - resultat'!$L$32:$N$45,,MATCH(E231,'Landbrugsareal - resultat'!$L$4:$N$4,0)))),IF(C231=2030,SUMPRODUCT((B231='Landbrugsareal - resultat'!$B$32:$B$45)*(INDEX('Landbrugsareal - resultat'!$O$32:$Q$45,,MATCH(E231,'Landbrugsareal - resultat'!$O$4:$Q$4,0)))),SUMPRODUCT((B231='Landbrugsareal - resultat'!$B$32:$B$45)*(INDEX('Landbrugsareal - resultat'!$R$32:$T$45,,MATCH(E231,'Landbrugsareal - resultat'!$R$4:$T$4,0))))))))</f>
        <v>173.28301506189848</v>
      </c>
      <c r="H231" s="172">
        <f>G231*VLOOKUP(B231,[1]Afgrødedata!$A$5:$F$18,2,FALSE)*IF(D231="Økologisk",VLOOKUP(B231,[1]Afgrødedata!$A$5:$F$18,4,FALSE),1)*IF(E231&lt;&gt;Jordbund1,IF(E231=Organ6,VLOOKUP(B231,[1]Afgrødedata!$A$5:$F$18,5,FALSE),VLOOKUP(B231,[1]Afgrødedata!$A$5:$F$18,6,FALSE)),1)*0.1</f>
        <v>5872.8694391411809</v>
      </c>
      <c r="I231" s="172">
        <f>G231*VLOOKUP(B231,[1]Afgrødedata!$A$5:$F$18,3,FALSE)*IF(D231="Økologisk",VLOOKUP(B231,[1]Afgrødedata!$A$5:$F$18,4,FALSE),1)*IF(E231&lt;&gt;Jordbund1,IF(E231=Organ6,VLOOKUP(B231,[1]Afgrødedata!$A$5:$F$18,5,FALSE),VLOOKUP(B231,[1]Afgrødedata!$A$5:$F$18,6,FALSE)),1)*HLOOKUP(C231,Landbrug!$C$15:$E$17,2,FALSE)*HLOOKUP(C231,Landbrug!$C$15:$E$17,3,FALSE)*0.1</f>
        <v>0</v>
      </c>
      <c r="J231" s="76">
        <f t="shared" si="42"/>
        <v>5872.8694391411809</v>
      </c>
    </row>
    <row r="232" spans="1:10" x14ac:dyDescent="0.55000000000000004">
      <c r="A232" t="s">
        <v>23</v>
      </c>
      <c r="B232" s="1" t="str">
        <f>[1]Afgrødefordeling!$C$8</f>
        <v>Roer</v>
      </c>
      <c r="C232">
        <v>2030</v>
      </c>
      <c r="D232" t="s">
        <v>8</v>
      </c>
      <c r="E232" s="172" t="str">
        <f t="shared" si="40"/>
        <v>OC12</v>
      </c>
      <c r="F232" t="str">
        <f t="shared" si="41"/>
        <v>Roer</v>
      </c>
      <c r="G232" s="76" cm="1">
        <f t="array" ref="G232">IF(A232="Vestdanmark",IF(D232="Konventionel",IF(C232=2019,SUMPRODUCT((B232='Landbrugsareal - resultat'!$B$5:$B$18)*(INDEX('Landbrugsareal - resultat'!$C$5:$E$18,,MATCH(E232,'Landbrugsareal - resultat'!$C$4:$E$4,0)))),IF(C232=2030,SUMPRODUCT((B232='Landbrugsareal - resultat'!$B$5:$B$18)*(INDEX('Landbrugsareal - resultat'!$F$5:$H$18,,MATCH(E232,'Landbrugsareal - resultat'!$F$4:$H$4,0)))),SUMPRODUCT((B232='Landbrugsareal - resultat'!$B$5:$B$18)*(INDEX('Landbrugsareal - resultat'!$I$5:$K$18,,MATCH(E232,'Landbrugsareal - resultat'!$I$4:$K$4,0)))))),IF(C232=2019,SUMPRODUCT((B232='Landbrugsareal - resultat'!$B$5:$B$18)*(INDEX('Landbrugsareal - resultat'!$L$5:$N$18,,MATCH(E232,'Landbrugsareal - resultat'!$L$4:$N$4,0)))),IF(C232=2030,SUMPRODUCT((B232='Landbrugsareal - resultat'!$B$5:$B$18)*(INDEX('Landbrugsareal - resultat'!$O$5:$Q$18,,MATCH(E232,'Landbrugsareal - resultat'!$O$4:$Q$4,0)))),SUMPRODUCT((B232='Landbrugsareal - resultat'!$B$5:$B$18)*(INDEX('Landbrugsareal - resultat'!$R$5:$T$18,,MATCH(E232,'Landbrugsareal - resultat'!$R$4:$T$4,0))))))),IF(D232="Konventionel",IF(C232=2019,SUMPRODUCT((B232='Landbrugsareal - resultat'!$B$32:$B$45)*(INDEX('Landbrugsareal - resultat'!$C$32:$E$45,,MATCH(E232,'Landbrugsareal - resultat'!$C$4:$E$4,0)))),IF(C232=2030,SUMPRODUCT((B232='Landbrugsareal - resultat'!$B$32:$B$45)*(INDEX('Landbrugsareal - resultat'!$F$32:$H$45,,MATCH(E232,'Landbrugsareal - resultat'!$F$4:$H$4,0)))),SUMPRODUCT((B232='Landbrugsareal - resultat'!$B$32:$B$45)*(INDEX('Landbrugsareal - resultat'!$I$32:$K$45,,MATCH(E232,'Landbrugsareal - resultat'!$I$4:$K$4,0)))))),IF(C232=2019,SUMPRODUCT((B232='Landbrugsareal - resultat'!$B$32:$B$45)*(INDEX('Landbrugsareal - resultat'!$L$32:$N$45,,MATCH(E232,'Landbrugsareal - resultat'!$L$4:$N$4,0)))),IF(C232=2030,SUMPRODUCT((B232='Landbrugsareal - resultat'!$B$32:$B$45)*(INDEX('Landbrugsareal - resultat'!$O$32:$Q$45,,MATCH(E232,'Landbrugsareal - resultat'!$O$4:$Q$4,0)))),SUMPRODUCT((B232='Landbrugsareal - resultat'!$B$32:$B$45)*(INDEX('Landbrugsareal - resultat'!$R$32:$T$45,,MATCH(E232,'Landbrugsareal - resultat'!$R$4:$T$4,0))))))))</f>
        <v>1.8738933887161342</v>
      </c>
      <c r="H232" s="172">
        <f>G232*VLOOKUP(B232,[1]Afgrødedata!$A$5:$F$18,2,FALSE)*IF(D232="Økologisk",VLOOKUP(B232,[1]Afgrødedata!$A$5:$F$18,4,FALSE),1)*IF(E232&lt;&gt;Jordbund1,IF(E232=Organ6,VLOOKUP(B232,[1]Afgrødedata!$A$5:$F$18,5,FALSE),VLOOKUP(B232,[1]Afgrødedata!$A$5:$F$18,6,FALSE)),1)*0.1</f>
        <v>121.50414231821139</v>
      </c>
      <c r="I232" s="172">
        <f>G232*VLOOKUP(B232,[1]Afgrødedata!$A$5:$F$18,3,FALSE)*IF(D232="Økologisk",VLOOKUP(B232,[1]Afgrødedata!$A$5:$F$18,4,FALSE),1)*IF(E232&lt;&gt;Jordbund1,IF(E232=Organ6,VLOOKUP(B232,[1]Afgrødedata!$A$5:$F$18,5,FALSE),VLOOKUP(B232,[1]Afgrødedata!$A$5:$F$18,6,FALSE)),1)*HLOOKUP(C232,Landbrug!$C$15:$E$17,2,FALSE)*HLOOKUP(C232,Landbrug!$C$15:$E$17,3,FALSE)*0.1</f>
        <v>0</v>
      </c>
      <c r="J232" s="76">
        <f t="shared" si="42"/>
        <v>121.50414231821139</v>
      </c>
    </row>
    <row r="233" spans="1:10" x14ac:dyDescent="0.55000000000000004">
      <c r="A233" t="s">
        <v>23</v>
      </c>
      <c r="B233" s="1" t="str">
        <f>[1]Afgrødefordeling!$C$9</f>
        <v>Majs</v>
      </c>
      <c r="C233">
        <v>2030</v>
      </c>
      <c r="D233" t="s">
        <v>8</v>
      </c>
      <c r="E233" s="172" t="str">
        <f t="shared" si="40"/>
        <v>OC12</v>
      </c>
      <c r="F233" t="str">
        <f t="shared" si="41"/>
        <v>Majs</v>
      </c>
      <c r="G233" s="76" cm="1">
        <f t="array" ref="G233">IF(A233="Vestdanmark",IF(D233="Konventionel",IF(C233=2019,SUMPRODUCT((B233='Landbrugsareal - resultat'!$B$5:$B$18)*(INDEX('Landbrugsareal - resultat'!$C$5:$E$18,,MATCH(E233,'Landbrugsareal - resultat'!$C$4:$E$4,0)))),IF(C233=2030,SUMPRODUCT((B233='Landbrugsareal - resultat'!$B$5:$B$18)*(INDEX('Landbrugsareal - resultat'!$F$5:$H$18,,MATCH(E233,'Landbrugsareal - resultat'!$F$4:$H$4,0)))),SUMPRODUCT((B233='Landbrugsareal - resultat'!$B$5:$B$18)*(INDEX('Landbrugsareal - resultat'!$I$5:$K$18,,MATCH(E233,'Landbrugsareal - resultat'!$I$4:$K$4,0)))))),IF(C233=2019,SUMPRODUCT((B233='Landbrugsareal - resultat'!$B$5:$B$18)*(INDEX('Landbrugsareal - resultat'!$L$5:$N$18,,MATCH(E233,'Landbrugsareal - resultat'!$L$4:$N$4,0)))),IF(C233=2030,SUMPRODUCT((B233='Landbrugsareal - resultat'!$B$5:$B$18)*(INDEX('Landbrugsareal - resultat'!$O$5:$Q$18,,MATCH(E233,'Landbrugsareal - resultat'!$O$4:$Q$4,0)))),SUMPRODUCT((B233='Landbrugsareal - resultat'!$B$5:$B$18)*(INDEX('Landbrugsareal - resultat'!$R$5:$T$18,,MATCH(E233,'Landbrugsareal - resultat'!$R$4:$T$4,0))))))),IF(D233="Konventionel",IF(C233=2019,SUMPRODUCT((B233='Landbrugsareal - resultat'!$B$32:$B$45)*(INDEX('Landbrugsareal - resultat'!$C$32:$E$45,,MATCH(E233,'Landbrugsareal - resultat'!$C$4:$E$4,0)))),IF(C233=2030,SUMPRODUCT((B233='Landbrugsareal - resultat'!$B$32:$B$45)*(INDEX('Landbrugsareal - resultat'!$F$32:$H$45,,MATCH(E233,'Landbrugsareal - resultat'!$F$4:$H$4,0)))),SUMPRODUCT((B233='Landbrugsareal - resultat'!$B$32:$B$45)*(INDEX('Landbrugsareal - resultat'!$I$32:$K$45,,MATCH(E233,'Landbrugsareal - resultat'!$I$4:$K$4,0)))))),IF(C233=2019,SUMPRODUCT((B233='Landbrugsareal - resultat'!$B$32:$B$45)*(INDEX('Landbrugsareal - resultat'!$L$32:$N$45,,MATCH(E233,'Landbrugsareal - resultat'!$L$4:$N$4,0)))),IF(C233=2030,SUMPRODUCT((B233='Landbrugsareal - resultat'!$B$32:$B$45)*(INDEX('Landbrugsareal - resultat'!$O$32:$Q$45,,MATCH(E233,'Landbrugsareal - resultat'!$O$4:$Q$4,0)))),SUMPRODUCT((B233='Landbrugsareal - resultat'!$B$32:$B$45)*(INDEX('Landbrugsareal - resultat'!$R$32:$T$45,,MATCH(E233,'Landbrugsareal - resultat'!$R$4:$T$4,0))))))))</f>
        <v>233.03698752818224</v>
      </c>
      <c r="H233" s="172">
        <f>G233*VLOOKUP(B233,[1]Afgrødedata!$A$5:$F$18,2,FALSE)*IF(D233="Økologisk",VLOOKUP(B233,[1]Afgrødedata!$A$5:$F$18,4,FALSE),1)*IF(E233&lt;&gt;Jordbund1,IF(E233=Organ6,VLOOKUP(B233,[1]Afgrødedata!$A$5:$F$18,5,FALSE),VLOOKUP(B233,[1]Afgrødedata!$A$5:$F$18,6,FALSE)),1)*0.1</f>
        <v>12052.817477889854</v>
      </c>
      <c r="I233" s="172">
        <f>G233*VLOOKUP(B233,[1]Afgrødedata!$A$5:$F$18,3,FALSE)*IF(D233="Økologisk",VLOOKUP(B233,[1]Afgrødedata!$A$5:$F$18,4,FALSE),1)*IF(E233&lt;&gt;Jordbund1,IF(E233=Organ6,VLOOKUP(B233,[1]Afgrødedata!$A$5:$F$18,5,FALSE),VLOOKUP(B233,[1]Afgrødedata!$A$5:$F$18,6,FALSE)),1)*HLOOKUP(C233,Landbrug!$C$15:$E$17,2,FALSE)*HLOOKUP(C233,Landbrug!$C$15:$E$17,3,FALSE)*0.1</f>
        <v>0</v>
      </c>
      <c r="J233" s="76">
        <f t="shared" si="42"/>
        <v>12052.817477889854</v>
      </c>
    </row>
    <row r="234" spans="1:10" x14ac:dyDescent="0.55000000000000004">
      <c r="A234" t="s">
        <v>23</v>
      </c>
      <c r="B234" s="1" t="str">
        <f>[1]Afgrødefordeling!$C$10</f>
        <v>Frugt</v>
      </c>
      <c r="C234">
        <v>2030</v>
      </c>
      <c r="D234" t="s">
        <v>8</v>
      </c>
      <c r="E234" s="172" t="str">
        <f t="shared" ref="E234:E253" si="47">Organ12</f>
        <v>OC12</v>
      </c>
      <c r="F234" t="str">
        <f t="shared" si="41"/>
        <v>Frugt</v>
      </c>
      <c r="G234" s="76" cm="1">
        <f t="array" ref="G234">IF(A234="Vestdanmark",IF(D234="Konventionel",IF(C234=2019,SUMPRODUCT((B234='Landbrugsareal - resultat'!$B$5:$B$18)*(INDEX('Landbrugsareal - resultat'!$C$5:$E$18,,MATCH(E234,'Landbrugsareal - resultat'!$C$4:$E$4,0)))),IF(C234=2030,SUMPRODUCT((B234='Landbrugsareal - resultat'!$B$5:$B$18)*(INDEX('Landbrugsareal - resultat'!$F$5:$H$18,,MATCH(E234,'Landbrugsareal - resultat'!$F$4:$H$4,0)))),SUMPRODUCT((B234='Landbrugsareal - resultat'!$B$5:$B$18)*(INDEX('Landbrugsareal - resultat'!$I$5:$K$18,,MATCH(E234,'Landbrugsareal - resultat'!$I$4:$K$4,0)))))),IF(C234=2019,SUMPRODUCT((B234='Landbrugsareal - resultat'!$B$5:$B$18)*(INDEX('Landbrugsareal - resultat'!$L$5:$N$18,,MATCH(E234,'Landbrugsareal - resultat'!$L$4:$N$4,0)))),IF(C234=2030,SUMPRODUCT((B234='Landbrugsareal - resultat'!$B$5:$B$18)*(INDEX('Landbrugsareal - resultat'!$O$5:$Q$18,,MATCH(E234,'Landbrugsareal - resultat'!$O$4:$Q$4,0)))),SUMPRODUCT((B234='Landbrugsareal - resultat'!$B$5:$B$18)*(INDEX('Landbrugsareal - resultat'!$R$5:$T$18,,MATCH(E234,'Landbrugsareal - resultat'!$R$4:$T$4,0))))))),IF(D234="Konventionel",IF(C234=2019,SUMPRODUCT((B234='Landbrugsareal - resultat'!$B$32:$B$45)*(INDEX('Landbrugsareal - resultat'!$C$32:$E$45,,MATCH(E234,'Landbrugsareal - resultat'!$C$4:$E$4,0)))),IF(C234=2030,SUMPRODUCT((B234='Landbrugsareal - resultat'!$B$32:$B$45)*(INDEX('Landbrugsareal - resultat'!$F$32:$H$45,,MATCH(E234,'Landbrugsareal - resultat'!$F$4:$H$4,0)))),SUMPRODUCT((B234='Landbrugsareal - resultat'!$B$32:$B$45)*(INDEX('Landbrugsareal - resultat'!$I$32:$K$45,,MATCH(E234,'Landbrugsareal - resultat'!$I$4:$K$4,0)))))),IF(C234=2019,SUMPRODUCT((B234='Landbrugsareal - resultat'!$B$32:$B$45)*(INDEX('Landbrugsareal - resultat'!$L$32:$N$45,,MATCH(E234,'Landbrugsareal - resultat'!$L$4:$N$4,0)))),IF(C234=2030,SUMPRODUCT((B234='Landbrugsareal - resultat'!$B$32:$B$45)*(INDEX('Landbrugsareal - resultat'!$O$32:$Q$45,,MATCH(E234,'Landbrugsareal - resultat'!$O$4:$Q$4,0)))),SUMPRODUCT((B234='Landbrugsareal - resultat'!$B$32:$B$45)*(INDEX('Landbrugsareal - resultat'!$R$32:$T$45,,MATCH(E234,'Landbrugsareal - resultat'!$R$4:$T$4,0))))))))</f>
        <v>6.6781319098001797</v>
      </c>
      <c r="H234" s="172">
        <f>G234*VLOOKUP(B234,[1]Afgrødedata!$A$5:$F$18,2,FALSE)*IF(D234="Økologisk",VLOOKUP(B234,[1]Afgrødedata!$A$5:$F$18,4,FALSE),1)*IF(E234&lt;&gt;Jordbund1,IF(E234=Organ6,VLOOKUP(B234,[1]Afgrødedata!$A$5:$F$18,5,FALSE),VLOOKUP(B234,[1]Afgrødedata!$A$5:$F$18,6,FALSE)),1)*0.1</f>
        <v>45.24447725153442</v>
      </c>
      <c r="I234" s="172">
        <f>G234*VLOOKUP(B234,[1]Afgrødedata!$A$5:$F$18,3,FALSE)*IF(D234="Økologisk",VLOOKUP(B234,[1]Afgrødedata!$A$5:$F$18,4,FALSE),1)*IF(E234&lt;&gt;Jordbund1,IF(E234=Organ6,VLOOKUP(B234,[1]Afgrødedata!$A$5:$F$18,5,FALSE),VLOOKUP(B234,[1]Afgrødedata!$A$5:$F$18,6,FALSE)),1)*HLOOKUP(C234,Landbrug!$C$15:$E$17,2,FALSE)*HLOOKUP(C234,Landbrug!$C$15:$E$17,3,FALSE)*0.1</f>
        <v>0</v>
      </c>
      <c r="J234" s="76">
        <f t="shared" si="42"/>
        <v>45.24447725153442</v>
      </c>
    </row>
    <row r="235" spans="1:10" x14ac:dyDescent="0.55000000000000004">
      <c r="A235" t="s">
        <v>23</v>
      </c>
      <c r="B235" s="1" t="str">
        <f>[1]Afgrødefordeling!$C$11</f>
        <v>Øvrige</v>
      </c>
      <c r="C235">
        <v>2030</v>
      </c>
      <c r="D235" t="s">
        <v>8</v>
      </c>
      <c r="E235" s="172" t="str">
        <f t="shared" si="47"/>
        <v>OC12</v>
      </c>
      <c r="F235" t="str">
        <f t="shared" si="41"/>
        <v>Øvrige</v>
      </c>
      <c r="G235" s="76" cm="1">
        <f t="array" ref="G235">IF(A235="Vestdanmark",IF(D235="Konventionel",IF(C235=2019,SUMPRODUCT((B235='Landbrugsareal - resultat'!$B$5:$B$18)*(INDEX('Landbrugsareal - resultat'!$C$5:$E$18,,MATCH(E235,'Landbrugsareal - resultat'!$C$4:$E$4,0)))),IF(C235=2030,SUMPRODUCT((B235='Landbrugsareal - resultat'!$B$5:$B$18)*(INDEX('Landbrugsareal - resultat'!$F$5:$H$18,,MATCH(E235,'Landbrugsareal - resultat'!$F$4:$H$4,0)))),SUMPRODUCT((B235='Landbrugsareal - resultat'!$B$5:$B$18)*(INDEX('Landbrugsareal - resultat'!$I$5:$K$18,,MATCH(E235,'Landbrugsareal - resultat'!$I$4:$K$4,0)))))),IF(C235=2019,SUMPRODUCT((B235='Landbrugsareal - resultat'!$B$5:$B$18)*(INDEX('Landbrugsareal - resultat'!$L$5:$N$18,,MATCH(E235,'Landbrugsareal - resultat'!$L$4:$N$4,0)))),IF(C235=2030,SUMPRODUCT((B235='Landbrugsareal - resultat'!$B$5:$B$18)*(INDEX('Landbrugsareal - resultat'!$O$5:$Q$18,,MATCH(E235,'Landbrugsareal - resultat'!$O$4:$Q$4,0)))),SUMPRODUCT((B235='Landbrugsareal - resultat'!$B$5:$B$18)*(INDEX('Landbrugsareal - resultat'!$R$5:$T$18,,MATCH(E235,'Landbrugsareal - resultat'!$R$4:$T$4,0))))))),IF(D235="Konventionel",IF(C235=2019,SUMPRODUCT((B235='Landbrugsareal - resultat'!$B$32:$B$45)*(INDEX('Landbrugsareal - resultat'!$C$32:$E$45,,MATCH(E235,'Landbrugsareal - resultat'!$C$4:$E$4,0)))),IF(C235=2030,SUMPRODUCT((B235='Landbrugsareal - resultat'!$B$32:$B$45)*(INDEX('Landbrugsareal - resultat'!$F$32:$H$45,,MATCH(E235,'Landbrugsareal - resultat'!$F$4:$H$4,0)))),SUMPRODUCT((B235='Landbrugsareal - resultat'!$B$32:$B$45)*(INDEX('Landbrugsareal - resultat'!$I$32:$K$45,,MATCH(E235,'Landbrugsareal - resultat'!$I$4:$K$4,0)))))),IF(C235=2019,SUMPRODUCT((B235='Landbrugsareal - resultat'!$B$32:$B$45)*(INDEX('Landbrugsareal - resultat'!$L$32:$N$45,,MATCH(E235,'Landbrugsareal - resultat'!$L$4:$N$4,0)))),IF(C235=2030,SUMPRODUCT((B235='Landbrugsareal - resultat'!$B$32:$B$45)*(INDEX('Landbrugsareal - resultat'!$O$32:$Q$45,,MATCH(E235,'Landbrugsareal - resultat'!$O$4:$Q$4,0)))),SUMPRODUCT((B235='Landbrugsareal - resultat'!$B$32:$B$45)*(INDEX('Landbrugsareal - resultat'!$R$32:$T$45,,MATCH(E235,'Landbrugsareal - resultat'!$R$4:$T$4,0))))))))</f>
        <v>118.10878245014437</v>
      </c>
      <c r="H235" s="172">
        <f>G235*VLOOKUP(B235,[1]Afgrødedata!$A$5:$F$18,2,FALSE)*IF(D235="Økologisk",VLOOKUP(B235,[1]Afgrødedata!$A$5:$F$18,4,FALSE),1)*IF(E235&lt;&gt;Jordbund1,IF(E235=Organ6,VLOOKUP(B235,[1]Afgrødedata!$A$5:$F$18,5,FALSE),VLOOKUP(B235,[1]Afgrødedata!$A$5:$F$18,6,FALSE)),1)*0.1</f>
        <v>2808.291762544723</v>
      </c>
      <c r="I235" s="172">
        <f>G235*VLOOKUP(B235,[1]Afgrødedata!$A$5:$F$18,3,FALSE)*IF(D235="Økologisk",VLOOKUP(B235,[1]Afgrødedata!$A$5:$F$18,4,FALSE),1)*IF(E235&lt;&gt;Jordbund1,IF(E235=Organ6,VLOOKUP(B235,[1]Afgrødedata!$A$5:$F$18,5,FALSE),VLOOKUP(B235,[1]Afgrødedata!$A$5:$F$18,6,FALSE)),1)*HLOOKUP(C235,Landbrug!$C$15:$E$17,2,FALSE)*HLOOKUP(C235,Landbrug!$C$15:$E$17,3,FALSE)*0.1</f>
        <v>0</v>
      </c>
      <c r="J235" s="76">
        <f t="shared" si="42"/>
        <v>2808.291762544723</v>
      </c>
    </row>
    <row r="236" spans="1:10" x14ac:dyDescent="0.55000000000000004">
      <c r="A236" t="s">
        <v>23</v>
      </c>
      <c r="B236" s="1" t="str">
        <f>[1]Afgrødefordeling!$C$12</f>
        <v>Frø</v>
      </c>
      <c r="C236">
        <v>2030</v>
      </c>
      <c r="D236" t="s">
        <v>8</v>
      </c>
      <c r="E236" s="172" t="str">
        <f t="shared" si="47"/>
        <v>OC12</v>
      </c>
      <c r="F236" t="str">
        <f t="shared" si="41"/>
        <v>Halm</v>
      </c>
      <c r="G236" s="76" cm="1">
        <f t="array" ref="G236">IF(A236="Vestdanmark",IF(D236="Konventionel",IF(C236=2019,SUMPRODUCT((B236='Landbrugsareal - resultat'!$B$5:$B$18)*(INDEX('Landbrugsareal - resultat'!$C$5:$E$18,,MATCH(E236,'Landbrugsareal - resultat'!$C$4:$E$4,0)))),IF(C236=2030,SUMPRODUCT((B236='Landbrugsareal - resultat'!$B$5:$B$18)*(INDEX('Landbrugsareal - resultat'!$F$5:$H$18,,MATCH(E236,'Landbrugsareal - resultat'!$F$4:$H$4,0)))),SUMPRODUCT((B236='Landbrugsareal - resultat'!$B$5:$B$18)*(INDEX('Landbrugsareal - resultat'!$I$5:$K$18,,MATCH(E236,'Landbrugsareal - resultat'!$I$4:$K$4,0)))))),IF(C236=2019,SUMPRODUCT((B236='Landbrugsareal - resultat'!$B$5:$B$18)*(INDEX('Landbrugsareal - resultat'!$L$5:$N$18,,MATCH(E236,'Landbrugsareal - resultat'!$L$4:$N$4,0)))),IF(C236=2030,SUMPRODUCT((B236='Landbrugsareal - resultat'!$B$5:$B$18)*(INDEX('Landbrugsareal - resultat'!$O$5:$Q$18,,MATCH(E236,'Landbrugsareal - resultat'!$O$4:$Q$4,0)))),SUMPRODUCT((B236='Landbrugsareal - resultat'!$B$5:$B$18)*(INDEX('Landbrugsareal - resultat'!$R$5:$T$18,,MATCH(E236,'Landbrugsareal - resultat'!$R$4:$T$4,0))))))),IF(D236="Konventionel",IF(C236=2019,SUMPRODUCT((B236='Landbrugsareal - resultat'!$B$32:$B$45)*(INDEX('Landbrugsareal - resultat'!$C$32:$E$45,,MATCH(E236,'Landbrugsareal - resultat'!$C$4:$E$4,0)))),IF(C236=2030,SUMPRODUCT((B236='Landbrugsareal - resultat'!$B$32:$B$45)*(INDEX('Landbrugsareal - resultat'!$F$32:$H$45,,MATCH(E236,'Landbrugsareal - resultat'!$F$4:$H$4,0)))),SUMPRODUCT((B236='Landbrugsareal - resultat'!$B$32:$B$45)*(INDEX('Landbrugsareal - resultat'!$I$32:$K$45,,MATCH(E236,'Landbrugsareal - resultat'!$I$4:$K$4,0)))))),IF(C236=2019,SUMPRODUCT((B236='Landbrugsareal - resultat'!$B$32:$B$45)*(INDEX('Landbrugsareal - resultat'!$L$32:$N$45,,MATCH(E236,'Landbrugsareal - resultat'!$L$4:$N$4,0)))),IF(C236=2030,SUMPRODUCT((B236='Landbrugsareal - resultat'!$B$32:$B$45)*(INDEX('Landbrugsareal - resultat'!$O$32:$Q$45,,MATCH(E236,'Landbrugsareal - resultat'!$O$4:$Q$4,0)))),SUMPRODUCT((B236='Landbrugsareal - resultat'!$B$32:$B$45)*(INDEX('Landbrugsareal - resultat'!$R$32:$T$45,,MATCH(E236,'Landbrugsareal - resultat'!$R$4:$T$4,0))))))))</f>
        <v>375.78265770181565</v>
      </c>
      <c r="H236" s="172">
        <f>G236*VLOOKUP(B236,[1]Afgrødedata!$A$5:$F$18,2,FALSE)*IF(D236="Økologisk",VLOOKUP(B236,[1]Afgrødedata!$A$5:$F$18,4,FALSE),1)*IF(E236&lt;&gt;Jordbund1,IF(E236=Organ6,VLOOKUP(B236,[1]Afgrødedata!$A$5:$F$18,5,FALSE),VLOOKUP(B236,[1]Afgrødedata!$A$5:$F$18,6,FALSE)),1)*0.1</f>
        <v>4284.8658452435047</v>
      </c>
      <c r="I236" s="172">
        <f>G236*VLOOKUP(B236,[1]Afgrødedata!$A$5:$F$18,3,FALSE)*IF(D236="Økologisk",VLOOKUP(B236,[1]Afgrødedata!$A$5:$F$18,4,FALSE),1)*IF(E236&lt;&gt;Jordbund1,IF(E236=Organ6,VLOOKUP(B236,[1]Afgrødedata!$A$5:$F$18,5,FALSE),VLOOKUP(B236,[1]Afgrødedata!$A$5:$F$18,6,FALSE)),1)*HLOOKUP(C236,Landbrug!$C$15:$E$17,2,FALSE)*HLOOKUP(C236,Landbrug!$C$15:$E$17,3,FALSE)*0.1</f>
        <v>707.70396359667529</v>
      </c>
      <c r="J236" s="76">
        <f t="shared" si="42"/>
        <v>707.70396359667529</v>
      </c>
    </row>
    <row r="237" spans="1:10" x14ac:dyDescent="0.55000000000000004">
      <c r="A237" t="s">
        <v>23</v>
      </c>
      <c r="B237" s="1" t="str">
        <f>[1]Afgrødefordeling!$C$13</f>
        <v>Juletræer</v>
      </c>
      <c r="C237">
        <v>2030</v>
      </c>
      <c r="D237" t="s">
        <v>8</v>
      </c>
      <c r="E237" s="172" t="str">
        <f t="shared" si="47"/>
        <v>OC12</v>
      </c>
      <c r="F237" t="str">
        <f t="shared" si="41"/>
        <v>Juletræer</v>
      </c>
      <c r="G237" s="76" cm="1">
        <f t="array" ref="G237">IF(A237="Vestdanmark",IF(D237="Konventionel",IF(C237=2019,SUMPRODUCT((B237='Landbrugsareal - resultat'!$B$5:$B$18)*(INDEX('Landbrugsareal - resultat'!$C$5:$E$18,,MATCH(E237,'Landbrugsareal - resultat'!$C$4:$E$4,0)))),IF(C237=2030,SUMPRODUCT((B237='Landbrugsareal - resultat'!$B$5:$B$18)*(INDEX('Landbrugsareal - resultat'!$F$5:$H$18,,MATCH(E237,'Landbrugsareal - resultat'!$F$4:$H$4,0)))),SUMPRODUCT((B237='Landbrugsareal - resultat'!$B$5:$B$18)*(INDEX('Landbrugsareal - resultat'!$I$5:$K$18,,MATCH(E237,'Landbrugsareal - resultat'!$I$4:$K$4,0)))))),IF(C237=2019,SUMPRODUCT((B237='Landbrugsareal - resultat'!$B$5:$B$18)*(INDEX('Landbrugsareal - resultat'!$L$5:$N$18,,MATCH(E237,'Landbrugsareal - resultat'!$L$4:$N$4,0)))),IF(C237=2030,SUMPRODUCT((B237='Landbrugsareal - resultat'!$B$5:$B$18)*(INDEX('Landbrugsareal - resultat'!$O$5:$Q$18,,MATCH(E237,'Landbrugsareal - resultat'!$O$4:$Q$4,0)))),SUMPRODUCT((B237='Landbrugsareal - resultat'!$B$5:$B$18)*(INDEX('Landbrugsareal - resultat'!$R$5:$T$18,,MATCH(E237,'Landbrugsareal - resultat'!$R$4:$T$4,0))))))),IF(D237="Konventionel",IF(C237=2019,SUMPRODUCT((B237='Landbrugsareal - resultat'!$B$32:$B$45)*(INDEX('Landbrugsareal - resultat'!$C$32:$E$45,,MATCH(E237,'Landbrugsareal - resultat'!$C$4:$E$4,0)))),IF(C237=2030,SUMPRODUCT((B237='Landbrugsareal - resultat'!$B$32:$B$45)*(INDEX('Landbrugsareal - resultat'!$F$32:$H$45,,MATCH(E237,'Landbrugsareal - resultat'!$F$4:$H$4,0)))),SUMPRODUCT((B237='Landbrugsareal - resultat'!$B$32:$B$45)*(INDEX('Landbrugsareal - resultat'!$I$32:$K$45,,MATCH(E237,'Landbrugsareal - resultat'!$I$4:$K$4,0)))))),IF(C237=2019,SUMPRODUCT((B237='Landbrugsareal - resultat'!$B$32:$B$45)*(INDEX('Landbrugsareal - resultat'!$L$32:$N$45,,MATCH(E237,'Landbrugsareal - resultat'!$L$4:$N$4,0)))),IF(C237=2030,SUMPRODUCT((B237='Landbrugsareal - resultat'!$B$32:$B$45)*(INDEX('Landbrugsareal - resultat'!$O$32:$Q$45,,MATCH(E237,'Landbrugsareal - resultat'!$O$4:$Q$4,0)))),SUMPRODUCT((B237='Landbrugsareal - resultat'!$B$32:$B$45)*(INDEX('Landbrugsareal - resultat'!$R$32:$T$45,,MATCH(E237,'Landbrugsareal - resultat'!$R$4:$T$4,0))))))))</f>
        <v>33.494464708220583</v>
      </c>
      <c r="H237" s="172">
        <f>G237*VLOOKUP(B237,[1]Afgrødedata!$A$5:$F$18,2,FALSE)*IF(D237="Økologisk",VLOOKUP(B237,[1]Afgrødedata!$A$5:$F$18,4,FALSE),1)*IF(E237&lt;&gt;Jordbund1,IF(E237=Organ6,VLOOKUP(B237,[1]Afgrødedata!$A$5:$F$18,5,FALSE),VLOOKUP(B237,[1]Afgrødedata!$A$5:$F$18,6,FALSE)),1)*0.1</f>
        <v>1336.4291418580012</v>
      </c>
      <c r="I237" s="172">
        <f>G237*VLOOKUP(B237,[1]Afgrødedata!$A$5:$F$18,3,FALSE)*IF(D237="Økologisk",VLOOKUP(B237,[1]Afgrødedata!$A$5:$F$18,4,FALSE),1)*IF(E237&lt;&gt;Jordbund1,IF(E237=Organ6,VLOOKUP(B237,[1]Afgrødedata!$A$5:$F$18,5,FALSE),VLOOKUP(B237,[1]Afgrødedata!$A$5:$F$18,6,FALSE)),1)*HLOOKUP(C237,Landbrug!$C$15:$E$17,2,FALSE)*HLOOKUP(C237,Landbrug!$C$15:$E$17,3,FALSE)*0.1</f>
        <v>0</v>
      </c>
      <c r="J237" s="76">
        <f t="shared" si="42"/>
        <v>1336.4291418580012</v>
      </c>
    </row>
    <row r="238" spans="1:10" x14ac:dyDescent="0.55000000000000004">
      <c r="A238" t="s">
        <v>23</v>
      </c>
      <c r="B238" s="1" t="str">
        <f>[1]Afgrødefordeling!$C$14</f>
        <v>Pil &amp; poppel</v>
      </c>
      <c r="C238">
        <v>2030</v>
      </c>
      <c r="D238" t="s">
        <v>8</v>
      </c>
      <c r="E238" s="172" t="str">
        <f t="shared" si="47"/>
        <v>OC12</v>
      </c>
      <c r="F238" t="str">
        <f t="shared" ref="F238" si="48">IF(I238&lt;&gt;0,"Halm",IF(B238&lt;&gt;"Permanent græs",B238,"Græs"))</f>
        <v>Pil &amp; poppel</v>
      </c>
      <c r="G238" s="76" cm="1">
        <f t="array" ref="G238">IF(A238="Vestdanmark",IF(D238="Konventionel",IF(C238=2019,SUMPRODUCT((B238='Landbrugsareal - resultat'!$B$5:$B$18)*(INDEX('Landbrugsareal - resultat'!$C$5:$E$18,,MATCH(E238,'Landbrugsareal - resultat'!$C$4:$E$4,0)))),IF(C238=2030,SUMPRODUCT((B238='Landbrugsareal - resultat'!$B$5:$B$18)*(INDEX('Landbrugsareal - resultat'!$F$5:$H$18,,MATCH(E238,'Landbrugsareal - resultat'!$F$4:$H$4,0)))),SUMPRODUCT((B238='Landbrugsareal - resultat'!$B$5:$B$18)*(INDEX('Landbrugsareal - resultat'!$I$5:$K$18,,MATCH(E238,'Landbrugsareal - resultat'!$I$4:$K$4,0)))))),IF(C238=2019,SUMPRODUCT((B238='Landbrugsareal - resultat'!$B$5:$B$18)*(INDEX('Landbrugsareal - resultat'!$L$5:$N$18,,MATCH(E238,'Landbrugsareal - resultat'!$L$4:$N$4,0)))),IF(C238=2030,SUMPRODUCT((B238='Landbrugsareal - resultat'!$B$5:$B$18)*(INDEX('Landbrugsareal - resultat'!$O$5:$Q$18,,MATCH(E238,'Landbrugsareal - resultat'!$O$4:$Q$4,0)))),SUMPRODUCT((B238='Landbrugsareal - resultat'!$B$5:$B$18)*(INDEX('Landbrugsareal - resultat'!$R$5:$T$18,,MATCH(E238,'Landbrugsareal - resultat'!$R$4:$T$4,0))))))),IF(D238="Konventionel",IF(C238=2019,SUMPRODUCT((B238='Landbrugsareal - resultat'!$B$32:$B$45)*(INDEX('Landbrugsareal - resultat'!$C$32:$E$45,,MATCH(E238,'Landbrugsareal - resultat'!$C$4:$E$4,0)))),IF(C238=2030,SUMPRODUCT((B238='Landbrugsareal - resultat'!$B$32:$B$45)*(INDEX('Landbrugsareal - resultat'!$F$32:$H$45,,MATCH(E238,'Landbrugsareal - resultat'!$F$4:$H$4,0)))),SUMPRODUCT((B238='Landbrugsareal - resultat'!$B$32:$B$45)*(INDEX('Landbrugsareal - resultat'!$I$32:$K$45,,MATCH(E238,'Landbrugsareal - resultat'!$I$4:$K$4,0)))))),IF(C238=2019,SUMPRODUCT((B238='Landbrugsareal - resultat'!$B$32:$B$45)*(INDEX('Landbrugsareal - resultat'!$L$32:$N$45,,MATCH(E238,'Landbrugsareal - resultat'!$L$4:$N$4,0)))),IF(C238=2030,SUMPRODUCT((B238='Landbrugsareal - resultat'!$B$32:$B$45)*(INDEX('Landbrugsareal - resultat'!$O$32:$Q$45,,MATCH(E238,'Landbrugsareal - resultat'!$O$4:$Q$4,0)))),SUMPRODUCT((B238='Landbrugsareal - resultat'!$B$32:$B$45)*(INDEX('Landbrugsareal - resultat'!$R$32:$T$45,,MATCH(E238,'Landbrugsareal - resultat'!$R$4:$T$4,0))))))))</f>
        <v>79.064482632301008</v>
      </c>
      <c r="H238" s="172">
        <f>G238*VLOOKUP(B238,[1]Afgrødedata!$A$5:$F$18,2,FALSE)*IF(D238="Økologisk",VLOOKUP(B238,[1]Afgrødedata!$A$5:$F$18,4,FALSE),1)*IF(E238&lt;&gt;Jordbund1,IF(E238=Organ6,VLOOKUP(B238,[1]Afgrødedata!$A$5:$F$18,5,FALSE),VLOOKUP(B238,[1]Afgrødedata!$A$5:$F$18,6,FALSE)),1)*0.1</f>
        <v>1538.8648083067364</v>
      </c>
      <c r="I238" s="172">
        <f>G238*VLOOKUP(B238,[1]Afgrødedata!$A$5:$F$18,3,FALSE)*IF(D238="Økologisk",VLOOKUP(B238,[1]Afgrødedata!$A$5:$F$18,4,FALSE),1)*IF(E238&lt;&gt;Jordbund1,IF(E238=Organ6,VLOOKUP(B238,[1]Afgrødedata!$A$5:$F$18,5,FALSE),VLOOKUP(B238,[1]Afgrødedata!$A$5:$F$18,6,FALSE)),1)*HLOOKUP(C238,Landbrug!$C$15:$E$17,2,FALSE)*HLOOKUP(C238,Landbrug!$C$15:$E$17,3,FALSE)*0.1</f>
        <v>0</v>
      </c>
      <c r="J238" s="76">
        <f t="shared" ref="J238" si="49">IF(I238&lt;&gt;0,I238,H238)</f>
        <v>1538.8648083067364</v>
      </c>
    </row>
    <row r="239" spans="1:10" x14ac:dyDescent="0.55000000000000004">
      <c r="A239" t="s">
        <v>23</v>
      </c>
      <c r="B239" s="1" t="str">
        <f>[1]Afgrødefordeling!$C$15</f>
        <v>Permanent græs</v>
      </c>
      <c r="C239">
        <v>2030</v>
      </c>
      <c r="D239" t="s">
        <v>8</v>
      </c>
      <c r="E239" s="172" t="str">
        <f t="shared" si="47"/>
        <v>OC12</v>
      </c>
      <c r="F239" t="str">
        <f t="shared" si="41"/>
        <v>Græs</v>
      </c>
      <c r="G239" s="76" cm="1">
        <f t="array" ref="G239">IF(A239="Vestdanmark",IF(D239="Konventionel",IF(C239=2019,SUMPRODUCT((B239='Landbrugsareal - resultat'!$B$5:$B$18)*(INDEX('Landbrugsareal - resultat'!$C$5:$E$18,,MATCH(E239,'Landbrugsareal - resultat'!$C$4:$E$4,0)))),IF(C239=2030,SUMPRODUCT((B239='Landbrugsareal - resultat'!$B$5:$B$18)*(INDEX('Landbrugsareal - resultat'!$F$5:$H$18,,MATCH(E239,'Landbrugsareal - resultat'!$F$4:$H$4,0)))),SUMPRODUCT((B239='Landbrugsareal - resultat'!$B$5:$B$18)*(INDEX('Landbrugsareal - resultat'!$I$5:$K$18,,MATCH(E239,'Landbrugsareal - resultat'!$I$4:$K$4,0)))))),IF(C239=2019,SUMPRODUCT((B239='Landbrugsareal - resultat'!$B$5:$B$18)*(INDEX('Landbrugsareal - resultat'!$L$5:$N$18,,MATCH(E239,'Landbrugsareal - resultat'!$L$4:$N$4,0)))),IF(C239=2030,SUMPRODUCT((B239='Landbrugsareal - resultat'!$B$5:$B$18)*(INDEX('Landbrugsareal - resultat'!$O$5:$Q$18,,MATCH(E239,'Landbrugsareal - resultat'!$O$4:$Q$4,0)))),SUMPRODUCT((B239='Landbrugsareal - resultat'!$B$5:$B$18)*(INDEX('Landbrugsareal - resultat'!$R$5:$T$18,,MATCH(E239,'Landbrugsareal - resultat'!$R$4:$T$4,0))))))),IF(D239="Konventionel",IF(C239=2019,SUMPRODUCT((B239='Landbrugsareal - resultat'!$B$32:$B$45)*(INDEX('Landbrugsareal - resultat'!$C$32:$E$45,,MATCH(E239,'Landbrugsareal - resultat'!$C$4:$E$4,0)))),IF(C239=2030,SUMPRODUCT((B239='Landbrugsareal - resultat'!$B$32:$B$45)*(INDEX('Landbrugsareal - resultat'!$F$32:$H$45,,MATCH(E239,'Landbrugsareal - resultat'!$F$4:$H$4,0)))),SUMPRODUCT((B239='Landbrugsareal - resultat'!$B$32:$B$45)*(INDEX('Landbrugsareal - resultat'!$I$32:$K$45,,MATCH(E239,'Landbrugsareal - resultat'!$I$4:$K$4,0)))))),IF(C239=2019,SUMPRODUCT((B239='Landbrugsareal - resultat'!$B$32:$B$45)*(INDEX('Landbrugsareal - resultat'!$L$32:$N$45,,MATCH(E239,'Landbrugsareal - resultat'!$L$4:$N$4,0)))),IF(C239=2030,SUMPRODUCT((B239='Landbrugsareal - resultat'!$B$32:$B$45)*(INDEX('Landbrugsareal - resultat'!$O$32:$Q$45,,MATCH(E239,'Landbrugsareal - resultat'!$O$4:$Q$4,0)))),SUMPRODUCT((B239='Landbrugsareal - resultat'!$B$32:$B$45)*(INDEX('Landbrugsareal - resultat'!$R$32:$T$45,,MATCH(E239,'Landbrugsareal - resultat'!$R$4:$T$4,0))))))))</f>
        <v>2924.2207746651384</v>
      </c>
      <c r="H239" s="172">
        <f>G239*VLOOKUP(B239,[1]Afgrødedata!$A$5:$F$18,2,FALSE)*IF(D239="Økologisk",VLOOKUP(B239,[1]Afgrødedata!$A$5:$F$18,4,FALSE),1)*IF(E239&lt;&gt;Jordbund1,IF(E239=Organ6,VLOOKUP(B239,[1]Afgrødedata!$A$5:$F$18,5,FALSE),VLOOKUP(B239,[1]Afgrødedata!$A$5:$F$18,6,FALSE)),1)*0.1</f>
        <v>56455.006275685155</v>
      </c>
      <c r="I239" s="172">
        <f>G239*VLOOKUP(B239,[1]Afgrødedata!$A$5:$F$18,3,FALSE)*IF(D239="Økologisk",VLOOKUP(B239,[1]Afgrødedata!$A$5:$F$18,4,FALSE),1)*IF(E239&lt;&gt;Jordbund1,IF(E239=Organ6,VLOOKUP(B239,[1]Afgrødedata!$A$5:$F$18,5,FALSE),VLOOKUP(B239,[1]Afgrødedata!$A$5:$F$18,6,FALSE)),1)*HLOOKUP(C239,Landbrug!$C$15:$E$17,2,FALSE)*HLOOKUP(C239,Landbrug!$C$15:$E$17,3,FALSE)*0.1</f>
        <v>0</v>
      </c>
      <c r="J239" s="76">
        <f t="shared" si="42"/>
        <v>56455.006275685155</v>
      </c>
    </row>
    <row r="240" spans="1:10" x14ac:dyDescent="0.55000000000000004">
      <c r="A240" t="s">
        <v>23</v>
      </c>
      <c r="B240" s="1" t="str">
        <f>[1]Afgrødefordeling!$C$2</f>
        <v>Korn</v>
      </c>
      <c r="C240">
        <v>2050</v>
      </c>
      <c r="D240" t="s">
        <v>8</v>
      </c>
      <c r="E240" s="172" t="str">
        <f t="shared" si="47"/>
        <v>OC12</v>
      </c>
      <c r="F240" t="str">
        <f t="shared" si="41"/>
        <v>Halm</v>
      </c>
      <c r="G240" s="76" cm="1">
        <f t="array" ref="G240">IF(A240="Vestdanmark",IF(D240="Konventionel",IF(C240=2019,SUMPRODUCT((B240='Landbrugsareal - resultat'!$B$5:$B$18)*(INDEX('Landbrugsareal - resultat'!$C$5:$E$18,,MATCH(E240,'Landbrugsareal - resultat'!$C$4:$E$4,0)))),IF(C240=2030,SUMPRODUCT((B240='Landbrugsareal - resultat'!$B$5:$B$18)*(INDEX('Landbrugsareal - resultat'!$F$5:$H$18,,MATCH(E240,'Landbrugsareal - resultat'!$F$4:$H$4,0)))),SUMPRODUCT((B240='Landbrugsareal - resultat'!$B$5:$B$18)*(INDEX('Landbrugsareal - resultat'!$I$5:$K$18,,MATCH(E240,'Landbrugsareal - resultat'!$I$4:$K$4,0)))))),IF(C240=2019,SUMPRODUCT((B240='Landbrugsareal - resultat'!$B$5:$B$18)*(INDEX('Landbrugsareal - resultat'!$L$5:$N$18,,MATCH(E240,'Landbrugsareal - resultat'!$L$4:$N$4,0)))),IF(C240=2030,SUMPRODUCT((B240='Landbrugsareal - resultat'!$B$5:$B$18)*(INDEX('Landbrugsareal - resultat'!$O$5:$Q$18,,MATCH(E240,'Landbrugsareal - resultat'!$O$4:$Q$4,0)))),SUMPRODUCT((B240='Landbrugsareal - resultat'!$B$5:$B$18)*(INDEX('Landbrugsareal - resultat'!$R$5:$T$18,,MATCH(E240,'Landbrugsareal - resultat'!$R$4:$T$4,0))))))),IF(D240="Konventionel",IF(C240=2019,SUMPRODUCT((B240='Landbrugsareal - resultat'!$B$32:$B$45)*(INDEX('Landbrugsareal - resultat'!$C$32:$E$45,,MATCH(E240,'Landbrugsareal - resultat'!$C$4:$E$4,0)))),IF(C240=2030,SUMPRODUCT((B240='Landbrugsareal - resultat'!$B$32:$B$45)*(INDEX('Landbrugsareal - resultat'!$F$32:$H$45,,MATCH(E240,'Landbrugsareal - resultat'!$F$4:$H$4,0)))),SUMPRODUCT((B240='Landbrugsareal - resultat'!$B$32:$B$45)*(INDEX('Landbrugsareal - resultat'!$I$32:$K$45,,MATCH(E240,'Landbrugsareal - resultat'!$I$4:$K$4,0)))))),IF(C240=2019,SUMPRODUCT((B240='Landbrugsareal - resultat'!$B$32:$B$45)*(INDEX('Landbrugsareal - resultat'!$L$32:$N$45,,MATCH(E240,'Landbrugsareal - resultat'!$L$4:$N$4,0)))),IF(C240=2030,SUMPRODUCT((B240='Landbrugsareal - resultat'!$B$32:$B$45)*(INDEX('Landbrugsareal - resultat'!$O$32:$Q$45,,MATCH(E240,'Landbrugsareal - resultat'!$O$4:$Q$4,0)))),SUMPRODUCT((B240='Landbrugsareal - resultat'!$B$32:$B$45)*(INDEX('Landbrugsareal - resultat'!$R$32:$T$45,,MATCH(E240,'Landbrugsareal - resultat'!$R$4:$T$4,0))))))))</f>
        <v>2123.2148234433389</v>
      </c>
      <c r="H240" s="172">
        <f>G240*VLOOKUP(B240,[1]Afgrødedata!$A$5:$F$18,2,FALSE)*IF(D240="Økologisk",VLOOKUP(B240,[1]Afgrødedata!$A$5:$F$18,4,FALSE),1)*IF(E240&lt;&gt;Jordbund1,IF(E240=Organ6,VLOOKUP(B240,[1]Afgrødedata!$A$5:$F$18,5,FALSE),VLOOKUP(B240,[1]Afgrødedata!$A$5:$F$18,6,FALSE)),1)*0.1</f>
        <v>13960.944285772861</v>
      </c>
      <c r="I240" s="172">
        <f>G240*VLOOKUP(B240,[1]Afgrødedata!$A$5:$F$18,3,FALSE)*IF(D240="Økologisk",VLOOKUP(B240,[1]Afgrødedata!$A$5:$F$18,4,FALSE),1)*IF(E240&lt;&gt;Jordbund1,IF(E240=Organ6,VLOOKUP(B240,[1]Afgrødedata!$A$5:$F$18,5,FALSE),VLOOKUP(B240,[1]Afgrødedata!$A$5:$F$18,6,FALSE)),1)*HLOOKUP(C240,Landbrug!$C$15:$E$17,2,FALSE)*HLOOKUP(C240,Landbrug!$C$15:$E$17,3,FALSE)*0.1</f>
        <v>4530.3264207332932</v>
      </c>
      <c r="J240" s="76">
        <f t="shared" si="42"/>
        <v>4530.3264207332932</v>
      </c>
    </row>
    <row r="241" spans="1:10" x14ac:dyDescent="0.55000000000000004">
      <c r="A241" t="s">
        <v>23</v>
      </c>
      <c r="B241" s="1" t="str">
        <f>[1]Afgrødefordeling!$C$3</f>
        <v>Bælgsæd</v>
      </c>
      <c r="C241">
        <v>2050</v>
      </c>
      <c r="D241" t="s">
        <v>8</v>
      </c>
      <c r="E241" s="172" t="str">
        <f t="shared" si="47"/>
        <v>OC12</v>
      </c>
      <c r="F241" t="str">
        <f t="shared" si="41"/>
        <v>Halm</v>
      </c>
      <c r="G241" s="76" cm="1">
        <f t="array" ref="G241">IF(A241="Vestdanmark",IF(D241="Konventionel",IF(C241=2019,SUMPRODUCT((B241='Landbrugsareal - resultat'!$B$5:$B$18)*(INDEX('Landbrugsareal - resultat'!$C$5:$E$18,,MATCH(E241,'Landbrugsareal - resultat'!$C$4:$E$4,0)))),IF(C241=2030,SUMPRODUCT((B241='Landbrugsareal - resultat'!$B$5:$B$18)*(INDEX('Landbrugsareal - resultat'!$F$5:$H$18,,MATCH(E241,'Landbrugsareal - resultat'!$F$4:$H$4,0)))),SUMPRODUCT((B241='Landbrugsareal - resultat'!$B$5:$B$18)*(INDEX('Landbrugsareal - resultat'!$I$5:$K$18,,MATCH(E241,'Landbrugsareal - resultat'!$I$4:$K$4,0)))))),IF(C241=2019,SUMPRODUCT((B241='Landbrugsareal - resultat'!$B$5:$B$18)*(INDEX('Landbrugsareal - resultat'!$L$5:$N$18,,MATCH(E241,'Landbrugsareal - resultat'!$L$4:$N$4,0)))),IF(C241=2030,SUMPRODUCT((B241='Landbrugsareal - resultat'!$B$5:$B$18)*(INDEX('Landbrugsareal - resultat'!$O$5:$Q$18,,MATCH(E241,'Landbrugsareal - resultat'!$O$4:$Q$4,0)))),SUMPRODUCT((B241='Landbrugsareal - resultat'!$B$5:$B$18)*(INDEX('Landbrugsareal - resultat'!$R$5:$T$18,,MATCH(E241,'Landbrugsareal - resultat'!$R$4:$T$4,0))))))),IF(D241="Konventionel",IF(C241=2019,SUMPRODUCT((B241='Landbrugsareal - resultat'!$B$32:$B$45)*(INDEX('Landbrugsareal - resultat'!$C$32:$E$45,,MATCH(E241,'Landbrugsareal - resultat'!$C$4:$E$4,0)))),IF(C241=2030,SUMPRODUCT((B241='Landbrugsareal - resultat'!$B$32:$B$45)*(INDEX('Landbrugsareal - resultat'!$F$32:$H$45,,MATCH(E241,'Landbrugsareal - resultat'!$F$4:$H$4,0)))),SUMPRODUCT((B241='Landbrugsareal - resultat'!$B$32:$B$45)*(INDEX('Landbrugsareal - resultat'!$I$32:$K$45,,MATCH(E241,'Landbrugsareal - resultat'!$I$4:$K$4,0)))))),IF(C241=2019,SUMPRODUCT((B241='Landbrugsareal - resultat'!$B$32:$B$45)*(INDEX('Landbrugsareal - resultat'!$L$32:$N$45,,MATCH(E241,'Landbrugsareal - resultat'!$L$4:$N$4,0)))),IF(C241=2030,SUMPRODUCT((B241='Landbrugsareal - resultat'!$B$32:$B$45)*(INDEX('Landbrugsareal - resultat'!$O$32:$Q$45,,MATCH(E241,'Landbrugsareal - resultat'!$O$4:$Q$4,0)))),SUMPRODUCT((B241='Landbrugsareal - resultat'!$B$32:$B$45)*(INDEX('Landbrugsareal - resultat'!$R$32:$T$45,,MATCH(E241,'Landbrugsareal - resultat'!$R$4:$T$4,0))))))))</f>
        <v>122.25305830856736</v>
      </c>
      <c r="H241" s="172">
        <f>G241*VLOOKUP(B241,[1]Afgrødedata!$A$5:$F$18,2,FALSE)*IF(D241="Økologisk",VLOOKUP(B241,[1]Afgrødedata!$A$5:$F$18,4,FALSE),1)*IF(E241&lt;&gt;Jordbund1,IF(E241=Organ6,VLOOKUP(B241,[1]Afgrødedata!$A$5:$F$18,5,FALSE),VLOOKUP(B241,[1]Afgrødedata!$A$5:$F$18,6,FALSE)),1)*0.1</f>
        <v>376.57365044671383</v>
      </c>
      <c r="I241" s="172">
        <f>G241*VLOOKUP(B241,[1]Afgrødedata!$A$5:$F$18,3,FALSE)*IF(D241="Økologisk",VLOOKUP(B241,[1]Afgrødedata!$A$5:$F$18,4,FALSE),1)*IF(E241&lt;&gt;Jordbund1,IF(E241=Organ6,VLOOKUP(B241,[1]Afgrødedata!$A$5:$F$18,5,FALSE),VLOOKUP(B241,[1]Afgrødedata!$A$5:$F$18,6,FALSE)),1)*HLOOKUP(C241,Landbrug!$C$15:$E$17,2,FALSE)*HLOOKUP(C241,Landbrug!$C$15:$E$17,3,FALSE)*0.1</f>
        <v>111.14678606669341</v>
      </c>
      <c r="J241" s="76">
        <f t="shared" si="42"/>
        <v>111.14678606669341</v>
      </c>
    </row>
    <row r="242" spans="1:10" x14ac:dyDescent="0.55000000000000004">
      <c r="A242" t="s">
        <v>23</v>
      </c>
      <c r="B242" s="1" t="str">
        <f>[1]Afgrødefordeling!$C$4</f>
        <v>Raps</v>
      </c>
      <c r="C242">
        <v>2050</v>
      </c>
      <c r="D242" t="s">
        <v>8</v>
      </c>
      <c r="E242" s="172" t="str">
        <f t="shared" si="47"/>
        <v>OC12</v>
      </c>
      <c r="F242" t="str">
        <f t="shared" si="41"/>
        <v>Halm</v>
      </c>
      <c r="G242" s="76" cm="1">
        <f t="array" ref="G242">IF(A242="Vestdanmark",IF(D242="Konventionel",IF(C242=2019,SUMPRODUCT((B242='Landbrugsareal - resultat'!$B$5:$B$18)*(INDEX('Landbrugsareal - resultat'!$C$5:$E$18,,MATCH(E242,'Landbrugsareal - resultat'!$C$4:$E$4,0)))),IF(C242=2030,SUMPRODUCT((B242='Landbrugsareal - resultat'!$B$5:$B$18)*(INDEX('Landbrugsareal - resultat'!$F$5:$H$18,,MATCH(E242,'Landbrugsareal - resultat'!$F$4:$H$4,0)))),SUMPRODUCT((B242='Landbrugsareal - resultat'!$B$5:$B$18)*(INDEX('Landbrugsareal - resultat'!$I$5:$K$18,,MATCH(E242,'Landbrugsareal - resultat'!$I$4:$K$4,0)))))),IF(C242=2019,SUMPRODUCT((B242='Landbrugsareal - resultat'!$B$5:$B$18)*(INDEX('Landbrugsareal - resultat'!$L$5:$N$18,,MATCH(E242,'Landbrugsareal - resultat'!$L$4:$N$4,0)))),IF(C242=2030,SUMPRODUCT((B242='Landbrugsareal - resultat'!$B$5:$B$18)*(INDEX('Landbrugsareal - resultat'!$O$5:$Q$18,,MATCH(E242,'Landbrugsareal - resultat'!$O$4:$Q$4,0)))),SUMPRODUCT((B242='Landbrugsareal - resultat'!$B$5:$B$18)*(INDEX('Landbrugsareal - resultat'!$R$5:$T$18,,MATCH(E242,'Landbrugsareal - resultat'!$R$4:$T$4,0))))))),IF(D242="Konventionel",IF(C242=2019,SUMPRODUCT((B242='Landbrugsareal - resultat'!$B$32:$B$45)*(INDEX('Landbrugsareal - resultat'!$C$32:$E$45,,MATCH(E242,'Landbrugsareal - resultat'!$C$4:$E$4,0)))),IF(C242=2030,SUMPRODUCT((B242='Landbrugsareal - resultat'!$B$32:$B$45)*(INDEX('Landbrugsareal - resultat'!$F$32:$H$45,,MATCH(E242,'Landbrugsareal - resultat'!$F$4:$H$4,0)))),SUMPRODUCT((B242='Landbrugsareal - resultat'!$B$32:$B$45)*(INDEX('Landbrugsareal - resultat'!$I$32:$K$45,,MATCH(E242,'Landbrugsareal - resultat'!$I$4:$K$4,0)))))),IF(C242=2019,SUMPRODUCT((B242='Landbrugsareal - resultat'!$B$32:$B$45)*(INDEX('Landbrugsareal - resultat'!$L$32:$N$45,,MATCH(E242,'Landbrugsareal - resultat'!$L$4:$N$4,0)))),IF(C242=2030,SUMPRODUCT((B242='Landbrugsareal - resultat'!$B$32:$B$45)*(INDEX('Landbrugsareal - resultat'!$O$32:$Q$45,,MATCH(E242,'Landbrugsareal - resultat'!$O$4:$Q$4,0)))),SUMPRODUCT((B242='Landbrugsareal - resultat'!$B$32:$B$45)*(INDEX('Landbrugsareal - resultat'!$R$32:$T$45,,MATCH(E242,'Landbrugsareal - resultat'!$R$4:$T$4,0))))))))</f>
        <v>158.31217461175603</v>
      </c>
      <c r="H242" s="172">
        <f>G242*VLOOKUP(B242,[1]Afgrødedata!$A$5:$F$18,2,FALSE)*IF(D242="Økologisk",VLOOKUP(B242,[1]Afgrødedata!$A$5:$F$18,4,FALSE),1)*IF(E242&lt;&gt;Jordbund1,IF(E242=Organ6,VLOOKUP(B242,[1]Afgrødedata!$A$5:$F$18,5,FALSE),VLOOKUP(B242,[1]Afgrødedata!$A$5:$F$18,6,FALSE)),1)*0.1</f>
        <v>536.36164758462951</v>
      </c>
      <c r="I242" s="172">
        <f>G242*VLOOKUP(B242,[1]Afgrødedata!$A$5:$F$18,3,FALSE)*IF(D242="Økologisk",VLOOKUP(B242,[1]Afgrødedata!$A$5:$F$18,4,FALSE),1)*IF(E242&lt;&gt;Jordbund1,IF(E242=Organ6,VLOOKUP(B242,[1]Afgrødedata!$A$5:$F$18,5,FALSE),VLOOKUP(B242,[1]Afgrødedata!$A$5:$F$18,6,FALSE)),1)*HLOOKUP(C242,Landbrug!$C$15:$E$17,2,FALSE)*HLOOKUP(C242,Landbrug!$C$15:$E$17,3,FALSE)*0.1</f>
        <v>284.80803486743827</v>
      </c>
      <c r="J242" s="76">
        <f t="shared" si="42"/>
        <v>284.80803486743827</v>
      </c>
    </row>
    <row r="243" spans="1:10" x14ac:dyDescent="0.55000000000000004">
      <c r="A243" t="s">
        <v>23</v>
      </c>
      <c r="B243" s="1" t="str">
        <f>[1]Afgrødefordeling!$C$5</f>
        <v>Græs</v>
      </c>
      <c r="C243">
        <v>2050</v>
      </c>
      <c r="D243" t="s">
        <v>8</v>
      </c>
      <c r="E243" s="172" t="str">
        <f t="shared" si="47"/>
        <v>OC12</v>
      </c>
      <c r="F243" t="str">
        <f t="shared" si="41"/>
        <v>Græs</v>
      </c>
      <c r="G243" s="76" cm="1">
        <f t="array" ref="G243">IF(A243="Vestdanmark",IF(D243="Konventionel",IF(C243=2019,SUMPRODUCT((B243='Landbrugsareal - resultat'!$B$5:$B$18)*(INDEX('Landbrugsareal - resultat'!$C$5:$E$18,,MATCH(E243,'Landbrugsareal - resultat'!$C$4:$E$4,0)))),IF(C243=2030,SUMPRODUCT((B243='Landbrugsareal - resultat'!$B$5:$B$18)*(INDEX('Landbrugsareal - resultat'!$F$5:$H$18,,MATCH(E243,'Landbrugsareal - resultat'!$F$4:$H$4,0)))),SUMPRODUCT((B243='Landbrugsareal - resultat'!$B$5:$B$18)*(INDEX('Landbrugsareal - resultat'!$I$5:$K$18,,MATCH(E243,'Landbrugsareal - resultat'!$I$4:$K$4,0)))))),IF(C243=2019,SUMPRODUCT((B243='Landbrugsareal - resultat'!$B$5:$B$18)*(INDEX('Landbrugsareal - resultat'!$L$5:$N$18,,MATCH(E243,'Landbrugsareal - resultat'!$L$4:$N$4,0)))),IF(C243=2030,SUMPRODUCT((B243='Landbrugsareal - resultat'!$B$5:$B$18)*(INDEX('Landbrugsareal - resultat'!$O$5:$Q$18,,MATCH(E243,'Landbrugsareal - resultat'!$O$4:$Q$4,0)))),SUMPRODUCT((B243='Landbrugsareal - resultat'!$B$5:$B$18)*(INDEX('Landbrugsareal - resultat'!$R$5:$T$18,,MATCH(E243,'Landbrugsareal - resultat'!$R$4:$T$4,0))))))),IF(D243="Konventionel",IF(C243=2019,SUMPRODUCT((B243='Landbrugsareal - resultat'!$B$32:$B$45)*(INDEX('Landbrugsareal - resultat'!$C$32:$E$45,,MATCH(E243,'Landbrugsareal - resultat'!$C$4:$E$4,0)))),IF(C243=2030,SUMPRODUCT((B243='Landbrugsareal - resultat'!$B$32:$B$45)*(INDEX('Landbrugsareal - resultat'!$F$32:$H$45,,MATCH(E243,'Landbrugsareal - resultat'!$F$4:$H$4,0)))),SUMPRODUCT((B243='Landbrugsareal - resultat'!$B$32:$B$45)*(INDEX('Landbrugsareal - resultat'!$I$32:$K$45,,MATCH(E243,'Landbrugsareal - resultat'!$I$4:$K$4,0)))))),IF(C243=2019,SUMPRODUCT((B243='Landbrugsareal - resultat'!$B$32:$B$45)*(INDEX('Landbrugsareal - resultat'!$L$32:$N$45,,MATCH(E243,'Landbrugsareal - resultat'!$L$4:$N$4,0)))),IF(C243=2030,SUMPRODUCT((B243='Landbrugsareal - resultat'!$B$32:$B$45)*(INDEX('Landbrugsareal - resultat'!$O$32:$Q$45,,MATCH(E243,'Landbrugsareal - resultat'!$O$4:$Q$4,0)))),SUMPRODUCT((B243='Landbrugsareal - resultat'!$B$32:$B$45)*(INDEX('Landbrugsareal - resultat'!$R$32:$T$45,,MATCH(E243,'Landbrugsareal - resultat'!$R$4:$T$4,0))))))))</f>
        <v>3651.178494943515</v>
      </c>
      <c r="H243" s="172">
        <f>G243*VLOOKUP(B243,[1]Afgrødedata!$A$5:$F$18,2,FALSE)*IF(D243="Økologisk",VLOOKUP(B243,[1]Afgrødedata!$A$5:$F$18,4,FALSE),1)*IF(E243&lt;&gt;Jordbund1,IF(E243=Organ6,VLOOKUP(B243,[1]Afgrødedata!$A$5:$F$18,5,FALSE),VLOOKUP(B243,[1]Afgrødedata!$A$5:$F$18,6,FALSE)),1)*0.1</f>
        <v>197839.25279565417</v>
      </c>
      <c r="I243" s="172">
        <f>G243*VLOOKUP(B243,[1]Afgrødedata!$A$5:$F$18,3,FALSE)*IF(D243="Økologisk",VLOOKUP(B243,[1]Afgrødedata!$A$5:$F$18,4,FALSE),1)*IF(E243&lt;&gt;Jordbund1,IF(E243=Organ6,VLOOKUP(B243,[1]Afgrødedata!$A$5:$F$18,5,FALSE),VLOOKUP(B243,[1]Afgrødedata!$A$5:$F$18,6,FALSE)),1)*HLOOKUP(C243,Landbrug!$C$15:$E$17,2,FALSE)*HLOOKUP(C243,Landbrug!$C$15:$E$17,3,FALSE)*0.1</f>
        <v>0</v>
      </c>
      <c r="J243" s="76">
        <f t="shared" si="42"/>
        <v>197839.25279565417</v>
      </c>
    </row>
    <row r="244" spans="1:10" x14ac:dyDescent="0.55000000000000004">
      <c r="A244" t="s">
        <v>23</v>
      </c>
      <c r="B244" s="1" t="str">
        <f>[1]Afgrødefordeling!$C$6</f>
        <v>Grøntsager</v>
      </c>
      <c r="C244">
        <v>2050</v>
      </c>
      <c r="D244" t="s">
        <v>8</v>
      </c>
      <c r="E244" s="172" t="str">
        <f t="shared" si="47"/>
        <v>OC12</v>
      </c>
      <c r="F244" t="str">
        <f t="shared" si="41"/>
        <v>Grøntsager</v>
      </c>
      <c r="G244" s="76" cm="1">
        <f t="array" ref="G244">IF(A244="Vestdanmark",IF(D244="Konventionel",IF(C244=2019,SUMPRODUCT((B244='Landbrugsareal - resultat'!$B$5:$B$18)*(INDEX('Landbrugsareal - resultat'!$C$5:$E$18,,MATCH(E244,'Landbrugsareal - resultat'!$C$4:$E$4,0)))),IF(C244=2030,SUMPRODUCT((B244='Landbrugsareal - resultat'!$B$5:$B$18)*(INDEX('Landbrugsareal - resultat'!$F$5:$H$18,,MATCH(E244,'Landbrugsareal - resultat'!$F$4:$H$4,0)))),SUMPRODUCT((B244='Landbrugsareal - resultat'!$B$5:$B$18)*(INDEX('Landbrugsareal - resultat'!$I$5:$K$18,,MATCH(E244,'Landbrugsareal - resultat'!$I$4:$K$4,0)))))),IF(C244=2019,SUMPRODUCT((B244='Landbrugsareal - resultat'!$B$5:$B$18)*(INDEX('Landbrugsareal - resultat'!$L$5:$N$18,,MATCH(E244,'Landbrugsareal - resultat'!$L$4:$N$4,0)))),IF(C244=2030,SUMPRODUCT((B244='Landbrugsareal - resultat'!$B$5:$B$18)*(INDEX('Landbrugsareal - resultat'!$O$5:$Q$18,,MATCH(E244,'Landbrugsareal - resultat'!$O$4:$Q$4,0)))),SUMPRODUCT((B244='Landbrugsareal - resultat'!$B$5:$B$18)*(INDEX('Landbrugsareal - resultat'!$R$5:$T$18,,MATCH(E244,'Landbrugsareal - resultat'!$R$4:$T$4,0))))))),IF(D244="Konventionel",IF(C244=2019,SUMPRODUCT((B244='Landbrugsareal - resultat'!$B$32:$B$45)*(INDEX('Landbrugsareal - resultat'!$C$32:$E$45,,MATCH(E244,'Landbrugsareal - resultat'!$C$4:$E$4,0)))),IF(C244=2030,SUMPRODUCT((B244='Landbrugsareal - resultat'!$B$32:$B$45)*(INDEX('Landbrugsareal - resultat'!$F$32:$H$45,,MATCH(E244,'Landbrugsareal - resultat'!$F$4:$H$4,0)))),SUMPRODUCT((B244='Landbrugsareal - resultat'!$B$32:$B$45)*(INDEX('Landbrugsareal - resultat'!$I$32:$K$45,,MATCH(E244,'Landbrugsareal - resultat'!$I$4:$K$4,0)))))),IF(C244=2019,SUMPRODUCT((B244='Landbrugsareal - resultat'!$B$32:$B$45)*(INDEX('Landbrugsareal - resultat'!$L$32:$N$45,,MATCH(E244,'Landbrugsareal - resultat'!$L$4:$N$4,0)))),IF(C244=2030,SUMPRODUCT((B244='Landbrugsareal - resultat'!$B$32:$B$45)*(INDEX('Landbrugsareal - resultat'!$O$32:$Q$45,,MATCH(E244,'Landbrugsareal - resultat'!$O$4:$Q$4,0)))),SUMPRODUCT((B244='Landbrugsareal - resultat'!$B$32:$B$45)*(INDEX('Landbrugsareal - resultat'!$R$32:$T$45,,MATCH(E244,'Landbrugsareal - resultat'!$R$4:$T$4,0))))))))</f>
        <v>4.2438104319421681</v>
      </c>
      <c r="H244" s="172">
        <f>G244*VLOOKUP(B244,[1]Afgrødedata!$A$5:$F$18,2,FALSE)*IF(D244="Økologisk",VLOOKUP(B244,[1]Afgrødedata!$A$5:$F$18,4,FALSE),1)*IF(E244&lt;&gt;Jordbund1,IF(E244=Organ6,VLOOKUP(B244,[1]Afgrødedata!$A$5:$F$18,5,FALSE),VLOOKUP(B244,[1]Afgrødedata!$A$5:$F$18,6,FALSE)),1)*0.1</f>
        <v>70.27113503731438</v>
      </c>
      <c r="I244" s="172">
        <f>G244*VLOOKUP(B244,[1]Afgrødedata!$A$5:$F$18,3,FALSE)*IF(D244="Økologisk",VLOOKUP(B244,[1]Afgrødedata!$A$5:$F$18,4,FALSE),1)*IF(E244&lt;&gt;Jordbund1,IF(E244=Organ6,VLOOKUP(B244,[1]Afgrødedata!$A$5:$F$18,5,FALSE),VLOOKUP(B244,[1]Afgrødedata!$A$5:$F$18,6,FALSE)),1)*HLOOKUP(C244,Landbrug!$C$15:$E$17,2,FALSE)*HLOOKUP(C244,Landbrug!$C$15:$E$17,3,FALSE)*0.1</f>
        <v>0</v>
      </c>
      <c r="J244" s="76">
        <f t="shared" si="42"/>
        <v>70.27113503731438</v>
      </c>
    </row>
    <row r="245" spans="1:10" x14ac:dyDescent="0.55000000000000004">
      <c r="A245" t="s">
        <v>23</v>
      </c>
      <c r="B245" s="1" t="str">
        <f>[1]Afgrødefordeling!$C$7</f>
        <v>Kartofler</v>
      </c>
      <c r="C245">
        <v>2050</v>
      </c>
      <c r="D245" t="s">
        <v>8</v>
      </c>
      <c r="E245" s="172" t="str">
        <f t="shared" si="47"/>
        <v>OC12</v>
      </c>
      <c r="F245" t="str">
        <f t="shared" si="41"/>
        <v>Kartofler</v>
      </c>
      <c r="G245" s="76" cm="1">
        <f t="array" ref="G245">IF(A245="Vestdanmark",IF(D245="Konventionel",IF(C245=2019,SUMPRODUCT((B245='Landbrugsareal - resultat'!$B$5:$B$18)*(INDEX('Landbrugsareal - resultat'!$C$5:$E$18,,MATCH(E245,'Landbrugsareal - resultat'!$C$4:$E$4,0)))),IF(C245=2030,SUMPRODUCT((B245='Landbrugsareal - resultat'!$B$5:$B$18)*(INDEX('Landbrugsareal - resultat'!$F$5:$H$18,,MATCH(E245,'Landbrugsareal - resultat'!$F$4:$H$4,0)))),SUMPRODUCT((B245='Landbrugsareal - resultat'!$B$5:$B$18)*(INDEX('Landbrugsareal - resultat'!$I$5:$K$18,,MATCH(E245,'Landbrugsareal - resultat'!$I$4:$K$4,0)))))),IF(C245=2019,SUMPRODUCT((B245='Landbrugsareal - resultat'!$B$5:$B$18)*(INDEX('Landbrugsareal - resultat'!$L$5:$N$18,,MATCH(E245,'Landbrugsareal - resultat'!$L$4:$N$4,0)))),IF(C245=2030,SUMPRODUCT((B245='Landbrugsareal - resultat'!$B$5:$B$18)*(INDEX('Landbrugsareal - resultat'!$O$5:$Q$18,,MATCH(E245,'Landbrugsareal - resultat'!$O$4:$Q$4,0)))),SUMPRODUCT((B245='Landbrugsareal - resultat'!$B$5:$B$18)*(INDEX('Landbrugsareal - resultat'!$R$5:$T$18,,MATCH(E245,'Landbrugsareal - resultat'!$R$4:$T$4,0))))))),IF(D245="Konventionel",IF(C245=2019,SUMPRODUCT((B245='Landbrugsareal - resultat'!$B$32:$B$45)*(INDEX('Landbrugsareal - resultat'!$C$32:$E$45,,MATCH(E245,'Landbrugsareal - resultat'!$C$4:$E$4,0)))),IF(C245=2030,SUMPRODUCT((B245='Landbrugsareal - resultat'!$B$32:$B$45)*(INDEX('Landbrugsareal - resultat'!$F$32:$H$45,,MATCH(E245,'Landbrugsareal - resultat'!$F$4:$H$4,0)))),SUMPRODUCT((B245='Landbrugsareal - resultat'!$B$32:$B$45)*(INDEX('Landbrugsareal - resultat'!$I$32:$K$45,,MATCH(E245,'Landbrugsareal - resultat'!$I$4:$K$4,0)))))),IF(C245=2019,SUMPRODUCT((B245='Landbrugsareal - resultat'!$B$32:$B$45)*(INDEX('Landbrugsareal - resultat'!$L$32:$N$45,,MATCH(E245,'Landbrugsareal - resultat'!$L$4:$N$4,0)))),IF(C245=2030,SUMPRODUCT((B245='Landbrugsareal - resultat'!$B$32:$B$45)*(INDEX('Landbrugsareal - resultat'!$O$32:$Q$45,,MATCH(E245,'Landbrugsareal - resultat'!$O$4:$Q$4,0)))),SUMPRODUCT((B245='Landbrugsareal - resultat'!$B$32:$B$45)*(INDEX('Landbrugsareal - resultat'!$R$32:$T$45,,MATCH(E245,'Landbrugsareal - resultat'!$R$4:$T$4,0))))))))</f>
        <v>224.62613063579431</v>
      </c>
      <c r="H245" s="172">
        <f>G245*VLOOKUP(B245,[1]Afgrødedata!$A$5:$F$18,2,FALSE)*IF(D245="Økologisk",VLOOKUP(B245,[1]Afgrødedata!$A$5:$F$18,4,FALSE),1)*IF(E245&lt;&gt;Jordbund1,IF(E245=Organ6,VLOOKUP(B245,[1]Afgrødedata!$A$5:$F$18,5,FALSE),VLOOKUP(B245,[1]Afgrødedata!$A$5:$F$18,6,FALSE)),1)*0.1</f>
        <v>7612.9789025904211</v>
      </c>
      <c r="I245" s="172">
        <f>G245*VLOOKUP(B245,[1]Afgrødedata!$A$5:$F$18,3,FALSE)*IF(D245="Økologisk",VLOOKUP(B245,[1]Afgrødedata!$A$5:$F$18,4,FALSE),1)*IF(E245&lt;&gt;Jordbund1,IF(E245=Organ6,VLOOKUP(B245,[1]Afgrødedata!$A$5:$F$18,5,FALSE),VLOOKUP(B245,[1]Afgrødedata!$A$5:$F$18,6,FALSE)),1)*HLOOKUP(C245,Landbrug!$C$15:$E$17,2,FALSE)*HLOOKUP(C245,Landbrug!$C$15:$E$17,3,FALSE)*0.1</f>
        <v>0</v>
      </c>
      <c r="J245" s="76">
        <f t="shared" si="42"/>
        <v>7612.9789025904211</v>
      </c>
    </row>
    <row r="246" spans="1:10" x14ac:dyDescent="0.55000000000000004">
      <c r="A246" t="s">
        <v>23</v>
      </c>
      <c r="B246" s="1" t="str">
        <f>[1]Afgrødefordeling!$C$8</f>
        <v>Roer</v>
      </c>
      <c r="C246">
        <v>2050</v>
      </c>
      <c r="D246" t="s">
        <v>8</v>
      </c>
      <c r="E246" s="172" t="str">
        <f t="shared" si="47"/>
        <v>OC12</v>
      </c>
      <c r="F246" t="str">
        <f t="shared" si="41"/>
        <v>Roer</v>
      </c>
      <c r="G246" s="76" cm="1">
        <f t="array" ref="G246">IF(A246="Vestdanmark",IF(D246="Konventionel",IF(C246=2019,SUMPRODUCT((B246='Landbrugsareal - resultat'!$B$5:$B$18)*(INDEX('Landbrugsareal - resultat'!$C$5:$E$18,,MATCH(E246,'Landbrugsareal - resultat'!$C$4:$E$4,0)))),IF(C246=2030,SUMPRODUCT((B246='Landbrugsareal - resultat'!$B$5:$B$18)*(INDEX('Landbrugsareal - resultat'!$F$5:$H$18,,MATCH(E246,'Landbrugsareal - resultat'!$F$4:$H$4,0)))),SUMPRODUCT((B246='Landbrugsareal - resultat'!$B$5:$B$18)*(INDEX('Landbrugsareal - resultat'!$I$5:$K$18,,MATCH(E246,'Landbrugsareal - resultat'!$I$4:$K$4,0)))))),IF(C246=2019,SUMPRODUCT((B246='Landbrugsareal - resultat'!$B$5:$B$18)*(INDEX('Landbrugsareal - resultat'!$L$5:$N$18,,MATCH(E246,'Landbrugsareal - resultat'!$L$4:$N$4,0)))),IF(C246=2030,SUMPRODUCT((B246='Landbrugsareal - resultat'!$B$5:$B$18)*(INDEX('Landbrugsareal - resultat'!$O$5:$Q$18,,MATCH(E246,'Landbrugsareal - resultat'!$O$4:$Q$4,0)))),SUMPRODUCT((B246='Landbrugsareal - resultat'!$B$5:$B$18)*(INDEX('Landbrugsareal - resultat'!$R$5:$T$18,,MATCH(E246,'Landbrugsareal - resultat'!$R$4:$T$4,0))))))),IF(D246="Konventionel",IF(C246=2019,SUMPRODUCT((B246='Landbrugsareal - resultat'!$B$32:$B$45)*(INDEX('Landbrugsareal - resultat'!$C$32:$E$45,,MATCH(E246,'Landbrugsareal - resultat'!$C$4:$E$4,0)))),IF(C246=2030,SUMPRODUCT((B246='Landbrugsareal - resultat'!$B$32:$B$45)*(INDEX('Landbrugsareal - resultat'!$F$32:$H$45,,MATCH(E246,'Landbrugsareal - resultat'!$F$4:$H$4,0)))),SUMPRODUCT((B246='Landbrugsareal - resultat'!$B$32:$B$45)*(INDEX('Landbrugsareal - resultat'!$I$32:$K$45,,MATCH(E246,'Landbrugsareal - resultat'!$I$4:$K$4,0)))))),IF(C246=2019,SUMPRODUCT((B246='Landbrugsareal - resultat'!$B$32:$B$45)*(INDEX('Landbrugsareal - resultat'!$L$32:$N$45,,MATCH(E246,'Landbrugsareal - resultat'!$L$4:$N$4,0)))),IF(C246=2030,SUMPRODUCT((B246='Landbrugsareal - resultat'!$B$32:$B$45)*(INDEX('Landbrugsareal - resultat'!$O$32:$Q$45,,MATCH(E246,'Landbrugsareal - resultat'!$O$4:$Q$4,0)))),SUMPRODUCT((B246='Landbrugsareal - resultat'!$B$32:$B$45)*(INDEX('Landbrugsareal - resultat'!$R$32:$T$45,,MATCH(E246,'Landbrugsareal - resultat'!$R$4:$T$4,0))))))))</f>
        <v>2.4291210594468406</v>
      </c>
      <c r="H246" s="172">
        <f>G246*VLOOKUP(B246,[1]Afgrødedata!$A$5:$F$18,2,FALSE)*IF(D246="Økologisk",VLOOKUP(B246,[1]Afgrødedata!$A$5:$F$18,4,FALSE),1)*IF(E246&lt;&gt;Jordbund1,IF(E246=Organ6,VLOOKUP(B246,[1]Afgrødedata!$A$5:$F$18,5,FALSE),VLOOKUP(B246,[1]Afgrødedata!$A$5:$F$18,6,FALSE)),1)*0.1</f>
        <v>157.50536967175552</v>
      </c>
      <c r="I246" s="172">
        <f>G246*VLOOKUP(B246,[1]Afgrødedata!$A$5:$F$18,3,FALSE)*IF(D246="Økologisk",VLOOKUP(B246,[1]Afgrødedata!$A$5:$F$18,4,FALSE),1)*IF(E246&lt;&gt;Jordbund1,IF(E246=Organ6,VLOOKUP(B246,[1]Afgrødedata!$A$5:$F$18,5,FALSE),VLOOKUP(B246,[1]Afgrødedata!$A$5:$F$18,6,FALSE)),1)*HLOOKUP(C246,Landbrug!$C$15:$E$17,2,FALSE)*HLOOKUP(C246,Landbrug!$C$15:$E$17,3,FALSE)*0.1</f>
        <v>0</v>
      </c>
      <c r="J246" s="76">
        <f t="shared" si="42"/>
        <v>157.50536967175552</v>
      </c>
    </row>
    <row r="247" spans="1:10" x14ac:dyDescent="0.55000000000000004">
      <c r="A247" t="s">
        <v>23</v>
      </c>
      <c r="B247" s="1" t="str">
        <f>[1]Afgrødefordeling!$C$9</f>
        <v>Majs</v>
      </c>
      <c r="C247">
        <v>2050</v>
      </c>
      <c r="D247" t="s">
        <v>8</v>
      </c>
      <c r="E247" s="172" t="str">
        <f t="shared" si="47"/>
        <v>OC12</v>
      </c>
      <c r="F247" t="str">
        <f t="shared" si="41"/>
        <v>Majs</v>
      </c>
      <c r="G247" s="76" cm="1">
        <f t="array" ref="G247">IF(A247="Vestdanmark",IF(D247="Konventionel",IF(C247=2019,SUMPRODUCT((B247='Landbrugsareal - resultat'!$B$5:$B$18)*(INDEX('Landbrugsareal - resultat'!$C$5:$E$18,,MATCH(E247,'Landbrugsareal - resultat'!$C$4:$E$4,0)))),IF(C247=2030,SUMPRODUCT((B247='Landbrugsareal - resultat'!$B$5:$B$18)*(INDEX('Landbrugsareal - resultat'!$F$5:$H$18,,MATCH(E247,'Landbrugsareal - resultat'!$F$4:$H$4,0)))),SUMPRODUCT((B247='Landbrugsareal - resultat'!$B$5:$B$18)*(INDEX('Landbrugsareal - resultat'!$I$5:$K$18,,MATCH(E247,'Landbrugsareal - resultat'!$I$4:$K$4,0)))))),IF(C247=2019,SUMPRODUCT((B247='Landbrugsareal - resultat'!$B$5:$B$18)*(INDEX('Landbrugsareal - resultat'!$L$5:$N$18,,MATCH(E247,'Landbrugsareal - resultat'!$L$4:$N$4,0)))),IF(C247=2030,SUMPRODUCT((B247='Landbrugsareal - resultat'!$B$5:$B$18)*(INDEX('Landbrugsareal - resultat'!$O$5:$Q$18,,MATCH(E247,'Landbrugsareal - resultat'!$O$4:$Q$4,0)))),SUMPRODUCT((B247='Landbrugsareal - resultat'!$B$5:$B$18)*(INDEX('Landbrugsareal - resultat'!$R$5:$T$18,,MATCH(E247,'Landbrugsareal - resultat'!$R$4:$T$4,0))))))),IF(D247="Konventionel",IF(C247=2019,SUMPRODUCT((B247='Landbrugsareal - resultat'!$B$32:$B$45)*(INDEX('Landbrugsareal - resultat'!$C$32:$E$45,,MATCH(E247,'Landbrugsareal - resultat'!$C$4:$E$4,0)))),IF(C247=2030,SUMPRODUCT((B247='Landbrugsareal - resultat'!$B$32:$B$45)*(INDEX('Landbrugsareal - resultat'!$F$32:$H$45,,MATCH(E247,'Landbrugsareal - resultat'!$F$4:$H$4,0)))),SUMPRODUCT((B247='Landbrugsareal - resultat'!$B$32:$B$45)*(INDEX('Landbrugsareal - resultat'!$I$32:$K$45,,MATCH(E247,'Landbrugsareal - resultat'!$I$4:$K$4,0)))))),IF(C247=2019,SUMPRODUCT((B247='Landbrugsareal - resultat'!$B$32:$B$45)*(INDEX('Landbrugsareal - resultat'!$L$32:$N$45,,MATCH(E247,'Landbrugsareal - resultat'!$L$4:$N$4,0)))),IF(C247=2030,SUMPRODUCT((B247='Landbrugsareal - resultat'!$B$32:$B$45)*(INDEX('Landbrugsareal - resultat'!$O$32:$Q$45,,MATCH(E247,'Landbrugsareal - resultat'!$O$4:$Q$4,0)))),SUMPRODUCT((B247='Landbrugsareal - resultat'!$B$32:$B$45)*(INDEX('Landbrugsareal - resultat'!$R$32:$T$45,,MATCH(E247,'Landbrugsareal - resultat'!$R$4:$T$4,0))))))))</f>
        <v>302.08498383282881</v>
      </c>
      <c r="H247" s="172">
        <f>G247*VLOOKUP(B247,[1]Afgrødedata!$A$5:$F$18,2,FALSE)*IF(D247="Økologisk",VLOOKUP(B247,[1]Afgrødedata!$A$5:$F$18,4,FALSE),1)*IF(E247&lt;&gt;Jordbund1,IF(E247=Organ6,VLOOKUP(B247,[1]Afgrødedata!$A$5:$F$18,5,FALSE),VLOOKUP(B247,[1]Afgrødedata!$A$5:$F$18,6,FALSE)),1)*0.1</f>
        <v>15624.022656523883</v>
      </c>
      <c r="I247" s="172">
        <f>G247*VLOOKUP(B247,[1]Afgrødedata!$A$5:$F$18,3,FALSE)*IF(D247="Økologisk",VLOOKUP(B247,[1]Afgrødedata!$A$5:$F$18,4,FALSE),1)*IF(E247&lt;&gt;Jordbund1,IF(E247=Organ6,VLOOKUP(B247,[1]Afgrødedata!$A$5:$F$18,5,FALSE),VLOOKUP(B247,[1]Afgrødedata!$A$5:$F$18,6,FALSE)),1)*HLOOKUP(C247,Landbrug!$C$15:$E$17,2,FALSE)*HLOOKUP(C247,Landbrug!$C$15:$E$17,3,FALSE)*0.1</f>
        <v>0</v>
      </c>
      <c r="J247" s="76">
        <f t="shared" si="42"/>
        <v>15624.022656523883</v>
      </c>
    </row>
    <row r="248" spans="1:10" x14ac:dyDescent="0.55000000000000004">
      <c r="A248" t="s">
        <v>23</v>
      </c>
      <c r="B248" s="1" t="str">
        <f>[1]Afgrødefordeling!$C$10</f>
        <v>Frugt</v>
      </c>
      <c r="C248">
        <v>2050</v>
      </c>
      <c r="D248" t="s">
        <v>8</v>
      </c>
      <c r="E248" s="172" t="str">
        <f t="shared" si="47"/>
        <v>OC12</v>
      </c>
      <c r="F248" t="str">
        <f t="shared" si="41"/>
        <v>Frugt</v>
      </c>
      <c r="G248" s="76" cm="1">
        <f t="array" ref="G248">IF(A248="Vestdanmark",IF(D248="Konventionel",IF(C248=2019,SUMPRODUCT((B248='Landbrugsareal - resultat'!$B$5:$B$18)*(INDEX('Landbrugsareal - resultat'!$C$5:$E$18,,MATCH(E248,'Landbrugsareal - resultat'!$C$4:$E$4,0)))),IF(C248=2030,SUMPRODUCT((B248='Landbrugsareal - resultat'!$B$5:$B$18)*(INDEX('Landbrugsareal - resultat'!$F$5:$H$18,,MATCH(E248,'Landbrugsareal - resultat'!$F$4:$H$4,0)))),SUMPRODUCT((B248='Landbrugsareal - resultat'!$B$5:$B$18)*(INDEX('Landbrugsareal - resultat'!$I$5:$K$18,,MATCH(E248,'Landbrugsareal - resultat'!$I$4:$K$4,0)))))),IF(C248=2019,SUMPRODUCT((B248='Landbrugsareal - resultat'!$B$5:$B$18)*(INDEX('Landbrugsareal - resultat'!$L$5:$N$18,,MATCH(E248,'Landbrugsareal - resultat'!$L$4:$N$4,0)))),IF(C248=2030,SUMPRODUCT((B248='Landbrugsareal - resultat'!$B$5:$B$18)*(INDEX('Landbrugsareal - resultat'!$O$5:$Q$18,,MATCH(E248,'Landbrugsareal - resultat'!$O$4:$Q$4,0)))),SUMPRODUCT((B248='Landbrugsareal - resultat'!$B$5:$B$18)*(INDEX('Landbrugsareal - resultat'!$R$5:$T$18,,MATCH(E248,'Landbrugsareal - resultat'!$R$4:$T$4,0))))))),IF(D248="Konventionel",IF(C248=2019,SUMPRODUCT((B248='Landbrugsareal - resultat'!$B$32:$B$45)*(INDEX('Landbrugsareal - resultat'!$C$32:$E$45,,MATCH(E248,'Landbrugsareal - resultat'!$C$4:$E$4,0)))),IF(C248=2030,SUMPRODUCT((B248='Landbrugsareal - resultat'!$B$32:$B$45)*(INDEX('Landbrugsareal - resultat'!$F$32:$H$45,,MATCH(E248,'Landbrugsareal - resultat'!$F$4:$H$4,0)))),SUMPRODUCT((B248='Landbrugsareal - resultat'!$B$32:$B$45)*(INDEX('Landbrugsareal - resultat'!$I$32:$K$45,,MATCH(E248,'Landbrugsareal - resultat'!$I$4:$K$4,0)))))),IF(C248=2019,SUMPRODUCT((B248='Landbrugsareal - resultat'!$B$32:$B$45)*(INDEX('Landbrugsareal - resultat'!$L$32:$N$45,,MATCH(E248,'Landbrugsareal - resultat'!$L$4:$N$4,0)))),IF(C248=2030,SUMPRODUCT((B248='Landbrugsareal - resultat'!$B$32:$B$45)*(INDEX('Landbrugsareal - resultat'!$O$32:$Q$45,,MATCH(E248,'Landbrugsareal - resultat'!$O$4:$Q$4,0)))),SUMPRODUCT((B248='Landbrugsareal - resultat'!$B$32:$B$45)*(INDEX('Landbrugsareal - resultat'!$R$32:$T$45,,MATCH(E248,'Landbrugsareal - resultat'!$R$4:$T$4,0))))))))</f>
        <v>8.6568376608520836</v>
      </c>
      <c r="H248" s="172">
        <f>G248*VLOOKUP(B248,[1]Afgrødedata!$A$5:$F$18,2,FALSE)*IF(D248="Økologisk",VLOOKUP(B248,[1]Afgrødedata!$A$5:$F$18,4,FALSE),1)*IF(E248&lt;&gt;Jordbund1,IF(E248=Organ6,VLOOKUP(B248,[1]Afgrødedata!$A$5:$F$18,5,FALSE),VLOOKUP(B248,[1]Afgrødedata!$A$5:$F$18,6,FALSE)),1)*0.1</f>
        <v>58.650248289026081</v>
      </c>
      <c r="I248" s="172">
        <f>G248*VLOOKUP(B248,[1]Afgrødedata!$A$5:$F$18,3,FALSE)*IF(D248="Økologisk",VLOOKUP(B248,[1]Afgrødedata!$A$5:$F$18,4,FALSE),1)*IF(E248&lt;&gt;Jordbund1,IF(E248=Organ6,VLOOKUP(B248,[1]Afgrødedata!$A$5:$F$18,5,FALSE),VLOOKUP(B248,[1]Afgrødedata!$A$5:$F$18,6,FALSE)),1)*HLOOKUP(C248,Landbrug!$C$15:$E$17,2,FALSE)*HLOOKUP(C248,Landbrug!$C$15:$E$17,3,FALSE)*0.1</f>
        <v>0</v>
      </c>
      <c r="J248" s="76">
        <f t="shared" si="42"/>
        <v>58.650248289026081</v>
      </c>
    </row>
    <row r="249" spans="1:10" x14ac:dyDescent="0.55000000000000004">
      <c r="A249" t="s">
        <v>23</v>
      </c>
      <c r="B249" s="1" t="str">
        <f>[1]Afgrødefordeling!$C$11</f>
        <v>Øvrige</v>
      </c>
      <c r="C249">
        <v>2050</v>
      </c>
      <c r="D249" t="s">
        <v>8</v>
      </c>
      <c r="E249" s="172" t="str">
        <f t="shared" si="47"/>
        <v>OC12</v>
      </c>
      <c r="F249" t="str">
        <f t="shared" si="41"/>
        <v>Øvrige</v>
      </c>
      <c r="G249" s="76" cm="1">
        <f t="array" ref="G249">IF(A249="Vestdanmark",IF(D249="Konventionel",IF(C249=2019,SUMPRODUCT((B249='Landbrugsareal - resultat'!$B$5:$B$18)*(INDEX('Landbrugsareal - resultat'!$C$5:$E$18,,MATCH(E249,'Landbrugsareal - resultat'!$C$4:$E$4,0)))),IF(C249=2030,SUMPRODUCT((B249='Landbrugsareal - resultat'!$B$5:$B$18)*(INDEX('Landbrugsareal - resultat'!$F$5:$H$18,,MATCH(E249,'Landbrugsareal - resultat'!$F$4:$H$4,0)))),SUMPRODUCT((B249='Landbrugsareal - resultat'!$B$5:$B$18)*(INDEX('Landbrugsareal - resultat'!$I$5:$K$18,,MATCH(E249,'Landbrugsareal - resultat'!$I$4:$K$4,0)))))),IF(C249=2019,SUMPRODUCT((B249='Landbrugsareal - resultat'!$B$5:$B$18)*(INDEX('Landbrugsareal - resultat'!$L$5:$N$18,,MATCH(E249,'Landbrugsareal - resultat'!$L$4:$N$4,0)))),IF(C249=2030,SUMPRODUCT((B249='Landbrugsareal - resultat'!$B$5:$B$18)*(INDEX('Landbrugsareal - resultat'!$O$5:$Q$18,,MATCH(E249,'Landbrugsareal - resultat'!$O$4:$Q$4,0)))),SUMPRODUCT((B249='Landbrugsareal - resultat'!$B$5:$B$18)*(INDEX('Landbrugsareal - resultat'!$R$5:$T$18,,MATCH(E249,'Landbrugsareal - resultat'!$R$4:$T$4,0))))))),IF(D249="Konventionel",IF(C249=2019,SUMPRODUCT((B249='Landbrugsareal - resultat'!$B$32:$B$45)*(INDEX('Landbrugsareal - resultat'!$C$32:$E$45,,MATCH(E249,'Landbrugsareal - resultat'!$C$4:$E$4,0)))),IF(C249=2030,SUMPRODUCT((B249='Landbrugsareal - resultat'!$B$32:$B$45)*(INDEX('Landbrugsareal - resultat'!$F$32:$H$45,,MATCH(E249,'Landbrugsareal - resultat'!$F$4:$H$4,0)))),SUMPRODUCT((B249='Landbrugsareal - resultat'!$B$32:$B$45)*(INDEX('Landbrugsareal - resultat'!$I$32:$K$45,,MATCH(E249,'Landbrugsareal - resultat'!$I$4:$K$4,0)))))),IF(C249=2019,SUMPRODUCT((B249='Landbrugsareal - resultat'!$B$32:$B$45)*(INDEX('Landbrugsareal - resultat'!$L$32:$N$45,,MATCH(E249,'Landbrugsareal - resultat'!$L$4:$N$4,0)))),IF(C249=2030,SUMPRODUCT((B249='Landbrugsareal - resultat'!$B$32:$B$45)*(INDEX('Landbrugsareal - resultat'!$O$32:$Q$45,,MATCH(E249,'Landbrugsareal - resultat'!$O$4:$Q$4,0)))),SUMPRODUCT((B249='Landbrugsareal - resultat'!$B$32:$B$45)*(INDEX('Landbrugsareal - resultat'!$R$32:$T$45,,MATCH(E249,'Landbrugsareal - resultat'!$R$4:$T$4,0))))))))</f>
        <v>153.10397725018711</v>
      </c>
      <c r="H249" s="172">
        <f>G249*VLOOKUP(B249,[1]Afgrødedata!$A$5:$F$18,2,FALSE)*IF(D249="Økologisk",VLOOKUP(B249,[1]Afgrødedata!$A$5:$F$18,4,FALSE),1)*IF(E249&lt;&gt;Jordbund1,IF(E249=Organ6,VLOOKUP(B249,[1]Afgrødedata!$A$5:$F$18,5,FALSE),VLOOKUP(B249,[1]Afgrødedata!$A$5:$F$18,6,FALSE)),1)*0.1</f>
        <v>3640.3782107061229</v>
      </c>
      <c r="I249" s="172">
        <f>G249*VLOOKUP(B249,[1]Afgrødedata!$A$5:$F$18,3,FALSE)*IF(D249="Økologisk",VLOOKUP(B249,[1]Afgrødedata!$A$5:$F$18,4,FALSE),1)*IF(E249&lt;&gt;Jordbund1,IF(E249=Organ6,VLOOKUP(B249,[1]Afgrødedata!$A$5:$F$18,5,FALSE),VLOOKUP(B249,[1]Afgrødedata!$A$5:$F$18,6,FALSE)),1)*HLOOKUP(C249,Landbrug!$C$15:$E$17,2,FALSE)*HLOOKUP(C249,Landbrug!$C$15:$E$17,3,FALSE)*0.1</f>
        <v>0</v>
      </c>
      <c r="J249" s="76">
        <f t="shared" si="42"/>
        <v>3640.3782107061229</v>
      </c>
    </row>
    <row r="250" spans="1:10" x14ac:dyDescent="0.55000000000000004">
      <c r="A250" t="s">
        <v>23</v>
      </c>
      <c r="B250" s="1" t="str">
        <f>[1]Afgrødefordeling!$C$12</f>
        <v>Frø</v>
      </c>
      <c r="C250">
        <v>2050</v>
      </c>
      <c r="D250" t="s">
        <v>8</v>
      </c>
      <c r="E250" s="172" t="str">
        <f t="shared" si="47"/>
        <v>OC12</v>
      </c>
      <c r="F250" t="str">
        <f t="shared" si="41"/>
        <v>Halm</v>
      </c>
      <c r="G250" s="76" cm="1">
        <f t="array" ref="G250">IF(A250="Vestdanmark",IF(D250="Konventionel",IF(C250=2019,SUMPRODUCT((B250='Landbrugsareal - resultat'!$B$5:$B$18)*(INDEX('Landbrugsareal - resultat'!$C$5:$E$18,,MATCH(E250,'Landbrugsareal - resultat'!$C$4:$E$4,0)))),IF(C250=2030,SUMPRODUCT((B250='Landbrugsareal - resultat'!$B$5:$B$18)*(INDEX('Landbrugsareal - resultat'!$F$5:$H$18,,MATCH(E250,'Landbrugsareal - resultat'!$F$4:$H$4,0)))),SUMPRODUCT((B250='Landbrugsareal - resultat'!$B$5:$B$18)*(INDEX('Landbrugsareal - resultat'!$I$5:$K$18,,MATCH(E250,'Landbrugsareal - resultat'!$I$4:$K$4,0)))))),IF(C250=2019,SUMPRODUCT((B250='Landbrugsareal - resultat'!$B$5:$B$18)*(INDEX('Landbrugsareal - resultat'!$L$5:$N$18,,MATCH(E250,'Landbrugsareal - resultat'!$L$4:$N$4,0)))),IF(C250=2030,SUMPRODUCT((B250='Landbrugsareal - resultat'!$B$5:$B$18)*(INDEX('Landbrugsareal - resultat'!$O$5:$Q$18,,MATCH(E250,'Landbrugsareal - resultat'!$O$4:$Q$4,0)))),SUMPRODUCT((B250='Landbrugsareal - resultat'!$B$5:$B$18)*(INDEX('Landbrugsareal - resultat'!$R$5:$T$18,,MATCH(E250,'Landbrugsareal - resultat'!$R$4:$T$4,0))))))),IF(D250="Konventionel",IF(C250=2019,SUMPRODUCT((B250='Landbrugsareal - resultat'!$B$32:$B$45)*(INDEX('Landbrugsareal - resultat'!$C$32:$E$45,,MATCH(E250,'Landbrugsareal - resultat'!$C$4:$E$4,0)))),IF(C250=2030,SUMPRODUCT((B250='Landbrugsareal - resultat'!$B$32:$B$45)*(INDEX('Landbrugsareal - resultat'!$F$32:$H$45,,MATCH(E250,'Landbrugsareal - resultat'!$F$4:$H$4,0)))),SUMPRODUCT((B250='Landbrugsareal - resultat'!$B$32:$B$45)*(INDEX('Landbrugsareal - resultat'!$I$32:$K$45,,MATCH(E250,'Landbrugsareal - resultat'!$I$4:$K$4,0)))))),IF(C250=2019,SUMPRODUCT((B250='Landbrugsareal - resultat'!$B$32:$B$45)*(INDEX('Landbrugsareal - resultat'!$L$32:$N$45,,MATCH(E250,'Landbrugsareal - resultat'!$L$4:$N$4,0)))),IF(C250=2030,SUMPRODUCT((B250='Landbrugsareal - resultat'!$B$32:$B$45)*(INDEX('Landbrugsareal - resultat'!$O$32:$Q$45,,MATCH(E250,'Landbrugsareal - resultat'!$O$4:$Q$4,0)))),SUMPRODUCT((B250='Landbrugsareal - resultat'!$B$32:$B$45)*(INDEX('Landbrugsareal - resultat'!$R$32:$T$45,,MATCH(E250,'Landbrugsareal - resultat'!$R$4:$T$4,0))))))))</f>
        <v>487.12566739124247</v>
      </c>
      <c r="H250" s="172">
        <f>G250*VLOOKUP(B250,[1]Afgrødedata!$A$5:$F$18,2,FALSE)*IF(D250="Økologisk",VLOOKUP(B250,[1]Afgrødedata!$A$5:$F$18,4,FALSE),1)*IF(E250&lt;&gt;Jordbund1,IF(E250=Organ6,VLOOKUP(B250,[1]Afgrødedata!$A$5:$F$18,5,FALSE),VLOOKUP(B250,[1]Afgrødedata!$A$5:$F$18,6,FALSE)),1)*0.1</f>
        <v>5554.4557253156536</v>
      </c>
      <c r="I250" s="172">
        <f>G250*VLOOKUP(B250,[1]Afgrødedata!$A$5:$F$18,3,FALSE)*IF(D250="Økologisk",VLOOKUP(B250,[1]Afgrødedata!$A$5:$F$18,4,FALSE),1)*IF(E250&lt;&gt;Jordbund1,IF(E250=Organ6,VLOOKUP(B250,[1]Afgrødedata!$A$5:$F$18,5,FALSE),VLOOKUP(B250,[1]Afgrødedata!$A$5:$F$18,6,FALSE)),1)*HLOOKUP(C250,Landbrug!$C$15:$E$17,2,FALSE)*HLOOKUP(C250,Landbrug!$C$15:$E$17,3,FALSE)*0.1</f>
        <v>917.39402688457892</v>
      </c>
      <c r="J250" s="76">
        <f t="shared" si="42"/>
        <v>917.39402688457892</v>
      </c>
    </row>
    <row r="251" spans="1:10" x14ac:dyDescent="0.55000000000000004">
      <c r="A251" t="s">
        <v>23</v>
      </c>
      <c r="B251" s="1" t="str">
        <f>[1]Afgrødefordeling!$C$13</f>
        <v>Juletræer</v>
      </c>
      <c r="C251">
        <v>2050</v>
      </c>
      <c r="D251" t="s">
        <v>8</v>
      </c>
      <c r="E251" s="172" t="str">
        <f t="shared" si="47"/>
        <v>OC12</v>
      </c>
      <c r="F251" t="str">
        <f t="shared" si="41"/>
        <v>Juletræer</v>
      </c>
      <c r="G251" s="76" cm="1">
        <f t="array" ref="G251">IF(A251="Vestdanmark",IF(D251="Konventionel",IF(C251=2019,SUMPRODUCT((B251='Landbrugsareal - resultat'!$B$5:$B$18)*(INDEX('Landbrugsareal - resultat'!$C$5:$E$18,,MATCH(E251,'Landbrugsareal - resultat'!$C$4:$E$4,0)))),IF(C251=2030,SUMPRODUCT((B251='Landbrugsareal - resultat'!$B$5:$B$18)*(INDEX('Landbrugsareal - resultat'!$F$5:$H$18,,MATCH(E251,'Landbrugsareal - resultat'!$F$4:$H$4,0)))),SUMPRODUCT((B251='Landbrugsareal - resultat'!$B$5:$B$18)*(INDEX('Landbrugsareal - resultat'!$I$5:$K$18,,MATCH(E251,'Landbrugsareal - resultat'!$I$4:$K$4,0)))))),IF(C251=2019,SUMPRODUCT((B251='Landbrugsareal - resultat'!$B$5:$B$18)*(INDEX('Landbrugsareal - resultat'!$L$5:$N$18,,MATCH(E251,'Landbrugsareal - resultat'!$L$4:$N$4,0)))),IF(C251=2030,SUMPRODUCT((B251='Landbrugsareal - resultat'!$B$5:$B$18)*(INDEX('Landbrugsareal - resultat'!$O$5:$Q$18,,MATCH(E251,'Landbrugsareal - resultat'!$O$4:$Q$4,0)))),SUMPRODUCT((B251='Landbrugsareal - resultat'!$B$5:$B$18)*(INDEX('Landbrugsareal - resultat'!$R$5:$T$18,,MATCH(E251,'Landbrugsareal - resultat'!$R$4:$T$4,0))))))),IF(D251="Konventionel",IF(C251=2019,SUMPRODUCT((B251='Landbrugsareal - resultat'!$B$32:$B$45)*(INDEX('Landbrugsareal - resultat'!$C$32:$E$45,,MATCH(E251,'Landbrugsareal - resultat'!$C$4:$E$4,0)))),IF(C251=2030,SUMPRODUCT((B251='Landbrugsareal - resultat'!$B$32:$B$45)*(INDEX('Landbrugsareal - resultat'!$F$32:$H$45,,MATCH(E251,'Landbrugsareal - resultat'!$F$4:$H$4,0)))),SUMPRODUCT((B251='Landbrugsareal - resultat'!$B$32:$B$45)*(INDEX('Landbrugsareal - resultat'!$I$32:$K$45,,MATCH(E251,'Landbrugsareal - resultat'!$I$4:$K$4,0)))))),IF(C251=2019,SUMPRODUCT((B251='Landbrugsareal - resultat'!$B$32:$B$45)*(INDEX('Landbrugsareal - resultat'!$L$32:$N$45,,MATCH(E251,'Landbrugsareal - resultat'!$L$4:$N$4,0)))),IF(C251=2030,SUMPRODUCT((B251='Landbrugsareal - resultat'!$B$32:$B$45)*(INDEX('Landbrugsareal - resultat'!$O$32:$Q$45,,MATCH(E251,'Landbrugsareal - resultat'!$O$4:$Q$4,0)))),SUMPRODUCT((B251='Landbrugsareal - resultat'!$B$32:$B$45)*(INDEX('Landbrugsareal - resultat'!$R$32:$T$45,,MATCH(E251,'Landbrugsareal - resultat'!$R$4:$T$4,0))))))))</f>
        <v>43.41875054769335</v>
      </c>
      <c r="H251" s="172">
        <f>G251*VLOOKUP(B251,[1]Afgrødedata!$A$5:$F$18,2,FALSE)*IF(D251="Økologisk",VLOOKUP(B251,[1]Afgrødedata!$A$5:$F$18,4,FALSE),1)*IF(E251&lt;&gt;Jordbund1,IF(E251=Organ6,VLOOKUP(B251,[1]Afgrødedata!$A$5:$F$18,5,FALSE),VLOOKUP(B251,[1]Afgrødedata!$A$5:$F$18,6,FALSE)),1)*0.1</f>
        <v>1732.4081468529648</v>
      </c>
      <c r="I251" s="172">
        <f>G251*VLOOKUP(B251,[1]Afgrødedata!$A$5:$F$18,3,FALSE)*IF(D251="Økologisk",VLOOKUP(B251,[1]Afgrødedata!$A$5:$F$18,4,FALSE),1)*IF(E251&lt;&gt;Jordbund1,IF(E251=Organ6,VLOOKUP(B251,[1]Afgrødedata!$A$5:$F$18,5,FALSE),VLOOKUP(B251,[1]Afgrødedata!$A$5:$F$18,6,FALSE)),1)*HLOOKUP(C251,Landbrug!$C$15:$E$17,2,FALSE)*HLOOKUP(C251,Landbrug!$C$15:$E$17,3,FALSE)*0.1</f>
        <v>0</v>
      </c>
      <c r="J251" s="76">
        <f t="shared" si="42"/>
        <v>1732.4081468529648</v>
      </c>
    </row>
    <row r="252" spans="1:10" x14ac:dyDescent="0.55000000000000004">
      <c r="A252" t="s">
        <v>23</v>
      </c>
      <c r="B252" s="1" t="str">
        <f>[1]Afgrødefordeling!$C$14</f>
        <v>Pil &amp; poppel</v>
      </c>
      <c r="C252">
        <v>2050</v>
      </c>
      <c r="D252" t="s">
        <v>8</v>
      </c>
      <c r="E252" s="172" t="str">
        <f t="shared" si="47"/>
        <v>OC12</v>
      </c>
      <c r="F252" t="str">
        <f t="shared" ref="F252" si="50">IF(I252&lt;&gt;0,"Halm",IF(B252&lt;&gt;"Permanent græs",B252,"Græs"))</f>
        <v>Pil &amp; poppel</v>
      </c>
      <c r="G252" s="76" cm="1">
        <f t="array" ref="G252">IF(A252="Vestdanmark",IF(D252="Konventionel",IF(C252=2019,SUMPRODUCT((B252='Landbrugsareal - resultat'!$B$5:$B$18)*(INDEX('Landbrugsareal - resultat'!$C$5:$E$18,,MATCH(E252,'Landbrugsareal - resultat'!$C$4:$E$4,0)))),IF(C252=2030,SUMPRODUCT((B252='Landbrugsareal - resultat'!$B$5:$B$18)*(INDEX('Landbrugsareal - resultat'!$F$5:$H$18,,MATCH(E252,'Landbrugsareal - resultat'!$F$4:$H$4,0)))),SUMPRODUCT((B252='Landbrugsareal - resultat'!$B$5:$B$18)*(INDEX('Landbrugsareal - resultat'!$I$5:$K$18,,MATCH(E252,'Landbrugsareal - resultat'!$I$4:$K$4,0)))))),IF(C252=2019,SUMPRODUCT((B252='Landbrugsareal - resultat'!$B$5:$B$18)*(INDEX('Landbrugsareal - resultat'!$L$5:$N$18,,MATCH(E252,'Landbrugsareal - resultat'!$L$4:$N$4,0)))),IF(C252=2030,SUMPRODUCT((B252='Landbrugsareal - resultat'!$B$5:$B$18)*(INDEX('Landbrugsareal - resultat'!$O$5:$Q$18,,MATCH(E252,'Landbrugsareal - resultat'!$O$4:$Q$4,0)))),SUMPRODUCT((B252='Landbrugsareal - resultat'!$B$5:$B$18)*(INDEX('Landbrugsareal - resultat'!$R$5:$T$18,,MATCH(E252,'Landbrugsareal - resultat'!$R$4:$T$4,0))))))),IF(D252="Konventionel",IF(C252=2019,SUMPRODUCT((B252='Landbrugsareal - resultat'!$B$32:$B$45)*(INDEX('Landbrugsareal - resultat'!$C$32:$E$45,,MATCH(E252,'Landbrugsareal - resultat'!$C$4:$E$4,0)))),IF(C252=2030,SUMPRODUCT((B252='Landbrugsareal - resultat'!$B$32:$B$45)*(INDEX('Landbrugsareal - resultat'!$F$32:$H$45,,MATCH(E252,'Landbrugsareal - resultat'!$F$4:$H$4,0)))),SUMPRODUCT((B252='Landbrugsareal - resultat'!$B$32:$B$45)*(INDEX('Landbrugsareal - resultat'!$I$32:$K$45,,MATCH(E252,'Landbrugsareal - resultat'!$I$4:$K$4,0)))))),IF(C252=2019,SUMPRODUCT((B252='Landbrugsareal - resultat'!$B$32:$B$45)*(INDEX('Landbrugsareal - resultat'!$L$32:$N$45,,MATCH(E252,'Landbrugsareal - resultat'!$L$4:$N$4,0)))),IF(C252=2030,SUMPRODUCT((B252='Landbrugsareal - resultat'!$B$32:$B$45)*(INDEX('Landbrugsareal - resultat'!$O$32:$Q$45,,MATCH(E252,'Landbrugsareal - resultat'!$O$4:$Q$4,0)))),SUMPRODUCT((B252='Landbrugsareal - resultat'!$B$32:$B$45)*(INDEX('Landbrugsareal - resultat'!$R$32:$T$45,,MATCH(E252,'Landbrugsareal - resultat'!$R$4:$T$4,0))))))))</f>
        <v>102.49099600483463</v>
      </c>
      <c r="H252" s="172">
        <f>G252*VLOOKUP(B252,[1]Afgrødedata!$A$5:$F$18,2,FALSE)*IF(D252="Økologisk",VLOOKUP(B252,[1]Afgrødedata!$A$5:$F$18,4,FALSE),1)*IF(E252&lt;&gt;Jordbund1,IF(E252=Organ6,VLOOKUP(B252,[1]Afgrødedata!$A$5:$F$18,5,FALSE),VLOOKUP(B252,[1]Afgrødedata!$A$5:$F$18,6,FALSE)),1)*0.1</f>
        <v>1994.8247515087323</v>
      </c>
      <c r="I252" s="172">
        <f>G252*VLOOKUP(B252,[1]Afgrødedata!$A$5:$F$18,3,FALSE)*IF(D252="Økologisk",VLOOKUP(B252,[1]Afgrødedata!$A$5:$F$18,4,FALSE),1)*IF(E252&lt;&gt;Jordbund1,IF(E252=Organ6,VLOOKUP(B252,[1]Afgrødedata!$A$5:$F$18,5,FALSE),VLOOKUP(B252,[1]Afgrødedata!$A$5:$F$18,6,FALSE)),1)*HLOOKUP(C252,Landbrug!$C$15:$E$17,2,FALSE)*HLOOKUP(C252,Landbrug!$C$15:$E$17,3,FALSE)*0.1</f>
        <v>0</v>
      </c>
      <c r="J252" s="76">
        <f t="shared" ref="J252" si="51">IF(I252&lt;&gt;0,I252,H252)</f>
        <v>1994.8247515087323</v>
      </c>
    </row>
    <row r="253" spans="1:10" x14ac:dyDescent="0.55000000000000004">
      <c r="A253" t="s">
        <v>23</v>
      </c>
      <c r="B253" s="1" t="str">
        <f>[1]Afgrødefordeling!$C$15</f>
        <v>Permanent græs</v>
      </c>
      <c r="C253">
        <v>2050</v>
      </c>
      <c r="D253" t="s">
        <v>8</v>
      </c>
      <c r="E253" s="172" t="str">
        <f t="shared" si="47"/>
        <v>OC12</v>
      </c>
      <c r="F253" t="str">
        <f t="shared" si="41"/>
        <v>Græs</v>
      </c>
      <c r="G253" s="76" cm="1">
        <f t="array" ref="G253">IF(A253="Vestdanmark",IF(D253="Konventionel",IF(C253=2019,SUMPRODUCT((B253='Landbrugsareal - resultat'!$B$5:$B$18)*(INDEX('Landbrugsareal - resultat'!$C$5:$E$18,,MATCH(E253,'Landbrugsareal - resultat'!$C$4:$E$4,0)))),IF(C253=2030,SUMPRODUCT((B253='Landbrugsareal - resultat'!$B$5:$B$18)*(INDEX('Landbrugsareal - resultat'!$F$5:$H$18,,MATCH(E253,'Landbrugsareal - resultat'!$F$4:$H$4,0)))),SUMPRODUCT((B253='Landbrugsareal - resultat'!$B$5:$B$18)*(INDEX('Landbrugsareal - resultat'!$I$5:$K$18,,MATCH(E253,'Landbrugsareal - resultat'!$I$4:$K$4,0)))))),IF(C253=2019,SUMPRODUCT((B253='Landbrugsareal - resultat'!$B$5:$B$18)*(INDEX('Landbrugsareal - resultat'!$L$5:$N$18,,MATCH(E253,'Landbrugsareal - resultat'!$L$4:$N$4,0)))),IF(C253=2030,SUMPRODUCT((B253='Landbrugsareal - resultat'!$B$5:$B$18)*(INDEX('Landbrugsareal - resultat'!$O$5:$Q$18,,MATCH(E253,'Landbrugsareal - resultat'!$O$4:$Q$4,0)))),SUMPRODUCT((B253='Landbrugsareal - resultat'!$B$5:$B$18)*(INDEX('Landbrugsareal - resultat'!$R$5:$T$18,,MATCH(E253,'Landbrugsareal - resultat'!$R$4:$T$4,0))))))),IF(D253="Konventionel",IF(C253=2019,SUMPRODUCT((B253='Landbrugsareal - resultat'!$B$32:$B$45)*(INDEX('Landbrugsareal - resultat'!$C$32:$E$45,,MATCH(E253,'Landbrugsareal - resultat'!$C$4:$E$4,0)))),IF(C253=2030,SUMPRODUCT((B253='Landbrugsareal - resultat'!$B$32:$B$45)*(INDEX('Landbrugsareal - resultat'!$F$32:$H$45,,MATCH(E253,'Landbrugsareal - resultat'!$F$4:$H$4,0)))),SUMPRODUCT((B253='Landbrugsareal - resultat'!$B$32:$B$45)*(INDEX('Landbrugsareal - resultat'!$I$32:$K$45,,MATCH(E253,'Landbrugsareal - resultat'!$I$4:$K$4,0)))))),IF(C253=2019,SUMPRODUCT((B253='Landbrugsareal - resultat'!$B$32:$B$45)*(INDEX('Landbrugsareal - resultat'!$L$32:$N$45,,MATCH(E253,'Landbrugsareal - resultat'!$L$4:$N$4,0)))),IF(C253=2030,SUMPRODUCT((B253='Landbrugsareal - resultat'!$B$32:$B$45)*(INDEX('Landbrugsareal - resultat'!$O$32:$Q$45,,MATCH(E253,'Landbrugsareal - resultat'!$O$4:$Q$4,0)))),SUMPRODUCT((B253='Landbrugsareal - resultat'!$B$32:$B$45)*(INDEX('Landbrugsareal - resultat'!$R$32:$T$45,,MATCH(E253,'Landbrugsareal - resultat'!$R$4:$T$4,0))))))))</f>
        <v>3790.6565597511053</v>
      </c>
      <c r="H253" s="172">
        <f>G253*VLOOKUP(B253,[1]Afgrødedata!$A$5:$F$18,2,FALSE)*IF(D253="Økologisk",VLOOKUP(B253,[1]Afgrødedata!$A$5:$F$18,4,FALSE),1)*IF(E253&lt;&gt;Jordbund1,IF(E253=Organ6,VLOOKUP(B253,[1]Afgrødedata!$A$5:$F$18,5,FALSE),VLOOKUP(B253,[1]Afgrødedata!$A$5:$F$18,6,FALSE)),1)*0.1</f>
        <v>73182.415542554852</v>
      </c>
      <c r="I253" s="172">
        <f>G253*VLOOKUP(B253,[1]Afgrødedata!$A$5:$F$18,3,FALSE)*IF(D253="Økologisk",VLOOKUP(B253,[1]Afgrødedata!$A$5:$F$18,4,FALSE),1)*IF(E253&lt;&gt;Jordbund1,IF(E253=Organ6,VLOOKUP(B253,[1]Afgrødedata!$A$5:$F$18,5,FALSE),VLOOKUP(B253,[1]Afgrødedata!$A$5:$F$18,6,FALSE)),1)*HLOOKUP(C253,Landbrug!$C$15:$E$17,2,FALSE)*HLOOKUP(C253,Landbrug!$C$15:$E$17,3,FALSE)*0.1</f>
        <v>0</v>
      </c>
      <c r="J253" s="76">
        <f t="shared" si="42"/>
        <v>73182.415542554852</v>
      </c>
    </row>
    <row r="254" spans="1:10" x14ac:dyDescent="0.55000000000000004">
      <c r="A254" t="s">
        <v>24</v>
      </c>
      <c r="B254" s="1" t="str">
        <f>[1]Afgrødefordeling!$C$2</f>
        <v>Korn</v>
      </c>
      <c r="C254">
        <v>2019</v>
      </c>
      <c r="D254" t="s">
        <v>7</v>
      </c>
      <c r="E254" s="172" t="str">
        <f t="shared" ref="E254:E285" si="52">Jordbund1</f>
        <v>JB1-10</v>
      </c>
      <c r="F254" t="str">
        <f>IF(I254&lt;&gt;0,"Halm",IF(B254&lt;&gt;"Permanent græs",B254,"Græs"))</f>
        <v>Halm</v>
      </c>
      <c r="G254" s="76" cm="1">
        <f t="array" ref="G254">IF(A254="Vestdanmark",IF(D254="Konventionel",IF(C254=2019,SUMPRODUCT((B254='Landbrugsareal - resultat'!$B$5:$B$18)*(INDEX('Landbrugsareal - resultat'!$C$5:$E$18,,MATCH(E254,'Landbrugsareal - resultat'!$C$4:$E$4,0)))),IF(C254=2030,SUMPRODUCT((B254='Landbrugsareal - resultat'!$B$5:$B$18)*(INDEX('Landbrugsareal - resultat'!$F$5:$H$18,,MATCH(E254,'Landbrugsareal - resultat'!$F$4:$H$4,0)))),SUMPRODUCT((B254='Landbrugsareal - resultat'!$B$5:$B$18)*(INDEX('Landbrugsareal - resultat'!$I$5:$K$18,,MATCH(E254,'Landbrugsareal - resultat'!$I$4:$K$4,0)))))),IF(C254=2019,SUMPRODUCT((B254='Landbrugsareal - resultat'!$B$5:$B$18)*(INDEX('Landbrugsareal - resultat'!$L$5:$N$18,,MATCH(E254,'Landbrugsareal - resultat'!$L$4:$N$4,0)))),IF(C254=2030,SUMPRODUCT((B254='Landbrugsareal - resultat'!$B$5:$B$18)*(INDEX('Landbrugsareal - resultat'!$O$5:$Q$18,,MATCH(E254,'Landbrugsareal - resultat'!$O$4:$Q$4,0)))),SUMPRODUCT((B254='Landbrugsareal - resultat'!$B$5:$B$18)*(INDEX('Landbrugsareal - resultat'!$R$5:$T$18,,MATCH(E254,'Landbrugsareal - resultat'!$R$4:$T$4,0))))))),IF(D254="Konventionel",IF(C254=2019,SUMPRODUCT((B254='Landbrugsareal - resultat'!$B$32:$B$45)*(INDEX('Landbrugsareal - resultat'!$C$32:$E$45,,MATCH(E254,'Landbrugsareal - resultat'!$C$4:$E$4,0)))),IF(C254=2030,SUMPRODUCT((B254='Landbrugsareal - resultat'!$B$32:$B$45)*(INDEX('Landbrugsareal - resultat'!$F$32:$H$45,,MATCH(E254,'Landbrugsareal - resultat'!$F$4:$H$4,0)))),SUMPRODUCT((B254='Landbrugsareal - resultat'!$B$32:$B$45)*(INDEX('Landbrugsareal - resultat'!$I$32:$K$45,,MATCH(E254,'Landbrugsareal - resultat'!$I$4:$K$4,0)))))),IF(C254=2019,SUMPRODUCT((B254='Landbrugsareal - resultat'!$B$32:$B$45)*(INDEX('Landbrugsareal - resultat'!$L$32:$N$45,,MATCH(E254,'Landbrugsareal - resultat'!$L$4:$N$4,0)))),IF(C254=2030,SUMPRODUCT((B254='Landbrugsareal - resultat'!$B$32:$B$45)*(INDEX('Landbrugsareal - resultat'!$O$32:$Q$45,,MATCH(E254,'Landbrugsareal - resultat'!$O$4:$Q$4,0)))),SUMPRODUCT((B254='Landbrugsareal - resultat'!$B$32:$B$45)*(INDEX('Landbrugsareal - resultat'!$R$32:$T$45,,MATCH(E254,'Landbrugsareal - resultat'!$R$4:$T$4,0))))))))</f>
        <v>292562.01681062597</v>
      </c>
      <c r="H254" s="172">
        <f>G254*VLOOKUP(B254,[1]Afgrødedata!$A$5:$F$18,2,FALSE)*IF(D254="Økologisk",VLOOKUP(B254,[1]Afgrødedata!$A$5:$F$18,4,FALSE),1)*IF(E254&lt;&gt;Jordbund1,IF(E254=Organ6,VLOOKUP(B254,[1]Afgrødedata!$A$5:$F$18,5,FALSE),VLOOKUP(B254,[1]Afgrødedata!$A$5:$F$18,6,FALSE)),1)*0.1</f>
        <v>2050859.7378424881</v>
      </c>
      <c r="I254" s="172">
        <f>G254*VLOOKUP(B254,[1]Afgrødedata!$A$5:$F$18,3,FALSE)*IF(D254="Økologisk",VLOOKUP(B254,[1]Afgrødedata!$A$5:$F$18,4,FALSE),1)*IF(E254&lt;&gt;Jordbund1,IF(E254=Organ6,VLOOKUP(B254,[1]Afgrødedata!$A$5:$F$18,5,FALSE),VLOOKUP(B254,[1]Afgrødedata!$A$5:$F$18,6,FALSE)),1)*HLOOKUP(C254,Landbrug!$C$15:$E$17,2,FALSE)*HLOOKUP(C254,Landbrug!$C$15:$E$17,3,FALSE)*0.1</f>
        <v>669395.49128244352</v>
      </c>
      <c r="J254" s="76">
        <f t="shared" si="42"/>
        <v>669395.49128244352</v>
      </c>
    </row>
    <row r="255" spans="1:10" x14ac:dyDescent="0.55000000000000004">
      <c r="A255" t="s">
        <v>24</v>
      </c>
      <c r="B255" s="1" t="str">
        <f>[1]Afgrødefordeling!$C$3</f>
        <v>Bælgsæd</v>
      </c>
      <c r="C255">
        <v>2019</v>
      </c>
      <c r="D255" t="s">
        <v>7</v>
      </c>
      <c r="E255" s="172" t="str">
        <f t="shared" si="52"/>
        <v>JB1-10</v>
      </c>
      <c r="F255" t="str">
        <f t="shared" ref="F255:F265" si="53">IF(I255&lt;&gt;0,"Halm",IF(B255&lt;&gt;"Permanent græs",B255,"Græs"))</f>
        <v>Halm</v>
      </c>
      <c r="G255" s="76" cm="1">
        <f t="array" ref="G255">IF(A255="Vestdanmark",IF(D255="Konventionel",IF(C255=2019,SUMPRODUCT((B255='Landbrugsareal - resultat'!$B$5:$B$18)*(INDEX('Landbrugsareal - resultat'!$C$5:$E$18,,MATCH(E255,'Landbrugsareal - resultat'!$C$4:$E$4,0)))),IF(C255=2030,SUMPRODUCT((B255='Landbrugsareal - resultat'!$B$5:$B$18)*(INDEX('Landbrugsareal - resultat'!$F$5:$H$18,,MATCH(E255,'Landbrugsareal - resultat'!$F$4:$H$4,0)))),SUMPRODUCT((B255='Landbrugsareal - resultat'!$B$5:$B$18)*(INDEX('Landbrugsareal - resultat'!$I$5:$K$18,,MATCH(E255,'Landbrugsareal - resultat'!$I$4:$K$4,0)))))),IF(C255=2019,SUMPRODUCT((B255='Landbrugsareal - resultat'!$B$5:$B$18)*(INDEX('Landbrugsareal - resultat'!$L$5:$N$18,,MATCH(E255,'Landbrugsareal - resultat'!$L$4:$N$4,0)))),IF(C255=2030,SUMPRODUCT((B255='Landbrugsareal - resultat'!$B$5:$B$18)*(INDEX('Landbrugsareal - resultat'!$O$5:$Q$18,,MATCH(E255,'Landbrugsareal - resultat'!$O$4:$Q$4,0)))),SUMPRODUCT((B255='Landbrugsareal - resultat'!$B$5:$B$18)*(INDEX('Landbrugsareal - resultat'!$R$5:$T$18,,MATCH(E255,'Landbrugsareal - resultat'!$R$4:$T$4,0))))))),IF(D255="Konventionel",IF(C255=2019,SUMPRODUCT((B255='Landbrugsareal - resultat'!$B$32:$B$45)*(INDEX('Landbrugsareal - resultat'!$C$32:$E$45,,MATCH(E255,'Landbrugsareal - resultat'!$C$4:$E$4,0)))),IF(C255=2030,SUMPRODUCT((B255='Landbrugsareal - resultat'!$B$32:$B$45)*(INDEX('Landbrugsareal - resultat'!$F$32:$H$45,,MATCH(E255,'Landbrugsareal - resultat'!$F$4:$H$4,0)))),SUMPRODUCT((B255='Landbrugsareal - resultat'!$B$32:$B$45)*(INDEX('Landbrugsareal - resultat'!$I$32:$K$45,,MATCH(E255,'Landbrugsareal - resultat'!$I$4:$K$4,0)))))),IF(C255=2019,SUMPRODUCT((B255='Landbrugsareal - resultat'!$B$32:$B$45)*(INDEX('Landbrugsareal - resultat'!$L$32:$N$45,,MATCH(E255,'Landbrugsareal - resultat'!$L$4:$N$4,0)))),IF(C255=2030,SUMPRODUCT((B255='Landbrugsareal - resultat'!$B$32:$B$45)*(INDEX('Landbrugsareal - resultat'!$O$32:$Q$45,,MATCH(E255,'Landbrugsareal - resultat'!$O$4:$Q$4,0)))),SUMPRODUCT((B255='Landbrugsareal - resultat'!$B$32:$B$45)*(INDEX('Landbrugsareal - resultat'!$R$32:$T$45,,MATCH(E255,'Landbrugsareal - resultat'!$R$4:$T$4,0))))))))</f>
        <v>6376.3414137528825</v>
      </c>
      <c r="H255" s="172">
        <f>G255*VLOOKUP(B255,[1]Afgrødedata!$A$5:$F$18,2,FALSE)*IF(D255="Økologisk",VLOOKUP(B255,[1]Afgrødedata!$A$5:$F$18,4,FALSE),1)*IF(E255&lt;&gt;Jordbund1,IF(E255=Organ6,VLOOKUP(B255,[1]Afgrødedata!$A$5:$F$18,5,FALSE),VLOOKUP(B255,[1]Afgrødedata!$A$5:$F$18,6,FALSE)),1)*0.1</f>
        <v>24612.677857086128</v>
      </c>
      <c r="I255" s="172">
        <f>G255*VLOOKUP(B255,[1]Afgrødedata!$A$5:$F$18,3,FALSE)*IF(D255="Økologisk",VLOOKUP(B255,[1]Afgrødedata!$A$5:$F$18,4,FALSE),1)*IF(E255&lt;&gt;Jordbund1,IF(E255=Organ6,VLOOKUP(B255,[1]Afgrødedata!$A$5:$F$18,5,FALSE),VLOOKUP(B255,[1]Afgrødedata!$A$5:$F$18,6,FALSE)),1)*HLOOKUP(C255,Landbrug!$C$15:$E$17,2,FALSE)*HLOOKUP(C255,Landbrug!$C$15:$E$17,3,FALSE)*0.1</f>
        <v>7306.9808769558722</v>
      </c>
      <c r="J255" s="76">
        <f t="shared" si="42"/>
        <v>7306.9808769558722</v>
      </c>
    </row>
    <row r="256" spans="1:10" x14ac:dyDescent="0.55000000000000004">
      <c r="A256" t="s">
        <v>24</v>
      </c>
      <c r="B256" s="1" t="str">
        <f>[1]Afgrødefordeling!$C$4</f>
        <v>Raps</v>
      </c>
      <c r="C256">
        <v>2019</v>
      </c>
      <c r="D256" t="s">
        <v>7</v>
      </c>
      <c r="E256" s="172" t="str">
        <f t="shared" si="52"/>
        <v>JB1-10</v>
      </c>
      <c r="F256" t="str">
        <f t="shared" si="53"/>
        <v>Halm</v>
      </c>
      <c r="G256" s="76" cm="1">
        <f t="array" ref="G256">IF(A256="Vestdanmark",IF(D256="Konventionel",IF(C256=2019,SUMPRODUCT((B256='Landbrugsareal - resultat'!$B$5:$B$18)*(INDEX('Landbrugsareal - resultat'!$C$5:$E$18,,MATCH(E256,'Landbrugsareal - resultat'!$C$4:$E$4,0)))),IF(C256=2030,SUMPRODUCT((B256='Landbrugsareal - resultat'!$B$5:$B$18)*(INDEX('Landbrugsareal - resultat'!$F$5:$H$18,,MATCH(E256,'Landbrugsareal - resultat'!$F$4:$H$4,0)))),SUMPRODUCT((B256='Landbrugsareal - resultat'!$B$5:$B$18)*(INDEX('Landbrugsareal - resultat'!$I$5:$K$18,,MATCH(E256,'Landbrugsareal - resultat'!$I$4:$K$4,0)))))),IF(C256=2019,SUMPRODUCT((B256='Landbrugsareal - resultat'!$B$5:$B$18)*(INDEX('Landbrugsareal - resultat'!$L$5:$N$18,,MATCH(E256,'Landbrugsareal - resultat'!$L$4:$N$4,0)))),IF(C256=2030,SUMPRODUCT((B256='Landbrugsareal - resultat'!$B$5:$B$18)*(INDEX('Landbrugsareal - resultat'!$O$5:$Q$18,,MATCH(E256,'Landbrugsareal - resultat'!$O$4:$Q$4,0)))),SUMPRODUCT((B256='Landbrugsareal - resultat'!$B$5:$B$18)*(INDEX('Landbrugsareal - resultat'!$R$5:$T$18,,MATCH(E256,'Landbrugsareal - resultat'!$R$4:$T$4,0))))))),IF(D256="Konventionel",IF(C256=2019,SUMPRODUCT((B256='Landbrugsareal - resultat'!$B$32:$B$45)*(INDEX('Landbrugsareal - resultat'!$C$32:$E$45,,MATCH(E256,'Landbrugsareal - resultat'!$C$4:$E$4,0)))),IF(C256=2030,SUMPRODUCT((B256='Landbrugsareal - resultat'!$B$32:$B$45)*(INDEX('Landbrugsareal - resultat'!$F$32:$H$45,,MATCH(E256,'Landbrugsareal - resultat'!$F$4:$H$4,0)))),SUMPRODUCT((B256='Landbrugsareal - resultat'!$B$32:$B$45)*(INDEX('Landbrugsareal - resultat'!$I$32:$K$45,,MATCH(E256,'Landbrugsareal - resultat'!$I$4:$K$4,0)))))),IF(C256=2019,SUMPRODUCT((B256='Landbrugsareal - resultat'!$B$32:$B$45)*(INDEX('Landbrugsareal - resultat'!$L$32:$N$45,,MATCH(E256,'Landbrugsareal - resultat'!$L$4:$N$4,0)))),IF(C256=2030,SUMPRODUCT((B256='Landbrugsareal - resultat'!$B$32:$B$45)*(INDEX('Landbrugsareal - resultat'!$O$32:$Q$45,,MATCH(E256,'Landbrugsareal - resultat'!$O$4:$Q$4,0)))),SUMPRODUCT((B256='Landbrugsareal - resultat'!$B$32:$B$45)*(INDEX('Landbrugsareal - resultat'!$R$32:$T$45,,MATCH(E256,'Landbrugsareal - resultat'!$R$4:$T$4,0))))))))</f>
        <v>40447.722327584328</v>
      </c>
      <c r="H256" s="172">
        <f>G256*VLOOKUP(B256,[1]Afgrødedata!$A$5:$F$18,2,FALSE)*IF(D256="Økologisk",VLOOKUP(B256,[1]Afgrødedata!$A$5:$F$18,4,FALSE),1)*IF(E256&lt;&gt;Jordbund1,IF(E256=Organ6,VLOOKUP(B256,[1]Afgrødedata!$A$5:$F$18,5,FALSE),VLOOKUP(B256,[1]Afgrødedata!$A$5:$F$18,6,FALSE)),1)*0.1</f>
        <v>177969.97824137105</v>
      </c>
      <c r="I256" s="172">
        <f>G256*VLOOKUP(B256,[1]Afgrødedata!$A$5:$F$18,3,FALSE)*IF(D256="Økologisk",VLOOKUP(B256,[1]Afgrødedata!$A$5:$F$18,4,FALSE),1)*IF(E256&lt;&gt;Jordbund1,IF(E256=Organ6,VLOOKUP(B256,[1]Afgrødedata!$A$5:$F$18,5,FALSE),VLOOKUP(B256,[1]Afgrødedata!$A$5:$F$18,6,FALSE)),1)*HLOOKUP(C256,Landbrug!$C$15:$E$17,2,FALSE)*HLOOKUP(C256,Landbrug!$C$15:$E$17,3,FALSE)*0.1</f>
        <v>95054.655228607488</v>
      </c>
      <c r="J256" s="76">
        <f t="shared" si="42"/>
        <v>95054.655228607488</v>
      </c>
    </row>
    <row r="257" spans="1:10" x14ac:dyDescent="0.55000000000000004">
      <c r="A257" t="s">
        <v>24</v>
      </c>
      <c r="B257" s="1" t="str">
        <f>[1]Afgrødefordeling!$C$5</f>
        <v>Græs</v>
      </c>
      <c r="C257">
        <v>2019</v>
      </c>
      <c r="D257" t="s">
        <v>7</v>
      </c>
      <c r="E257" s="172" t="str">
        <f t="shared" si="52"/>
        <v>JB1-10</v>
      </c>
      <c r="F257" t="str">
        <f t="shared" si="53"/>
        <v>Græs</v>
      </c>
      <c r="G257" s="76" cm="1">
        <f t="array" ref="G257">IF(A257="Vestdanmark",IF(D257="Konventionel",IF(C257=2019,SUMPRODUCT((B257='Landbrugsareal - resultat'!$B$5:$B$18)*(INDEX('Landbrugsareal - resultat'!$C$5:$E$18,,MATCH(E257,'Landbrugsareal - resultat'!$C$4:$E$4,0)))),IF(C257=2030,SUMPRODUCT((B257='Landbrugsareal - resultat'!$B$5:$B$18)*(INDEX('Landbrugsareal - resultat'!$F$5:$H$18,,MATCH(E257,'Landbrugsareal - resultat'!$F$4:$H$4,0)))),SUMPRODUCT((B257='Landbrugsareal - resultat'!$B$5:$B$18)*(INDEX('Landbrugsareal - resultat'!$I$5:$K$18,,MATCH(E257,'Landbrugsareal - resultat'!$I$4:$K$4,0)))))),IF(C257=2019,SUMPRODUCT((B257='Landbrugsareal - resultat'!$B$5:$B$18)*(INDEX('Landbrugsareal - resultat'!$L$5:$N$18,,MATCH(E257,'Landbrugsareal - resultat'!$L$4:$N$4,0)))),IF(C257=2030,SUMPRODUCT((B257='Landbrugsareal - resultat'!$B$5:$B$18)*(INDEX('Landbrugsareal - resultat'!$O$5:$Q$18,,MATCH(E257,'Landbrugsareal - resultat'!$O$4:$Q$4,0)))),SUMPRODUCT((B257='Landbrugsareal - resultat'!$B$5:$B$18)*(INDEX('Landbrugsareal - resultat'!$R$5:$T$18,,MATCH(E257,'Landbrugsareal - resultat'!$R$4:$T$4,0))))))),IF(D257="Konventionel",IF(C257=2019,SUMPRODUCT((B257='Landbrugsareal - resultat'!$B$32:$B$45)*(INDEX('Landbrugsareal - resultat'!$C$32:$E$45,,MATCH(E257,'Landbrugsareal - resultat'!$C$4:$E$4,0)))),IF(C257=2030,SUMPRODUCT((B257='Landbrugsareal - resultat'!$B$32:$B$45)*(INDEX('Landbrugsareal - resultat'!$F$32:$H$45,,MATCH(E257,'Landbrugsareal - resultat'!$F$4:$H$4,0)))),SUMPRODUCT((B257='Landbrugsareal - resultat'!$B$32:$B$45)*(INDEX('Landbrugsareal - resultat'!$I$32:$K$45,,MATCH(E257,'Landbrugsareal - resultat'!$I$4:$K$4,0)))))),IF(C257=2019,SUMPRODUCT((B257='Landbrugsareal - resultat'!$B$32:$B$45)*(INDEX('Landbrugsareal - resultat'!$L$32:$N$45,,MATCH(E257,'Landbrugsareal - resultat'!$L$4:$N$4,0)))),IF(C257=2030,SUMPRODUCT((B257='Landbrugsareal - resultat'!$B$32:$B$45)*(INDEX('Landbrugsareal - resultat'!$O$32:$Q$45,,MATCH(E257,'Landbrugsareal - resultat'!$O$4:$Q$4,0)))),SUMPRODUCT((B257='Landbrugsareal - resultat'!$B$32:$B$45)*(INDEX('Landbrugsareal - resultat'!$R$32:$T$45,,MATCH(E257,'Landbrugsareal - resultat'!$R$4:$T$4,0))))))))</f>
        <v>24572.998517620537</v>
      </c>
      <c r="H257" s="172">
        <f>G257*VLOOKUP(B257,[1]Afgrødedata!$A$5:$F$18,2,FALSE)*IF(D257="Økologisk",VLOOKUP(B257,[1]Afgrødedata!$A$5:$F$18,4,FALSE),1)*IF(E257&lt;&gt;Jordbund1,IF(E257=Organ6,VLOOKUP(B257,[1]Afgrødedata!$A$5:$F$18,5,FALSE),VLOOKUP(B257,[1]Afgrødedata!$A$5:$F$18,6,FALSE)),1)*0.1</f>
        <v>1219312.186444331</v>
      </c>
      <c r="I257" s="172">
        <f>G257*VLOOKUP(B257,[1]Afgrødedata!$A$5:$F$18,3,FALSE)*IF(D257="Økologisk",VLOOKUP(B257,[1]Afgrødedata!$A$5:$F$18,4,FALSE),1)*IF(E257&lt;&gt;Jordbund1,IF(E257=Organ6,VLOOKUP(B257,[1]Afgrødedata!$A$5:$F$18,5,FALSE),VLOOKUP(B257,[1]Afgrødedata!$A$5:$F$18,6,FALSE)),1)*HLOOKUP(C257,Landbrug!$C$15:$E$17,2,FALSE)*HLOOKUP(C257,Landbrug!$C$15:$E$17,3,FALSE)*0.1</f>
        <v>0</v>
      </c>
      <c r="J257" s="76">
        <f t="shared" si="42"/>
        <v>1219312.186444331</v>
      </c>
    </row>
    <row r="258" spans="1:10" x14ac:dyDescent="0.55000000000000004">
      <c r="A258" t="s">
        <v>24</v>
      </c>
      <c r="B258" s="1" t="str">
        <f>[1]Afgrødefordeling!$C$6</f>
        <v>Grøntsager</v>
      </c>
      <c r="C258">
        <v>2019</v>
      </c>
      <c r="D258" t="s">
        <v>7</v>
      </c>
      <c r="E258" s="172" t="str">
        <f t="shared" si="52"/>
        <v>JB1-10</v>
      </c>
      <c r="F258" t="str">
        <f t="shared" si="53"/>
        <v>Grøntsager</v>
      </c>
      <c r="G258" s="76" cm="1">
        <f t="array" ref="G258">IF(A258="Vestdanmark",IF(D258="Konventionel",IF(C258=2019,SUMPRODUCT((B258='Landbrugsareal - resultat'!$B$5:$B$18)*(INDEX('Landbrugsareal - resultat'!$C$5:$E$18,,MATCH(E258,'Landbrugsareal - resultat'!$C$4:$E$4,0)))),IF(C258=2030,SUMPRODUCT((B258='Landbrugsareal - resultat'!$B$5:$B$18)*(INDEX('Landbrugsareal - resultat'!$F$5:$H$18,,MATCH(E258,'Landbrugsareal - resultat'!$F$4:$H$4,0)))),SUMPRODUCT((B258='Landbrugsareal - resultat'!$B$5:$B$18)*(INDEX('Landbrugsareal - resultat'!$I$5:$K$18,,MATCH(E258,'Landbrugsareal - resultat'!$I$4:$K$4,0)))))),IF(C258=2019,SUMPRODUCT((B258='Landbrugsareal - resultat'!$B$5:$B$18)*(INDEX('Landbrugsareal - resultat'!$L$5:$N$18,,MATCH(E258,'Landbrugsareal - resultat'!$L$4:$N$4,0)))),IF(C258=2030,SUMPRODUCT((B258='Landbrugsareal - resultat'!$B$5:$B$18)*(INDEX('Landbrugsareal - resultat'!$O$5:$Q$18,,MATCH(E258,'Landbrugsareal - resultat'!$O$4:$Q$4,0)))),SUMPRODUCT((B258='Landbrugsareal - resultat'!$B$5:$B$18)*(INDEX('Landbrugsareal - resultat'!$R$5:$T$18,,MATCH(E258,'Landbrugsareal - resultat'!$R$4:$T$4,0))))))),IF(D258="Konventionel",IF(C258=2019,SUMPRODUCT((B258='Landbrugsareal - resultat'!$B$32:$B$45)*(INDEX('Landbrugsareal - resultat'!$C$32:$E$45,,MATCH(E258,'Landbrugsareal - resultat'!$C$4:$E$4,0)))),IF(C258=2030,SUMPRODUCT((B258='Landbrugsareal - resultat'!$B$32:$B$45)*(INDEX('Landbrugsareal - resultat'!$F$32:$H$45,,MATCH(E258,'Landbrugsareal - resultat'!$F$4:$H$4,0)))),SUMPRODUCT((B258='Landbrugsareal - resultat'!$B$32:$B$45)*(INDEX('Landbrugsareal - resultat'!$I$32:$K$45,,MATCH(E258,'Landbrugsareal - resultat'!$I$4:$K$4,0)))))),IF(C258=2019,SUMPRODUCT((B258='Landbrugsareal - resultat'!$B$32:$B$45)*(INDEX('Landbrugsareal - resultat'!$L$32:$N$45,,MATCH(E258,'Landbrugsareal - resultat'!$L$4:$N$4,0)))),IF(C258=2030,SUMPRODUCT((B258='Landbrugsareal - resultat'!$B$32:$B$45)*(INDEX('Landbrugsareal - resultat'!$O$32:$Q$45,,MATCH(E258,'Landbrugsareal - resultat'!$O$4:$Q$4,0)))),SUMPRODUCT((B258='Landbrugsareal - resultat'!$B$32:$B$45)*(INDEX('Landbrugsareal - resultat'!$R$32:$T$45,,MATCH(E258,'Landbrugsareal - resultat'!$R$4:$T$4,0))))))))</f>
        <v>3850.5952952805674</v>
      </c>
      <c r="H258" s="172">
        <f>G258*VLOOKUP(B258,[1]Afgrødedata!$A$5:$F$18,2,FALSE)*IF(D258="Økologisk",VLOOKUP(B258,[1]Afgrødedata!$A$5:$F$18,4,FALSE),1)*IF(E258&lt;&gt;Jordbund1,IF(E258=Organ6,VLOOKUP(B258,[1]Afgrødedata!$A$5:$F$18,5,FALSE),VLOOKUP(B258,[1]Afgrødedata!$A$5:$F$18,6,FALSE)),1)*0.1</f>
        <v>79899.852377071773</v>
      </c>
      <c r="I258" s="172">
        <f>G258*VLOOKUP(B258,[1]Afgrødedata!$A$5:$F$18,3,FALSE)*IF(D258="Økologisk",VLOOKUP(B258,[1]Afgrødedata!$A$5:$F$18,4,FALSE),1)*IF(E258&lt;&gt;Jordbund1,IF(E258=Organ6,VLOOKUP(B258,[1]Afgrødedata!$A$5:$F$18,5,FALSE),VLOOKUP(B258,[1]Afgrødedata!$A$5:$F$18,6,FALSE)),1)*HLOOKUP(C258,Landbrug!$C$15:$E$17,2,FALSE)*HLOOKUP(C258,Landbrug!$C$15:$E$17,3,FALSE)*0.1</f>
        <v>0</v>
      </c>
      <c r="J258" s="76">
        <f t="shared" si="42"/>
        <v>79899.852377071773</v>
      </c>
    </row>
    <row r="259" spans="1:10" x14ac:dyDescent="0.55000000000000004">
      <c r="A259" t="s">
        <v>24</v>
      </c>
      <c r="B259" s="1" t="str">
        <f>[1]Afgrødefordeling!$C$7</f>
        <v>Kartofler</v>
      </c>
      <c r="C259">
        <v>2019</v>
      </c>
      <c r="D259" t="s">
        <v>7</v>
      </c>
      <c r="E259" s="172" t="str">
        <f t="shared" si="52"/>
        <v>JB1-10</v>
      </c>
      <c r="F259" t="str">
        <f t="shared" si="53"/>
        <v>Kartofler</v>
      </c>
      <c r="G259" s="76" cm="1">
        <f t="array" ref="G259">IF(A259="Vestdanmark",IF(D259="Konventionel",IF(C259=2019,SUMPRODUCT((B259='Landbrugsareal - resultat'!$B$5:$B$18)*(INDEX('Landbrugsareal - resultat'!$C$5:$E$18,,MATCH(E259,'Landbrugsareal - resultat'!$C$4:$E$4,0)))),IF(C259=2030,SUMPRODUCT((B259='Landbrugsareal - resultat'!$B$5:$B$18)*(INDEX('Landbrugsareal - resultat'!$F$5:$H$18,,MATCH(E259,'Landbrugsareal - resultat'!$F$4:$H$4,0)))),SUMPRODUCT((B259='Landbrugsareal - resultat'!$B$5:$B$18)*(INDEX('Landbrugsareal - resultat'!$I$5:$K$18,,MATCH(E259,'Landbrugsareal - resultat'!$I$4:$K$4,0)))))),IF(C259=2019,SUMPRODUCT((B259='Landbrugsareal - resultat'!$B$5:$B$18)*(INDEX('Landbrugsareal - resultat'!$L$5:$N$18,,MATCH(E259,'Landbrugsareal - resultat'!$L$4:$N$4,0)))),IF(C259=2030,SUMPRODUCT((B259='Landbrugsareal - resultat'!$B$5:$B$18)*(INDEX('Landbrugsareal - resultat'!$O$5:$Q$18,,MATCH(E259,'Landbrugsareal - resultat'!$O$4:$Q$4,0)))),SUMPRODUCT((B259='Landbrugsareal - resultat'!$B$5:$B$18)*(INDEX('Landbrugsareal - resultat'!$R$5:$T$18,,MATCH(E259,'Landbrugsareal - resultat'!$R$4:$T$4,0))))))),IF(D259="Konventionel",IF(C259=2019,SUMPRODUCT((B259='Landbrugsareal - resultat'!$B$32:$B$45)*(INDEX('Landbrugsareal - resultat'!$C$32:$E$45,,MATCH(E259,'Landbrugsareal - resultat'!$C$4:$E$4,0)))),IF(C259=2030,SUMPRODUCT((B259='Landbrugsareal - resultat'!$B$32:$B$45)*(INDEX('Landbrugsareal - resultat'!$F$32:$H$45,,MATCH(E259,'Landbrugsareal - resultat'!$F$4:$H$4,0)))),SUMPRODUCT((B259='Landbrugsareal - resultat'!$B$32:$B$45)*(INDEX('Landbrugsareal - resultat'!$I$32:$K$45,,MATCH(E259,'Landbrugsareal - resultat'!$I$4:$K$4,0)))))),IF(C259=2019,SUMPRODUCT((B259='Landbrugsareal - resultat'!$B$32:$B$45)*(INDEX('Landbrugsareal - resultat'!$L$32:$N$45,,MATCH(E259,'Landbrugsareal - resultat'!$L$4:$N$4,0)))),IF(C259=2030,SUMPRODUCT((B259='Landbrugsareal - resultat'!$B$32:$B$45)*(INDEX('Landbrugsareal - resultat'!$O$32:$Q$45,,MATCH(E259,'Landbrugsareal - resultat'!$O$4:$Q$4,0)))),SUMPRODUCT((B259='Landbrugsareal - resultat'!$B$32:$B$45)*(INDEX('Landbrugsareal - resultat'!$R$32:$T$45,,MATCH(E259,'Landbrugsareal - resultat'!$R$4:$T$4,0))))))))</f>
        <v>2470.1663355738019</v>
      </c>
      <c r="H259" s="172">
        <f>G259*VLOOKUP(B259,[1]Afgrødedata!$A$5:$F$18,2,FALSE)*IF(D259="Økologisk",VLOOKUP(B259,[1]Afgrødedata!$A$5:$F$18,4,FALSE),1)*IF(E259&lt;&gt;Jordbund1,IF(E259=Organ6,VLOOKUP(B259,[1]Afgrødedata!$A$5:$F$18,5,FALSE),VLOOKUP(B259,[1]Afgrødedata!$A$5:$F$18,6,FALSE)),1)*0.1</f>
        <v>104910.18611455506</v>
      </c>
      <c r="I259" s="172">
        <f>G259*VLOOKUP(B259,[1]Afgrødedata!$A$5:$F$18,3,FALSE)*IF(D259="Økologisk",VLOOKUP(B259,[1]Afgrødedata!$A$5:$F$18,4,FALSE),1)*IF(E259&lt;&gt;Jordbund1,IF(E259=Organ6,VLOOKUP(B259,[1]Afgrødedata!$A$5:$F$18,5,FALSE),VLOOKUP(B259,[1]Afgrødedata!$A$5:$F$18,6,FALSE)),1)*HLOOKUP(C259,Landbrug!$C$15:$E$17,2,FALSE)*HLOOKUP(C259,Landbrug!$C$15:$E$17,3,FALSE)*0.1</f>
        <v>0</v>
      </c>
      <c r="J259" s="76">
        <f t="shared" si="42"/>
        <v>104910.18611455506</v>
      </c>
    </row>
    <row r="260" spans="1:10" x14ac:dyDescent="0.55000000000000004">
      <c r="A260" t="s">
        <v>24</v>
      </c>
      <c r="B260" s="1" t="str">
        <f>[1]Afgrødefordeling!$C$8</f>
        <v>Roer</v>
      </c>
      <c r="C260">
        <v>2019</v>
      </c>
      <c r="D260" t="s">
        <v>7</v>
      </c>
      <c r="E260" s="172" t="str">
        <f t="shared" si="52"/>
        <v>JB1-10</v>
      </c>
      <c r="F260" t="str">
        <f t="shared" si="53"/>
        <v>Roer</v>
      </c>
      <c r="G260" s="76" cm="1">
        <f t="array" ref="G260">IF(A260="Vestdanmark",IF(D260="Konventionel",IF(C260=2019,SUMPRODUCT((B260='Landbrugsareal - resultat'!$B$5:$B$18)*(INDEX('Landbrugsareal - resultat'!$C$5:$E$18,,MATCH(E260,'Landbrugsareal - resultat'!$C$4:$E$4,0)))),IF(C260=2030,SUMPRODUCT((B260='Landbrugsareal - resultat'!$B$5:$B$18)*(INDEX('Landbrugsareal - resultat'!$F$5:$H$18,,MATCH(E260,'Landbrugsareal - resultat'!$F$4:$H$4,0)))),SUMPRODUCT((B260='Landbrugsareal - resultat'!$B$5:$B$18)*(INDEX('Landbrugsareal - resultat'!$I$5:$K$18,,MATCH(E260,'Landbrugsareal - resultat'!$I$4:$K$4,0)))))),IF(C260=2019,SUMPRODUCT((B260='Landbrugsareal - resultat'!$B$5:$B$18)*(INDEX('Landbrugsareal - resultat'!$L$5:$N$18,,MATCH(E260,'Landbrugsareal - resultat'!$L$4:$N$4,0)))),IF(C260=2030,SUMPRODUCT((B260='Landbrugsareal - resultat'!$B$5:$B$18)*(INDEX('Landbrugsareal - resultat'!$O$5:$Q$18,,MATCH(E260,'Landbrugsareal - resultat'!$O$4:$Q$4,0)))),SUMPRODUCT((B260='Landbrugsareal - resultat'!$B$5:$B$18)*(INDEX('Landbrugsareal - resultat'!$R$5:$T$18,,MATCH(E260,'Landbrugsareal - resultat'!$R$4:$T$4,0))))))),IF(D260="Konventionel",IF(C260=2019,SUMPRODUCT((B260='Landbrugsareal - resultat'!$B$32:$B$45)*(INDEX('Landbrugsareal - resultat'!$C$32:$E$45,,MATCH(E260,'Landbrugsareal - resultat'!$C$4:$E$4,0)))),IF(C260=2030,SUMPRODUCT((B260='Landbrugsareal - resultat'!$B$32:$B$45)*(INDEX('Landbrugsareal - resultat'!$F$32:$H$45,,MATCH(E260,'Landbrugsareal - resultat'!$F$4:$H$4,0)))),SUMPRODUCT((B260='Landbrugsareal - resultat'!$B$32:$B$45)*(INDEX('Landbrugsareal - resultat'!$I$32:$K$45,,MATCH(E260,'Landbrugsareal - resultat'!$I$4:$K$4,0)))))),IF(C260=2019,SUMPRODUCT((B260='Landbrugsareal - resultat'!$B$32:$B$45)*(INDEX('Landbrugsareal - resultat'!$L$32:$N$45,,MATCH(E260,'Landbrugsareal - resultat'!$L$4:$N$4,0)))),IF(C260=2030,SUMPRODUCT((B260='Landbrugsareal - resultat'!$B$32:$B$45)*(INDEX('Landbrugsareal - resultat'!$O$32:$Q$45,,MATCH(E260,'Landbrugsareal - resultat'!$O$4:$Q$4,0)))),SUMPRODUCT((B260='Landbrugsareal - resultat'!$B$32:$B$45)*(INDEX('Landbrugsareal - resultat'!$R$32:$T$45,,MATCH(E260,'Landbrugsareal - resultat'!$R$4:$T$4,0))))))))</f>
        <v>25678.880997566026</v>
      </c>
      <c r="H260" s="172">
        <f>G260*VLOOKUP(B260,[1]Afgrødedata!$A$5:$F$18,2,FALSE)*IF(D260="Økologisk",VLOOKUP(B260,[1]Afgrødedata!$A$5:$F$18,4,FALSE),1)*IF(E260&lt;&gt;Jordbund1,IF(E260=Organ6,VLOOKUP(B260,[1]Afgrødedata!$A$5:$F$18,5,FALSE),VLOOKUP(B260,[1]Afgrødedata!$A$5:$F$18,6,FALSE)),1)*0.1</f>
        <v>2086504.8977723797</v>
      </c>
      <c r="I260" s="172">
        <f>G260*VLOOKUP(B260,[1]Afgrødedata!$A$5:$F$18,3,FALSE)*IF(D260="Økologisk",VLOOKUP(B260,[1]Afgrødedata!$A$5:$F$18,4,FALSE),1)*IF(E260&lt;&gt;Jordbund1,IF(E260=Organ6,VLOOKUP(B260,[1]Afgrødedata!$A$5:$F$18,5,FALSE),VLOOKUP(B260,[1]Afgrødedata!$A$5:$F$18,6,FALSE)),1)*HLOOKUP(C260,Landbrug!$C$15:$E$17,2,FALSE)*HLOOKUP(C260,Landbrug!$C$15:$E$17,3,FALSE)*0.1</f>
        <v>0</v>
      </c>
      <c r="J260" s="76">
        <f t="shared" si="42"/>
        <v>2086504.8977723797</v>
      </c>
    </row>
    <row r="261" spans="1:10" x14ac:dyDescent="0.55000000000000004">
      <c r="A261" t="s">
        <v>24</v>
      </c>
      <c r="B261" s="1" t="str">
        <f>[1]Afgrødefordeling!$C$9</f>
        <v>Majs</v>
      </c>
      <c r="C261">
        <v>2019</v>
      </c>
      <c r="D261" t="s">
        <v>7</v>
      </c>
      <c r="E261" s="172" t="str">
        <f t="shared" si="52"/>
        <v>JB1-10</v>
      </c>
      <c r="F261" t="str">
        <f t="shared" si="53"/>
        <v>Majs</v>
      </c>
      <c r="G261" s="76" cm="1">
        <f t="array" ref="G261">IF(A261="Vestdanmark",IF(D261="Konventionel",IF(C261=2019,SUMPRODUCT((B261='Landbrugsareal - resultat'!$B$5:$B$18)*(INDEX('Landbrugsareal - resultat'!$C$5:$E$18,,MATCH(E261,'Landbrugsareal - resultat'!$C$4:$E$4,0)))),IF(C261=2030,SUMPRODUCT((B261='Landbrugsareal - resultat'!$B$5:$B$18)*(INDEX('Landbrugsareal - resultat'!$F$5:$H$18,,MATCH(E261,'Landbrugsareal - resultat'!$F$4:$H$4,0)))),SUMPRODUCT((B261='Landbrugsareal - resultat'!$B$5:$B$18)*(INDEX('Landbrugsareal - resultat'!$I$5:$K$18,,MATCH(E261,'Landbrugsareal - resultat'!$I$4:$K$4,0)))))),IF(C261=2019,SUMPRODUCT((B261='Landbrugsareal - resultat'!$B$5:$B$18)*(INDEX('Landbrugsareal - resultat'!$L$5:$N$18,,MATCH(E261,'Landbrugsareal - resultat'!$L$4:$N$4,0)))),IF(C261=2030,SUMPRODUCT((B261='Landbrugsareal - resultat'!$B$5:$B$18)*(INDEX('Landbrugsareal - resultat'!$O$5:$Q$18,,MATCH(E261,'Landbrugsareal - resultat'!$O$4:$Q$4,0)))),SUMPRODUCT((B261='Landbrugsareal - resultat'!$B$5:$B$18)*(INDEX('Landbrugsareal - resultat'!$R$5:$T$18,,MATCH(E261,'Landbrugsareal - resultat'!$R$4:$T$4,0))))))),IF(D261="Konventionel",IF(C261=2019,SUMPRODUCT((B261='Landbrugsareal - resultat'!$B$32:$B$45)*(INDEX('Landbrugsareal - resultat'!$C$32:$E$45,,MATCH(E261,'Landbrugsareal - resultat'!$C$4:$E$4,0)))),IF(C261=2030,SUMPRODUCT((B261='Landbrugsareal - resultat'!$B$32:$B$45)*(INDEX('Landbrugsareal - resultat'!$F$32:$H$45,,MATCH(E261,'Landbrugsareal - resultat'!$F$4:$H$4,0)))),SUMPRODUCT((B261='Landbrugsareal - resultat'!$B$32:$B$45)*(INDEX('Landbrugsareal - resultat'!$I$32:$K$45,,MATCH(E261,'Landbrugsareal - resultat'!$I$4:$K$4,0)))))),IF(C261=2019,SUMPRODUCT((B261='Landbrugsareal - resultat'!$B$32:$B$45)*(INDEX('Landbrugsareal - resultat'!$L$32:$N$45,,MATCH(E261,'Landbrugsareal - resultat'!$L$4:$N$4,0)))),IF(C261=2030,SUMPRODUCT((B261='Landbrugsareal - resultat'!$B$32:$B$45)*(INDEX('Landbrugsareal - resultat'!$O$32:$Q$45,,MATCH(E261,'Landbrugsareal - resultat'!$O$4:$Q$4,0)))),SUMPRODUCT((B261='Landbrugsareal - resultat'!$B$32:$B$45)*(INDEX('Landbrugsareal - resultat'!$R$32:$T$45,,MATCH(E261,'Landbrugsareal - resultat'!$R$4:$T$4,0))))))))</f>
        <v>7262.9431424427694</v>
      </c>
      <c r="H261" s="172">
        <f>G261*VLOOKUP(B261,[1]Afgrødedata!$A$5:$F$18,2,FALSE)*IF(D261="Økologisk",VLOOKUP(B261,[1]Afgrødedata!$A$5:$F$18,4,FALSE),1)*IF(E261&lt;&gt;Jordbund1,IF(E261=Organ6,VLOOKUP(B261,[1]Afgrødedata!$A$5:$F$18,5,FALSE),VLOOKUP(B261,[1]Afgrødedata!$A$5:$F$18,6,FALSE)),1)*0.1</f>
        <v>323273.59927012771</v>
      </c>
      <c r="I261" s="172">
        <f>G261*VLOOKUP(B261,[1]Afgrødedata!$A$5:$F$18,3,FALSE)*IF(D261="Økologisk",VLOOKUP(B261,[1]Afgrødedata!$A$5:$F$18,4,FALSE),1)*IF(E261&lt;&gt;Jordbund1,IF(E261=Organ6,VLOOKUP(B261,[1]Afgrødedata!$A$5:$F$18,5,FALSE),VLOOKUP(B261,[1]Afgrødedata!$A$5:$F$18,6,FALSE)),1)*HLOOKUP(C261,Landbrug!$C$15:$E$17,2,FALSE)*HLOOKUP(C261,Landbrug!$C$15:$E$17,3,FALSE)*0.1</f>
        <v>0</v>
      </c>
      <c r="J261" s="76">
        <f t="shared" si="42"/>
        <v>323273.59927012771</v>
      </c>
    </row>
    <row r="262" spans="1:10" x14ac:dyDescent="0.55000000000000004">
      <c r="A262" t="s">
        <v>24</v>
      </c>
      <c r="B262" s="1" t="str">
        <f>[1]Afgrødefordeling!$C$10</f>
        <v>Frugt</v>
      </c>
      <c r="C262">
        <v>2019</v>
      </c>
      <c r="D262" t="s">
        <v>7</v>
      </c>
      <c r="E262" s="172" t="str">
        <f t="shared" si="52"/>
        <v>JB1-10</v>
      </c>
      <c r="F262" t="str">
        <f t="shared" si="53"/>
        <v>Frugt</v>
      </c>
      <c r="G262" s="76" cm="1">
        <f t="array" ref="G262">IF(A262="Vestdanmark",IF(D262="Konventionel",IF(C262=2019,SUMPRODUCT((B262='Landbrugsareal - resultat'!$B$5:$B$18)*(INDEX('Landbrugsareal - resultat'!$C$5:$E$18,,MATCH(E262,'Landbrugsareal - resultat'!$C$4:$E$4,0)))),IF(C262=2030,SUMPRODUCT((B262='Landbrugsareal - resultat'!$B$5:$B$18)*(INDEX('Landbrugsareal - resultat'!$F$5:$H$18,,MATCH(E262,'Landbrugsareal - resultat'!$F$4:$H$4,0)))),SUMPRODUCT((B262='Landbrugsareal - resultat'!$B$5:$B$18)*(INDEX('Landbrugsareal - resultat'!$I$5:$K$18,,MATCH(E262,'Landbrugsareal - resultat'!$I$4:$K$4,0)))))),IF(C262=2019,SUMPRODUCT((B262='Landbrugsareal - resultat'!$B$5:$B$18)*(INDEX('Landbrugsareal - resultat'!$L$5:$N$18,,MATCH(E262,'Landbrugsareal - resultat'!$L$4:$N$4,0)))),IF(C262=2030,SUMPRODUCT((B262='Landbrugsareal - resultat'!$B$5:$B$18)*(INDEX('Landbrugsareal - resultat'!$O$5:$Q$18,,MATCH(E262,'Landbrugsareal - resultat'!$O$4:$Q$4,0)))),SUMPRODUCT((B262='Landbrugsareal - resultat'!$B$5:$B$18)*(INDEX('Landbrugsareal - resultat'!$R$5:$T$18,,MATCH(E262,'Landbrugsareal - resultat'!$R$4:$T$4,0))))))),IF(D262="Konventionel",IF(C262=2019,SUMPRODUCT((B262='Landbrugsareal - resultat'!$B$32:$B$45)*(INDEX('Landbrugsareal - resultat'!$C$32:$E$45,,MATCH(E262,'Landbrugsareal - resultat'!$C$4:$E$4,0)))),IF(C262=2030,SUMPRODUCT((B262='Landbrugsareal - resultat'!$B$32:$B$45)*(INDEX('Landbrugsareal - resultat'!$F$32:$H$45,,MATCH(E262,'Landbrugsareal - resultat'!$F$4:$H$4,0)))),SUMPRODUCT((B262='Landbrugsareal - resultat'!$B$32:$B$45)*(INDEX('Landbrugsareal - resultat'!$I$32:$K$45,,MATCH(E262,'Landbrugsareal - resultat'!$I$4:$K$4,0)))))),IF(C262=2019,SUMPRODUCT((B262='Landbrugsareal - resultat'!$B$32:$B$45)*(INDEX('Landbrugsareal - resultat'!$L$32:$N$45,,MATCH(E262,'Landbrugsareal - resultat'!$L$4:$N$4,0)))),IF(C262=2030,SUMPRODUCT((B262='Landbrugsareal - resultat'!$B$32:$B$45)*(INDEX('Landbrugsareal - resultat'!$O$32:$Q$45,,MATCH(E262,'Landbrugsareal - resultat'!$O$4:$Q$4,0)))),SUMPRODUCT((B262='Landbrugsareal - resultat'!$B$32:$B$45)*(INDEX('Landbrugsareal - resultat'!$R$32:$T$45,,MATCH(E262,'Landbrugsareal - resultat'!$R$4:$T$4,0))))))))</f>
        <v>1689.9505584470551</v>
      </c>
      <c r="H262" s="172">
        <f>G262*VLOOKUP(B262,[1]Afgrødedata!$A$5:$F$18,2,FALSE)*IF(D262="Økologisk",VLOOKUP(B262,[1]Afgrødedata!$A$5:$F$18,4,FALSE),1)*IF(E262&lt;&gt;Jordbund1,IF(E262=Organ6,VLOOKUP(B262,[1]Afgrødedata!$A$5:$F$18,5,FALSE),VLOOKUP(B262,[1]Afgrødedata!$A$5:$F$18,6,FALSE)),1)*0.1</f>
        <v>14347.680241215501</v>
      </c>
      <c r="I262" s="172">
        <f>G262*VLOOKUP(B262,[1]Afgrødedata!$A$5:$F$18,3,FALSE)*IF(D262="Økologisk",VLOOKUP(B262,[1]Afgrødedata!$A$5:$F$18,4,FALSE),1)*IF(E262&lt;&gt;Jordbund1,IF(E262=Organ6,VLOOKUP(B262,[1]Afgrødedata!$A$5:$F$18,5,FALSE),VLOOKUP(B262,[1]Afgrødedata!$A$5:$F$18,6,FALSE)),1)*HLOOKUP(C262,Landbrug!$C$15:$E$17,2,FALSE)*HLOOKUP(C262,Landbrug!$C$15:$E$17,3,FALSE)*0.1</f>
        <v>0</v>
      </c>
      <c r="J262" s="76">
        <f t="shared" si="42"/>
        <v>14347.680241215501</v>
      </c>
    </row>
    <row r="263" spans="1:10" x14ac:dyDescent="0.55000000000000004">
      <c r="A263" t="s">
        <v>24</v>
      </c>
      <c r="B263" s="1" t="str">
        <f>[1]Afgrødefordeling!$C$11</f>
        <v>Øvrige</v>
      </c>
      <c r="C263">
        <v>2019</v>
      </c>
      <c r="D263" t="s">
        <v>7</v>
      </c>
      <c r="E263" s="172" t="str">
        <f t="shared" si="52"/>
        <v>JB1-10</v>
      </c>
      <c r="F263" t="str">
        <f t="shared" si="53"/>
        <v>Øvrige</v>
      </c>
      <c r="G263" s="76" cm="1">
        <f t="array" ref="G263">IF(A263="Vestdanmark",IF(D263="Konventionel",IF(C263=2019,SUMPRODUCT((B263='Landbrugsareal - resultat'!$B$5:$B$18)*(INDEX('Landbrugsareal - resultat'!$C$5:$E$18,,MATCH(E263,'Landbrugsareal - resultat'!$C$4:$E$4,0)))),IF(C263=2030,SUMPRODUCT((B263='Landbrugsareal - resultat'!$B$5:$B$18)*(INDEX('Landbrugsareal - resultat'!$F$5:$H$18,,MATCH(E263,'Landbrugsareal - resultat'!$F$4:$H$4,0)))),SUMPRODUCT((B263='Landbrugsareal - resultat'!$B$5:$B$18)*(INDEX('Landbrugsareal - resultat'!$I$5:$K$18,,MATCH(E263,'Landbrugsareal - resultat'!$I$4:$K$4,0)))))),IF(C263=2019,SUMPRODUCT((B263='Landbrugsareal - resultat'!$B$5:$B$18)*(INDEX('Landbrugsareal - resultat'!$L$5:$N$18,,MATCH(E263,'Landbrugsareal - resultat'!$L$4:$N$4,0)))),IF(C263=2030,SUMPRODUCT((B263='Landbrugsareal - resultat'!$B$5:$B$18)*(INDEX('Landbrugsareal - resultat'!$O$5:$Q$18,,MATCH(E263,'Landbrugsareal - resultat'!$O$4:$Q$4,0)))),SUMPRODUCT((B263='Landbrugsareal - resultat'!$B$5:$B$18)*(INDEX('Landbrugsareal - resultat'!$R$5:$T$18,,MATCH(E263,'Landbrugsareal - resultat'!$R$4:$T$4,0))))))),IF(D263="Konventionel",IF(C263=2019,SUMPRODUCT((B263='Landbrugsareal - resultat'!$B$32:$B$45)*(INDEX('Landbrugsareal - resultat'!$C$32:$E$45,,MATCH(E263,'Landbrugsareal - resultat'!$C$4:$E$4,0)))),IF(C263=2030,SUMPRODUCT((B263='Landbrugsareal - resultat'!$B$32:$B$45)*(INDEX('Landbrugsareal - resultat'!$F$32:$H$45,,MATCH(E263,'Landbrugsareal - resultat'!$F$4:$H$4,0)))),SUMPRODUCT((B263='Landbrugsareal - resultat'!$B$32:$B$45)*(INDEX('Landbrugsareal - resultat'!$I$32:$K$45,,MATCH(E263,'Landbrugsareal - resultat'!$I$4:$K$4,0)))))),IF(C263=2019,SUMPRODUCT((B263='Landbrugsareal - resultat'!$B$32:$B$45)*(INDEX('Landbrugsareal - resultat'!$L$32:$N$45,,MATCH(E263,'Landbrugsareal - resultat'!$L$4:$N$4,0)))),IF(C263=2030,SUMPRODUCT((B263='Landbrugsareal - resultat'!$B$32:$B$45)*(INDEX('Landbrugsareal - resultat'!$O$32:$Q$45,,MATCH(E263,'Landbrugsareal - resultat'!$O$4:$Q$4,0)))),SUMPRODUCT((B263='Landbrugsareal - resultat'!$B$32:$B$45)*(INDEX('Landbrugsareal - resultat'!$R$32:$T$45,,MATCH(E263,'Landbrugsareal - resultat'!$R$4:$T$4,0))))))))</f>
        <v>12067.066633104925</v>
      </c>
      <c r="H263" s="172">
        <f>G263*VLOOKUP(B263,[1]Afgrødedata!$A$5:$F$18,2,FALSE)*IF(D263="Økologisk",VLOOKUP(B263,[1]Afgrødedata!$A$5:$F$18,4,FALSE),1)*IF(E263&lt;&gt;Jordbund1,IF(E263=Organ6,VLOOKUP(B263,[1]Afgrødedata!$A$5:$F$18,5,FALSE),VLOOKUP(B263,[1]Afgrødedata!$A$5:$F$18,6,FALSE)),1)*0.1</f>
        <v>359549.63570951426</v>
      </c>
      <c r="I263" s="172">
        <f>G263*VLOOKUP(B263,[1]Afgrødedata!$A$5:$F$18,3,FALSE)*IF(D263="Økologisk",VLOOKUP(B263,[1]Afgrødedata!$A$5:$F$18,4,FALSE),1)*IF(E263&lt;&gt;Jordbund1,IF(E263=Organ6,VLOOKUP(B263,[1]Afgrødedata!$A$5:$F$18,5,FALSE),VLOOKUP(B263,[1]Afgrødedata!$A$5:$F$18,6,FALSE)),1)*HLOOKUP(C263,Landbrug!$C$15:$E$17,2,FALSE)*HLOOKUP(C263,Landbrug!$C$15:$E$17,3,FALSE)*0.1</f>
        <v>0</v>
      </c>
      <c r="J263" s="76">
        <f t="shared" si="42"/>
        <v>359549.63570951426</v>
      </c>
    </row>
    <row r="264" spans="1:10" x14ac:dyDescent="0.55000000000000004">
      <c r="A264" t="s">
        <v>24</v>
      </c>
      <c r="B264" s="1" t="str">
        <f>[1]Afgrødefordeling!$C$12</f>
        <v>Frø</v>
      </c>
      <c r="C264">
        <v>2019</v>
      </c>
      <c r="D264" t="s">
        <v>7</v>
      </c>
      <c r="E264" s="172" t="str">
        <f t="shared" si="52"/>
        <v>JB1-10</v>
      </c>
      <c r="F264" t="str">
        <f t="shared" si="53"/>
        <v>Halm</v>
      </c>
      <c r="G264" s="76" cm="1">
        <f t="array" ref="G264">IF(A264="Vestdanmark",IF(D264="Konventionel",IF(C264=2019,SUMPRODUCT((B264='Landbrugsareal - resultat'!$B$5:$B$18)*(INDEX('Landbrugsareal - resultat'!$C$5:$E$18,,MATCH(E264,'Landbrugsareal - resultat'!$C$4:$E$4,0)))),IF(C264=2030,SUMPRODUCT((B264='Landbrugsareal - resultat'!$B$5:$B$18)*(INDEX('Landbrugsareal - resultat'!$F$5:$H$18,,MATCH(E264,'Landbrugsareal - resultat'!$F$4:$H$4,0)))),SUMPRODUCT((B264='Landbrugsareal - resultat'!$B$5:$B$18)*(INDEX('Landbrugsareal - resultat'!$I$5:$K$18,,MATCH(E264,'Landbrugsareal - resultat'!$I$4:$K$4,0)))))),IF(C264=2019,SUMPRODUCT((B264='Landbrugsareal - resultat'!$B$5:$B$18)*(INDEX('Landbrugsareal - resultat'!$L$5:$N$18,,MATCH(E264,'Landbrugsareal - resultat'!$L$4:$N$4,0)))),IF(C264=2030,SUMPRODUCT((B264='Landbrugsareal - resultat'!$B$5:$B$18)*(INDEX('Landbrugsareal - resultat'!$O$5:$Q$18,,MATCH(E264,'Landbrugsareal - resultat'!$O$4:$Q$4,0)))),SUMPRODUCT((B264='Landbrugsareal - resultat'!$B$5:$B$18)*(INDEX('Landbrugsareal - resultat'!$R$5:$T$18,,MATCH(E264,'Landbrugsareal - resultat'!$R$4:$T$4,0))))))),IF(D264="Konventionel",IF(C264=2019,SUMPRODUCT((B264='Landbrugsareal - resultat'!$B$32:$B$45)*(INDEX('Landbrugsareal - resultat'!$C$32:$E$45,,MATCH(E264,'Landbrugsareal - resultat'!$C$4:$E$4,0)))),IF(C264=2030,SUMPRODUCT((B264='Landbrugsareal - resultat'!$B$32:$B$45)*(INDEX('Landbrugsareal - resultat'!$F$32:$H$45,,MATCH(E264,'Landbrugsareal - resultat'!$F$4:$H$4,0)))),SUMPRODUCT((B264='Landbrugsareal - resultat'!$B$32:$B$45)*(INDEX('Landbrugsareal - resultat'!$I$32:$K$45,,MATCH(E264,'Landbrugsareal - resultat'!$I$4:$K$4,0)))))),IF(C264=2019,SUMPRODUCT((B264='Landbrugsareal - resultat'!$B$32:$B$45)*(INDEX('Landbrugsareal - resultat'!$L$32:$N$45,,MATCH(E264,'Landbrugsareal - resultat'!$L$4:$N$4,0)))),IF(C264=2030,SUMPRODUCT((B264='Landbrugsareal - resultat'!$B$32:$B$45)*(INDEX('Landbrugsareal - resultat'!$O$32:$Q$45,,MATCH(E264,'Landbrugsareal - resultat'!$O$4:$Q$4,0)))),SUMPRODUCT((B264='Landbrugsareal - resultat'!$B$32:$B$45)*(INDEX('Landbrugsareal - resultat'!$R$32:$T$45,,MATCH(E264,'Landbrugsareal - resultat'!$R$4:$T$4,0))))))))</f>
        <v>37335.148248827281</v>
      </c>
      <c r="H264" s="172">
        <f>G264*VLOOKUP(B264,[1]Afgrødedata!$A$5:$F$18,2,FALSE)*IF(D264="Økologisk",VLOOKUP(B264,[1]Afgrødedata!$A$5:$F$18,4,FALSE),1)*IF(E264&lt;&gt;Jordbund1,IF(E264=Organ6,VLOOKUP(B264,[1]Afgrødedata!$A$5:$F$18,5,FALSE),VLOOKUP(B264,[1]Afgrødedata!$A$5:$F$18,6,FALSE)),1)*0.1</f>
        <v>533476.73476254696</v>
      </c>
      <c r="I264" s="172">
        <f>G264*VLOOKUP(B264,[1]Afgrødedata!$A$5:$F$18,3,FALSE)*IF(D264="Økologisk",VLOOKUP(B264,[1]Afgrødedata!$A$5:$F$18,4,FALSE),1)*IF(E264&lt;&gt;Jordbund1,IF(E264=Organ6,VLOOKUP(B264,[1]Afgrødedata!$A$5:$F$18,5,FALSE),VLOOKUP(B264,[1]Afgrødedata!$A$5:$F$18,6,FALSE)),1)*HLOOKUP(C264,Landbrug!$C$15:$E$17,2,FALSE)*HLOOKUP(C264,Landbrug!$C$15:$E$17,3,FALSE)*0.1</f>
        <v>88626.174913066206</v>
      </c>
      <c r="J264" s="76">
        <f t="shared" si="42"/>
        <v>88626.174913066206</v>
      </c>
    </row>
    <row r="265" spans="1:10" x14ac:dyDescent="0.55000000000000004">
      <c r="A265" t="s">
        <v>24</v>
      </c>
      <c r="B265" s="1" t="str">
        <f>[1]Afgrødefordeling!$C$13</f>
        <v>Juletræer</v>
      </c>
      <c r="C265">
        <v>2019</v>
      </c>
      <c r="D265" t="s">
        <v>7</v>
      </c>
      <c r="E265" s="172" t="str">
        <f t="shared" si="52"/>
        <v>JB1-10</v>
      </c>
      <c r="F265" t="str">
        <f t="shared" si="53"/>
        <v>Juletræer</v>
      </c>
      <c r="G265" s="76" cm="1">
        <f t="array" ref="G265">IF(A265="Vestdanmark",IF(D265="Konventionel",IF(C265=2019,SUMPRODUCT((B265='Landbrugsareal - resultat'!$B$5:$B$18)*(INDEX('Landbrugsareal - resultat'!$C$5:$E$18,,MATCH(E265,'Landbrugsareal - resultat'!$C$4:$E$4,0)))),IF(C265=2030,SUMPRODUCT((B265='Landbrugsareal - resultat'!$B$5:$B$18)*(INDEX('Landbrugsareal - resultat'!$F$5:$H$18,,MATCH(E265,'Landbrugsareal - resultat'!$F$4:$H$4,0)))),SUMPRODUCT((B265='Landbrugsareal - resultat'!$B$5:$B$18)*(INDEX('Landbrugsareal - resultat'!$I$5:$K$18,,MATCH(E265,'Landbrugsareal - resultat'!$I$4:$K$4,0)))))),IF(C265=2019,SUMPRODUCT((B265='Landbrugsareal - resultat'!$B$5:$B$18)*(INDEX('Landbrugsareal - resultat'!$L$5:$N$18,,MATCH(E265,'Landbrugsareal - resultat'!$L$4:$N$4,0)))),IF(C265=2030,SUMPRODUCT((B265='Landbrugsareal - resultat'!$B$5:$B$18)*(INDEX('Landbrugsareal - resultat'!$O$5:$Q$18,,MATCH(E265,'Landbrugsareal - resultat'!$O$4:$Q$4,0)))),SUMPRODUCT((B265='Landbrugsareal - resultat'!$B$5:$B$18)*(INDEX('Landbrugsareal - resultat'!$R$5:$T$18,,MATCH(E265,'Landbrugsareal - resultat'!$R$4:$T$4,0))))))),IF(D265="Konventionel",IF(C265=2019,SUMPRODUCT((B265='Landbrugsareal - resultat'!$B$32:$B$45)*(INDEX('Landbrugsareal - resultat'!$C$32:$E$45,,MATCH(E265,'Landbrugsareal - resultat'!$C$4:$E$4,0)))),IF(C265=2030,SUMPRODUCT((B265='Landbrugsareal - resultat'!$B$32:$B$45)*(INDEX('Landbrugsareal - resultat'!$F$32:$H$45,,MATCH(E265,'Landbrugsareal - resultat'!$F$4:$H$4,0)))),SUMPRODUCT((B265='Landbrugsareal - resultat'!$B$32:$B$45)*(INDEX('Landbrugsareal - resultat'!$I$32:$K$45,,MATCH(E265,'Landbrugsareal - resultat'!$I$4:$K$4,0)))))),IF(C265=2019,SUMPRODUCT((B265='Landbrugsareal - resultat'!$B$32:$B$45)*(INDEX('Landbrugsareal - resultat'!$L$32:$N$45,,MATCH(E265,'Landbrugsareal - resultat'!$L$4:$N$4,0)))),IF(C265=2030,SUMPRODUCT((B265='Landbrugsareal - resultat'!$B$32:$B$45)*(INDEX('Landbrugsareal - resultat'!$O$32:$Q$45,,MATCH(E265,'Landbrugsareal - resultat'!$O$4:$Q$4,0)))),SUMPRODUCT((B265='Landbrugsareal - resultat'!$B$32:$B$45)*(INDEX('Landbrugsareal - resultat'!$R$32:$T$45,,MATCH(E265,'Landbrugsareal - resultat'!$R$4:$T$4,0))))))))</f>
        <v>2648.1429081925139</v>
      </c>
      <c r="H265" s="172">
        <f>G265*VLOOKUP(B265,[1]Afgrødedata!$A$5:$F$18,2,FALSE)*IF(D265="Økologisk",VLOOKUP(B265,[1]Afgrødedata!$A$5:$F$18,4,FALSE),1)*IF(E265&lt;&gt;Jordbund1,IF(E265=Organ6,VLOOKUP(B265,[1]Afgrødedata!$A$5:$F$18,5,FALSE),VLOOKUP(B265,[1]Afgrødedata!$A$5:$F$18,6,FALSE)),1)*0.1</f>
        <v>132407.14540962569</v>
      </c>
      <c r="I265" s="172">
        <f>G265*VLOOKUP(B265,[1]Afgrødedata!$A$5:$F$18,3,FALSE)*IF(D265="Økologisk",VLOOKUP(B265,[1]Afgrødedata!$A$5:$F$18,4,FALSE),1)*IF(E265&lt;&gt;Jordbund1,IF(E265=Organ6,VLOOKUP(B265,[1]Afgrødedata!$A$5:$F$18,5,FALSE),VLOOKUP(B265,[1]Afgrødedata!$A$5:$F$18,6,FALSE)),1)*HLOOKUP(C265,Landbrug!$C$15:$E$17,2,FALSE)*HLOOKUP(C265,Landbrug!$C$15:$E$17,3,FALSE)*0.1</f>
        <v>0</v>
      </c>
      <c r="J265" s="76">
        <f t="shared" si="42"/>
        <v>132407.14540962569</v>
      </c>
    </row>
    <row r="266" spans="1:10" x14ac:dyDescent="0.55000000000000004">
      <c r="A266" t="s">
        <v>24</v>
      </c>
      <c r="B266" s="1" t="str">
        <f>[1]Afgrødefordeling!$C$14</f>
        <v>Pil &amp; poppel</v>
      </c>
      <c r="C266">
        <v>2019</v>
      </c>
      <c r="D266" t="s">
        <v>7</v>
      </c>
      <c r="E266" s="172" t="str">
        <f t="shared" si="52"/>
        <v>JB1-10</v>
      </c>
      <c r="F266" t="str">
        <f>IF(I266&lt;&gt;0,"Halm",IF(B266&lt;&gt;"Permanent græs",B266,"Græs"))</f>
        <v>Pil &amp; poppel</v>
      </c>
      <c r="G266" s="76" cm="1">
        <f t="array" ref="G266">IF(A266="Vestdanmark",IF(D266="Konventionel",IF(C266=2019,SUMPRODUCT((B266='Landbrugsareal - resultat'!$B$5:$B$18)*(INDEX('Landbrugsareal - resultat'!$C$5:$E$18,,MATCH(E266,'Landbrugsareal - resultat'!$C$4:$E$4,0)))),IF(C266=2030,SUMPRODUCT((B266='Landbrugsareal - resultat'!$B$5:$B$18)*(INDEX('Landbrugsareal - resultat'!$F$5:$H$18,,MATCH(E266,'Landbrugsareal - resultat'!$F$4:$H$4,0)))),SUMPRODUCT((B266='Landbrugsareal - resultat'!$B$5:$B$18)*(INDEX('Landbrugsareal - resultat'!$I$5:$K$18,,MATCH(E266,'Landbrugsareal - resultat'!$I$4:$K$4,0)))))),IF(C266=2019,SUMPRODUCT((B266='Landbrugsareal - resultat'!$B$5:$B$18)*(INDEX('Landbrugsareal - resultat'!$L$5:$N$18,,MATCH(E266,'Landbrugsareal - resultat'!$L$4:$N$4,0)))),IF(C266=2030,SUMPRODUCT((B266='Landbrugsareal - resultat'!$B$5:$B$18)*(INDEX('Landbrugsareal - resultat'!$O$5:$Q$18,,MATCH(E266,'Landbrugsareal - resultat'!$O$4:$Q$4,0)))),SUMPRODUCT((B266='Landbrugsareal - resultat'!$B$5:$B$18)*(INDEX('Landbrugsareal - resultat'!$R$5:$T$18,,MATCH(E266,'Landbrugsareal - resultat'!$R$4:$T$4,0))))))),IF(D266="Konventionel",IF(C266=2019,SUMPRODUCT((B266='Landbrugsareal - resultat'!$B$32:$B$45)*(INDEX('Landbrugsareal - resultat'!$C$32:$E$45,,MATCH(E266,'Landbrugsareal - resultat'!$C$4:$E$4,0)))),IF(C266=2030,SUMPRODUCT((B266='Landbrugsareal - resultat'!$B$32:$B$45)*(INDEX('Landbrugsareal - resultat'!$F$32:$H$45,,MATCH(E266,'Landbrugsareal - resultat'!$F$4:$H$4,0)))),SUMPRODUCT((B266='Landbrugsareal - resultat'!$B$32:$B$45)*(INDEX('Landbrugsareal - resultat'!$I$32:$K$45,,MATCH(E266,'Landbrugsareal - resultat'!$I$4:$K$4,0)))))),IF(C266=2019,SUMPRODUCT((B266='Landbrugsareal - resultat'!$B$32:$B$45)*(INDEX('Landbrugsareal - resultat'!$L$32:$N$45,,MATCH(E266,'Landbrugsareal - resultat'!$L$4:$N$4,0)))),IF(C266=2030,SUMPRODUCT((B266='Landbrugsareal - resultat'!$B$32:$B$45)*(INDEX('Landbrugsareal - resultat'!$O$32:$Q$45,,MATCH(E266,'Landbrugsareal - resultat'!$O$4:$Q$4,0)))),SUMPRODUCT((B266='Landbrugsareal - resultat'!$B$32:$B$45)*(INDEX('Landbrugsareal - resultat'!$R$32:$T$45,,MATCH(E266,'Landbrugsareal - resultat'!$R$4:$T$4,0))))))))</f>
        <v>1258.7577822820135</v>
      </c>
      <c r="H266" s="172">
        <f>G266*VLOOKUP(B266,[1]Afgrødedata!$A$5:$F$18,2,FALSE)*IF(D266="Økologisk",VLOOKUP(B266,[1]Afgrødedata!$A$5:$F$18,4,FALSE),1)*IF(E266&lt;&gt;Jordbund1,IF(E266=Organ6,VLOOKUP(B266,[1]Afgrødedata!$A$5:$F$18,5,FALSE),VLOOKUP(B266,[1]Afgrødedata!$A$5:$F$18,6,FALSE)),1)*0.1</f>
        <v>30701.40932395155</v>
      </c>
      <c r="I266" s="172">
        <f>G266*VLOOKUP(B266,[1]Afgrødedata!$A$5:$F$18,3,FALSE)*IF(D266="Økologisk",VLOOKUP(B266,[1]Afgrødedata!$A$5:$F$18,4,FALSE),1)*IF(E266&lt;&gt;Jordbund1,IF(E266=Organ6,VLOOKUP(B266,[1]Afgrødedata!$A$5:$F$18,5,FALSE),VLOOKUP(B266,[1]Afgrødedata!$A$5:$F$18,6,FALSE)),1)*HLOOKUP(C266,Landbrug!$C$15:$E$17,2,FALSE)*HLOOKUP(C266,Landbrug!$C$15:$E$17,3,FALSE)*0.1</f>
        <v>0</v>
      </c>
      <c r="J266" s="76">
        <f t="shared" si="42"/>
        <v>30701.40932395155</v>
      </c>
    </row>
    <row r="267" spans="1:10" x14ac:dyDescent="0.55000000000000004">
      <c r="A267" t="s">
        <v>24</v>
      </c>
      <c r="B267" s="1" t="str">
        <f>[1]Afgrødefordeling!$C$15</f>
        <v>Permanent græs</v>
      </c>
      <c r="C267">
        <v>2019</v>
      </c>
      <c r="D267" t="s">
        <v>7</v>
      </c>
      <c r="E267" s="172" t="str">
        <f t="shared" si="52"/>
        <v>JB1-10</v>
      </c>
      <c r="F267" t="str">
        <f t="shared" ref="F267:F335" si="54">IF(I267&lt;&gt;0,"Halm",IF(B267&lt;&gt;"Permanent græs",B267,"Græs"))</f>
        <v>Græs</v>
      </c>
      <c r="G267" s="76" cm="1">
        <f t="array" ref="G267">IF(A267="Vestdanmark",IF(D267="Konventionel",IF(C267=2019,SUMPRODUCT((B267='Landbrugsareal - resultat'!$B$5:$B$18)*(INDEX('Landbrugsareal - resultat'!$C$5:$E$18,,MATCH(E267,'Landbrugsareal - resultat'!$C$4:$E$4,0)))),IF(C267=2030,SUMPRODUCT((B267='Landbrugsareal - resultat'!$B$5:$B$18)*(INDEX('Landbrugsareal - resultat'!$F$5:$H$18,,MATCH(E267,'Landbrugsareal - resultat'!$F$4:$H$4,0)))),SUMPRODUCT((B267='Landbrugsareal - resultat'!$B$5:$B$18)*(INDEX('Landbrugsareal - resultat'!$I$5:$K$18,,MATCH(E267,'Landbrugsareal - resultat'!$I$4:$K$4,0)))))),IF(C267=2019,SUMPRODUCT((B267='Landbrugsareal - resultat'!$B$5:$B$18)*(INDEX('Landbrugsareal - resultat'!$L$5:$N$18,,MATCH(E267,'Landbrugsareal - resultat'!$L$4:$N$4,0)))),IF(C267=2030,SUMPRODUCT((B267='Landbrugsareal - resultat'!$B$5:$B$18)*(INDEX('Landbrugsareal - resultat'!$O$5:$Q$18,,MATCH(E267,'Landbrugsareal - resultat'!$O$4:$Q$4,0)))),SUMPRODUCT((B267='Landbrugsareal - resultat'!$B$5:$B$18)*(INDEX('Landbrugsareal - resultat'!$R$5:$T$18,,MATCH(E267,'Landbrugsareal - resultat'!$R$4:$T$4,0))))))),IF(D267="Konventionel",IF(C267=2019,SUMPRODUCT((B267='Landbrugsareal - resultat'!$B$32:$B$45)*(INDEX('Landbrugsareal - resultat'!$C$32:$E$45,,MATCH(E267,'Landbrugsareal - resultat'!$C$4:$E$4,0)))),IF(C267=2030,SUMPRODUCT((B267='Landbrugsareal - resultat'!$B$32:$B$45)*(INDEX('Landbrugsareal - resultat'!$F$32:$H$45,,MATCH(E267,'Landbrugsareal - resultat'!$F$4:$H$4,0)))),SUMPRODUCT((B267='Landbrugsareal - resultat'!$B$32:$B$45)*(INDEX('Landbrugsareal - resultat'!$I$32:$K$45,,MATCH(E267,'Landbrugsareal - resultat'!$I$4:$K$4,0)))))),IF(C267=2019,SUMPRODUCT((B267='Landbrugsareal - resultat'!$B$32:$B$45)*(INDEX('Landbrugsareal - resultat'!$L$32:$N$45,,MATCH(E267,'Landbrugsareal - resultat'!$L$4:$N$4,0)))),IF(C267=2030,SUMPRODUCT((B267='Landbrugsareal - resultat'!$B$32:$B$45)*(INDEX('Landbrugsareal - resultat'!$O$32:$Q$45,,MATCH(E267,'Landbrugsareal - resultat'!$O$4:$Q$4,0)))),SUMPRODUCT((B267='Landbrugsareal - resultat'!$B$32:$B$45)*(INDEX('Landbrugsareal - resultat'!$R$32:$T$45,,MATCH(E267,'Landbrugsareal - resultat'!$R$4:$T$4,0))))))))</f>
        <v>31352.142273239417</v>
      </c>
      <c r="H267" s="172">
        <f>G267*VLOOKUP(B267,[1]Afgrødedata!$A$5:$F$18,2,FALSE)*IF(D267="Økologisk",VLOOKUP(B267,[1]Afgrødedata!$A$5:$F$18,4,FALSE),1)*IF(E267&lt;&gt;Jordbund1,IF(E267=Organ6,VLOOKUP(B267,[1]Afgrødedata!$A$5:$F$18,5,FALSE),VLOOKUP(B267,[1]Afgrødedata!$A$5:$F$18,6,FALSE)),1)*0.1</f>
        <v>432346.04194797156</v>
      </c>
      <c r="I267" s="172">
        <f>G267*VLOOKUP(B267,[1]Afgrødedata!$A$5:$F$18,3,FALSE)*IF(D267="Økologisk",VLOOKUP(B267,[1]Afgrødedata!$A$5:$F$18,4,FALSE),1)*IF(E267&lt;&gt;Jordbund1,IF(E267=Organ6,VLOOKUP(B267,[1]Afgrødedata!$A$5:$F$18,5,FALSE),VLOOKUP(B267,[1]Afgrødedata!$A$5:$F$18,6,FALSE)),1)*HLOOKUP(C267,Landbrug!$C$15:$E$17,2,FALSE)*HLOOKUP(C267,Landbrug!$C$15:$E$17,3,FALSE)*0.1</f>
        <v>0</v>
      </c>
      <c r="J267" s="76">
        <f t="shared" si="42"/>
        <v>432346.04194797156</v>
      </c>
    </row>
    <row r="268" spans="1:10" x14ac:dyDescent="0.55000000000000004">
      <c r="A268" t="s">
        <v>24</v>
      </c>
      <c r="B268" s="1" t="str">
        <f>[1]Afgrødefordeling!$C$2</f>
        <v>Korn</v>
      </c>
      <c r="C268">
        <v>2030</v>
      </c>
      <c r="D268" t="s">
        <v>7</v>
      </c>
      <c r="E268" s="172" t="str">
        <f t="shared" si="52"/>
        <v>JB1-10</v>
      </c>
      <c r="F268" t="str">
        <f t="shared" si="54"/>
        <v>Halm</v>
      </c>
      <c r="G268" s="76" cm="1">
        <f t="array" ref="G268">IF(A268="Vestdanmark",IF(D268="Konventionel",IF(C268=2019,SUMPRODUCT((B268='Landbrugsareal - resultat'!$B$5:$B$18)*(INDEX('Landbrugsareal - resultat'!$C$5:$E$18,,MATCH(E268,'Landbrugsareal - resultat'!$C$4:$E$4,0)))),IF(C268=2030,SUMPRODUCT((B268='Landbrugsareal - resultat'!$B$5:$B$18)*(INDEX('Landbrugsareal - resultat'!$F$5:$H$18,,MATCH(E268,'Landbrugsareal - resultat'!$F$4:$H$4,0)))),SUMPRODUCT((B268='Landbrugsareal - resultat'!$B$5:$B$18)*(INDEX('Landbrugsareal - resultat'!$I$5:$K$18,,MATCH(E268,'Landbrugsareal - resultat'!$I$4:$K$4,0)))))),IF(C268=2019,SUMPRODUCT((B268='Landbrugsareal - resultat'!$B$5:$B$18)*(INDEX('Landbrugsareal - resultat'!$L$5:$N$18,,MATCH(E268,'Landbrugsareal - resultat'!$L$4:$N$4,0)))),IF(C268=2030,SUMPRODUCT((B268='Landbrugsareal - resultat'!$B$5:$B$18)*(INDEX('Landbrugsareal - resultat'!$O$5:$Q$18,,MATCH(E268,'Landbrugsareal - resultat'!$O$4:$Q$4,0)))),SUMPRODUCT((B268='Landbrugsareal - resultat'!$B$5:$B$18)*(INDEX('Landbrugsareal - resultat'!$R$5:$T$18,,MATCH(E268,'Landbrugsareal - resultat'!$R$4:$T$4,0))))))),IF(D268="Konventionel",IF(C268=2019,SUMPRODUCT((B268='Landbrugsareal - resultat'!$B$32:$B$45)*(INDEX('Landbrugsareal - resultat'!$C$32:$E$45,,MATCH(E268,'Landbrugsareal - resultat'!$C$4:$E$4,0)))),IF(C268=2030,SUMPRODUCT((B268='Landbrugsareal - resultat'!$B$32:$B$45)*(INDEX('Landbrugsareal - resultat'!$F$32:$H$45,,MATCH(E268,'Landbrugsareal - resultat'!$F$4:$H$4,0)))),SUMPRODUCT((B268='Landbrugsareal - resultat'!$B$32:$B$45)*(INDEX('Landbrugsareal - resultat'!$I$32:$K$45,,MATCH(E268,'Landbrugsareal - resultat'!$I$4:$K$4,0)))))),IF(C268=2019,SUMPRODUCT((B268='Landbrugsareal - resultat'!$B$32:$B$45)*(INDEX('Landbrugsareal - resultat'!$L$32:$N$45,,MATCH(E268,'Landbrugsareal - resultat'!$L$4:$N$4,0)))),IF(C268=2030,SUMPRODUCT((B268='Landbrugsareal - resultat'!$B$32:$B$45)*(INDEX('Landbrugsareal - resultat'!$O$32:$Q$45,,MATCH(E268,'Landbrugsareal - resultat'!$O$4:$Q$4,0)))),SUMPRODUCT((B268='Landbrugsareal - resultat'!$B$32:$B$45)*(INDEX('Landbrugsareal - resultat'!$R$32:$T$45,,MATCH(E268,'Landbrugsareal - resultat'!$R$4:$T$4,0))))))))</f>
        <v>284372.46181096468</v>
      </c>
      <c r="H268" s="172">
        <f>G268*VLOOKUP(B268,[1]Afgrødedata!$A$5:$F$18,2,FALSE)*IF(D268="Økologisk",VLOOKUP(B268,[1]Afgrødedata!$A$5:$F$18,4,FALSE),1)*IF(E268&lt;&gt;Jordbund1,IF(E268=Organ6,VLOOKUP(B268,[1]Afgrødedata!$A$5:$F$18,5,FALSE),VLOOKUP(B268,[1]Afgrødedata!$A$5:$F$18,6,FALSE)),1)*0.1</f>
        <v>1993450.9572948625</v>
      </c>
      <c r="I268" s="172">
        <f>G268*VLOOKUP(B268,[1]Afgrødedata!$A$5:$F$18,3,FALSE)*IF(D268="Økologisk",VLOOKUP(B268,[1]Afgrødedata!$A$5:$F$18,4,FALSE),1)*IF(E268&lt;&gt;Jordbund1,IF(E268=Organ6,VLOOKUP(B268,[1]Afgrødedata!$A$5:$F$18,5,FALSE),VLOOKUP(B268,[1]Afgrødedata!$A$5:$F$18,6,FALSE)),1)*HLOOKUP(C268,Landbrug!$C$15:$E$17,2,FALSE)*HLOOKUP(C268,Landbrug!$C$15:$E$17,3,FALSE)*0.1</f>
        <v>646874.83564218285</v>
      </c>
      <c r="J268" s="76">
        <f t="shared" si="42"/>
        <v>646874.83564218285</v>
      </c>
    </row>
    <row r="269" spans="1:10" x14ac:dyDescent="0.55000000000000004">
      <c r="A269" t="s">
        <v>24</v>
      </c>
      <c r="B269" s="1" t="str">
        <f>[1]Afgrødefordeling!$C$3</f>
        <v>Bælgsæd</v>
      </c>
      <c r="C269">
        <v>2030</v>
      </c>
      <c r="D269" t="s">
        <v>7</v>
      </c>
      <c r="E269" s="172" t="str">
        <f t="shared" si="52"/>
        <v>JB1-10</v>
      </c>
      <c r="F269" t="str">
        <f t="shared" si="54"/>
        <v>Halm</v>
      </c>
      <c r="G269" s="76" cm="1">
        <f t="array" ref="G269">IF(A269="Vestdanmark",IF(D269="Konventionel",IF(C269=2019,SUMPRODUCT((B269='Landbrugsareal - resultat'!$B$5:$B$18)*(INDEX('Landbrugsareal - resultat'!$C$5:$E$18,,MATCH(E269,'Landbrugsareal - resultat'!$C$4:$E$4,0)))),IF(C269=2030,SUMPRODUCT((B269='Landbrugsareal - resultat'!$B$5:$B$18)*(INDEX('Landbrugsareal - resultat'!$F$5:$H$18,,MATCH(E269,'Landbrugsareal - resultat'!$F$4:$H$4,0)))),SUMPRODUCT((B269='Landbrugsareal - resultat'!$B$5:$B$18)*(INDEX('Landbrugsareal - resultat'!$I$5:$K$18,,MATCH(E269,'Landbrugsareal - resultat'!$I$4:$K$4,0)))))),IF(C269=2019,SUMPRODUCT((B269='Landbrugsareal - resultat'!$B$5:$B$18)*(INDEX('Landbrugsareal - resultat'!$L$5:$N$18,,MATCH(E269,'Landbrugsareal - resultat'!$L$4:$N$4,0)))),IF(C269=2030,SUMPRODUCT((B269='Landbrugsareal - resultat'!$B$5:$B$18)*(INDEX('Landbrugsareal - resultat'!$O$5:$Q$18,,MATCH(E269,'Landbrugsareal - resultat'!$O$4:$Q$4,0)))),SUMPRODUCT((B269='Landbrugsareal - resultat'!$B$5:$B$18)*(INDEX('Landbrugsareal - resultat'!$R$5:$T$18,,MATCH(E269,'Landbrugsareal - resultat'!$R$4:$T$4,0))))))),IF(D269="Konventionel",IF(C269=2019,SUMPRODUCT((B269='Landbrugsareal - resultat'!$B$32:$B$45)*(INDEX('Landbrugsareal - resultat'!$C$32:$E$45,,MATCH(E269,'Landbrugsareal - resultat'!$C$4:$E$4,0)))),IF(C269=2030,SUMPRODUCT((B269='Landbrugsareal - resultat'!$B$32:$B$45)*(INDEX('Landbrugsareal - resultat'!$F$32:$H$45,,MATCH(E269,'Landbrugsareal - resultat'!$F$4:$H$4,0)))),SUMPRODUCT((B269='Landbrugsareal - resultat'!$B$32:$B$45)*(INDEX('Landbrugsareal - resultat'!$I$32:$K$45,,MATCH(E269,'Landbrugsareal - resultat'!$I$4:$K$4,0)))))),IF(C269=2019,SUMPRODUCT((B269='Landbrugsareal - resultat'!$B$32:$B$45)*(INDEX('Landbrugsareal - resultat'!$L$32:$N$45,,MATCH(E269,'Landbrugsareal - resultat'!$L$4:$N$4,0)))),IF(C269=2030,SUMPRODUCT((B269='Landbrugsareal - resultat'!$B$32:$B$45)*(INDEX('Landbrugsareal - resultat'!$O$32:$Q$45,,MATCH(E269,'Landbrugsareal - resultat'!$O$4:$Q$4,0)))),SUMPRODUCT((B269='Landbrugsareal - resultat'!$B$32:$B$45)*(INDEX('Landbrugsareal - resultat'!$R$32:$T$45,,MATCH(E269,'Landbrugsareal - resultat'!$R$4:$T$4,0))))))))</f>
        <v>6197.8513989730473</v>
      </c>
      <c r="H269" s="172">
        <f>G269*VLOOKUP(B269,[1]Afgrødedata!$A$5:$F$18,2,FALSE)*IF(D269="Økologisk",VLOOKUP(B269,[1]Afgrødedata!$A$5:$F$18,4,FALSE),1)*IF(E269&lt;&gt;Jordbund1,IF(E269=Organ6,VLOOKUP(B269,[1]Afgrødedata!$A$5:$F$18,5,FALSE),VLOOKUP(B269,[1]Afgrødedata!$A$5:$F$18,6,FALSE)),1)*0.1</f>
        <v>23923.706400035964</v>
      </c>
      <c r="I269" s="172">
        <f>G269*VLOOKUP(B269,[1]Afgrødedata!$A$5:$F$18,3,FALSE)*IF(D269="Økologisk",VLOOKUP(B269,[1]Afgrødedata!$A$5:$F$18,4,FALSE),1)*IF(E269&lt;&gt;Jordbund1,IF(E269=Organ6,VLOOKUP(B269,[1]Afgrødedata!$A$5:$F$18,5,FALSE),VLOOKUP(B269,[1]Afgrødedata!$A$5:$F$18,6,FALSE)),1)*HLOOKUP(C269,Landbrug!$C$15:$E$17,2,FALSE)*HLOOKUP(C269,Landbrug!$C$15:$E$17,3,FALSE)*0.1</f>
        <v>7061.1501203360021</v>
      </c>
      <c r="J269" s="76">
        <f t="shared" si="42"/>
        <v>7061.1501203360021</v>
      </c>
    </row>
    <row r="270" spans="1:10" x14ac:dyDescent="0.55000000000000004">
      <c r="A270" t="s">
        <v>24</v>
      </c>
      <c r="B270" s="1" t="str">
        <f>[1]Afgrødefordeling!$C$4</f>
        <v>Raps</v>
      </c>
      <c r="C270">
        <v>2030</v>
      </c>
      <c r="D270" t="s">
        <v>7</v>
      </c>
      <c r="E270" s="172" t="str">
        <f t="shared" si="52"/>
        <v>JB1-10</v>
      </c>
      <c r="F270" t="str">
        <f t="shared" si="54"/>
        <v>Halm</v>
      </c>
      <c r="G270" s="76" cm="1">
        <f t="array" ref="G270">IF(A270="Vestdanmark",IF(D270="Konventionel",IF(C270=2019,SUMPRODUCT((B270='Landbrugsareal - resultat'!$B$5:$B$18)*(INDEX('Landbrugsareal - resultat'!$C$5:$E$18,,MATCH(E270,'Landbrugsareal - resultat'!$C$4:$E$4,0)))),IF(C270=2030,SUMPRODUCT((B270='Landbrugsareal - resultat'!$B$5:$B$18)*(INDEX('Landbrugsareal - resultat'!$F$5:$H$18,,MATCH(E270,'Landbrugsareal - resultat'!$F$4:$H$4,0)))),SUMPRODUCT((B270='Landbrugsareal - resultat'!$B$5:$B$18)*(INDEX('Landbrugsareal - resultat'!$I$5:$K$18,,MATCH(E270,'Landbrugsareal - resultat'!$I$4:$K$4,0)))))),IF(C270=2019,SUMPRODUCT((B270='Landbrugsareal - resultat'!$B$5:$B$18)*(INDEX('Landbrugsareal - resultat'!$L$5:$N$18,,MATCH(E270,'Landbrugsareal - resultat'!$L$4:$N$4,0)))),IF(C270=2030,SUMPRODUCT((B270='Landbrugsareal - resultat'!$B$5:$B$18)*(INDEX('Landbrugsareal - resultat'!$O$5:$Q$18,,MATCH(E270,'Landbrugsareal - resultat'!$O$4:$Q$4,0)))),SUMPRODUCT((B270='Landbrugsareal - resultat'!$B$5:$B$18)*(INDEX('Landbrugsareal - resultat'!$R$5:$T$18,,MATCH(E270,'Landbrugsareal - resultat'!$R$4:$T$4,0))))))),IF(D270="Konventionel",IF(C270=2019,SUMPRODUCT((B270='Landbrugsareal - resultat'!$B$32:$B$45)*(INDEX('Landbrugsareal - resultat'!$C$32:$E$45,,MATCH(E270,'Landbrugsareal - resultat'!$C$4:$E$4,0)))),IF(C270=2030,SUMPRODUCT((B270='Landbrugsareal - resultat'!$B$32:$B$45)*(INDEX('Landbrugsareal - resultat'!$F$32:$H$45,,MATCH(E270,'Landbrugsareal - resultat'!$F$4:$H$4,0)))),SUMPRODUCT((B270='Landbrugsareal - resultat'!$B$32:$B$45)*(INDEX('Landbrugsareal - resultat'!$I$32:$K$45,,MATCH(E270,'Landbrugsareal - resultat'!$I$4:$K$4,0)))))),IF(C270=2019,SUMPRODUCT((B270='Landbrugsareal - resultat'!$B$32:$B$45)*(INDEX('Landbrugsareal - resultat'!$L$32:$N$45,,MATCH(E270,'Landbrugsareal - resultat'!$L$4:$N$4,0)))),IF(C270=2030,SUMPRODUCT((B270='Landbrugsareal - resultat'!$B$32:$B$45)*(INDEX('Landbrugsareal - resultat'!$O$32:$Q$45,,MATCH(E270,'Landbrugsareal - resultat'!$O$4:$Q$4,0)))),SUMPRODUCT((B270='Landbrugsareal - resultat'!$B$32:$B$45)*(INDEX('Landbrugsareal - resultat'!$R$32:$T$45,,MATCH(E270,'Landbrugsareal - resultat'!$R$4:$T$4,0))))))))</f>
        <v>39315.487698414414</v>
      </c>
      <c r="H270" s="172">
        <f>G270*VLOOKUP(B270,[1]Afgrødedata!$A$5:$F$18,2,FALSE)*IF(D270="Økologisk",VLOOKUP(B270,[1]Afgrødedata!$A$5:$F$18,4,FALSE),1)*IF(E270&lt;&gt;Jordbund1,IF(E270=Organ6,VLOOKUP(B270,[1]Afgrødedata!$A$5:$F$18,5,FALSE),VLOOKUP(B270,[1]Afgrødedata!$A$5:$F$18,6,FALSE)),1)*0.1</f>
        <v>172988.14587302343</v>
      </c>
      <c r="I270" s="172">
        <f>G270*VLOOKUP(B270,[1]Afgrødedata!$A$5:$F$18,3,FALSE)*IF(D270="Økologisk",VLOOKUP(B270,[1]Afgrødedata!$A$5:$F$18,4,FALSE),1)*IF(E270&lt;&gt;Jordbund1,IF(E270=Organ6,VLOOKUP(B270,[1]Afgrødedata!$A$5:$F$18,5,FALSE),VLOOKUP(B270,[1]Afgrødedata!$A$5:$F$18,6,FALSE)),1)*HLOOKUP(C270,Landbrug!$C$15:$E$17,2,FALSE)*HLOOKUP(C270,Landbrug!$C$15:$E$17,3,FALSE)*0.1</f>
        <v>91856.705458575452</v>
      </c>
      <c r="J270" s="76">
        <f t="shared" si="42"/>
        <v>91856.705458575452</v>
      </c>
    </row>
    <row r="271" spans="1:10" x14ac:dyDescent="0.55000000000000004">
      <c r="A271" t="s">
        <v>24</v>
      </c>
      <c r="B271" s="1" t="str">
        <f>[1]Afgrødefordeling!$C$5</f>
        <v>Græs</v>
      </c>
      <c r="C271">
        <v>2030</v>
      </c>
      <c r="D271" t="s">
        <v>7</v>
      </c>
      <c r="E271" s="172" t="str">
        <f t="shared" si="52"/>
        <v>JB1-10</v>
      </c>
      <c r="F271" t="str">
        <f t="shared" si="54"/>
        <v>Græs</v>
      </c>
      <c r="G271" s="76" cm="1">
        <f t="array" ref="G271">IF(A271="Vestdanmark",IF(D271="Konventionel",IF(C271=2019,SUMPRODUCT((B271='Landbrugsareal - resultat'!$B$5:$B$18)*(INDEX('Landbrugsareal - resultat'!$C$5:$E$18,,MATCH(E271,'Landbrugsareal - resultat'!$C$4:$E$4,0)))),IF(C271=2030,SUMPRODUCT((B271='Landbrugsareal - resultat'!$B$5:$B$18)*(INDEX('Landbrugsareal - resultat'!$F$5:$H$18,,MATCH(E271,'Landbrugsareal - resultat'!$F$4:$H$4,0)))),SUMPRODUCT((B271='Landbrugsareal - resultat'!$B$5:$B$18)*(INDEX('Landbrugsareal - resultat'!$I$5:$K$18,,MATCH(E271,'Landbrugsareal - resultat'!$I$4:$K$4,0)))))),IF(C271=2019,SUMPRODUCT((B271='Landbrugsareal - resultat'!$B$5:$B$18)*(INDEX('Landbrugsareal - resultat'!$L$5:$N$18,,MATCH(E271,'Landbrugsareal - resultat'!$L$4:$N$4,0)))),IF(C271=2030,SUMPRODUCT((B271='Landbrugsareal - resultat'!$B$5:$B$18)*(INDEX('Landbrugsareal - resultat'!$O$5:$Q$18,,MATCH(E271,'Landbrugsareal - resultat'!$O$4:$Q$4,0)))),SUMPRODUCT((B271='Landbrugsareal - resultat'!$B$5:$B$18)*(INDEX('Landbrugsareal - resultat'!$R$5:$T$18,,MATCH(E271,'Landbrugsareal - resultat'!$R$4:$T$4,0))))))),IF(D271="Konventionel",IF(C271=2019,SUMPRODUCT((B271='Landbrugsareal - resultat'!$B$32:$B$45)*(INDEX('Landbrugsareal - resultat'!$C$32:$E$45,,MATCH(E271,'Landbrugsareal - resultat'!$C$4:$E$4,0)))),IF(C271=2030,SUMPRODUCT((B271='Landbrugsareal - resultat'!$B$32:$B$45)*(INDEX('Landbrugsareal - resultat'!$F$32:$H$45,,MATCH(E271,'Landbrugsareal - resultat'!$F$4:$H$4,0)))),SUMPRODUCT((B271='Landbrugsareal - resultat'!$B$32:$B$45)*(INDEX('Landbrugsareal - resultat'!$I$32:$K$45,,MATCH(E271,'Landbrugsareal - resultat'!$I$4:$K$4,0)))))),IF(C271=2019,SUMPRODUCT((B271='Landbrugsareal - resultat'!$B$32:$B$45)*(INDEX('Landbrugsareal - resultat'!$L$32:$N$45,,MATCH(E271,'Landbrugsareal - resultat'!$L$4:$N$4,0)))),IF(C271=2030,SUMPRODUCT((B271='Landbrugsareal - resultat'!$B$32:$B$45)*(INDEX('Landbrugsareal - resultat'!$O$32:$Q$45,,MATCH(E271,'Landbrugsareal - resultat'!$O$4:$Q$4,0)))),SUMPRODUCT((B271='Landbrugsareal - resultat'!$B$32:$B$45)*(INDEX('Landbrugsareal - resultat'!$R$32:$T$45,,MATCH(E271,'Landbrugsareal - resultat'!$R$4:$T$4,0))))))))</f>
        <v>23885.137786208805</v>
      </c>
      <c r="H271" s="172">
        <f>G271*VLOOKUP(B271,[1]Afgrødedata!$A$5:$F$18,2,FALSE)*IF(D271="Økologisk",VLOOKUP(B271,[1]Afgrødedata!$A$5:$F$18,4,FALSE),1)*IF(E271&lt;&gt;Jordbund1,IF(E271=Organ6,VLOOKUP(B271,[1]Afgrødedata!$A$5:$F$18,5,FALSE),VLOOKUP(B271,[1]Afgrødedata!$A$5:$F$18,6,FALSE)),1)*0.1</f>
        <v>1185180.5369516809</v>
      </c>
      <c r="I271" s="172">
        <f>G271*VLOOKUP(B271,[1]Afgrødedata!$A$5:$F$18,3,FALSE)*IF(D271="Økologisk",VLOOKUP(B271,[1]Afgrødedata!$A$5:$F$18,4,FALSE),1)*IF(E271&lt;&gt;Jordbund1,IF(E271=Organ6,VLOOKUP(B271,[1]Afgrødedata!$A$5:$F$18,5,FALSE),VLOOKUP(B271,[1]Afgrødedata!$A$5:$F$18,6,FALSE)),1)*HLOOKUP(C271,Landbrug!$C$15:$E$17,2,FALSE)*HLOOKUP(C271,Landbrug!$C$15:$E$17,3,FALSE)*0.1</f>
        <v>0</v>
      </c>
      <c r="J271" s="76">
        <f t="shared" si="42"/>
        <v>1185180.5369516809</v>
      </c>
    </row>
    <row r="272" spans="1:10" x14ac:dyDescent="0.55000000000000004">
      <c r="A272" t="s">
        <v>24</v>
      </c>
      <c r="B272" s="1" t="str">
        <f>[1]Afgrødefordeling!$C$6</f>
        <v>Grøntsager</v>
      </c>
      <c r="C272">
        <v>2030</v>
      </c>
      <c r="D272" t="s">
        <v>7</v>
      </c>
      <c r="E272" s="172" t="str">
        <f t="shared" si="52"/>
        <v>JB1-10</v>
      </c>
      <c r="F272" t="str">
        <f t="shared" si="54"/>
        <v>Grøntsager</v>
      </c>
      <c r="G272" s="76" cm="1">
        <f t="array" ref="G272">IF(A272="Vestdanmark",IF(D272="Konventionel",IF(C272=2019,SUMPRODUCT((B272='Landbrugsareal - resultat'!$B$5:$B$18)*(INDEX('Landbrugsareal - resultat'!$C$5:$E$18,,MATCH(E272,'Landbrugsareal - resultat'!$C$4:$E$4,0)))),IF(C272=2030,SUMPRODUCT((B272='Landbrugsareal - resultat'!$B$5:$B$18)*(INDEX('Landbrugsareal - resultat'!$F$5:$H$18,,MATCH(E272,'Landbrugsareal - resultat'!$F$4:$H$4,0)))),SUMPRODUCT((B272='Landbrugsareal - resultat'!$B$5:$B$18)*(INDEX('Landbrugsareal - resultat'!$I$5:$K$18,,MATCH(E272,'Landbrugsareal - resultat'!$I$4:$K$4,0)))))),IF(C272=2019,SUMPRODUCT((B272='Landbrugsareal - resultat'!$B$5:$B$18)*(INDEX('Landbrugsareal - resultat'!$L$5:$N$18,,MATCH(E272,'Landbrugsareal - resultat'!$L$4:$N$4,0)))),IF(C272=2030,SUMPRODUCT((B272='Landbrugsareal - resultat'!$B$5:$B$18)*(INDEX('Landbrugsareal - resultat'!$O$5:$Q$18,,MATCH(E272,'Landbrugsareal - resultat'!$O$4:$Q$4,0)))),SUMPRODUCT((B272='Landbrugsareal - resultat'!$B$5:$B$18)*(INDEX('Landbrugsareal - resultat'!$R$5:$T$18,,MATCH(E272,'Landbrugsareal - resultat'!$R$4:$T$4,0))))))),IF(D272="Konventionel",IF(C272=2019,SUMPRODUCT((B272='Landbrugsareal - resultat'!$B$32:$B$45)*(INDEX('Landbrugsareal - resultat'!$C$32:$E$45,,MATCH(E272,'Landbrugsareal - resultat'!$C$4:$E$4,0)))),IF(C272=2030,SUMPRODUCT((B272='Landbrugsareal - resultat'!$B$32:$B$45)*(INDEX('Landbrugsareal - resultat'!$F$32:$H$45,,MATCH(E272,'Landbrugsareal - resultat'!$F$4:$H$4,0)))),SUMPRODUCT((B272='Landbrugsareal - resultat'!$B$32:$B$45)*(INDEX('Landbrugsareal - resultat'!$I$32:$K$45,,MATCH(E272,'Landbrugsareal - resultat'!$I$4:$K$4,0)))))),IF(C272=2019,SUMPRODUCT((B272='Landbrugsareal - resultat'!$B$32:$B$45)*(INDEX('Landbrugsareal - resultat'!$L$32:$N$45,,MATCH(E272,'Landbrugsareal - resultat'!$L$4:$N$4,0)))),IF(C272=2030,SUMPRODUCT((B272='Landbrugsareal - resultat'!$B$32:$B$45)*(INDEX('Landbrugsareal - resultat'!$O$32:$Q$45,,MATCH(E272,'Landbrugsareal - resultat'!$O$4:$Q$4,0)))),SUMPRODUCT((B272='Landbrugsareal - resultat'!$B$32:$B$45)*(INDEX('Landbrugsareal - resultat'!$R$32:$T$45,,MATCH(E272,'Landbrugsareal - resultat'!$R$4:$T$4,0))))))))</f>
        <v>3742.8073387443319</v>
      </c>
      <c r="H272" s="172">
        <f>G272*VLOOKUP(B272,[1]Afgrødedata!$A$5:$F$18,2,FALSE)*IF(D272="Økologisk",VLOOKUP(B272,[1]Afgrødedata!$A$5:$F$18,4,FALSE),1)*IF(E272&lt;&gt;Jordbund1,IF(E272=Organ6,VLOOKUP(B272,[1]Afgrødedata!$A$5:$F$18,5,FALSE),VLOOKUP(B272,[1]Afgrødedata!$A$5:$F$18,6,FALSE)),1)*0.1</f>
        <v>77663.252278944885</v>
      </c>
      <c r="I272" s="172">
        <f>G272*VLOOKUP(B272,[1]Afgrødedata!$A$5:$F$18,3,FALSE)*IF(D272="Økologisk",VLOOKUP(B272,[1]Afgrødedata!$A$5:$F$18,4,FALSE),1)*IF(E272&lt;&gt;Jordbund1,IF(E272=Organ6,VLOOKUP(B272,[1]Afgrødedata!$A$5:$F$18,5,FALSE),VLOOKUP(B272,[1]Afgrødedata!$A$5:$F$18,6,FALSE)),1)*HLOOKUP(C272,Landbrug!$C$15:$E$17,2,FALSE)*HLOOKUP(C272,Landbrug!$C$15:$E$17,3,FALSE)*0.1</f>
        <v>0</v>
      </c>
      <c r="J272" s="76">
        <f t="shared" si="42"/>
        <v>77663.252278944885</v>
      </c>
    </row>
    <row r="273" spans="1:10" x14ac:dyDescent="0.55000000000000004">
      <c r="A273" t="s">
        <v>24</v>
      </c>
      <c r="B273" s="1" t="str">
        <f>[1]Afgrødefordeling!$C$7</f>
        <v>Kartofler</v>
      </c>
      <c r="C273">
        <v>2030</v>
      </c>
      <c r="D273" t="s">
        <v>7</v>
      </c>
      <c r="E273" s="172" t="str">
        <f t="shared" si="52"/>
        <v>JB1-10</v>
      </c>
      <c r="F273" t="str">
        <f t="shared" si="54"/>
        <v>Kartofler</v>
      </c>
      <c r="G273" s="76" cm="1">
        <f t="array" ref="G273">IF(A273="Vestdanmark",IF(D273="Konventionel",IF(C273=2019,SUMPRODUCT((B273='Landbrugsareal - resultat'!$B$5:$B$18)*(INDEX('Landbrugsareal - resultat'!$C$5:$E$18,,MATCH(E273,'Landbrugsareal - resultat'!$C$4:$E$4,0)))),IF(C273=2030,SUMPRODUCT((B273='Landbrugsareal - resultat'!$B$5:$B$18)*(INDEX('Landbrugsareal - resultat'!$F$5:$H$18,,MATCH(E273,'Landbrugsareal - resultat'!$F$4:$H$4,0)))),SUMPRODUCT((B273='Landbrugsareal - resultat'!$B$5:$B$18)*(INDEX('Landbrugsareal - resultat'!$I$5:$K$18,,MATCH(E273,'Landbrugsareal - resultat'!$I$4:$K$4,0)))))),IF(C273=2019,SUMPRODUCT((B273='Landbrugsareal - resultat'!$B$5:$B$18)*(INDEX('Landbrugsareal - resultat'!$L$5:$N$18,,MATCH(E273,'Landbrugsareal - resultat'!$L$4:$N$4,0)))),IF(C273=2030,SUMPRODUCT((B273='Landbrugsareal - resultat'!$B$5:$B$18)*(INDEX('Landbrugsareal - resultat'!$O$5:$Q$18,,MATCH(E273,'Landbrugsareal - resultat'!$O$4:$Q$4,0)))),SUMPRODUCT((B273='Landbrugsareal - resultat'!$B$5:$B$18)*(INDEX('Landbrugsareal - resultat'!$R$5:$T$18,,MATCH(E273,'Landbrugsareal - resultat'!$R$4:$T$4,0))))))),IF(D273="Konventionel",IF(C273=2019,SUMPRODUCT((B273='Landbrugsareal - resultat'!$B$32:$B$45)*(INDEX('Landbrugsareal - resultat'!$C$32:$E$45,,MATCH(E273,'Landbrugsareal - resultat'!$C$4:$E$4,0)))),IF(C273=2030,SUMPRODUCT((B273='Landbrugsareal - resultat'!$B$32:$B$45)*(INDEX('Landbrugsareal - resultat'!$F$32:$H$45,,MATCH(E273,'Landbrugsareal - resultat'!$F$4:$H$4,0)))),SUMPRODUCT((B273='Landbrugsareal - resultat'!$B$32:$B$45)*(INDEX('Landbrugsareal - resultat'!$I$32:$K$45,,MATCH(E273,'Landbrugsareal - resultat'!$I$4:$K$4,0)))))),IF(C273=2019,SUMPRODUCT((B273='Landbrugsareal - resultat'!$B$32:$B$45)*(INDEX('Landbrugsareal - resultat'!$L$32:$N$45,,MATCH(E273,'Landbrugsareal - resultat'!$L$4:$N$4,0)))),IF(C273=2030,SUMPRODUCT((B273='Landbrugsareal - resultat'!$B$32:$B$45)*(INDEX('Landbrugsareal - resultat'!$O$32:$Q$45,,MATCH(E273,'Landbrugsareal - resultat'!$O$4:$Q$4,0)))),SUMPRODUCT((B273='Landbrugsareal - resultat'!$B$32:$B$45)*(INDEX('Landbrugsareal - resultat'!$R$32:$T$45,,MATCH(E273,'Landbrugsareal - resultat'!$R$4:$T$4,0))))))))</f>
        <v>2401.0200968240606</v>
      </c>
      <c r="H273" s="172">
        <f>G273*VLOOKUP(B273,[1]Afgrødedata!$A$5:$F$18,2,FALSE)*IF(D273="Økologisk",VLOOKUP(B273,[1]Afgrødedata!$A$5:$F$18,4,FALSE),1)*IF(E273&lt;&gt;Jordbund1,IF(E273=Organ6,VLOOKUP(B273,[1]Afgrødedata!$A$5:$F$18,5,FALSE),VLOOKUP(B273,[1]Afgrødedata!$A$5:$F$18,6,FALSE)),1)*0.1</f>
        <v>101973.48315982398</v>
      </c>
      <c r="I273" s="172">
        <f>G273*VLOOKUP(B273,[1]Afgrødedata!$A$5:$F$18,3,FALSE)*IF(D273="Økologisk",VLOOKUP(B273,[1]Afgrødedata!$A$5:$F$18,4,FALSE),1)*IF(E273&lt;&gt;Jordbund1,IF(E273=Organ6,VLOOKUP(B273,[1]Afgrødedata!$A$5:$F$18,5,FALSE),VLOOKUP(B273,[1]Afgrødedata!$A$5:$F$18,6,FALSE)),1)*HLOOKUP(C273,Landbrug!$C$15:$E$17,2,FALSE)*HLOOKUP(C273,Landbrug!$C$15:$E$17,3,FALSE)*0.1</f>
        <v>0</v>
      </c>
      <c r="J273" s="76">
        <f t="shared" si="42"/>
        <v>101973.48315982398</v>
      </c>
    </row>
    <row r="274" spans="1:10" x14ac:dyDescent="0.55000000000000004">
      <c r="A274" t="s">
        <v>24</v>
      </c>
      <c r="B274" s="1" t="str">
        <f>[1]Afgrødefordeling!$C$8</f>
        <v>Roer</v>
      </c>
      <c r="C274">
        <v>2030</v>
      </c>
      <c r="D274" t="s">
        <v>7</v>
      </c>
      <c r="E274" s="172" t="str">
        <f t="shared" si="52"/>
        <v>JB1-10</v>
      </c>
      <c r="F274" t="str">
        <f t="shared" si="54"/>
        <v>Roer</v>
      </c>
      <c r="G274" s="76" cm="1">
        <f t="array" ref="G274">IF(A274="Vestdanmark",IF(D274="Konventionel",IF(C274=2019,SUMPRODUCT((B274='Landbrugsareal - resultat'!$B$5:$B$18)*(INDEX('Landbrugsareal - resultat'!$C$5:$E$18,,MATCH(E274,'Landbrugsareal - resultat'!$C$4:$E$4,0)))),IF(C274=2030,SUMPRODUCT((B274='Landbrugsareal - resultat'!$B$5:$B$18)*(INDEX('Landbrugsareal - resultat'!$F$5:$H$18,,MATCH(E274,'Landbrugsareal - resultat'!$F$4:$H$4,0)))),SUMPRODUCT((B274='Landbrugsareal - resultat'!$B$5:$B$18)*(INDEX('Landbrugsareal - resultat'!$I$5:$K$18,,MATCH(E274,'Landbrugsareal - resultat'!$I$4:$K$4,0)))))),IF(C274=2019,SUMPRODUCT((B274='Landbrugsareal - resultat'!$B$5:$B$18)*(INDEX('Landbrugsareal - resultat'!$L$5:$N$18,,MATCH(E274,'Landbrugsareal - resultat'!$L$4:$N$4,0)))),IF(C274=2030,SUMPRODUCT((B274='Landbrugsareal - resultat'!$B$5:$B$18)*(INDEX('Landbrugsareal - resultat'!$O$5:$Q$18,,MATCH(E274,'Landbrugsareal - resultat'!$O$4:$Q$4,0)))),SUMPRODUCT((B274='Landbrugsareal - resultat'!$B$5:$B$18)*(INDEX('Landbrugsareal - resultat'!$R$5:$T$18,,MATCH(E274,'Landbrugsareal - resultat'!$R$4:$T$4,0))))))),IF(D274="Konventionel",IF(C274=2019,SUMPRODUCT((B274='Landbrugsareal - resultat'!$B$32:$B$45)*(INDEX('Landbrugsareal - resultat'!$C$32:$E$45,,MATCH(E274,'Landbrugsareal - resultat'!$C$4:$E$4,0)))),IF(C274=2030,SUMPRODUCT((B274='Landbrugsareal - resultat'!$B$32:$B$45)*(INDEX('Landbrugsareal - resultat'!$F$32:$H$45,,MATCH(E274,'Landbrugsareal - resultat'!$F$4:$H$4,0)))),SUMPRODUCT((B274='Landbrugsareal - resultat'!$B$32:$B$45)*(INDEX('Landbrugsareal - resultat'!$I$32:$K$45,,MATCH(E274,'Landbrugsareal - resultat'!$I$4:$K$4,0)))))),IF(C274=2019,SUMPRODUCT((B274='Landbrugsareal - resultat'!$B$32:$B$45)*(INDEX('Landbrugsareal - resultat'!$L$32:$N$45,,MATCH(E274,'Landbrugsareal - resultat'!$L$4:$N$4,0)))),IF(C274=2030,SUMPRODUCT((B274='Landbrugsareal - resultat'!$B$32:$B$45)*(INDEX('Landbrugsareal - resultat'!$O$32:$Q$45,,MATCH(E274,'Landbrugsareal - resultat'!$O$4:$Q$4,0)))),SUMPRODUCT((B274='Landbrugsareal - resultat'!$B$32:$B$45)*(INDEX('Landbrugsareal - resultat'!$R$32:$T$45,,MATCH(E274,'Landbrugsareal - resultat'!$R$4:$T$4,0))))))))</f>
        <v>24960.063802661847</v>
      </c>
      <c r="H274" s="172">
        <f>G274*VLOOKUP(B274,[1]Afgrødedata!$A$5:$F$18,2,FALSE)*IF(D274="Økologisk",VLOOKUP(B274,[1]Afgrødedata!$A$5:$F$18,4,FALSE),1)*IF(E274&lt;&gt;Jordbund1,IF(E274=Organ6,VLOOKUP(B274,[1]Afgrødedata!$A$5:$F$18,5,FALSE),VLOOKUP(B274,[1]Afgrødedata!$A$5:$F$18,6,FALSE)),1)*0.1</f>
        <v>2028098.3185327027</v>
      </c>
      <c r="I274" s="172">
        <f>G274*VLOOKUP(B274,[1]Afgrødedata!$A$5:$F$18,3,FALSE)*IF(D274="Økologisk",VLOOKUP(B274,[1]Afgrødedata!$A$5:$F$18,4,FALSE),1)*IF(E274&lt;&gt;Jordbund1,IF(E274=Organ6,VLOOKUP(B274,[1]Afgrødedata!$A$5:$F$18,5,FALSE),VLOOKUP(B274,[1]Afgrødedata!$A$5:$F$18,6,FALSE)),1)*HLOOKUP(C274,Landbrug!$C$15:$E$17,2,FALSE)*HLOOKUP(C274,Landbrug!$C$15:$E$17,3,FALSE)*0.1</f>
        <v>0</v>
      </c>
      <c r="J274" s="76">
        <f t="shared" si="42"/>
        <v>2028098.3185327027</v>
      </c>
    </row>
    <row r="275" spans="1:10" x14ac:dyDescent="0.55000000000000004">
      <c r="A275" t="s">
        <v>24</v>
      </c>
      <c r="B275" s="1" t="str">
        <f>[1]Afgrødefordeling!$C$9</f>
        <v>Majs</v>
      </c>
      <c r="C275">
        <v>2030</v>
      </c>
      <c r="D275" t="s">
        <v>7</v>
      </c>
      <c r="E275" s="172" t="str">
        <f t="shared" si="52"/>
        <v>JB1-10</v>
      </c>
      <c r="F275" t="str">
        <f t="shared" si="54"/>
        <v>Majs</v>
      </c>
      <c r="G275" s="76" cm="1">
        <f t="array" ref="G275">IF(A275="Vestdanmark",IF(D275="Konventionel",IF(C275=2019,SUMPRODUCT((B275='Landbrugsareal - resultat'!$B$5:$B$18)*(INDEX('Landbrugsareal - resultat'!$C$5:$E$18,,MATCH(E275,'Landbrugsareal - resultat'!$C$4:$E$4,0)))),IF(C275=2030,SUMPRODUCT((B275='Landbrugsareal - resultat'!$B$5:$B$18)*(INDEX('Landbrugsareal - resultat'!$F$5:$H$18,,MATCH(E275,'Landbrugsareal - resultat'!$F$4:$H$4,0)))),SUMPRODUCT((B275='Landbrugsareal - resultat'!$B$5:$B$18)*(INDEX('Landbrugsareal - resultat'!$I$5:$K$18,,MATCH(E275,'Landbrugsareal - resultat'!$I$4:$K$4,0)))))),IF(C275=2019,SUMPRODUCT((B275='Landbrugsareal - resultat'!$B$5:$B$18)*(INDEX('Landbrugsareal - resultat'!$L$5:$N$18,,MATCH(E275,'Landbrugsareal - resultat'!$L$4:$N$4,0)))),IF(C275=2030,SUMPRODUCT((B275='Landbrugsareal - resultat'!$B$5:$B$18)*(INDEX('Landbrugsareal - resultat'!$O$5:$Q$18,,MATCH(E275,'Landbrugsareal - resultat'!$O$4:$Q$4,0)))),SUMPRODUCT((B275='Landbrugsareal - resultat'!$B$5:$B$18)*(INDEX('Landbrugsareal - resultat'!$R$5:$T$18,,MATCH(E275,'Landbrugsareal - resultat'!$R$4:$T$4,0))))))),IF(D275="Konventionel",IF(C275=2019,SUMPRODUCT((B275='Landbrugsareal - resultat'!$B$32:$B$45)*(INDEX('Landbrugsareal - resultat'!$C$32:$E$45,,MATCH(E275,'Landbrugsareal - resultat'!$C$4:$E$4,0)))),IF(C275=2030,SUMPRODUCT((B275='Landbrugsareal - resultat'!$B$32:$B$45)*(INDEX('Landbrugsareal - resultat'!$F$32:$H$45,,MATCH(E275,'Landbrugsareal - resultat'!$F$4:$H$4,0)))),SUMPRODUCT((B275='Landbrugsareal - resultat'!$B$32:$B$45)*(INDEX('Landbrugsareal - resultat'!$I$32:$K$45,,MATCH(E275,'Landbrugsareal - resultat'!$I$4:$K$4,0)))))),IF(C275=2019,SUMPRODUCT((B275='Landbrugsareal - resultat'!$B$32:$B$45)*(INDEX('Landbrugsareal - resultat'!$L$32:$N$45,,MATCH(E275,'Landbrugsareal - resultat'!$L$4:$N$4,0)))),IF(C275=2030,SUMPRODUCT((B275='Landbrugsareal - resultat'!$B$32:$B$45)*(INDEX('Landbrugsareal - resultat'!$O$32:$Q$45,,MATCH(E275,'Landbrugsareal - resultat'!$O$4:$Q$4,0)))),SUMPRODUCT((B275='Landbrugsareal - resultat'!$B$32:$B$45)*(INDEX('Landbrugsareal - resultat'!$R$32:$T$45,,MATCH(E275,'Landbrugsareal - resultat'!$R$4:$T$4,0))))))))</f>
        <v>7059.6348901519423</v>
      </c>
      <c r="H275" s="172">
        <f>G275*VLOOKUP(B275,[1]Afgrødedata!$A$5:$F$18,2,FALSE)*IF(D275="Økologisk",VLOOKUP(B275,[1]Afgrødedata!$A$5:$F$18,4,FALSE),1)*IF(E275&lt;&gt;Jordbund1,IF(E275=Organ6,VLOOKUP(B275,[1]Afgrødedata!$A$5:$F$18,5,FALSE),VLOOKUP(B275,[1]Afgrødedata!$A$5:$F$18,6,FALSE)),1)*0.1</f>
        <v>314224.34896066296</v>
      </c>
      <c r="I275" s="172">
        <f>G275*VLOOKUP(B275,[1]Afgrødedata!$A$5:$F$18,3,FALSE)*IF(D275="Økologisk",VLOOKUP(B275,[1]Afgrødedata!$A$5:$F$18,4,FALSE),1)*IF(E275&lt;&gt;Jordbund1,IF(E275=Organ6,VLOOKUP(B275,[1]Afgrødedata!$A$5:$F$18,5,FALSE),VLOOKUP(B275,[1]Afgrødedata!$A$5:$F$18,6,FALSE)),1)*HLOOKUP(C275,Landbrug!$C$15:$E$17,2,FALSE)*HLOOKUP(C275,Landbrug!$C$15:$E$17,3,FALSE)*0.1</f>
        <v>0</v>
      </c>
      <c r="J275" s="76">
        <f t="shared" si="42"/>
        <v>314224.34896066296</v>
      </c>
    </row>
    <row r="276" spans="1:10" x14ac:dyDescent="0.55000000000000004">
      <c r="A276" t="s">
        <v>24</v>
      </c>
      <c r="B276" s="1" t="str">
        <f>[1]Afgrødefordeling!$C$10</f>
        <v>Frugt</v>
      </c>
      <c r="C276">
        <v>2030</v>
      </c>
      <c r="D276" t="s">
        <v>7</v>
      </c>
      <c r="E276" s="172" t="str">
        <f t="shared" si="52"/>
        <v>JB1-10</v>
      </c>
      <c r="F276" t="str">
        <f t="shared" si="54"/>
        <v>Frugt</v>
      </c>
      <c r="G276" s="76" cm="1">
        <f t="array" ref="G276">IF(A276="Vestdanmark",IF(D276="Konventionel",IF(C276=2019,SUMPRODUCT((B276='Landbrugsareal - resultat'!$B$5:$B$18)*(INDEX('Landbrugsareal - resultat'!$C$5:$E$18,,MATCH(E276,'Landbrugsareal - resultat'!$C$4:$E$4,0)))),IF(C276=2030,SUMPRODUCT((B276='Landbrugsareal - resultat'!$B$5:$B$18)*(INDEX('Landbrugsareal - resultat'!$F$5:$H$18,,MATCH(E276,'Landbrugsareal - resultat'!$F$4:$H$4,0)))),SUMPRODUCT((B276='Landbrugsareal - resultat'!$B$5:$B$18)*(INDEX('Landbrugsareal - resultat'!$I$5:$K$18,,MATCH(E276,'Landbrugsareal - resultat'!$I$4:$K$4,0)))))),IF(C276=2019,SUMPRODUCT((B276='Landbrugsareal - resultat'!$B$5:$B$18)*(INDEX('Landbrugsareal - resultat'!$L$5:$N$18,,MATCH(E276,'Landbrugsareal - resultat'!$L$4:$N$4,0)))),IF(C276=2030,SUMPRODUCT((B276='Landbrugsareal - resultat'!$B$5:$B$18)*(INDEX('Landbrugsareal - resultat'!$O$5:$Q$18,,MATCH(E276,'Landbrugsareal - resultat'!$O$4:$Q$4,0)))),SUMPRODUCT((B276='Landbrugsareal - resultat'!$B$5:$B$18)*(INDEX('Landbrugsareal - resultat'!$R$5:$T$18,,MATCH(E276,'Landbrugsareal - resultat'!$R$4:$T$4,0))))))),IF(D276="Konventionel",IF(C276=2019,SUMPRODUCT((B276='Landbrugsareal - resultat'!$B$32:$B$45)*(INDEX('Landbrugsareal - resultat'!$C$32:$E$45,,MATCH(E276,'Landbrugsareal - resultat'!$C$4:$E$4,0)))),IF(C276=2030,SUMPRODUCT((B276='Landbrugsareal - resultat'!$B$32:$B$45)*(INDEX('Landbrugsareal - resultat'!$F$32:$H$45,,MATCH(E276,'Landbrugsareal - resultat'!$F$4:$H$4,0)))),SUMPRODUCT((B276='Landbrugsareal - resultat'!$B$32:$B$45)*(INDEX('Landbrugsareal - resultat'!$I$32:$K$45,,MATCH(E276,'Landbrugsareal - resultat'!$I$4:$K$4,0)))))),IF(C276=2019,SUMPRODUCT((B276='Landbrugsareal - resultat'!$B$32:$B$45)*(INDEX('Landbrugsareal - resultat'!$L$32:$N$45,,MATCH(E276,'Landbrugsareal - resultat'!$L$4:$N$4,0)))),IF(C276=2030,SUMPRODUCT((B276='Landbrugsareal - resultat'!$B$32:$B$45)*(INDEX('Landbrugsareal - resultat'!$O$32:$Q$45,,MATCH(E276,'Landbrugsareal - resultat'!$O$4:$Q$4,0)))),SUMPRODUCT((B276='Landbrugsareal - resultat'!$B$32:$B$45)*(INDEX('Landbrugsareal - resultat'!$R$32:$T$45,,MATCH(E276,'Landbrugsareal - resultat'!$R$4:$T$4,0))))))))</f>
        <v>1642.6445438249691</v>
      </c>
      <c r="H276" s="172">
        <f>G276*VLOOKUP(B276,[1]Afgrødedata!$A$5:$F$18,2,FALSE)*IF(D276="Økologisk",VLOOKUP(B276,[1]Afgrødedata!$A$5:$F$18,4,FALSE),1)*IF(E276&lt;&gt;Jordbund1,IF(E276=Organ6,VLOOKUP(B276,[1]Afgrødedata!$A$5:$F$18,5,FALSE),VLOOKUP(B276,[1]Afgrødedata!$A$5:$F$18,6,FALSE)),1)*0.1</f>
        <v>13946.052177073991</v>
      </c>
      <c r="I276" s="172">
        <f>G276*VLOOKUP(B276,[1]Afgrødedata!$A$5:$F$18,3,FALSE)*IF(D276="Økologisk",VLOOKUP(B276,[1]Afgrødedata!$A$5:$F$18,4,FALSE),1)*IF(E276&lt;&gt;Jordbund1,IF(E276=Organ6,VLOOKUP(B276,[1]Afgrødedata!$A$5:$F$18,5,FALSE),VLOOKUP(B276,[1]Afgrødedata!$A$5:$F$18,6,FALSE)),1)*HLOOKUP(C276,Landbrug!$C$15:$E$17,2,FALSE)*HLOOKUP(C276,Landbrug!$C$15:$E$17,3,FALSE)*0.1</f>
        <v>0</v>
      </c>
      <c r="J276" s="76">
        <f t="shared" si="42"/>
        <v>13946.052177073991</v>
      </c>
    </row>
    <row r="277" spans="1:10" x14ac:dyDescent="0.55000000000000004">
      <c r="A277" t="s">
        <v>24</v>
      </c>
      <c r="B277" s="1" t="str">
        <f>[1]Afgrødefordeling!$C$11</f>
        <v>Øvrige</v>
      </c>
      <c r="C277">
        <v>2030</v>
      </c>
      <c r="D277" t="s">
        <v>7</v>
      </c>
      <c r="E277" s="172" t="str">
        <f t="shared" si="52"/>
        <v>JB1-10</v>
      </c>
      <c r="F277" t="str">
        <f t="shared" si="54"/>
        <v>Øvrige</v>
      </c>
      <c r="G277" s="76" cm="1">
        <f t="array" ref="G277">IF(A277="Vestdanmark",IF(D277="Konventionel",IF(C277=2019,SUMPRODUCT((B277='Landbrugsareal - resultat'!$B$5:$B$18)*(INDEX('Landbrugsareal - resultat'!$C$5:$E$18,,MATCH(E277,'Landbrugsareal - resultat'!$C$4:$E$4,0)))),IF(C277=2030,SUMPRODUCT((B277='Landbrugsareal - resultat'!$B$5:$B$18)*(INDEX('Landbrugsareal - resultat'!$F$5:$H$18,,MATCH(E277,'Landbrugsareal - resultat'!$F$4:$H$4,0)))),SUMPRODUCT((B277='Landbrugsareal - resultat'!$B$5:$B$18)*(INDEX('Landbrugsareal - resultat'!$I$5:$K$18,,MATCH(E277,'Landbrugsareal - resultat'!$I$4:$K$4,0)))))),IF(C277=2019,SUMPRODUCT((B277='Landbrugsareal - resultat'!$B$5:$B$18)*(INDEX('Landbrugsareal - resultat'!$L$5:$N$18,,MATCH(E277,'Landbrugsareal - resultat'!$L$4:$N$4,0)))),IF(C277=2030,SUMPRODUCT((B277='Landbrugsareal - resultat'!$B$5:$B$18)*(INDEX('Landbrugsareal - resultat'!$O$5:$Q$18,,MATCH(E277,'Landbrugsareal - resultat'!$O$4:$Q$4,0)))),SUMPRODUCT((B277='Landbrugsareal - resultat'!$B$5:$B$18)*(INDEX('Landbrugsareal - resultat'!$R$5:$T$18,,MATCH(E277,'Landbrugsareal - resultat'!$R$4:$T$4,0))))))),IF(D277="Konventionel",IF(C277=2019,SUMPRODUCT((B277='Landbrugsareal - resultat'!$B$32:$B$45)*(INDEX('Landbrugsareal - resultat'!$C$32:$E$45,,MATCH(E277,'Landbrugsareal - resultat'!$C$4:$E$4,0)))),IF(C277=2030,SUMPRODUCT((B277='Landbrugsareal - resultat'!$B$32:$B$45)*(INDEX('Landbrugsareal - resultat'!$F$32:$H$45,,MATCH(E277,'Landbrugsareal - resultat'!$F$4:$H$4,0)))),SUMPRODUCT((B277='Landbrugsareal - resultat'!$B$32:$B$45)*(INDEX('Landbrugsareal - resultat'!$I$32:$K$45,,MATCH(E277,'Landbrugsareal - resultat'!$I$4:$K$4,0)))))),IF(C277=2019,SUMPRODUCT((B277='Landbrugsareal - resultat'!$B$32:$B$45)*(INDEX('Landbrugsareal - resultat'!$L$32:$N$45,,MATCH(E277,'Landbrugsareal - resultat'!$L$4:$N$4,0)))),IF(C277=2030,SUMPRODUCT((B277='Landbrugsareal - resultat'!$B$32:$B$45)*(INDEX('Landbrugsareal - resultat'!$O$32:$Q$45,,MATCH(E277,'Landbrugsareal - resultat'!$O$4:$Q$4,0)))),SUMPRODUCT((B277='Landbrugsareal - resultat'!$B$32:$B$45)*(INDEX('Landbrugsareal - resultat'!$R$32:$T$45,,MATCH(E277,'Landbrugsareal - resultat'!$R$4:$T$4,0))))))))</f>
        <v>11729.278744732668</v>
      </c>
      <c r="H277" s="172">
        <f>G277*VLOOKUP(B277,[1]Afgrødedata!$A$5:$F$18,2,FALSE)*IF(D277="Økologisk",VLOOKUP(B277,[1]Afgrødedata!$A$5:$F$18,4,FALSE),1)*IF(E277&lt;&gt;Jordbund1,IF(E277=Organ6,VLOOKUP(B277,[1]Afgrødedata!$A$5:$F$18,5,FALSE),VLOOKUP(B277,[1]Afgrødedata!$A$5:$F$18,6,FALSE)),1)*0.1</f>
        <v>349484.92686982499</v>
      </c>
      <c r="I277" s="172">
        <f>G277*VLOOKUP(B277,[1]Afgrødedata!$A$5:$F$18,3,FALSE)*IF(D277="Økologisk",VLOOKUP(B277,[1]Afgrødedata!$A$5:$F$18,4,FALSE),1)*IF(E277&lt;&gt;Jordbund1,IF(E277=Organ6,VLOOKUP(B277,[1]Afgrødedata!$A$5:$F$18,5,FALSE),VLOOKUP(B277,[1]Afgrødedata!$A$5:$F$18,6,FALSE)),1)*HLOOKUP(C277,Landbrug!$C$15:$E$17,2,FALSE)*HLOOKUP(C277,Landbrug!$C$15:$E$17,3,FALSE)*0.1</f>
        <v>0</v>
      </c>
      <c r="J277" s="76">
        <f t="shared" ref="J277:J340" si="55">IF(I277&lt;&gt;0,I277,H277)</f>
        <v>349484.92686982499</v>
      </c>
    </row>
    <row r="278" spans="1:10" x14ac:dyDescent="0.55000000000000004">
      <c r="A278" t="s">
        <v>24</v>
      </c>
      <c r="B278" s="1" t="str">
        <f>[1]Afgrødefordeling!$C$12</f>
        <v>Frø</v>
      </c>
      <c r="C278">
        <v>2030</v>
      </c>
      <c r="D278" t="s">
        <v>7</v>
      </c>
      <c r="E278" s="172" t="str">
        <f t="shared" si="52"/>
        <v>JB1-10</v>
      </c>
      <c r="F278" t="str">
        <f t="shared" si="54"/>
        <v>Halm</v>
      </c>
      <c r="G278" s="76" cm="1">
        <f t="array" ref="G278">IF(A278="Vestdanmark",IF(D278="Konventionel",IF(C278=2019,SUMPRODUCT((B278='Landbrugsareal - resultat'!$B$5:$B$18)*(INDEX('Landbrugsareal - resultat'!$C$5:$E$18,,MATCH(E278,'Landbrugsareal - resultat'!$C$4:$E$4,0)))),IF(C278=2030,SUMPRODUCT((B278='Landbrugsareal - resultat'!$B$5:$B$18)*(INDEX('Landbrugsareal - resultat'!$F$5:$H$18,,MATCH(E278,'Landbrugsareal - resultat'!$F$4:$H$4,0)))),SUMPRODUCT((B278='Landbrugsareal - resultat'!$B$5:$B$18)*(INDEX('Landbrugsareal - resultat'!$I$5:$K$18,,MATCH(E278,'Landbrugsareal - resultat'!$I$4:$K$4,0)))))),IF(C278=2019,SUMPRODUCT((B278='Landbrugsareal - resultat'!$B$5:$B$18)*(INDEX('Landbrugsareal - resultat'!$L$5:$N$18,,MATCH(E278,'Landbrugsareal - resultat'!$L$4:$N$4,0)))),IF(C278=2030,SUMPRODUCT((B278='Landbrugsareal - resultat'!$B$5:$B$18)*(INDEX('Landbrugsareal - resultat'!$O$5:$Q$18,,MATCH(E278,'Landbrugsareal - resultat'!$O$4:$Q$4,0)))),SUMPRODUCT((B278='Landbrugsareal - resultat'!$B$5:$B$18)*(INDEX('Landbrugsareal - resultat'!$R$5:$T$18,,MATCH(E278,'Landbrugsareal - resultat'!$R$4:$T$4,0))))))),IF(D278="Konventionel",IF(C278=2019,SUMPRODUCT((B278='Landbrugsareal - resultat'!$B$32:$B$45)*(INDEX('Landbrugsareal - resultat'!$C$32:$E$45,,MATCH(E278,'Landbrugsareal - resultat'!$C$4:$E$4,0)))),IF(C278=2030,SUMPRODUCT((B278='Landbrugsareal - resultat'!$B$32:$B$45)*(INDEX('Landbrugsareal - resultat'!$F$32:$H$45,,MATCH(E278,'Landbrugsareal - resultat'!$F$4:$H$4,0)))),SUMPRODUCT((B278='Landbrugsareal - resultat'!$B$32:$B$45)*(INDEX('Landbrugsareal - resultat'!$I$32:$K$45,,MATCH(E278,'Landbrugsareal - resultat'!$I$4:$K$4,0)))))),IF(C278=2019,SUMPRODUCT((B278='Landbrugsareal - resultat'!$B$32:$B$45)*(INDEX('Landbrugsareal - resultat'!$L$32:$N$45,,MATCH(E278,'Landbrugsareal - resultat'!$L$4:$N$4,0)))),IF(C278=2030,SUMPRODUCT((B278='Landbrugsareal - resultat'!$B$32:$B$45)*(INDEX('Landbrugsareal - resultat'!$O$32:$Q$45,,MATCH(E278,'Landbrugsareal - resultat'!$O$4:$Q$4,0)))),SUMPRODUCT((B278='Landbrugsareal - resultat'!$B$32:$B$45)*(INDEX('Landbrugsareal - resultat'!$R$32:$T$45,,MATCH(E278,'Landbrugsareal - resultat'!$R$4:$T$4,0))))))))</f>
        <v>36290.042485141646</v>
      </c>
      <c r="H278" s="172">
        <f>G278*VLOOKUP(B278,[1]Afgrødedata!$A$5:$F$18,2,FALSE)*IF(D278="Økologisk",VLOOKUP(B278,[1]Afgrødedata!$A$5:$F$18,4,FALSE),1)*IF(E278&lt;&gt;Jordbund1,IF(E278=Organ6,VLOOKUP(B278,[1]Afgrødedata!$A$5:$F$18,5,FALSE),VLOOKUP(B278,[1]Afgrødedata!$A$5:$F$18,6,FALSE)),1)*0.1</f>
        <v>518543.36402629869</v>
      </c>
      <c r="I278" s="172">
        <f>G278*VLOOKUP(B278,[1]Afgrødedata!$A$5:$F$18,3,FALSE)*IF(D278="Økologisk",VLOOKUP(B278,[1]Afgrødedata!$A$5:$F$18,4,FALSE),1)*IF(E278&lt;&gt;Jordbund1,IF(E278=Organ6,VLOOKUP(B278,[1]Afgrødedata!$A$5:$F$18,5,FALSE),VLOOKUP(B278,[1]Afgrødedata!$A$5:$F$18,6,FALSE)),1)*HLOOKUP(C278,Landbrug!$C$15:$E$17,2,FALSE)*HLOOKUP(C278,Landbrug!$C$15:$E$17,3,FALSE)*0.1</f>
        <v>85644.500264934293</v>
      </c>
      <c r="J278" s="76">
        <f t="shared" si="55"/>
        <v>85644.500264934293</v>
      </c>
    </row>
    <row r="279" spans="1:10" x14ac:dyDescent="0.55000000000000004">
      <c r="A279" t="s">
        <v>24</v>
      </c>
      <c r="B279" s="1" t="str">
        <f>[1]Afgrødefordeling!$C$13</f>
        <v>Juletræer</v>
      </c>
      <c r="C279">
        <v>2030</v>
      </c>
      <c r="D279" t="s">
        <v>7</v>
      </c>
      <c r="E279" s="172" t="str">
        <f t="shared" si="52"/>
        <v>JB1-10</v>
      </c>
      <c r="F279" t="str">
        <f t="shared" si="54"/>
        <v>Juletræer</v>
      </c>
      <c r="G279" s="76" cm="1">
        <f t="array" ref="G279">IF(A279="Vestdanmark",IF(D279="Konventionel",IF(C279=2019,SUMPRODUCT((B279='Landbrugsareal - resultat'!$B$5:$B$18)*(INDEX('Landbrugsareal - resultat'!$C$5:$E$18,,MATCH(E279,'Landbrugsareal - resultat'!$C$4:$E$4,0)))),IF(C279=2030,SUMPRODUCT((B279='Landbrugsareal - resultat'!$B$5:$B$18)*(INDEX('Landbrugsareal - resultat'!$F$5:$H$18,,MATCH(E279,'Landbrugsareal - resultat'!$F$4:$H$4,0)))),SUMPRODUCT((B279='Landbrugsareal - resultat'!$B$5:$B$18)*(INDEX('Landbrugsareal - resultat'!$I$5:$K$18,,MATCH(E279,'Landbrugsareal - resultat'!$I$4:$K$4,0)))))),IF(C279=2019,SUMPRODUCT((B279='Landbrugsareal - resultat'!$B$5:$B$18)*(INDEX('Landbrugsareal - resultat'!$L$5:$N$18,,MATCH(E279,'Landbrugsareal - resultat'!$L$4:$N$4,0)))),IF(C279=2030,SUMPRODUCT((B279='Landbrugsareal - resultat'!$B$5:$B$18)*(INDEX('Landbrugsareal - resultat'!$O$5:$Q$18,,MATCH(E279,'Landbrugsareal - resultat'!$O$4:$Q$4,0)))),SUMPRODUCT((B279='Landbrugsareal - resultat'!$B$5:$B$18)*(INDEX('Landbrugsareal - resultat'!$R$5:$T$18,,MATCH(E279,'Landbrugsareal - resultat'!$R$4:$T$4,0))))))),IF(D279="Konventionel",IF(C279=2019,SUMPRODUCT((B279='Landbrugsareal - resultat'!$B$32:$B$45)*(INDEX('Landbrugsareal - resultat'!$C$32:$E$45,,MATCH(E279,'Landbrugsareal - resultat'!$C$4:$E$4,0)))),IF(C279=2030,SUMPRODUCT((B279='Landbrugsareal - resultat'!$B$32:$B$45)*(INDEX('Landbrugsareal - resultat'!$F$32:$H$45,,MATCH(E279,'Landbrugsareal - resultat'!$F$4:$H$4,0)))),SUMPRODUCT((B279='Landbrugsareal - resultat'!$B$32:$B$45)*(INDEX('Landbrugsareal - resultat'!$I$32:$K$45,,MATCH(E279,'Landbrugsareal - resultat'!$I$4:$K$4,0)))))),IF(C279=2019,SUMPRODUCT((B279='Landbrugsareal - resultat'!$B$32:$B$45)*(INDEX('Landbrugsareal - resultat'!$L$32:$N$45,,MATCH(E279,'Landbrugsareal - resultat'!$L$4:$N$4,0)))),IF(C279=2030,SUMPRODUCT((B279='Landbrugsareal - resultat'!$B$32:$B$45)*(INDEX('Landbrugsareal - resultat'!$O$32:$Q$45,,MATCH(E279,'Landbrugsareal - resultat'!$O$4:$Q$4,0)))),SUMPRODUCT((B279='Landbrugsareal - resultat'!$B$32:$B$45)*(INDEX('Landbrugsareal - resultat'!$R$32:$T$45,,MATCH(E279,'Landbrugsareal - resultat'!$R$4:$T$4,0))))))))</f>
        <v>2574.0146524810302</v>
      </c>
      <c r="H279" s="172">
        <f>G279*VLOOKUP(B279,[1]Afgrødedata!$A$5:$F$18,2,FALSE)*IF(D279="Økologisk",VLOOKUP(B279,[1]Afgrødedata!$A$5:$F$18,4,FALSE),1)*IF(E279&lt;&gt;Jordbund1,IF(E279=Organ6,VLOOKUP(B279,[1]Afgrødedata!$A$5:$F$18,5,FALSE),VLOOKUP(B279,[1]Afgrødedata!$A$5:$F$18,6,FALSE)),1)*0.1</f>
        <v>128700.73262405151</v>
      </c>
      <c r="I279" s="172">
        <f>G279*VLOOKUP(B279,[1]Afgrødedata!$A$5:$F$18,3,FALSE)*IF(D279="Økologisk",VLOOKUP(B279,[1]Afgrødedata!$A$5:$F$18,4,FALSE),1)*IF(E279&lt;&gt;Jordbund1,IF(E279=Organ6,VLOOKUP(B279,[1]Afgrødedata!$A$5:$F$18,5,FALSE),VLOOKUP(B279,[1]Afgrødedata!$A$5:$F$18,6,FALSE)),1)*HLOOKUP(C279,Landbrug!$C$15:$E$17,2,FALSE)*HLOOKUP(C279,Landbrug!$C$15:$E$17,3,FALSE)*0.1</f>
        <v>0</v>
      </c>
      <c r="J279" s="76">
        <f t="shared" si="55"/>
        <v>128700.73262405151</v>
      </c>
    </row>
    <row r="280" spans="1:10" x14ac:dyDescent="0.55000000000000004">
      <c r="A280" t="s">
        <v>24</v>
      </c>
      <c r="B280" s="1" t="str">
        <f>[1]Afgrødefordeling!$C$14</f>
        <v>Pil &amp; poppel</v>
      </c>
      <c r="C280">
        <v>2030</v>
      </c>
      <c r="D280" t="s">
        <v>7</v>
      </c>
      <c r="E280" s="172" t="str">
        <f t="shared" si="52"/>
        <v>JB1-10</v>
      </c>
      <c r="F280" t="str">
        <f t="shared" si="54"/>
        <v>Pil &amp; poppel</v>
      </c>
      <c r="G280" s="76" cm="1">
        <f t="array" ref="G280">IF(A280="Vestdanmark",IF(D280="Konventionel",IF(C280=2019,SUMPRODUCT((B280='Landbrugsareal - resultat'!$B$5:$B$18)*(INDEX('Landbrugsareal - resultat'!$C$5:$E$18,,MATCH(E280,'Landbrugsareal - resultat'!$C$4:$E$4,0)))),IF(C280=2030,SUMPRODUCT((B280='Landbrugsareal - resultat'!$B$5:$B$18)*(INDEX('Landbrugsareal - resultat'!$F$5:$H$18,,MATCH(E280,'Landbrugsareal - resultat'!$F$4:$H$4,0)))),SUMPRODUCT((B280='Landbrugsareal - resultat'!$B$5:$B$18)*(INDEX('Landbrugsareal - resultat'!$I$5:$K$18,,MATCH(E280,'Landbrugsareal - resultat'!$I$4:$K$4,0)))))),IF(C280=2019,SUMPRODUCT((B280='Landbrugsareal - resultat'!$B$5:$B$18)*(INDEX('Landbrugsareal - resultat'!$L$5:$N$18,,MATCH(E280,'Landbrugsareal - resultat'!$L$4:$N$4,0)))),IF(C280=2030,SUMPRODUCT((B280='Landbrugsareal - resultat'!$B$5:$B$18)*(INDEX('Landbrugsareal - resultat'!$O$5:$Q$18,,MATCH(E280,'Landbrugsareal - resultat'!$O$4:$Q$4,0)))),SUMPRODUCT((B280='Landbrugsareal - resultat'!$B$5:$B$18)*(INDEX('Landbrugsareal - resultat'!$R$5:$T$18,,MATCH(E280,'Landbrugsareal - resultat'!$R$4:$T$4,0))))))),IF(D280="Konventionel",IF(C280=2019,SUMPRODUCT((B280='Landbrugsareal - resultat'!$B$32:$B$45)*(INDEX('Landbrugsareal - resultat'!$C$32:$E$45,,MATCH(E280,'Landbrugsareal - resultat'!$C$4:$E$4,0)))),IF(C280=2030,SUMPRODUCT((B280='Landbrugsareal - resultat'!$B$32:$B$45)*(INDEX('Landbrugsareal - resultat'!$F$32:$H$45,,MATCH(E280,'Landbrugsareal - resultat'!$F$4:$H$4,0)))),SUMPRODUCT((B280='Landbrugsareal - resultat'!$B$32:$B$45)*(INDEX('Landbrugsareal - resultat'!$I$32:$K$45,,MATCH(E280,'Landbrugsareal - resultat'!$I$4:$K$4,0)))))),IF(C280=2019,SUMPRODUCT((B280='Landbrugsareal - resultat'!$B$32:$B$45)*(INDEX('Landbrugsareal - resultat'!$L$32:$N$45,,MATCH(E280,'Landbrugsareal - resultat'!$L$4:$N$4,0)))),IF(C280=2030,SUMPRODUCT((B280='Landbrugsareal - resultat'!$B$32:$B$45)*(INDEX('Landbrugsareal - resultat'!$O$32:$Q$45,,MATCH(E280,'Landbrugsareal - resultat'!$O$4:$Q$4,0)))),SUMPRODUCT((B280='Landbrugsareal - resultat'!$B$32:$B$45)*(INDEX('Landbrugsareal - resultat'!$R$32:$T$45,,MATCH(E280,'Landbrugsareal - resultat'!$R$4:$T$4,0))))))))</f>
        <v>1223.5219502296152</v>
      </c>
      <c r="H280" s="172">
        <f>G280*VLOOKUP(B280,[1]Afgrødedata!$A$5:$F$18,2,FALSE)*IF(D280="Økologisk",VLOOKUP(B280,[1]Afgrødedata!$A$5:$F$18,4,FALSE),1)*IF(E280&lt;&gt;Jordbund1,IF(E280=Organ6,VLOOKUP(B280,[1]Afgrødedata!$A$5:$F$18,5,FALSE),VLOOKUP(B280,[1]Afgrødedata!$A$5:$F$18,6,FALSE)),1)*0.1</f>
        <v>29841.998786088181</v>
      </c>
      <c r="I280" s="172">
        <f>G280*VLOOKUP(B280,[1]Afgrødedata!$A$5:$F$18,3,FALSE)*IF(D280="Økologisk",VLOOKUP(B280,[1]Afgrødedata!$A$5:$F$18,4,FALSE),1)*IF(E280&lt;&gt;Jordbund1,IF(E280=Organ6,VLOOKUP(B280,[1]Afgrødedata!$A$5:$F$18,5,FALSE),VLOOKUP(B280,[1]Afgrødedata!$A$5:$F$18,6,FALSE)),1)*HLOOKUP(C280,Landbrug!$C$15:$E$17,2,FALSE)*HLOOKUP(C280,Landbrug!$C$15:$E$17,3,FALSE)*0.1</f>
        <v>0</v>
      </c>
      <c r="J280" s="76">
        <f t="shared" si="55"/>
        <v>29841.998786088181</v>
      </c>
    </row>
    <row r="281" spans="1:10" x14ac:dyDescent="0.55000000000000004">
      <c r="A281" t="s">
        <v>24</v>
      </c>
      <c r="B281" s="1" t="str">
        <f>[1]Afgrødefordeling!$C$15</f>
        <v>Permanent græs</v>
      </c>
      <c r="C281">
        <v>2030</v>
      </c>
      <c r="D281" t="s">
        <v>7</v>
      </c>
      <c r="E281" s="172" t="str">
        <f t="shared" si="52"/>
        <v>JB1-10</v>
      </c>
      <c r="F281" t="str">
        <f t="shared" si="54"/>
        <v>Græs</v>
      </c>
      <c r="G281" s="76" cm="1">
        <f t="array" ref="G281">IF(A281="Vestdanmark",IF(D281="Konventionel",IF(C281=2019,SUMPRODUCT((B281='Landbrugsareal - resultat'!$B$5:$B$18)*(INDEX('Landbrugsareal - resultat'!$C$5:$E$18,,MATCH(E281,'Landbrugsareal - resultat'!$C$4:$E$4,0)))),IF(C281=2030,SUMPRODUCT((B281='Landbrugsareal - resultat'!$B$5:$B$18)*(INDEX('Landbrugsareal - resultat'!$F$5:$H$18,,MATCH(E281,'Landbrugsareal - resultat'!$F$4:$H$4,0)))),SUMPRODUCT((B281='Landbrugsareal - resultat'!$B$5:$B$18)*(INDEX('Landbrugsareal - resultat'!$I$5:$K$18,,MATCH(E281,'Landbrugsareal - resultat'!$I$4:$K$4,0)))))),IF(C281=2019,SUMPRODUCT((B281='Landbrugsareal - resultat'!$B$5:$B$18)*(INDEX('Landbrugsareal - resultat'!$L$5:$N$18,,MATCH(E281,'Landbrugsareal - resultat'!$L$4:$N$4,0)))),IF(C281=2030,SUMPRODUCT((B281='Landbrugsareal - resultat'!$B$5:$B$18)*(INDEX('Landbrugsareal - resultat'!$O$5:$Q$18,,MATCH(E281,'Landbrugsareal - resultat'!$O$4:$Q$4,0)))),SUMPRODUCT((B281='Landbrugsareal - resultat'!$B$5:$B$18)*(INDEX('Landbrugsareal - resultat'!$R$5:$T$18,,MATCH(E281,'Landbrugsareal - resultat'!$R$4:$T$4,0))))))),IF(D281="Konventionel",IF(C281=2019,SUMPRODUCT((B281='Landbrugsareal - resultat'!$B$32:$B$45)*(INDEX('Landbrugsareal - resultat'!$C$32:$E$45,,MATCH(E281,'Landbrugsareal - resultat'!$C$4:$E$4,0)))),IF(C281=2030,SUMPRODUCT((B281='Landbrugsareal - resultat'!$B$32:$B$45)*(INDEX('Landbrugsareal - resultat'!$F$32:$H$45,,MATCH(E281,'Landbrugsareal - resultat'!$F$4:$H$4,0)))),SUMPRODUCT((B281='Landbrugsareal - resultat'!$B$32:$B$45)*(INDEX('Landbrugsareal - resultat'!$I$32:$K$45,,MATCH(E281,'Landbrugsareal - resultat'!$I$4:$K$4,0)))))),IF(C281=2019,SUMPRODUCT((B281='Landbrugsareal - resultat'!$B$32:$B$45)*(INDEX('Landbrugsareal - resultat'!$L$32:$N$45,,MATCH(E281,'Landbrugsareal - resultat'!$L$4:$N$4,0)))),IF(C281=2030,SUMPRODUCT((B281='Landbrugsareal - resultat'!$B$32:$B$45)*(INDEX('Landbrugsareal - resultat'!$O$32:$Q$45,,MATCH(E281,'Landbrugsareal - resultat'!$O$4:$Q$4,0)))),SUMPRODUCT((B281='Landbrugsareal - resultat'!$B$32:$B$45)*(INDEX('Landbrugsareal - resultat'!$R$32:$T$45,,MATCH(E281,'Landbrugsareal - resultat'!$R$4:$T$4,0))))))))</f>
        <v>30474.516064946976</v>
      </c>
      <c r="H281" s="172">
        <f>G281*VLOOKUP(B281,[1]Afgrødedata!$A$5:$F$18,2,FALSE)*IF(D281="Økologisk",VLOOKUP(B281,[1]Afgrødedata!$A$5:$F$18,4,FALSE),1)*IF(E281&lt;&gt;Jordbund1,IF(E281=Organ6,VLOOKUP(B281,[1]Afgrødedata!$A$5:$F$18,5,FALSE),VLOOKUP(B281,[1]Afgrødedata!$A$5:$F$18,6,FALSE)),1)*0.1</f>
        <v>420243.57653561886</v>
      </c>
      <c r="I281" s="172">
        <f>G281*VLOOKUP(B281,[1]Afgrødedata!$A$5:$F$18,3,FALSE)*IF(D281="Økologisk",VLOOKUP(B281,[1]Afgrødedata!$A$5:$F$18,4,FALSE),1)*IF(E281&lt;&gt;Jordbund1,IF(E281=Organ6,VLOOKUP(B281,[1]Afgrødedata!$A$5:$F$18,5,FALSE),VLOOKUP(B281,[1]Afgrødedata!$A$5:$F$18,6,FALSE)),1)*HLOOKUP(C281,Landbrug!$C$15:$E$17,2,FALSE)*HLOOKUP(C281,Landbrug!$C$15:$E$17,3,FALSE)*0.1</f>
        <v>0</v>
      </c>
      <c r="J281" s="76">
        <f t="shared" si="55"/>
        <v>420243.57653561886</v>
      </c>
    </row>
    <row r="282" spans="1:10" x14ac:dyDescent="0.55000000000000004">
      <c r="A282" t="s">
        <v>24</v>
      </c>
      <c r="B282" s="1" t="str">
        <f>[1]Afgrødefordeling!$C$2</f>
        <v>Korn</v>
      </c>
      <c r="C282">
        <v>2050</v>
      </c>
      <c r="D282" t="s">
        <v>7</v>
      </c>
      <c r="E282" s="172" t="str">
        <f t="shared" si="52"/>
        <v>JB1-10</v>
      </c>
      <c r="F282" t="str">
        <f t="shared" si="54"/>
        <v>Halm</v>
      </c>
      <c r="G282" s="76" cm="1">
        <f t="array" ref="G282">IF(A282="Vestdanmark",IF(D282="Konventionel",IF(C282=2019,SUMPRODUCT((B282='Landbrugsareal - resultat'!$B$5:$B$18)*(INDEX('Landbrugsareal - resultat'!$C$5:$E$18,,MATCH(E282,'Landbrugsareal - resultat'!$C$4:$E$4,0)))),IF(C282=2030,SUMPRODUCT((B282='Landbrugsareal - resultat'!$B$5:$B$18)*(INDEX('Landbrugsareal - resultat'!$F$5:$H$18,,MATCH(E282,'Landbrugsareal - resultat'!$F$4:$H$4,0)))),SUMPRODUCT((B282='Landbrugsareal - resultat'!$B$5:$B$18)*(INDEX('Landbrugsareal - resultat'!$I$5:$K$18,,MATCH(E282,'Landbrugsareal - resultat'!$I$4:$K$4,0)))))),IF(C282=2019,SUMPRODUCT((B282='Landbrugsareal - resultat'!$B$5:$B$18)*(INDEX('Landbrugsareal - resultat'!$L$5:$N$18,,MATCH(E282,'Landbrugsareal - resultat'!$L$4:$N$4,0)))),IF(C282=2030,SUMPRODUCT((B282='Landbrugsareal - resultat'!$B$5:$B$18)*(INDEX('Landbrugsareal - resultat'!$O$5:$Q$18,,MATCH(E282,'Landbrugsareal - resultat'!$O$4:$Q$4,0)))),SUMPRODUCT((B282='Landbrugsareal - resultat'!$B$5:$B$18)*(INDEX('Landbrugsareal - resultat'!$R$5:$T$18,,MATCH(E282,'Landbrugsareal - resultat'!$R$4:$T$4,0))))))),IF(D282="Konventionel",IF(C282=2019,SUMPRODUCT((B282='Landbrugsareal - resultat'!$B$32:$B$45)*(INDEX('Landbrugsareal - resultat'!$C$32:$E$45,,MATCH(E282,'Landbrugsareal - resultat'!$C$4:$E$4,0)))),IF(C282=2030,SUMPRODUCT((B282='Landbrugsareal - resultat'!$B$32:$B$45)*(INDEX('Landbrugsareal - resultat'!$F$32:$H$45,,MATCH(E282,'Landbrugsareal - resultat'!$F$4:$H$4,0)))),SUMPRODUCT((B282='Landbrugsareal - resultat'!$B$32:$B$45)*(INDEX('Landbrugsareal - resultat'!$I$32:$K$45,,MATCH(E282,'Landbrugsareal - resultat'!$I$4:$K$4,0)))))),IF(C282=2019,SUMPRODUCT((B282='Landbrugsareal - resultat'!$B$32:$B$45)*(INDEX('Landbrugsareal - resultat'!$L$32:$N$45,,MATCH(E282,'Landbrugsareal - resultat'!$L$4:$N$4,0)))),IF(C282=2030,SUMPRODUCT((B282='Landbrugsareal - resultat'!$B$32:$B$45)*(INDEX('Landbrugsareal - resultat'!$O$32:$Q$45,,MATCH(E282,'Landbrugsareal - resultat'!$O$4:$Q$4,0)))),SUMPRODUCT((B282='Landbrugsareal - resultat'!$B$32:$B$45)*(INDEX('Landbrugsareal - resultat'!$R$32:$T$45,,MATCH(E282,'Landbrugsareal - resultat'!$R$4:$T$4,0))))))))</f>
        <v>269399.56788001256</v>
      </c>
      <c r="H282" s="172">
        <f>G282*VLOOKUP(B282,[1]Afgrødedata!$A$5:$F$18,2,FALSE)*IF(D282="Økologisk",VLOOKUP(B282,[1]Afgrødedata!$A$5:$F$18,4,FALSE),1)*IF(E282&lt;&gt;Jordbund1,IF(E282=Organ6,VLOOKUP(B282,[1]Afgrødedata!$A$5:$F$18,5,FALSE),VLOOKUP(B282,[1]Afgrødedata!$A$5:$F$18,6,FALSE)),1)*0.1</f>
        <v>1888490.9708388881</v>
      </c>
      <c r="I282" s="172">
        <f>G282*VLOOKUP(B282,[1]Afgrødedata!$A$5:$F$18,3,FALSE)*IF(D282="Økologisk",VLOOKUP(B282,[1]Afgrødedata!$A$5:$F$18,4,FALSE),1)*IF(E282&lt;&gt;Jordbund1,IF(E282=Organ6,VLOOKUP(B282,[1]Afgrødedata!$A$5:$F$18,5,FALSE),VLOOKUP(B282,[1]Afgrødedata!$A$5:$F$18,6,FALSE)),1)*HLOOKUP(C282,Landbrug!$C$15:$E$17,2,FALSE)*HLOOKUP(C282,Landbrug!$C$15:$E$17,3,FALSE)*0.1</f>
        <v>612815.32003721921</v>
      </c>
      <c r="J282" s="76">
        <f t="shared" si="55"/>
        <v>612815.32003721921</v>
      </c>
    </row>
    <row r="283" spans="1:10" x14ac:dyDescent="0.55000000000000004">
      <c r="A283" t="s">
        <v>24</v>
      </c>
      <c r="B283" s="1" t="str">
        <f>[1]Afgrødefordeling!$C$3</f>
        <v>Bælgsæd</v>
      </c>
      <c r="C283">
        <v>2050</v>
      </c>
      <c r="D283" t="s">
        <v>7</v>
      </c>
      <c r="E283" s="172" t="str">
        <f t="shared" si="52"/>
        <v>JB1-10</v>
      </c>
      <c r="F283" t="str">
        <f t="shared" si="54"/>
        <v>Halm</v>
      </c>
      <c r="G283" s="76" cm="1">
        <f t="array" ref="G283">IF(A283="Vestdanmark",IF(D283="Konventionel",IF(C283=2019,SUMPRODUCT((B283='Landbrugsareal - resultat'!$B$5:$B$18)*(INDEX('Landbrugsareal - resultat'!$C$5:$E$18,,MATCH(E283,'Landbrugsareal - resultat'!$C$4:$E$4,0)))),IF(C283=2030,SUMPRODUCT((B283='Landbrugsareal - resultat'!$B$5:$B$18)*(INDEX('Landbrugsareal - resultat'!$F$5:$H$18,,MATCH(E283,'Landbrugsareal - resultat'!$F$4:$H$4,0)))),SUMPRODUCT((B283='Landbrugsareal - resultat'!$B$5:$B$18)*(INDEX('Landbrugsareal - resultat'!$I$5:$K$18,,MATCH(E283,'Landbrugsareal - resultat'!$I$4:$K$4,0)))))),IF(C283=2019,SUMPRODUCT((B283='Landbrugsareal - resultat'!$B$5:$B$18)*(INDEX('Landbrugsareal - resultat'!$L$5:$N$18,,MATCH(E283,'Landbrugsareal - resultat'!$L$4:$N$4,0)))),IF(C283=2030,SUMPRODUCT((B283='Landbrugsareal - resultat'!$B$5:$B$18)*(INDEX('Landbrugsareal - resultat'!$O$5:$Q$18,,MATCH(E283,'Landbrugsareal - resultat'!$O$4:$Q$4,0)))),SUMPRODUCT((B283='Landbrugsareal - resultat'!$B$5:$B$18)*(INDEX('Landbrugsareal - resultat'!$R$5:$T$18,,MATCH(E283,'Landbrugsareal - resultat'!$R$4:$T$4,0))))))),IF(D283="Konventionel",IF(C283=2019,SUMPRODUCT((B283='Landbrugsareal - resultat'!$B$32:$B$45)*(INDEX('Landbrugsareal - resultat'!$C$32:$E$45,,MATCH(E283,'Landbrugsareal - resultat'!$C$4:$E$4,0)))),IF(C283=2030,SUMPRODUCT((B283='Landbrugsareal - resultat'!$B$32:$B$45)*(INDEX('Landbrugsareal - resultat'!$F$32:$H$45,,MATCH(E283,'Landbrugsareal - resultat'!$F$4:$H$4,0)))),SUMPRODUCT((B283='Landbrugsareal - resultat'!$B$32:$B$45)*(INDEX('Landbrugsareal - resultat'!$I$32:$K$45,,MATCH(E283,'Landbrugsareal - resultat'!$I$4:$K$4,0)))))),IF(C283=2019,SUMPRODUCT((B283='Landbrugsareal - resultat'!$B$32:$B$45)*(INDEX('Landbrugsareal - resultat'!$L$32:$N$45,,MATCH(E283,'Landbrugsareal - resultat'!$L$4:$N$4,0)))),IF(C283=2030,SUMPRODUCT((B283='Landbrugsareal - resultat'!$B$32:$B$45)*(INDEX('Landbrugsareal - resultat'!$O$32:$Q$45,,MATCH(E283,'Landbrugsareal - resultat'!$O$4:$Q$4,0)))),SUMPRODUCT((B283='Landbrugsareal - resultat'!$B$32:$B$45)*(INDEX('Landbrugsareal - resultat'!$R$32:$T$45,,MATCH(E283,'Landbrugsareal - resultat'!$R$4:$T$4,0))))))))</f>
        <v>5871.5196191458026</v>
      </c>
      <c r="H283" s="172">
        <f>G283*VLOOKUP(B283,[1]Afgrødedata!$A$5:$F$18,2,FALSE)*IF(D283="Økologisk",VLOOKUP(B283,[1]Afgrødedata!$A$5:$F$18,4,FALSE),1)*IF(E283&lt;&gt;Jordbund1,IF(E283=Organ6,VLOOKUP(B283,[1]Afgrødedata!$A$5:$F$18,5,FALSE),VLOOKUP(B283,[1]Afgrødedata!$A$5:$F$18,6,FALSE)),1)*0.1</f>
        <v>22664.065729902799</v>
      </c>
      <c r="I283" s="172">
        <f>G283*VLOOKUP(B283,[1]Afgrødedata!$A$5:$F$18,3,FALSE)*IF(D283="Økologisk",VLOOKUP(B283,[1]Afgrødedata!$A$5:$F$18,4,FALSE),1)*IF(E283&lt;&gt;Jordbund1,IF(E283=Organ6,VLOOKUP(B283,[1]Afgrødedata!$A$5:$F$18,5,FALSE),VLOOKUP(B283,[1]Afgrødedata!$A$5:$F$18,6,FALSE)),1)*HLOOKUP(C283,Landbrug!$C$15:$E$17,2,FALSE)*HLOOKUP(C283,Landbrug!$C$15:$E$17,3,FALSE)*0.1</f>
        <v>6689.3635868966203</v>
      </c>
      <c r="J283" s="76">
        <f t="shared" si="55"/>
        <v>6689.3635868966203</v>
      </c>
    </row>
    <row r="284" spans="1:10" x14ac:dyDescent="0.55000000000000004">
      <c r="A284" t="s">
        <v>24</v>
      </c>
      <c r="B284" s="1" t="str">
        <f>[1]Afgrødefordeling!$C$4</f>
        <v>Raps</v>
      </c>
      <c r="C284">
        <v>2050</v>
      </c>
      <c r="D284" t="s">
        <v>7</v>
      </c>
      <c r="E284" s="172" t="str">
        <f t="shared" si="52"/>
        <v>JB1-10</v>
      </c>
      <c r="F284" t="str">
        <f t="shared" si="54"/>
        <v>Halm</v>
      </c>
      <c r="G284" s="76" cm="1">
        <f t="array" ref="G284">IF(A284="Vestdanmark",IF(D284="Konventionel",IF(C284=2019,SUMPRODUCT((B284='Landbrugsareal - resultat'!$B$5:$B$18)*(INDEX('Landbrugsareal - resultat'!$C$5:$E$18,,MATCH(E284,'Landbrugsareal - resultat'!$C$4:$E$4,0)))),IF(C284=2030,SUMPRODUCT((B284='Landbrugsareal - resultat'!$B$5:$B$18)*(INDEX('Landbrugsareal - resultat'!$F$5:$H$18,,MATCH(E284,'Landbrugsareal - resultat'!$F$4:$H$4,0)))),SUMPRODUCT((B284='Landbrugsareal - resultat'!$B$5:$B$18)*(INDEX('Landbrugsareal - resultat'!$I$5:$K$18,,MATCH(E284,'Landbrugsareal - resultat'!$I$4:$K$4,0)))))),IF(C284=2019,SUMPRODUCT((B284='Landbrugsareal - resultat'!$B$5:$B$18)*(INDEX('Landbrugsareal - resultat'!$L$5:$N$18,,MATCH(E284,'Landbrugsareal - resultat'!$L$4:$N$4,0)))),IF(C284=2030,SUMPRODUCT((B284='Landbrugsareal - resultat'!$B$5:$B$18)*(INDEX('Landbrugsareal - resultat'!$O$5:$Q$18,,MATCH(E284,'Landbrugsareal - resultat'!$O$4:$Q$4,0)))),SUMPRODUCT((B284='Landbrugsareal - resultat'!$B$5:$B$18)*(INDEX('Landbrugsareal - resultat'!$R$5:$T$18,,MATCH(E284,'Landbrugsareal - resultat'!$R$4:$T$4,0))))))),IF(D284="Konventionel",IF(C284=2019,SUMPRODUCT((B284='Landbrugsareal - resultat'!$B$32:$B$45)*(INDEX('Landbrugsareal - resultat'!$C$32:$E$45,,MATCH(E284,'Landbrugsareal - resultat'!$C$4:$E$4,0)))),IF(C284=2030,SUMPRODUCT((B284='Landbrugsareal - resultat'!$B$32:$B$45)*(INDEX('Landbrugsareal - resultat'!$F$32:$H$45,,MATCH(E284,'Landbrugsareal - resultat'!$F$4:$H$4,0)))),SUMPRODUCT((B284='Landbrugsareal - resultat'!$B$32:$B$45)*(INDEX('Landbrugsareal - resultat'!$I$32:$K$45,,MATCH(E284,'Landbrugsareal - resultat'!$I$4:$K$4,0)))))),IF(C284=2019,SUMPRODUCT((B284='Landbrugsareal - resultat'!$B$32:$B$45)*(INDEX('Landbrugsareal - resultat'!$L$32:$N$45,,MATCH(E284,'Landbrugsareal - resultat'!$L$4:$N$4,0)))),IF(C284=2030,SUMPRODUCT((B284='Landbrugsareal - resultat'!$B$32:$B$45)*(INDEX('Landbrugsareal - resultat'!$O$32:$Q$45,,MATCH(E284,'Landbrugsareal - resultat'!$O$4:$Q$4,0)))),SUMPRODUCT((B284='Landbrugsareal - resultat'!$B$32:$B$45)*(INDEX('Landbrugsareal - resultat'!$R$32:$T$45,,MATCH(E284,'Landbrugsareal - resultat'!$R$4:$T$4,0))))))))</f>
        <v>37245.432731055007</v>
      </c>
      <c r="H284" s="172">
        <f>G284*VLOOKUP(B284,[1]Afgrødedata!$A$5:$F$18,2,FALSE)*IF(D284="Økologisk",VLOOKUP(B284,[1]Afgrødedata!$A$5:$F$18,4,FALSE),1)*IF(E284&lt;&gt;Jordbund1,IF(E284=Organ6,VLOOKUP(B284,[1]Afgrødedata!$A$5:$F$18,5,FALSE),VLOOKUP(B284,[1]Afgrødedata!$A$5:$F$18,6,FALSE)),1)*0.1</f>
        <v>163879.90401664205</v>
      </c>
      <c r="I284" s="172">
        <f>G284*VLOOKUP(B284,[1]Afgrødedata!$A$5:$F$18,3,FALSE)*IF(D284="Økologisk",VLOOKUP(B284,[1]Afgrødedata!$A$5:$F$18,4,FALSE),1)*IF(E284&lt;&gt;Jordbund1,IF(E284=Organ6,VLOOKUP(B284,[1]Afgrødedata!$A$5:$F$18,5,FALSE),VLOOKUP(B284,[1]Afgrødedata!$A$5:$F$18,6,FALSE)),1)*HLOOKUP(C284,Landbrug!$C$15:$E$17,2,FALSE)*HLOOKUP(C284,Landbrug!$C$15:$E$17,3,FALSE)*0.1</f>
        <v>87020.229032836913</v>
      </c>
      <c r="J284" s="76">
        <f t="shared" si="55"/>
        <v>87020.229032836913</v>
      </c>
    </row>
    <row r="285" spans="1:10" x14ac:dyDescent="0.55000000000000004">
      <c r="A285" t="s">
        <v>24</v>
      </c>
      <c r="B285" s="1" t="str">
        <f>[1]Afgrødefordeling!$C$5</f>
        <v>Græs</v>
      </c>
      <c r="C285">
        <v>2050</v>
      </c>
      <c r="D285" t="s">
        <v>7</v>
      </c>
      <c r="E285" s="172" t="str">
        <f t="shared" si="52"/>
        <v>JB1-10</v>
      </c>
      <c r="F285" t="str">
        <f t="shared" si="54"/>
        <v>Græs</v>
      </c>
      <c r="G285" s="76" cm="1">
        <f t="array" ref="G285">IF(A285="Vestdanmark",IF(D285="Konventionel",IF(C285=2019,SUMPRODUCT((B285='Landbrugsareal - resultat'!$B$5:$B$18)*(INDEX('Landbrugsareal - resultat'!$C$5:$E$18,,MATCH(E285,'Landbrugsareal - resultat'!$C$4:$E$4,0)))),IF(C285=2030,SUMPRODUCT((B285='Landbrugsareal - resultat'!$B$5:$B$18)*(INDEX('Landbrugsareal - resultat'!$F$5:$H$18,,MATCH(E285,'Landbrugsareal - resultat'!$F$4:$H$4,0)))),SUMPRODUCT((B285='Landbrugsareal - resultat'!$B$5:$B$18)*(INDEX('Landbrugsareal - resultat'!$I$5:$K$18,,MATCH(E285,'Landbrugsareal - resultat'!$I$4:$K$4,0)))))),IF(C285=2019,SUMPRODUCT((B285='Landbrugsareal - resultat'!$B$5:$B$18)*(INDEX('Landbrugsareal - resultat'!$L$5:$N$18,,MATCH(E285,'Landbrugsareal - resultat'!$L$4:$N$4,0)))),IF(C285=2030,SUMPRODUCT((B285='Landbrugsareal - resultat'!$B$5:$B$18)*(INDEX('Landbrugsareal - resultat'!$O$5:$Q$18,,MATCH(E285,'Landbrugsareal - resultat'!$O$4:$Q$4,0)))),SUMPRODUCT((B285='Landbrugsareal - resultat'!$B$5:$B$18)*(INDEX('Landbrugsareal - resultat'!$R$5:$T$18,,MATCH(E285,'Landbrugsareal - resultat'!$R$4:$T$4,0))))))),IF(D285="Konventionel",IF(C285=2019,SUMPRODUCT((B285='Landbrugsareal - resultat'!$B$32:$B$45)*(INDEX('Landbrugsareal - resultat'!$C$32:$E$45,,MATCH(E285,'Landbrugsareal - resultat'!$C$4:$E$4,0)))),IF(C285=2030,SUMPRODUCT((B285='Landbrugsareal - resultat'!$B$32:$B$45)*(INDEX('Landbrugsareal - resultat'!$F$32:$H$45,,MATCH(E285,'Landbrugsareal - resultat'!$F$4:$H$4,0)))),SUMPRODUCT((B285='Landbrugsareal - resultat'!$B$32:$B$45)*(INDEX('Landbrugsareal - resultat'!$I$32:$K$45,,MATCH(E285,'Landbrugsareal - resultat'!$I$4:$K$4,0)))))),IF(C285=2019,SUMPRODUCT((B285='Landbrugsareal - resultat'!$B$32:$B$45)*(INDEX('Landbrugsareal - resultat'!$L$32:$N$45,,MATCH(E285,'Landbrugsareal - resultat'!$L$4:$N$4,0)))),IF(C285=2030,SUMPRODUCT((B285='Landbrugsareal - resultat'!$B$32:$B$45)*(INDEX('Landbrugsareal - resultat'!$O$32:$Q$45,,MATCH(E285,'Landbrugsareal - resultat'!$O$4:$Q$4,0)))),SUMPRODUCT((B285='Landbrugsareal - resultat'!$B$32:$B$45)*(INDEX('Landbrugsareal - resultat'!$R$32:$T$45,,MATCH(E285,'Landbrugsareal - resultat'!$R$4:$T$4,0))))))))</f>
        <v>22627.527846337711</v>
      </c>
      <c r="H285" s="172">
        <f>G285*VLOOKUP(B285,[1]Afgrødedata!$A$5:$F$18,2,FALSE)*IF(D285="Økologisk",VLOOKUP(B285,[1]Afgrødedata!$A$5:$F$18,4,FALSE),1)*IF(E285&lt;&gt;Jordbund1,IF(E285=Organ6,VLOOKUP(B285,[1]Afgrødedata!$A$5:$F$18,5,FALSE),VLOOKUP(B285,[1]Afgrødedata!$A$5:$F$18,6,FALSE)),1)*0.1</f>
        <v>1122777.9317352772</v>
      </c>
      <c r="I285" s="172">
        <f>G285*VLOOKUP(B285,[1]Afgrødedata!$A$5:$F$18,3,FALSE)*IF(D285="Økologisk",VLOOKUP(B285,[1]Afgrødedata!$A$5:$F$18,4,FALSE),1)*IF(E285&lt;&gt;Jordbund1,IF(E285=Organ6,VLOOKUP(B285,[1]Afgrødedata!$A$5:$F$18,5,FALSE),VLOOKUP(B285,[1]Afgrødedata!$A$5:$F$18,6,FALSE)),1)*HLOOKUP(C285,Landbrug!$C$15:$E$17,2,FALSE)*HLOOKUP(C285,Landbrug!$C$15:$E$17,3,FALSE)*0.1</f>
        <v>0</v>
      </c>
      <c r="J285" s="76">
        <f t="shared" si="55"/>
        <v>1122777.9317352772</v>
      </c>
    </row>
    <row r="286" spans="1:10" x14ac:dyDescent="0.55000000000000004">
      <c r="A286" t="s">
        <v>24</v>
      </c>
      <c r="B286" s="1" t="str">
        <f>[1]Afgrødefordeling!$C$6</f>
        <v>Grøntsager</v>
      </c>
      <c r="C286">
        <v>2050</v>
      </c>
      <c r="D286" t="s">
        <v>7</v>
      </c>
      <c r="E286" s="172" t="str">
        <f t="shared" ref="E286:E317" si="56">Jordbund1</f>
        <v>JB1-10</v>
      </c>
      <c r="F286" t="str">
        <f t="shared" si="54"/>
        <v>Grøntsager</v>
      </c>
      <c r="G286" s="76" cm="1">
        <f t="array" ref="G286">IF(A286="Vestdanmark",IF(D286="Konventionel",IF(C286=2019,SUMPRODUCT((B286='Landbrugsareal - resultat'!$B$5:$B$18)*(INDEX('Landbrugsareal - resultat'!$C$5:$E$18,,MATCH(E286,'Landbrugsareal - resultat'!$C$4:$E$4,0)))),IF(C286=2030,SUMPRODUCT((B286='Landbrugsareal - resultat'!$B$5:$B$18)*(INDEX('Landbrugsareal - resultat'!$F$5:$H$18,,MATCH(E286,'Landbrugsareal - resultat'!$F$4:$H$4,0)))),SUMPRODUCT((B286='Landbrugsareal - resultat'!$B$5:$B$18)*(INDEX('Landbrugsareal - resultat'!$I$5:$K$18,,MATCH(E286,'Landbrugsareal - resultat'!$I$4:$K$4,0)))))),IF(C286=2019,SUMPRODUCT((B286='Landbrugsareal - resultat'!$B$5:$B$18)*(INDEX('Landbrugsareal - resultat'!$L$5:$N$18,,MATCH(E286,'Landbrugsareal - resultat'!$L$4:$N$4,0)))),IF(C286=2030,SUMPRODUCT((B286='Landbrugsareal - resultat'!$B$5:$B$18)*(INDEX('Landbrugsareal - resultat'!$O$5:$Q$18,,MATCH(E286,'Landbrugsareal - resultat'!$O$4:$Q$4,0)))),SUMPRODUCT((B286='Landbrugsareal - resultat'!$B$5:$B$18)*(INDEX('Landbrugsareal - resultat'!$R$5:$T$18,,MATCH(E286,'Landbrugsareal - resultat'!$R$4:$T$4,0))))))),IF(D286="Konventionel",IF(C286=2019,SUMPRODUCT((B286='Landbrugsareal - resultat'!$B$32:$B$45)*(INDEX('Landbrugsareal - resultat'!$C$32:$E$45,,MATCH(E286,'Landbrugsareal - resultat'!$C$4:$E$4,0)))),IF(C286=2030,SUMPRODUCT((B286='Landbrugsareal - resultat'!$B$32:$B$45)*(INDEX('Landbrugsareal - resultat'!$F$32:$H$45,,MATCH(E286,'Landbrugsareal - resultat'!$F$4:$H$4,0)))),SUMPRODUCT((B286='Landbrugsareal - resultat'!$B$32:$B$45)*(INDEX('Landbrugsareal - resultat'!$I$32:$K$45,,MATCH(E286,'Landbrugsareal - resultat'!$I$4:$K$4,0)))))),IF(C286=2019,SUMPRODUCT((B286='Landbrugsareal - resultat'!$B$32:$B$45)*(INDEX('Landbrugsareal - resultat'!$L$32:$N$45,,MATCH(E286,'Landbrugsareal - resultat'!$L$4:$N$4,0)))),IF(C286=2030,SUMPRODUCT((B286='Landbrugsareal - resultat'!$B$32:$B$45)*(INDEX('Landbrugsareal - resultat'!$O$32:$Q$45,,MATCH(E286,'Landbrugsareal - resultat'!$O$4:$Q$4,0)))),SUMPRODUCT((B286='Landbrugsareal - resultat'!$B$32:$B$45)*(INDEX('Landbrugsareal - resultat'!$R$32:$T$45,,MATCH(E286,'Landbrugsareal - resultat'!$R$4:$T$4,0))))))))</f>
        <v>3545.7395322129769</v>
      </c>
      <c r="H286" s="172">
        <f>G286*VLOOKUP(B286,[1]Afgrødedata!$A$5:$F$18,2,FALSE)*IF(D286="Økologisk",VLOOKUP(B286,[1]Afgrødedata!$A$5:$F$18,4,FALSE),1)*IF(E286&lt;&gt;Jordbund1,IF(E286=Organ6,VLOOKUP(B286,[1]Afgrødedata!$A$5:$F$18,5,FALSE),VLOOKUP(B286,[1]Afgrødedata!$A$5:$F$18,6,FALSE)),1)*0.1</f>
        <v>73574.095293419276</v>
      </c>
      <c r="I286" s="172">
        <f>G286*VLOOKUP(B286,[1]Afgrødedata!$A$5:$F$18,3,FALSE)*IF(D286="Økologisk",VLOOKUP(B286,[1]Afgrødedata!$A$5:$F$18,4,FALSE),1)*IF(E286&lt;&gt;Jordbund1,IF(E286=Organ6,VLOOKUP(B286,[1]Afgrødedata!$A$5:$F$18,5,FALSE),VLOOKUP(B286,[1]Afgrødedata!$A$5:$F$18,6,FALSE)),1)*HLOOKUP(C286,Landbrug!$C$15:$E$17,2,FALSE)*HLOOKUP(C286,Landbrug!$C$15:$E$17,3,FALSE)*0.1</f>
        <v>0</v>
      </c>
      <c r="J286" s="76">
        <f t="shared" si="55"/>
        <v>73574.095293419276</v>
      </c>
    </row>
    <row r="287" spans="1:10" x14ac:dyDescent="0.55000000000000004">
      <c r="A287" t="s">
        <v>24</v>
      </c>
      <c r="B287" s="1" t="str">
        <f>[1]Afgrødefordeling!$C$7</f>
        <v>Kartofler</v>
      </c>
      <c r="C287">
        <v>2050</v>
      </c>
      <c r="D287" t="s">
        <v>7</v>
      </c>
      <c r="E287" s="172" t="str">
        <f t="shared" si="56"/>
        <v>JB1-10</v>
      </c>
      <c r="F287" t="str">
        <f t="shared" si="54"/>
        <v>Kartofler</v>
      </c>
      <c r="G287" s="76" cm="1">
        <f t="array" ref="G287">IF(A287="Vestdanmark",IF(D287="Konventionel",IF(C287=2019,SUMPRODUCT((B287='Landbrugsareal - resultat'!$B$5:$B$18)*(INDEX('Landbrugsareal - resultat'!$C$5:$E$18,,MATCH(E287,'Landbrugsareal - resultat'!$C$4:$E$4,0)))),IF(C287=2030,SUMPRODUCT((B287='Landbrugsareal - resultat'!$B$5:$B$18)*(INDEX('Landbrugsareal - resultat'!$F$5:$H$18,,MATCH(E287,'Landbrugsareal - resultat'!$F$4:$H$4,0)))),SUMPRODUCT((B287='Landbrugsareal - resultat'!$B$5:$B$18)*(INDEX('Landbrugsareal - resultat'!$I$5:$K$18,,MATCH(E287,'Landbrugsareal - resultat'!$I$4:$K$4,0)))))),IF(C287=2019,SUMPRODUCT((B287='Landbrugsareal - resultat'!$B$5:$B$18)*(INDEX('Landbrugsareal - resultat'!$L$5:$N$18,,MATCH(E287,'Landbrugsareal - resultat'!$L$4:$N$4,0)))),IF(C287=2030,SUMPRODUCT((B287='Landbrugsareal - resultat'!$B$5:$B$18)*(INDEX('Landbrugsareal - resultat'!$O$5:$Q$18,,MATCH(E287,'Landbrugsareal - resultat'!$O$4:$Q$4,0)))),SUMPRODUCT((B287='Landbrugsareal - resultat'!$B$5:$B$18)*(INDEX('Landbrugsareal - resultat'!$R$5:$T$18,,MATCH(E287,'Landbrugsareal - resultat'!$R$4:$T$4,0))))))),IF(D287="Konventionel",IF(C287=2019,SUMPRODUCT((B287='Landbrugsareal - resultat'!$B$32:$B$45)*(INDEX('Landbrugsareal - resultat'!$C$32:$E$45,,MATCH(E287,'Landbrugsareal - resultat'!$C$4:$E$4,0)))),IF(C287=2030,SUMPRODUCT((B287='Landbrugsareal - resultat'!$B$32:$B$45)*(INDEX('Landbrugsareal - resultat'!$F$32:$H$45,,MATCH(E287,'Landbrugsareal - resultat'!$F$4:$H$4,0)))),SUMPRODUCT((B287='Landbrugsareal - resultat'!$B$32:$B$45)*(INDEX('Landbrugsareal - resultat'!$I$32:$K$45,,MATCH(E287,'Landbrugsareal - resultat'!$I$4:$K$4,0)))))),IF(C287=2019,SUMPRODUCT((B287='Landbrugsareal - resultat'!$B$32:$B$45)*(INDEX('Landbrugsareal - resultat'!$L$32:$N$45,,MATCH(E287,'Landbrugsareal - resultat'!$L$4:$N$4,0)))),IF(C287=2030,SUMPRODUCT((B287='Landbrugsareal - resultat'!$B$32:$B$45)*(INDEX('Landbrugsareal - resultat'!$O$32:$Q$45,,MATCH(E287,'Landbrugsareal - resultat'!$O$4:$Q$4,0)))),SUMPRODUCT((B287='Landbrugsareal - resultat'!$B$32:$B$45)*(INDEX('Landbrugsareal - resultat'!$R$32:$T$45,,MATCH(E287,'Landbrugsareal - resultat'!$R$4:$T$4,0))))))))</f>
        <v>2274.6006151102201</v>
      </c>
      <c r="H287" s="172">
        <f>G287*VLOOKUP(B287,[1]Afgrødedata!$A$5:$F$18,2,FALSE)*IF(D287="Økologisk",VLOOKUP(B287,[1]Afgrødedata!$A$5:$F$18,4,FALSE),1)*IF(E287&lt;&gt;Jordbund1,IF(E287=Organ6,VLOOKUP(B287,[1]Afgrødedata!$A$5:$F$18,5,FALSE),VLOOKUP(B287,[1]Afgrødedata!$A$5:$F$18,6,FALSE)),1)*0.1</f>
        <v>96604.334060792258</v>
      </c>
      <c r="I287" s="172">
        <f>G287*VLOOKUP(B287,[1]Afgrødedata!$A$5:$F$18,3,FALSE)*IF(D287="Økologisk",VLOOKUP(B287,[1]Afgrødedata!$A$5:$F$18,4,FALSE),1)*IF(E287&lt;&gt;Jordbund1,IF(E287=Organ6,VLOOKUP(B287,[1]Afgrødedata!$A$5:$F$18,5,FALSE),VLOOKUP(B287,[1]Afgrødedata!$A$5:$F$18,6,FALSE)),1)*HLOOKUP(C287,Landbrug!$C$15:$E$17,2,FALSE)*HLOOKUP(C287,Landbrug!$C$15:$E$17,3,FALSE)*0.1</f>
        <v>0</v>
      </c>
      <c r="J287" s="76">
        <f t="shared" si="55"/>
        <v>96604.334060792258</v>
      </c>
    </row>
    <row r="288" spans="1:10" x14ac:dyDescent="0.55000000000000004">
      <c r="A288" t="s">
        <v>24</v>
      </c>
      <c r="B288" s="1" t="str">
        <f>[1]Afgrødefordeling!$C$8</f>
        <v>Roer</v>
      </c>
      <c r="C288">
        <v>2050</v>
      </c>
      <c r="D288" t="s">
        <v>7</v>
      </c>
      <c r="E288" s="172" t="str">
        <f t="shared" si="56"/>
        <v>JB1-10</v>
      </c>
      <c r="F288" t="str">
        <f t="shared" si="54"/>
        <v>Roer</v>
      </c>
      <c r="G288" s="76" cm="1">
        <f t="array" ref="G288">IF(A288="Vestdanmark",IF(D288="Konventionel",IF(C288=2019,SUMPRODUCT((B288='Landbrugsareal - resultat'!$B$5:$B$18)*(INDEX('Landbrugsareal - resultat'!$C$5:$E$18,,MATCH(E288,'Landbrugsareal - resultat'!$C$4:$E$4,0)))),IF(C288=2030,SUMPRODUCT((B288='Landbrugsareal - resultat'!$B$5:$B$18)*(INDEX('Landbrugsareal - resultat'!$F$5:$H$18,,MATCH(E288,'Landbrugsareal - resultat'!$F$4:$H$4,0)))),SUMPRODUCT((B288='Landbrugsareal - resultat'!$B$5:$B$18)*(INDEX('Landbrugsareal - resultat'!$I$5:$K$18,,MATCH(E288,'Landbrugsareal - resultat'!$I$4:$K$4,0)))))),IF(C288=2019,SUMPRODUCT((B288='Landbrugsareal - resultat'!$B$5:$B$18)*(INDEX('Landbrugsareal - resultat'!$L$5:$N$18,,MATCH(E288,'Landbrugsareal - resultat'!$L$4:$N$4,0)))),IF(C288=2030,SUMPRODUCT((B288='Landbrugsareal - resultat'!$B$5:$B$18)*(INDEX('Landbrugsareal - resultat'!$O$5:$Q$18,,MATCH(E288,'Landbrugsareal - resultat'!$O$4:$Q$4,0)))),SUMPRODUCT((B288='Landbrugsareal - resultat'!$B$5:$B$18)*(INDEX('Landbrugsareal - resultat'!$R$5:$T$18,,MATCH(E288,'Landbrugsareal - resultat'!$R$4:$T$4,0))))))),IF(D288="Konventionel",IF(C288=2019,SUMPRODUCT((B288='Landbrugsareal - resultat'!$B$32:$B$45)*(INDEX('Landbrugsareal - resultat'!$C$32:$E$45,,MATCH(E288,'Landbrugsareal - resultat'!$C$4:$E$4,0)))),IF(C288=2030,SUMPRODUCT((B288='Landbrugsareal - resultat'!$B$32:$B$45)*(INDEX('Landbrugsareal - resultat'!$F$32:$H$45,,MATCH(E288,'Landbrugsareal - resultat'!$F$4:$H$4,0)))),SUMPRODUCT((B288='Landbrugsareal - resultat'!$B$32:$B$45)*(INDEX('Landbrugsareal - resultat'!$I$32:$K$45,,MATCH(E288,'Landbrugsareal - resultat'!$I$4:$K$4,0)))))),IF(C288=2019,SUMPRODUCT((B288='Landbrugsareal - resultat'!$B$32:$B$45)*(INDEX('Landbrugsareal - resultat'!$L$32:$N$45,,MATCH(E288,'Landbrugsareal - resultat'!$L$4:$N$4,0)))),IF(C288=2030,SUMPRODUCT((B288='Landbrugsareal - resultat'!$B$32:$B$45)*(INDEX('Landbrugsareal - resultat'!$O$32:$Q$45,,MATCH(E288,'Landbrugsareal - resultat'!$O$4:$Q$4,0)))),SUMPRODUCT((B288='Landbrugsareal - resultat'!$B$32:$B$45)*(INDEX('Landbrugsareal - resultat'!$R$32:$T$45,,MATCH(E288,'Landbrugsareal - resultat'!$R$4:$T$4,0))))))))</f>
        <v>23645.856423202276</v>
      </c>
      <c r="H288" s="172">
        <f>G288*VLOOKUP(B288,[1]Afgrødedata!$A$5:$F$18,2,FALSE)*IF(D288="Økologisk",VLOOKUP(B288,[1]Afgrødedata!$A$5:$F$18,4,FALSE),1)*IF(E288&lt;&gt;Jordbund1,IF(E288=Organ6,VLOOKUP(B288,[1]Afgrødedata!$A$5:$F$18,5,FALSE),VLOOKUP(B288,[1]Afgrødedata!$A$5:$F$18,6,FALSE)),1)*0.1</f>
        <v>1921314.0651927341</v>
      </c>
      <c r="I288" s="172">
        <f>G288*VLOOKUP(B288,[1]Afgrødedata!$A$5:$F$18,3,FALSE)*IF(D288="Økologisk",VLOOKUP(B288,[1]Afgrødedata!$A$5:$F$18,4,FALSE),1)*IF(E288&lt;&gt;Jordbund1,IF(E288=Organ6,VLOOKUP(B288,[1]Afgrødedata!$A$5:$F$18,5,FALSE),VLOOKUP(B288,[1]Afgrødedata!$A$5:$F$18,6,FALSE)),1)*HLOOKUP(C288,Landbrug!$C$15:$E$17,2,FALSE)*HLOOKUP(C288,Landbrug!$C$15:$E$17,3,FALSE)*0.1</f>
        <v>0</v>
      </c>
      <c r="J288" s="76">
        <f t="shared" si="55"/>
        <v>1921314.0651927341</v>
      </c>
    </row>
    <row r="289" spans="1:10" x14ac:dyDescent="0.55000000000000004">
      <c r="A289" t="s">
        <v>24</v>
      </c>
      <c r="B289" s="1" t="str">
        <f>[1]Afgrødefordeling!$C$9</f>
        <v>Majs</v>
      </c>
      <c r="C289">
        <v>2050</v>
      </c>
      <c r="D289" t="s">
        <v>7</v>
      </c>
      <c r="E289" s="172" t="str">
        <f t="shared" si="56"/>
        <v>JB1-10</v>
      </c>
      <c r="F289" t="str">
        <f t="shared" si="54"/>
        <v>Majs</v>
      </c>
      <c r="G289" s="76" cm="1">
        <f t="array" ref="G289">IF(A289="Vestdanmark",IF(D289="Konventionel",IF(C289=2019,SUMPRODUCT((B289='Landbrugsareal - resultat'!$B$5:$B$18)*(INDEX('Landbrugsareal - resultat'!$C$5:$E$18,,MATCH(E289,'Landbrugsareal - resultat'!$C$4:$E$4,0)))),IF(C289=2030,SUMPRODUCT((B289='Landbrugsareal - resultat'!$B$5:$B$18)*(INDEX('Landbrugsareal - resultat'!$F$5:$H$18,,MATCH(E289,'Landbrugsareal - resultat'!$F$4:$H$4,0)))),SUMPRODUCT((B289='Landbrugsareal - resultat'!$B$5:$B$18)*(INDEX('Landbrugsareal - resultat'!$I$5:$K$18,,MATCH(E289,'Landbrugsareal - resultat'!$I$4:$K$4,0)))))),IF(C289=2019,SUMPRODUCT((B289='Landbrugsareal - resultat'!$B$5:$B$18)*(INDEX('Landbrugsareal - resultat'!$L$5:$N$18,,MATCH(E289,'Landbrugsareal - resultat'!$L$4:$N$4,0)))),IF(C289=2030,SUMPRODUCT((B289='Landbrugsareal - resultat'!$B$5:$B$18)*(INDEX('Landbrugsareal - resultat'!$O$5:$Q$18,,MATCH(E289,'Landbrugsareal - resultat'!$O$4:$Q$4,0)))),SUMPRODUCT((B289='Landbrugsareal - resultat'!$B$5:$B$18)*(INDEX('Landbrugsareal - resultat'!$R$5:$T$18,,MATCH(E289,'Landbrugsareal - resultat'!$R$4:$T$4,0))))))),IF(D289="Konventionel",IF(C289=2019,SUMPRODUCT((B289='Landbrugsareal - resultat'!$B$32:$B$45)*(INDEX('Landbrugsareal - resultat'!$C$32:$E$45,,MATCH(E289,'Landbrugsareal - resultat'!$C$4:$E$4,0)))),IF(C289=2030,SUMPRODUCT((B289='Landbrugsareal - resultat'!$B$32:$B$45)*(INDEX('Landbrugsareal - resultat'!$F$32:$H$45,,MATCH(E289,'Landbrugsareal - resultat'!$F$4:$H$4,0)))),SUMPRODUCT((B289='Landbrugsareal - resultat'!$B$32:$B$45)*(INDEX('Landbrugsareal - resultat'!$I$32:$K$45,,MATCH(E289,'Landbrugsareal - resultat'!$I$4:$K$4,0)))))),IF(C289=2019,SUMPRODUCT((B289='Landbrugsareal - resultat'!$B$32:$B$45)*(INDEX('Landbrugsareal - resultat'!$L$32:$N$45,,MATCH(E289,'Landbrugsareal - resultat'!$L$4:$N$4,0)))),IF(C289=2030,SUMPRODUCT((B289='Landbrugsareal - resultat'!$B$32:$B$45)*(INDEX('Landbrugsareal - resultat'!$O$32:$Q$45,,MATCH(E289,'Landbrugsareal - resultat'!$O$4:$Q$4,0)))),SUMPRODUCT((B289='Landbrugsareal - resultat'!$B$32:$B$45)*(INDEX('Landbrugsareal - resultat'!$R$32:$T$45,,MATCH(E289,'Landbrugsareal - resultat'!$R$4:$T$4,0))))))))</f>
        <v>6687.9281372253527</v>
      </c>
      <c r="H289" s="172">
        <f>G289*VLOOKUP(B289,[1]Afgrødedata!$A$5:$F$18,2,FALSE)*IF(D289="Økologisk",VLOOKUP(B289,[1]Afgrødedata!$A$5:$F$18,4,FALSE),1)*IF(E289&lt;&gt;Jordbund1,IF(E289=Organ6,VLOOKUP(B289,[1]Afgrødedata!$A$5:$F$18,5,FALSE),VLOOKUP(B289,[1]Afgrødedata!$A$5:$F$18,6,FALSE)),1)*0.1</f>
        <v>297679.68138790049</v>
      </c>
      <c r="I289" s="172">
        <f>G289*VLOOKUP(B289,[1]Afgrødedata!$A$5:$F$18,3,FALSE)*IF(D289="Økologisk",VLOOKUP(B289,[1]Afgrødedata!$A$5:$F$18,4,FALSE),1)*IF(E289&lt;&gt;Jordbund1,IF(E289=Organ6,VLOOKUP(B289,[1]Afgrødedata!$A$5:$F$18,5,FALSE),VLOOKUP(B289,[1]Afgrødedata!$A$5:$F$18,6,FALSE)),1)*HLOOKUP(C289,Landbrug!$C$15:$E$17,2,FALSE)*HLOOKUP(C289,Landbrug!$C$15:$E$17,3,FALSE)*0.1</f>
        <v>0</v>
      </c>
      <c r="J289" s="76">
        <f t="shared" si="55"/>
        <v>297679.68138790049</v>
      </c>
    </row>
    <row r="290" spans="1:10" x14ac:dyDescent="0.55000000000000004">
      <c r="A290" t="s">
        <v>24</v>
      </c>
      <c r="B290" s="1" t="str">
        <f>[1]Afgrødefordeling!$C$10</f>
        <v>Frugt</v>
      </c>
      <c r="C290">
        <v>2050</v>
      </c>
      <c r="D290" t="s">
        <v>7</v>
      </c>
      <c r="E290" s="172" t="str">
        <f t="shared" si="56"/>
        <v>JB1-10</v>
      </c>
      <c r="F290" t="str">
        <f t="shared" si="54"/>
        <v>Frugt</v>
      </c>
      <c r="G290" s="76" cm="1">
        <f t="array" ref="G290">IF(A290="Vestdanmark",IF(D290="Konventionel",IF(C290=2019,SUMPRODUCT((B290='Landbrugsareal - resultat'!$B$5:$B$18)*(INDEX('Landbrugsareal - resultat'!$C$5:$E$18,,MATCH(E290,'Landbrugsareal - resultat'!$C$4:$E$4,0)))),IF(C290=2030,SUMPRODUCT((B290='Landbrugsareal - resultat'!$B$5:$B$18)*(INDEX('Landbrugsareal - resultat'!$F$5:$H$18,,MATCH(E290,'Landbrugsareal - resultat'!$F$4:$H$4,0)))),SUMPRODUCT((B290='Landbrugsareal - resultat'!$B$5:$B$18)*(INDEX('Landbrugsareal - resultat'!$I$5:$K$18,,MATCH(E290,'Landbrugsareal - resultat'!$I$4:$K$4,0)))))),IF(C290=2019,SUMPRODUCT((B290='Landbrugsareal - resultat'!$B$5:$B$18)*(INDEX('Landbrugsareal - resultat'!$L$5:$N$18,,MATCH(E290,'Landbrugsareal - resultat'!$L$4:$N$4,0)))),IF(C290=2030,SUMPRODUCT((B290='Landbrugsareal - resultat'!$B$5:$B$18)*(INDEX('Landbrugsareal - resultat'!$O$5:$Q$18,,MATCH(E290,'Landbrugsareal - resultat'!$O$4:$Q$4,0)))),SUMPRODUCT((B290='Landbrugsareal - resultat'!$B$5:$B$18)*(INDEX('Landbrugsareal - resultat'!$R$5:$T$18,,MATCH(E290,'Landbrugsareal - resultat'!$R$4:$T$4,0))))))),IF(D290="Konventionel",IF(C290=2019,SUMPRODUCT((B290='Landbrugsareal - resultat'!$B$32:$B$45)*(INDEX('Landbrugsareal - resultat'!$C$32:$E$45,,MATCH(E290,'Landbrugsareal - resultat'!$C$4:$E$4,0)))),IF(C290=2030,SUMPRODUCT((B290='Landbrugsareal - resultat'!$B$32:$B$45)*(INDEX('Landbrugsareal - resultat'!$F$32:$H$45,,MATCH(E290,'Landbrugsareal - resultat'!$F$4:$H$4,0)))),SUMPRODUCT((B290='Landbrugsareal - resultat'!$B$32:$B$45)*(INDEX('Landbrugsareal - resultat'!$I$32:$K$45,,MATCH(E290,'Landbrugsareal - resultat'!$I$4:$K$4,0)))))),IF(C290=2019,SUMPRODUCT((B290='Landbrugsareal - resultat'!$B$32:$B$45)*(INDEX('Landbrugsareal - resultat'!$L$32:$N$45,,MATCH(E290,'Landbrugsareal - resultat'!$L$4:$N$4,0)))),IF(C290=2030,SUMPRODUCT((B290='Landbrugsareal - resultat'!$B$32:$B$45)*(INDEX('Landbrugsareal - resultat'!$O$32:$Q$45,,MATCH(E290,'Landbrugsareal - resultat'!$O$4:$Q$4,0)))),SUMPRODUCT((B290='Landbrugsareal - resultat'!$B$32:$B$45)*(INDEX('Landbrugsareal - resultat'!$R$32:$T$45,,MATCH(E290,'Landbrugsareal - resultat'!$R$4:$T$4,0))))))))</f>
        <v>1556.1553586052762</v>
      </c>
      <c r="H290" s="172">
        <f>G290*VLOOKUP(B290,[1]Afgrødedata!$A$5:$F$18,2,FALSE)*IF(D290="Økologisk",VLOOKUP(B290,[1]Afgrødedata!$A$5:$F$18,4,FALSE),1)*IF(E290&lt;&gt;Jordbund1,IF(E290=Organ6,VLOOKUP(B290,[1]Afgrødedata!$A$5:$F$18,5,FALSE),VLOOKUP(B290,[1]Afgrødedata!$A$5:$F$18,6,FALSE)),1)*0.1</f>
        <v>13211.758994558797</v>
      </c>
      <c r="I290" s="172">
        <f>G290*VLOOKUP(B290,[1]Afgrødedata!$A$5:$F$18,3,FALSE)*IF(D290="Økologisk",VLOOKUP(B290,[1]Afgrødedata!$A$5:$F$18,4,FALSE),1)*IF(E290&lt;&gt;Jordbund1,IF(E290=Organ6,VLOOKUP(B290,[1]Afgrødedata!$A$5:$F$18,5,FALSE),VLOOKUP(B290,[1]Afgrødedata!$A$5:$F$18,6,FALSE)),1)*HLOOKUP(C290,Landbrug!$C$15:$E$17,2,FALSE)*HLOOKUP(C290,Landbrug!$C$15:$E$17,3,FALSE)*0.1</f>
        <v>0</v>
      </c>
      <c r="J290" s="76">
        <f t="shared" si="55"/>
        <v>13211.758994558797</v>
      </c>
    </row>
    <row r="291" spans="1:10" x14ac:dyDescent="0.55000000000000004">
      <c r="A291" t="s">
        <v>24</v>
      </c>
      <c r="B291" s="1" t="str">
        <f>[1]Afgrødefordeling!$C$11</f>
        <v>Øvrige</v>
      </c>
      <c r="C291">
        <v>2050</v>
      </c>
      <c r="D291" t="s">
        <v>7</v>
      </c>
      <c r="E291" s="172" t="str">
        <f t="shared" si="56"/>
        <v>JB1-10</v>
      </c>
      <c r="F291" t="str">
        <f t="shared" si="54"/>
        <v>Øvrige</v>
      </c>
      <c r="G291" s="76" cm="1">
        <f t="array" ref="G291">IF(A291="Vestdanmark",IF(D291="Konventionel",IF(C291=2019,SUMPRODUCT((B291='Landbrugsareal - resultat'!$B$5:$B$18)*(INDEX('Landbrugsareal - resultat'!$C$5:$E$18,,MATCH(E291,'Landbrugsareal - resultat'!$C$4:$E$4,0)))),IF(C291=2030,SUMPRODUCT((B291='Landbrugsareal - resultat'!$B$5:$B$18)*(INDEX('Landbrugsareal - resultat'!$F$5:$H$18,,MATCH(E291,'Landbrugsareal - resultat'!$F$4:$H$4,0)))),SUMPRODUCT((B291='Landbrugsareal - resultat'!$B$5:$B$18)*(INDEX('Landbrugsareal - resultat'!$I$5:$K$18,,MATCH(E291,'Landbrugsareal - resultat'!$I$4:$K$4,0)))))),IF(C291=2019,SUMPRODUCT((B291='Landbrugsareal - resultat'!$B$5:$B$18)*(INDEX('Landbrugsareal - resultat'!$L$5:$N$18,,MATCH(E291,'Landbrugsareal - resultat'!$L$4:$N$4,0)))),IF(C291=2030,SUMPRODUCT((B291='Landbrugsareal - resultat'!$B$5:$B$18)*(INDEX('Landbrugsareal - resultat'!$O$5:$Q$18,,MATCH(E291,'Landbrugsareal - resultat'!$O$4:$Q$4,0)))),SUMPRODUCT((B291='Landbrugsareal - resultat'!$B$5:$B$18)*(INDEX('Landbrugsareal - resultat'!$R$5:$T$18,,MATCH(E291,'Landbrugsareal - resultat'!$R$4:$T$4,0))))))),IF(D291="Konventionel",IF(C291=2019,SUMPRODUCT((B291='Landbrugsareal - resultat'!$B$32:$B$45)*(INDEX('Landbrugsareal - resultat'!$C$32:$E$45,,MATCH(E291,'Landbrugsareal - resultat'!$C$4:$E$4,0)))),IF(C291=2030,SUMPRODUCT((B291='Landbrugsareal - resultat'!$B$32:$B$45)*(INDEX('Landbrugsareal - resultat'!$F$32:$H$45,,MATCH(E291,'Landbrugsareal - resultat'!$F$4:$H$4,0)))),SUMPRODUCT((B291='Landbrugsareal - resultat'!$B$32:$B$45)*(INDEX('Landbrugsareal - resultat'!$I$32:$K$45,,MATCH(E291,'Landbrugsareal - resultat'!$I$4:$K$4,0)))))),IF(C291=2019,SUMPRODUCT((B291='Landbrugsareal - resultat'!$B$32:$B$45)*(INDEX('Landbrugsareal - resultat'!$L$32:$N$45,,MATCH(E291,'Landbrugsareal - resultat'!$L$4:$N$4,0)))),IF(C291=2030,SUMPRODUCT((B291='Landbrugsareal - resultat'!$B$32:$B$45)*(INDEX('Landbrugsareal - resultat'!$O$32:$Q$45,,MATCH(E291,'Landbrugsareal - resultat'!$O$4:$Q$4,0)))),SUMPRODUCT((B291='Landbrugsareal - resultat'!$B$32:$B$45)*(INDEX('Landbrugsareal - resultat'!$R$32:$T$45,,MATCH(E291,'Landbrugsareal - resultat'!$R$4:$T$4,0))))))))</f>
        <v>11111.704013997321</v>
      </c>
      <c r="H291" s="172">
        <f>G291*VLOOKUP(B291,[1]Afgrødedata!$A$5:$F$18,2,FALSE)*IF(D291="Økologisk",VLOOKUP(B291,[1]Afgrødedata!$A$5:$F$18,4,FALSE),1)*IF(E291&lt;&gt;Jordbund1,IF(E291=Organ6,VLOOKUP(B291,[1]Afgrødedata!$A$5:$F$18,5,FALSE),VLOOKUP(B291,[1]Afgrødedata!$A$5:$F$18,6,FALSE)),1)*0.1</f>
        <v>331083.70508075121</v>
      </c>
      <c r="I291" s="172">
        <f>G291*VLOOKUP(B291,[1]Afgrødedata!$A$5:$F$18,3,FALSE)*IF(D291="Økologisk",VLOOKUP(B291,[1]Afgrødedata!$A$5:$F$18,4,FALSE),1)*IF(E291&lt;&gt;Jordbund1,IF(E291=Organ6,VLOOKUP(B291,[1]Afgrødedata!$A$5:$F$18,5,FALSE),VLOOKUP(B291,[1]Afgrødedata!$A$5:$F$18,6,FALSE)),1)*HLOOKUP(C291,Landbrug!$C$15:$E$17,2,FALSE)*HLOOKUP(C291,Landbrug!$C$15:$E$17,3,FALSE)*0.1</f>
        <v>0</v>
      </c>
      <c r="J291" s="76">
        <f t="shared" si="55"/>
        <v>331083.70508075121</v>
      </c>
    </row>
    <row r="292" spans="1:10" x14ac:dyDescent="0.55000000000000004">
      <c r="A292" t="s">
        <v>24</v>
      </c>
      <c r="B292" s="1" t="str">
        <f>[1]Afgrødefordeling!$C$12</f>
        <v>Frø</v>
      </c>
      <c r="C292">
        <v>2050</v>
      </c>
      <c r="D292" t="s">
        <v>7</v>
      </c>
      <c r="E292" s="172" t="str">
        <f t="shared" si="56"/>
        <v>JB1-10</v>
      </c>
      <c r="F292" t="str">
        <f t="shared" si="54"/>
        <v>Halm</v>
      </c>
      <c r="G292" s="76" cm="1">
        <f t="array" ref="G292">IF(A292="Vestdanmark",IF(D292="Konventionel",IF(C292=2019,SUMPRODUCT((B292='Landbrugsareal - resultat'!$B$5:$B$18)*(INDEX('Landbrugsareal - resultat'!$C$5:$E$18,,MATCH(E292,'Landbrugsareal - resultat'!$C$4:$E$4,0)))),IF(C292=2030,SUMPRODUCT((B292='Landbrugsareal - resultat'!$B$5:$B$18)*(INDEX('Landbrugsareal - resultat'!$F$5:$H$18,,MATCH(E292,'Landbrugsareal - resultat'!$F$4:$H$4,0)))),SUMPRODUCT((B292='Landbrugsareal - resultat'!$B$5:$B$18)*(INDEX('Landbrugsareal - resultat'!$I$5:$K$18,,MATCH(E292,'Landbrugsareal - resultat'!$I$4:$K$4,0)))))),IF(C292=2019,SUMPRODUCT((B292='Landbrugsareal - resultat'!$B$5:$B$18)*(INDEX('Landbrugsareal - resultat'!$L$5:$N$18,,MATCH(E292,'Landbrugsareal - resultat'!$L$4:$N$4,0)))),IF(C292=2030,SUMPRODUCT((B292='Landbrugsareal - resultat'!$B$5:$B$18)*(INDEX('Landbrugsareal - resultat'!$O$5:$Q$18,,MATCH(E292,'Landbrugsareal - resultat'!$O$4:$Q$4,0)))),SUMPRODUCT((B292='Landbrugsareal - resultat'!$B$5:$B$18)*(INDEX('Landbrugsareal - resultat'!$R$5:$T$18,,MATCH(E292,'Landbrugsareal - resultat'!$R$4:$T$4,0))))))),IF(D292="Konventionel",IF(C292=2019,SUMPRODUCT((B292='Landbrugsareal - resultat'!$B$32:$B$45)*(INDEX('Landbrugsareal - resultat'!$C$32:$E$45,,MATCH(E292,'Landbrugsareal - resultat'!$C$4:$E$4,0)))),IF(C292=2030,SUMPRODUCT((B292='Landbrugsareal - resultat'!$B$32:$B$45)*(INDEX('Landbrugsareal - resultat'!$F$32:$H$45,,MATCH(E292,'Landbrugsareal - resultat'!$F$4:$H$4,0)))),SUMPRODUCT((B292='Landbrugsareal - resultat'!$B$32:$B$45)*(INDEX('Landbrugsareal - resultat'!$I$32:$K$45,,MATCH(E292,'Landbrugsareal - resultat'!$I$4:$K$4,0)))))),IF(C292=2019,SUMPRODUCT((B292='Landbrugsareal - resultat'!$B$32:$B$45)*(INDEX('Landbrugsareal - resultat'!$L$32:$N$45,,MATCH(E292,'Landbrugsareal - resultat'!$L$4:$N$4,0)))),IF(C292=2030,SUMPRODUCT((B292='Landbrugsareal - resultat'!$B$32:$B$45)*(INDEX('Landbrugsareal - resultat'!$O$32:$Q$45,,MATCH(E292,'Landbrugsareal - resultat'!$O$4:$Q$4,0)))),SUMPRODUCT((B292='Landbrugsareal - resultat'!$B$32:$B$45)*(INDEX('Landbrugsareal - resultat'!$R$32:$T$45,,MATCH(E292,'Landbrugsareal - resultat'!$R$4:$T$4,0))))))))</f>
        <v>34379.284483401752</v>
      </c>
      <c r="H292" s="172">
        <f>G292*VLOOKUP(B292,[1]Afgrødedata!$A$5:$F$18,2,FALSE)*IF(D292="Økologisk",VLOOKUP(B292,[1]Afgrødedata!$A$5:$F$18,4,FALSE),1)*IF(E292&lt;&gt;Jordbund1,IF(E292=Organ6,VLOOKUP(B292,[1]Afgrødedata!$A$5:$F$18,5,FALSE),VLOOKUP(B292,[1]Afgrødedata!$A$5:$F$18,6,FALSE)),1)*0.1</f>
        <v>491240.80899434892</v>
      </c>
      <c r="I292" s="172">
        <f>G292*VLOOKUP(B292,[1]Afgrødedata!$A$5:$F$18,3,FALSE)*IF(D292="Økologisk",VLOOKUP(B292,[1]Afgrødedata!$A$5:$F$18,4,FALSE),1)*IF(E292&lt;&gt;Jordbund1,IF(E292=Organ6,VLOOKUP(B292,[1]Afgrødedata!$A$5:$F$18,5,FALSE),VLOOKUP(B292,[1]Afgrødedata!$A$5:$F$18,6,FALSE)),1)*HLOOKUP(C292,Landbrug!$C$15:$E$17,2,FALSE)*HLOOKUP(C292,Landbrug!$C$15:$E$17,3,FALSE)*0.1</f>
        <v>81135.111380828137</v>
      </c>
      <c r="J292" s="76">
        <f t="shared" si="55"/>
        <v>81135.111380828137</v>
      </c>
    </row>
    <row r="293" spans="1:10" x14ac:dyDescent="0.55000000000000004">
      <c r="A293" t="s">
        <v>24</v>
      </c>
      <c r="B293" s="1" t="str">
        <f>[1]Afgrødefordeling!$C$13</f>
        <v>Juletræer</v>
      </c>
      <c r="C293">
        <v>2050</v>
      </c>
      <c r="D293" t="s">
        <v>7</v>
      </c>
      <c r="E293" s="172" t="str">
        <f t="shared" si="56"/>
        <v>JB1-10</v>
      </c>
      <c r="F293" t="str">
        <f t="shared" si="54"/>
        <v>Juletræer</v>
      </c>
      <c r="G293" s="76" cm="1">
        <f t="array" ref="G293">IF(A293="Vestdanmark",IF(D293="Konventionel",IF(C293=2019,SUMPRODUCT((B293='Landbrugsareal - resultat'!$B$5:$B$18)*(INDEX('Landbrugsareal - resultat'!$C$5:$E$18,,MATCH(E293,'Landbrugsareal - resultat'!$C$4:$E$4,0)))),IF(C293=2030,SUMPRODUCT((B293='Landbrugsareal - resultat'!$B$5:$B$18)*(INDEX('Landbrugsareal - resultat'!$F$5:$H$18,,MATCH(E293,'Landbrugsareal - resultat'!$F$4:$H$4,0)))),SUMPRODUCT((B293='Landbrugsareal - resultat'!$B$5:$B$18)*(INDEX('Landbrugsareal - resultat'!$I$5:$K$18,,MATCH(E293,'Landbrugsareal - resultat'!$I$4:$K$4,0)))))),IF(C293=2019,SUMPRODUCT((B293='Landbrugsareal - resultat'!$B$5:$B$18)*(INDEX('Landbrugsareal - resultat'!$L$5:$N$18,,MATCH(E293,'Landbrugsareal - resultat'!$L$4:$N$4,0)))),IF(C293=2030,SUMPRODUCT((B293='Landbrugsareal - resultat'!$B$5:$B$18)*(INDEX('Landbrugsareal - resultat'!$O$5:$Q$18,,MATCH(E293,'Landbrugsareal - resultat'!$O$4:$Q$4,0)))),SUMPRODUCT((B293='Landbrugsareal - resultat'!$B$5:$B$18)*(INDEX('Landbrugsareal - resultat'!$R$5:$T$18,,MATCH(E293,'Landbrugsareal - resultat'!$R$4:$T$4,0))))))),IF(D293="Konventionel",IF(C293=2019,SUMPRODUCT((B293='Landbrugsareal - resultat'!$B$32:$B$45)*(INDEX('Landbrugsareal - resultat'!$C$32:$E$45,,MATCH(E293,'Landbrugsareal - resultat'!$C$4:$E$4,0)))),IF(C293=2030,SUMPRODUCT((B293='Landbrugsareal - resultat'!$B$32:$B$45)*(INDEX('Landbrugsareal - resultat'!$F$32:$H$45,,MATCH(E293,'Landbrugsareal - resultat'!$F$4:$H$4,0)))),SUMPRODUCT((B293='Landbrugsareal - resultat'!$B$32:$B$45)*(INDEX('Landbrugsareal - resultat'!$I$32:$K$45,,MATCH(E293,'Landbrugsareal - resultat'!$I$4:$K$4,0)))))),IF(C293=2019,SUMPRODUCT((B293='Landbrugsareal - resultat'!$B$32:$B$45)*(INDEX('Landbrugsareal - resultat'!$L$32:$N$45,,MATCH(E293,'Landbrugsareal - resultat'!$L$4:$N$4,0)))),IF(C293=2030,SUMPRODUCT((B293='Landbrugsareal - resultat'!$B$32:$B$45)*(INDEX('Landbrugsareal - resultat'!$O$32:$Q$45,,MATCH(E293,'Landbrugsareal - resultat'!$O$4:$Q$4,0)))),SUMPRODUCT((B293='Landbrugsareal - resultat'!$B$32:$B$45)*(INDEX('Landbrugsareal - resultat'!$R$32:$T$45,,MATCH(E293,'Landbrugsareal - resultat'!$R$4:$T$4,0))))))))</f>
        <v>2438.4865914202696</v>
      </c>
      <c r="H293" s="172">
        <f>G293*VLOOKUP(B293,[1]Afgrødedata!$A$5:$F$18,2,FALSE)*IF(D293="Økologisk",VLOOKUP(B293,[1]Afgrødedata!$A$5:$F$18,4,FALSE),1)*IF(E293&lt;&gt;Jordbund1,IF(E293=Organ6,VLOOKUP(B293,[1]Afgrødedata!$A$5:$F$18,5,FALSE),VLOOKUP(B293,[1]Afgrødedata!$A$5:$F$18,6,FALSE)),1)*0.1</f>
        <v>121924.32957101348</v>
      </c>
      <c r="I293" s="172">
        <f>G293*VLOOKUP(B293,[1]Afgrødedata!$A$5:$F$18,3,FALSE)*IF(D293="Økologisk",VLOOKUP(B293,[1]Afgrødedata!$A$5:$F$18,4,FALSE),1)*IF(E293&lt;&gt;Jordbund1,IF(E293=Organ6,VLOOKUP(B293,[1]Afgrødedata!$A$5:$F$18,5,FALSE),VLOOKUP(B293,[1]Afgrødedata!$A$5:$F$18,6,FALSE)),1)*HLOOKUP(C293,Landbrug!$C$15:$E$17,2,FALSE)*HLOOKUP(C293,Landbrug!$C$15:$E$17,3,FALSE)*0.1</f>
        <v>0</v>
      </c>
      <c r="J293" s="76">
        <f t="shared" si="55"/>
        <v>121924.32957101348</v>
      </c>
    </row>
    <row r="294" spans="1:10" x14ac:dyDescent="0.55000000000000004">
      <c r="A294" t="s">
        <v>24</v>
      </c>
      <c r="B294" s="1" t="str">
        <f>[1]Afgrødefordeling!$C$14</f>
        <v>Pil &amp; poppel</v>
      </c>
      <c r="C294">
        <v>2050</v>
      </c>
      <c r="D294" t="s">
        <v>7</v>
      </c>
      <c r="E294" s="172" t="str">
        <f t="shared" si="56"/>
        <v>JB1-10</v>
      </c>
      <c r="F294" t="str">
        <f t="shared" si="54"/>
        <v>Pil &amp; poppel</v>
      </c>
      <c r="G294" s="76" cm="1">
        <f t="array" ref="G294">IF(A294="Vestdanmark",IF(D294="Konventionel",IF(C294=2019,SUMPRODUCT((B294='Landbrugsareal - resultat'!$B$5:$B$18)*(INDEX('Landbrugsareal - resultat'!$C$5:$E$18,,MATCH(E294,'Landbrugsareal - resultat'!$C$4:$E$4,0)))),IF(C294=2030,SUMPRODUCT((B294='Landbrugsareal - resultat'!$B$5:$B$18)*(INDEX('Landbrugsareal - resultat'!$F$5:$H$18,,MATCH(E294,'Landbrugsareal - resultat'!$F$4:$H$4,0)))),SUMPRODUCT((B294='Landbrugsareal - resultat'!$B$5:$B$18)*(INDEX('Landbrugsareal - resultat'!$I$5:$K$18,,MATCH(E294,'Landbrugsareal - resultat'!$I$4:$K$4,0)))))),IF(C294=2019,SUMPRODUCT((B294='Landbrugsareal - resultat'!$B$5:$B$18)*(INDEX('Landbrugsareal - resultat'!$L$5:$N$18,,MATCH(E294,'Landbrugsareal - resultat'!$L$4:$N$4,0)))),IF(C294=2030,SUMPRODUCT((B294='Landbrugsareal - resultat'!$B$5:$B$18)*(INDEX('Landbrugsareal - resultat'!$O$5:$Q$18,,MATCH(E294,'Landbrugsareal - resultat'!$O$4:$Q$4,0)))),SUMPRODUCT((B294='Landbrugsareal - resultat'!$B$5:$B$18)*(INDEX('Landbrugsareal - resultat'!$R$5:$T$18,,MATCH(E294,'Landbrugsareal - resultat'!$R$4:$T$4,0))))))),IF(D294="Konventionel",IF(C294=2019,SUMPRODUCT((B294='Landbrugsareal - resultat'!$B$32:$B$45)*(INDEX('Landbrugsareal - resultat'!$C$32:$E$45,,MATCH(E294,'Landbrugsareal - resultat'!$C$4:$E$4,0)))),IF(C294=2030,SUMPRODUCT((B294='Landbrugsareal - resultat'!$B$32:$B$45)*(INDEX('Landbrugsareal - resultat'!$F$32:$H$45,,MATCH(E294,'Landbrugsareal - resultat'!$F$4:$H$4,0)))),SUMPRODUCT((B294='Landbrugsareal - resultat'!$B$32:$B$45)*(INDEX('Landbrugsareal - resultat'!$I$32:$K$45,,MATCH(E294,'Landbrugsareal - resultat'!$I$4:$K$4,0)))))),IF(C294=2019,SUMPRODUCT((B294='Landbrugsareal - resultat'!$B$32:$B$45)*(INDEX('Landbrugsareal - resultat'!$L$32:$N$45,,MATCH(E294,'Landbrugsareal - resultat'!$L$4:$N$4,0)))),IF(C294=2030,SUMPRODUCT((B294='Landbrugsareal - resultat'!$B$32:$B$45)*(INDEX('Landbrugsareal - resultat'!$O$32:$Q$45,,MATCH(E294,'Landbrugsareal - resultat'!$O$4:$Q$4,0)))),SUMPRODUCT((B294='Landbrugsareal - resultat'!$B$32:$B$45)*(INDEX('Landbrugsareal - resultat'!$R$32:$T$45,,MATCH(E294,'Landbrugsareal - resultat'!$R$4:$T$4,0))))))))</f>
        <v>1159.1005774063997</v>
      </c>
      <c r="H294" s="172">
        <f>G294*VLOOKUP(B294,[1]Afgrødedata!$A$5:$F$18,2,FALSE)*IF(D294="Økologisk",VLOOKUP(B294,[1]Afgrødedata!$A$5:$F$18,4,FALSE),1)*IF(E294&lt;&gt;Jordbund1,IF(E294=Organ6,VLOOKUP(B294,[1]Afgrødedata!$A$5:$F$18,5,FALSE),VLOOKUP(B294,[1]Afgrødedata!$A$5:$F$18,6,FALSE)),1)*0.1</f>
        <v>28270.745790399997</v>
      </c>
      <c r="I294" s="172">
        <f>G294*VLOOKUP(B294,[1]Afgrødedata!$A$5:$F$18,3,FALSE)*IF(D294="Økologisk",VLOOKUP(B294,[1]Afgrødedata!$A$5:$F$18,4,FALSE),1)*IF(E294&lt;&gt;Jordbund1,IF(E294=Organ6,VLOOKUP(B294,[1]Afgrødedata!$A$5:$F$18,5,FALSE),VLOOKUP(B294,[1]Afgrødedata!$A$5:$F$18,6,FALSE)),1)*HLOOKUP(C294,Landbrug!$C$15:$E$17,2,FALSE)*HLOOKUP(C294,Landbrug!$C$15:$E$17,3,FALSE)*0.1</f>
        <v>0</v>
      </c>
      <c r="J294" s="76">
        <f t="shared" si="55"/>
        <v>28270.745790399997</v>
      </c>
    </row>
    <row r="295" spans="1:10" x14ac:dyDescent="0.55000000000000004">
      <c r="A295" t="s">
        <v>24</v>
      </c>
      <c r="B295" s="1" t="str">
        <f>[1]Afgrødefordeling!$C$15</f>
        <v>Permanent græs</v>
      </c>
      <c r="C295">
        <v>2050</v>
      </c>
      <c r="D295" t="s">
        <v>7</v>
      </c>
      <c r="E295" s="172" t="str">
        <f t="shared" si="56"/>
        <v>JB1-10</v>
      </c>
      <c r="F295" t="str">
        <f t="shared" si="54"/>
        <v>Græs</v>
      </c>
      <c r="G295" s="76" cm="1">
        <f t="array" ref="G295">IF(A295="Vestdanmark",IF(D295="Konventionel",IF(C295=2019,SUMPRODUCT((B295='Landbrugsareal - resultat'!$B$5:$B$18)*(INDEX('Landbrugsareal - resultat'!$C$5:$E$18,,MATCH(E295,'Landbrugsareal - resultat'!$C$4:$E$4,0)))),IF(C295=2030,SUMPRODUCT((B295='Landbrugsareal - resultat'!$B$5:$B$18)*(INDEX('Landbrugsareal - resultat'!$F$5:$H$18,,MATCH(E295,'Landbrugsareal - resultat'!$F$4:$H$4,0)))),SUMPRODUCT((B295='Landbrugsareal - resultat'!$B$5:$B$18)*(INDEX('Landbrugsareal - resultat'!$I$5:$K$18,,MATCH(E295,'Landbrugsareal - resultat'!$I$4:$K$4,0)))))),IF(C295=2019,SUMPRODUCT((B295='Landbrugsareal - resultat'!$B$5:$B$18)*(INDEX('Landbrugsareal - resultat'!$L$5:$N$18,,MATCH(E295,'Landbrugsareal - resultat'!$L$4:$N$4,0)))),IF(C295=2030,SUMPRODUCT((B295='Landbrugsareal - resultat'!$B$5:$B$18)*(INDEX('Landbrugsareal - resultat'!$O$5:$Q$18,,MATCH(E295,'Landbrugsareal - resultat'!$O$4:$Q$4,0)))),SUMPRODUCT((B295='Landbrugsareal - resultat'!$B$5:$B$18)*(INDEX('Landbrugsareal - resultat'!$R$5:$T$18,,MATCH(E295,'Landbrugsareal - resultat'!$R$4:$T$4,0))))))),IF(D295="Konventionel",IF(C295=2019,SUMPRODUCT((B295='Landbrugsareal - resultat'!$B$32:$B$45)*(INDEX('Landbrugsareal - resultat'!$C$32:$E$45,,MATCH(E295,'Landbrugsareal - resultat'!$C$4:$E$4,0)))),IF(C295=2030,SUMPRODUCT((B295='Landbrugsareal - resultat'!$B$32:$B$45)*(INDEX('Landbrugsareal - resultat'!$F$32:$H$45,,MATCH(E295,'Landbrugsareal - resultat'!$F$4:$H$4,0)))),SUMPRODUCT((B295='Landbrugsareal - resultat'!$B$32:$B$45)*(INDEX('Landbrugsareal - resultat'!$I$32:$K$45,,MATCH(E295,'Landbrugsareal - resultat'!$I$4:$K$4,0)))))),IF(C295=2019,SUMPRODUCT((B295='Landbrugsareal - resultat'!$B$32:$B$45)*(INDEX('Landbrugsareal - resultat'!$L$32:$N$45,,MATCH(E295,'Landbrugsareal - resultat'!$L$4:$N$4,0)))),IF(C295=2030,SUMPRODUCT((B295='Landbrugsareal - resultat'!$B$32:$B$45)*(INDEX('Landbrugsareal - resultat'!$O$32:$Q$45,,MATCH(E295,'Landbrugsareal - resultat'!$O$4:$Q$4,0)))),SUMPRODUCT((B295='Landbrugsareal - resultat'!$B$32:$B$45)*(INDEX('Landbrugsareal - resultat'!$R$32:$T$45,,MATCH(E295,'Landbrugsareal - resultat'!$R$4:$T$4,0))))))))</f>
        <v>28869.959513543392</v>
      </c>
      <c r="H295" s="172">
        <f>G295*VLOOKUP(B295,[1]Afgrødedata!$A$5:$F$18,2,FALSE)*IF(D295="Økologisk",VLOOKUP(B295,[1]Afgrødedata!$A$5:$F$18,4,FALSE),1)*IF(E295&lt;&gt;Jordbund1,IF(E295=Organ6,VLOOKUP(B295,[1]Afgrødedata!$A$5:$F$18,5,FALSE),VLOOKUP(B295,[1]Afgrødedata!$A$5:$F$18,6,FALSE)),1)*0.1</f>
        <v>398116.7416917634</v>
      </c>
      <c r="I295" s="172">
        <f>G295*VLOOKUP(B295,[1]Afgrødedata!$A$5:$F$18,3,FALSE)*IF(D295="Økologisk",VLOOKUP(B295,[1]Afgrødedata!$A$5:$F$18,4,FALSE),1)*IF(E295&lt;&gt;Jordbund1,IF(E295=Organ6,VLOOKUP(B295,[1]Afgrødedata!$A$5:$F$18,5,FALSE),VLOOKUP(B295,[1]Afgrødedata!$A$5:$F$18,6,FALSE)),1)*HLOOKUP(C295,Landbrug!$C$15:$E$17,2,FALSE)*HLOOKUP(C295,Landbrug!$C$15:$E$17,3,FALSE)*0.1</f>
        <v>0</v>
      </c>
      <c r="J295" s="76">
        <f t="shared" si="55"/>
        <v>398116.7416917634</v>
      </c>
    </row>
    <row r="296" spans="1:10" x14ac:dyDescent="0.55000000000000004">
      <c r="A296" t="s">
        <v>24</v>
      </c>
      <c r="B296" s="1" t="str">
        <f>[1]Afgrødefordeling!$C$2</f>
        <v>Korn</v>
      </c>
      <c r="C296">
        <v>2019</v>
      </c>
      <c r="D296" t="s">
        <v>8</v>
      </c>
      <c r="E296" s="172" t="str">
        <f t="shared" si="56"/>
        <v>JB1-10</v>
      </c>
      <c r="F296" t="str">
        <f t="shared" si="54"/>
        <v>Halm</v>
      </c>
      <c r="G296" s="76" cm="1">
        <f t="array" ref="G296">IF(A296="Vestdanmark",IF(D296="Konventionel",IF(C296=2019,SUMPRODUCT((B296='Landbrugsareal - resultat'!$B$5:$B$18)*(INDEX('Landbrugsareal - resultat'!$C$5:$E$18,,MATCH(E296,'Landbrugsareal - resultat'!$C$4:$E$4,0)))),IF(C296=2030,SUMPRODUCT((B296='Landbrugsareal - resultat'!$B$5:$B$18)*(INDEX('Landbrugsareal - resultat'!$F$5:$H$18,,MATCH(E296,'Landbrugsareal - resultat'!$F$4:$H$4,0)))),SUMPRODUCT((B296='Landbrugsareal - resultat'!$B$5:$B$18)*(INDEX('Landbrugsareal - resultat'!$I$5:$K$18,,MATCH(E296,'Landbrugsareal - resultat'!$I$4:$K$4,0)))))),IF(C296=2019,SUMPRODUCT((B296='Landbrugsareal - resultat'!$B$5:$B$18)*(INDEX('Landbrugsareal - resultat'!$L$5:$N$18,,MATCH(E296,'Landbrugsareal - resultat'!$L$4:$N$4,0)))),IF(C296=2030,SUMPRODUCT((B296='Landbrugsareal - resultat'!$B$5:$B$18)*(INDEX('Landbrugsareal - resultat'!$O$5:$Q$18,,MATCH(E296,'Landbrugsareal - resultat'!$O$4:$Q$4,0)))),SUMPRODUCT((B296='Landbrugsareal - resultat'!$B$5:$B$18)*(INDEX('Landbrugsareal - resultat'!$R$5:$T$18,,MATCH(E296,'Landbrugsareal - resultat'!$R$4:$T$4,0))))))),IF(D296="Konventionel",IF(C296=2019,SUMPRODUCT((B296='Landbrugsareal - resultat'!$B$32:$B$45)*(INDEX('Landbrugsareal - resultat'!$C$32:$E$45,,MATCH(E296,'Landbrugsareal - resultat'!$C$4:$E$4,0)))),IF(C296=2030,SUMPRODUCT((B296='Landbrugsareal - resultat'!$B$32:$B$45)*(INDEX('Landbrugsareal - resultat'!$F$32:$H$45,,MATCH(E296,'Landbrugsareal - resultat'!$F$4:$H$4,0)))),SUMPRODUCT((B296='Landbrugsareal - resultat'!$B$32:$B$45)*(INDEX('Landbrugsareal - resultat'!$I$32:$K$45,,MATCH(E296,'Landbrugsareal - resultat'!$I$4:$K$4,0)))))),IF(C296=2019,SUMPRODUCT((B296='Landbrugsareal - resultat'!$B$32:$B$45)*(INDEX('Landbrugsareal - resultat'!$L$32:$N$45,,MATCH(E296,'Landbrugsareal - resultat'!$L$4:$N$4,0)))),IF(C296=2030,SUMPRODUCT((B296='Landbrugsareal - resultat'!$B$32:$B$45)*(INDEX('Landbrugsareal - resultat'!$O$32:$Q$45,,MATCH(E296,'Landbrugsareal - resultat'!$O$4:$Q$4,0)))),SUMPRODUCT((B296='Landbrugsareal - resultat'!$B$32:$B$45)*(INDEX('Landbrugsareal - resultat'!$R$32:$T$45,,MATCH(E296,'Landbrugsareal - resultat'!$R$4:$T$4,0))))))))</f>
        <v>37407.422491325582</v>
      </c>
      <c r="H296" s="172">
        <f>G296*VLOOKUP(B296,[1]Afgrødedata!$A$5:$F$18,2,FALSE)*IF(D296="Økologisk",VLOOKUP(B296,[1]Afgrødedata!$A$5:$F$18,4,FALSE),1)*IF(E296&lt;&gt;Jordbund1,IF(E296=Organ6,VLOOKUP(B296,[1]Afgrødedata!$A$5:$F$18,5,FALSE),VLOOKUP(B296,[1]Afgrødedata!$A$5:$F$18,6,FALSE)),1)*0.1</f>
        <v>175691.44121500885</v>
      </c>
      <c r="I296" s="172">
        <f>G296*VLOOKUP(B296,[1]Afgrødedata!$A$5:$F$18,3,FALSE)*IF(D296="Økologisk",VLOOKUP(B296,[1]Afgrødedata!$A$5:$F$18,4,FALSE),1)*IF(E296&lt;&gt;Jordbund1,IF(E296=Organ6,VLOOKUP(B296,[1]Afgrødedata!$A$5:$F$18,5,FALSE),VLOOKUP(B296,[1]Afgrødedata!$A$5:$F$18,6,FALSE)),1)*HLOOKUP(C296,Landbrug!$C$15:$E$17,2,FALSE)*HLOOKUP(C296,Landbrug!$C$15:$E$17,3,FALSE)*0.1</f>
        <v>57345.247183975873</v>
      </c>
      <c r="J296" s="76">
        <f t="shared" si="55"/>
        <v>57345.247183975873</v>
      </c>
    </row>
    <row r="297" spans="1:10" x14ac:dyDescent="0.55000000000000004">
      <c r="A297" t="s">
        <v>24</v>
      </c>
      <c r="B297" s="1" t="str">
        <f>[1]Afgrødefordeling!$C$3</f>
        <v>Bælgsæd</v>
      </c>
      <c r="C297">
        <v>2019</v>
      </c>
      <c r="D297" t="s">
        <v>8</v>
      </c>
      <c r="E297" s="172" t="str">
        <f t="shared" si="56"/>
        <v>JB1-10</v>
      </c>
      <c r="F297" t="str">
        <f t="shared" si="54"/>
        <v>Halm</v>
      </c>
      <c r="G297" s="76" cm="1">
        <f t="array" ref="G297">IF(A297="Vestdanmark",IF(D297="Konventionel",IF(C297=2019,SUMPRODUCT((B297='Landbrugsareal - resultat'!$B$5:$B$18)*(INDEX('Landbrugsareal - resultat'!$C$5:$E$18,,MATCH(E297,'Landbrugsareal - resultat'!$C$4:$E$4,0)))),IF(C297=2030,SUMPRODUCT((B297='Landbrugsareal - resultat'!$B$5:$B$18)*(INDEX('Landbrugsareal - resultat'!$F$5:$H$18,,MATCH(E297,'Landbrugsareal - resultat'!$F$4:$H$4,0)))),SUMPRODUCT((B297='Landbrugsareal - resultat'!$B$5:$B$18)*(INDEX('Landbrugsareal - resultat'!$I$5:$K$18,,MATCH(E297,'Landbrugsareal - resultat'!$I$4:$K$4,0)))))),IF(C297=2019,SUMPRODUCT((B297='Landbrugsareal - resultat'!$B$5:$B$18)*(INDEX('Landbrugsareal - resultat'!$L$5:$N$18,,MATCH(E297,'Landbrugsareal - resultat'!$L$4:$N$4,0)))),IF(C297=2030,SUMPRODUCT((B297='Landbrugsareal - resultat'!$B$5:$B$18)*(INDEX('Landbrugsareal - resultat'!$O$5:$Q$18,,MATCH(E297,'Landbrugsareal - resultat'!$O$4:$Q$4,0)))),SUMPRODUCT((B297='Landbrugsareal - resultat'!$B$5:$B$18)*(INDEX('Landbrugsareal - resultat'!$R$5:$T$18,,MATCH(E297,'Landbrugsareal - resultat'!$R$4:$T$4,0))))))),IF(D297="Konventionel",IF(C297=2019,SUMPRODUCT((B297='Landbrugsareal - resultat'!$B$32:$B$45)*(INDEX('Landbrugsareal - resultat'!$C$32:$E$45,,MATCH(E297,'Landbrugsareal - resultat'!$C$4:$E$4,0)))),IF(C297=2030,SUMPRODUCT((B297='Landbrugsareal - resultat'!$B$32:$B$45)*(INDEX('Landbrugsareal - resultat'!$F$32:$H$45,,MATCH(E297,'Landbrugsareal - resultat'!$F$4:$H$4,0)))),SUMPRODUCT((B297='Landbrugsareal - resultat'!$B$32:$B$45)*(INDEX('Landbrugsareal - resultat'!$I$32:$K$45,,MATCH(E297,'Landbrugsareal - resultat'!$I$4:$K$4,0)))))),IF(C297=2019,SUMPRODUCT((B297='Landbrugsareal - resultat'!$B$32:$B$45)*(INDEX('Landbrugsareal - resultat'!$L$32:$N$45,,MATCH(E297,'Landbrugsareal - resultat'!$L$4:$N$4,0)))),IF(C297=2030,SUMPRODUCT((B297='Landbrugsareal - resultat'!$B$32:$B$45)*(INDEX('Landbrugsareal - resultat'!$O$32:$Q$45,,MATCH(E297,'Landbrugsareal - resultat'!$O$4:$Q$4,0)))),SUMPRODUCT((B297='Landbrugsareal - resultat'!$B$32:$B$45)*(INDEX('Landbrugsareal - resultat'!$R$32:$T$45,,MATCH(E297,'Landbrugsareal - resultat'!$R$4:$T$4,0))))))))</f>
        <v>815.28866875287099</v>
      </c>
      <c r="H297" s="172">
        <f>G297*VLOOKUP(B297,[1]Afgrødedata!$A$5:$F$18,2,FALSE)*IF(D297="Økologisk",VLOOKUP(B297,[1]Afgrødedata!$A$5:$F$18,4,FALSE),1)*IF(E297&lt;&gt;Jordbund1,IF(E297=Organ6,VLOOKUP(B297,[1]Afgrødedata!$A$5:$F$18,5,FALSE),VLOOKUP(B297,[1]Afgrødedata!$A$5:$F$18,6,FALSE)),1)*0.1</f>
        <v>1793.798128990067</v>
      </c>
      <c r="I297" s="172">
        <f>G297*VLOOKUP(B297,[1]Afgrødedata!$A$5:$F$18,3,FALSE)*IF(D297="Økologisk",VLOOKUP(B297,[1]Afgrødedata!$A$5:$F$18,4,FALSE),1)*IF(E297&lt;&gt;Jordbund1,IF(E297=Organ6,VLOOKUP(B297,[1]Afgrødedata!$A$5:$F$18,5,FALSE),VLOOKUP(B297,[1]Afgrødedata!$A$5:$F$18,6,FALSE)),1)*HLOOKUP(C297,Landbrug!$C$15:$E$17,2,FALSE)*HLOOKUP(C297,Landbrug!$C$15:$E$17,3,FALSE)*0.1</f>
        <v>532.54053466904622</v>
      </c>
      <c r="J297" s="76">
        <f t="shared" si="55"/>
        <v>532.54053466904622</v>
      </c>
    </row>
    <row r="298" spans="1:10" x14ac:dyDescent="0.55000000000000004">
      <c r="A298" t="s">
        <v>24</v>
      </c>
      <c r="B298" s="1" t="str">
        <f>[1]Afgrødefordeling!$C$4</f>
        <v>Raps</v>
      </c>
      <c r="C298">
        <v>2019</v>
      </c>
      <c r="D298" t="s">
        <v>8</v>
      </c>
      <c r="E298" s="172" t="str">
        <f t="shared" si="56"/>
        <v>JB1-10</v>
      </c>
      <c r="F298" t="str">
        <f t="shared" si="54"/>
        <v>Halm</v>
      </c>
      <c r="G298" s="76" cm="1">
        <f t="array" ref="G298">IF(A298="Vestdanmark",IF(D298="Konventionel",IF(C298=2019,SUMPRODUCT((B298='Landbrugsareal - resultat'!$B$5:$B$18)*(INDEX('Landbrugsareal - resultat'!$C$5:$E$18,,MATCH(E298,'Landbrugsareal - resultat'!$C$4:$E$4,0)))),IF(C298=2030,SUMPRODUCT((B298='Landbrugsareal - resultat'!$B$5:$B$18)*(INDEX('Landbrugsareal - resultat'!$F$5:$H$18,,MATCH(E298,'Landbrugsareal - resultat'!$F$4:$H$4,0)))),SUMPRODUCT((B298='Landbrugsareal - resultat'!$B$5:$B$18)*(INDEX('Landbrugsareal - resultat'!$I$5:$K$18,,MATCH(E298,'Landbrugsareal - resultat'!$I$4:$K$4,0)))))),IF(C298=2019,SUMPRODUCT((B298='Landbrugsareal - resultat'!$B$5:$B$18)*(INDEX('Landbrugsareal - resultat'!$L$5:$N$18,,MATCH(E298,'Landbrugsareal - resultat'!$L$4:$N$4,0)))),IF(C298=2030,SUMPRODUCT((B298='Landbrugsareal - resultat'!$B$5:$B$18)*(INDEX('Landbrugsareal - resultat'!$O$5:$Q$18,,MATCH(E298,'Landbrugsareal - resultat'!$O$4:$Q$4,0)))),SUMPRODUCT((B298='Landbrugsareal - resultat'!$B$5:$B$18)*(INDEX('Landbrugsareal - resultat'!$R$5:$T$18,,MATCH(E298,'Landbrugsareal - resultat'!$R$4:$T$4,0))))))),IF(D298="Konventionel",IF(C298=2019,SUMPRODUCT((B298='Landbrugsareal - resultat'!$B$32:$B$45)*(INDEX('Landbrugsareal - resultat'!$C$32:$E$45,,MATCH(E298,'Landbrugsareal - resultat'!$C$4:$E$4,0)))),IF(C298=2030,SUMPRODUCT((B298='Landbrugsareal - resultat'!$B$32:$B$45)*(INDEX('Landbrugsareal - resultat'!$F$32:$H$45,,MATCH(E298,'Landbrugsareal - resultat'!$F$4:$H$4,0)))),SUMPRODUCT((B298='Landbrugsareal - resultat'!$B$32:$B$45)*(INDEX('Landbrugsareal - resultat'!$I$32:$K$45,,MATCH(E298,'Landbrugsareal - resultat'!$I$4:$K$4,0)))))),IF(C298=2019,SUMPRODUCT((B298='Landbrugsareal - resultat'!$B$32:$B$45)*(INDEX('Landbrugsareal - resultat'!$L$32:$N$45,,MATCH(E298,'Landbrugsareal - resultat'!$L$4:$N$4,0)))),IF(C298=2030,SUMPRODUCT((B298='Landbrugsareal - resultat'!$B$32:$B$45)*(INDEX('Landbrugsareal - resultat'!$O$32:$Q$45,,MATCH(E298,'Landbrugsareal - resultat'!$O$4:$Q$4,0)))),SUMPRODUCT((B298='Landbrugsareal - resultat'!$B$32:$B$45)*(INDEX('Landbrugsareal - resultat'!$R$32:$T$45,,MATCH(E298,'Landbrugsareal - resultat'!$R$4:$T$4,0))))))))</f>
        <v>5171.7070261351</v>
      </c>
      <c r="H298" s="172">
        <f>G298*VLOOKUP(B298,[1]Afgrødedata!$A$5:$F$18,2,FALSE)*IF(D298="Økologisk",VLOOKUP(B298,[1]Afgrødedata!$A$5:$F$18,4,FALSE),1)*IF(E298&lt;&gt;Jordbund1,IF(E298=Organ6,VLOOKUP(B298,[1]Afgrødedata!$A$5:$F$18,5,FALSE),VLOOKUP(B298,[1]Afgrødedata!$A$5:$F$18,6,FALSE)),1)*0.1</f>
        <v>12515.531003246942</v>
      </c>
      <c r="I298" s="172">
        <f>G298*VLOOKUP(B298,[1]Afgrødedata!$A$5:$F$18,3,FALSE)*IF(D298="Økologisk",VLOOKUP(B298,[1]Afgrødedata!$A$5:$F$18,4,FALSE),1)*IF(E298&lt;&gt;Jordbund1,IF(E298=Organ6,VLOOKUP(B298,[1]Afgrødedata!$A$5:$F$18,5,FALSE),VLOOKUP(B298,[1]Afgrødedata!$A$5:$F$18,6,FALSE)),1)*HLOOKUP(C298,Landbrug!$C$15:$E$17,2,FALSE)*HLOOKUP(C298,Landbrug!$C$15:$E$17,3,FALSE)*0.1</f>
        <v>6684.6076864892093</v>
      </c>
      <c r="J298" s="76">
        <f t="shared" si="55"/>
        <v>6684.6076864892093</v>
      </c>
    </row>
    <row r="299" spans="1:10" x14ac:dyDescent="0.55000000000000004">
      <c r="A299" t="s">
        <v>24</v>
      </c>
      <c r="B299" s="1" t="str">
        <f>[1]Afgrødefordeling!$C$5</f>
        <v>Græs</v>
      </c>
      <c r="C299">
        <v>2019</v>
      </c>
      <c r="D299" t="s">
        <v>8</v>
      </c>
      <c r="E299" s="172" t="str">
        <f t="shared" si="56"/>
        <v>JB1-10</v>
      </c>
      <c r="F299" t="str">
        <f t="shared" si="54"/>
        <v>Græs</v>
      </c>
      <c r="G299" s="76" cm="1">
        <f t="array" ref="G299">IF(A299="Vestdanmark",IF(D299="Konventionel",IF(C299=2019,SUMPRODUCT((B299='Landbrugsareal - resultat'!$B$5:$B$18)*(INDEX('Landbrugsareal - resultat'!$C$5:$E$18,,MATCH(E299,'Landbrugsareal - resultat'!$C$4:$E$4,0)))),IF(C299=2030,SUMPRODUCT((B299='Landbrugsareal - resultat'!$B$5:$B$18)*(INDEX('Landbrugsareal - resultat'!$F$5:$H$18,,MATCH(E299,'Landbrugsareal - resultat'!$F$4:$H$4,0)))),SUMPRODUCT((B299='Landbrugsareal - resultat'!$B$5:$B$18)*(INDEX('Landbrugsareal - resultat'!$I$5:$K$18,,MATCH(E299,'Landbrugsareal - resultat'!$I$4:$K$4,0)))))),IF(C299=2019,SUMPRODUCT((B299='Landbrugsareal - resultat'!$B$5:$B$18)*(INDEX('Landbrugsareal - resultat'!$L$5:$N$18,,MATCH(E299,'Landbrugsareal - resultat'!$L$4:$N$4,0)))),IF(C299=2030,SUMPRODUCT((B299='Landbrugsareal - resultat'!$B$5:$B$18)*(INDEX('Landbrugsareal - resultat'!$O$5:$Q$18,,MATCH(E299,'Landbrugsareal - resultat'!$O$4:$Q$4,0)))),SUMPRODUCT((B299='Landbrugsareal - resultat'!$B$5:$B$18)*(INDEX('Landbrugsareal - resultat'!$R$5:$T$18,,MATCH(E299,'Landbrugsareal - resultat'!$R$4:$T$4,0))))))),IF(D299="Konventionel",IF(C299=2019,SUMPRODUCT((B299='Landbrugsareal - resultat'!$B$32:$B$45)*(INDEX('Landbrugsareal - resultat'!$C$32:$E$45,,MATCH(E299,'Landbrugsareal - resultat'!$C$4:$E$4,0)))),IF(C299=2030,SUMPRODUCT((B299='Landbrugsareal - resultat'!$B$32:$B$45)*(INDEX('Landbrugsareal - resultat'!$F$32:$H$45,,MATCH(E299,'Landbrugsareal - resultat'!$F$4:$H$4,0)))),SUMPRODUCT((B299='Landbrugsareal - resultat'!$B$32:$B$45)*(INDEX('Landbrugsareal - resultat'!$I$32:$K$45,,MATCH(E299,'Landbrugsareal - resultat'!$I$4:$K$4,0)))))),IF(C299=2019,SUMPRODUCT((B299='Landbrugsareal - resultat'!$B$32:$B$45)*(INDEX('Landbrugsareal - resultat'!$L$32:$N$45,,MATCH(E299,'Landbrugsareal - resultat'!$L$4:$N$4,0)))),IF(C299=2030,SUMPRODUCT((B299='Landbrugsareal - resultat'!$B$32:$B$45)*(INDEX('Landbrugsareal - resultat'!$O$32:$Q$45,,MATCH(E299,'Landbrugsareal - resultat'!$O$4:$Q$4,0)))),SUMPRODUCT((B299='Landbrugsareal - resultat'!$B$32:$B$45)*(INDEX('Landbrugsareal - resultat'!$R$32:$T$45,,MATCH(E299,'Landbrugsareal - resultat'!$R$4:$T$4,0))))))))</f>
        <v>3141.9408009562312</v>
      </c>
      <c r="H299" s="172">
        <f>G299*VLOOKUP(B299,[1]Afgrødedata!$A$5:$F$18,2,FALSE)*IF(D299="Økologisk",VLOOKUP(B299,[1]Afgrødedata!$A$5:$F$18,4,FALSE),1)*IF(E299&lt;&gt;Jordbund1,IF(E299=Organ6,VLOOKUP(B299,[1]Afgrødedata!$A$5:$F$18,5,FALSE),VLOOKUP(B299,[1]Afgrødedata!$A$5:$F$18,6,FALSE)),1)*0.1</f>
        <v>121604.41998388959</v>
      </c>
      <c r="I299" s="172">
        <f>G299*VLOOKUP(B299,[1]Afgrødedata!$A$5:$F$18,3,FALSE)*IF(D299="Økologisk",VLOOKUP(B299,[1]Afgrødedata!$A$5:$F$18,4,FALSE),1)*IF(E299&lt;&gt;Jordbund1,IF(E299=Organ6,VLOOKUP(B299,[1]Afgrødedata!$A$5:$F$18,5,FALSE),VLOOKUP(B299,[1]Afgrødedata!$A$5:$F$18,6,FALSE)),1)*HLOOKUP(C299,Landbrug!$C$15:$E$17,2,FALSE)*HLOOKUP(C299,Landbrug!$C$15:$E$17,3,FALSE)*0.1</f>
        <v>0</v>
      </c>
      <c r="J299" s="76">
        <f t="shared" si="55"/>
        <v>121604.41998388959</v>
      </c>
    </row>
    <row r="300" spans="1:10" x14ac:dyDescent="0.55000000000000004">
      <c r="A300" t="s">
        <v>24</v>
      </c>
      <c r="B300" s="1" t="str">
        <f>[1]Afgrødefordeling!$C$6</f>
        <v>Grøntsager</v>
      </c>
      <c r="C300">
        <v>2019</v>
      </c>
      <c r="D300" t="s">
        <v>8</v>
      </c>
      <c r="E300" s="172" t="str">
        <f t="shared" si="56"/>
        <v>JB1-10</v>
      </c>
      <c r="F300" t="str">
        <f t="shared" si="54"/>
        <v>Grøntsager</v>
      </c>
      <c r="G300" s="76" cm="1">
        <f t="array" ref="G300">IF(A300="Vestdanmark",IF(D300="Konventionel",IF(C300=2019,SUMPRODUCT((B300='Landbrugsareal - resultat'!$B$5:$B$18)*(INDEX('Landbrugsareal - resultat'!$C$5:$E$18,,MATCH(E300,'Landbrugsareal - resultat'!$C$4:$E$4,0)))),IF(C300=2030,SUMPRODUCT((B300='Landbrugsareal - resultat'!$B$5:$B$18)*(INDEX('Landbrugsareal - resultat'!$F$5:$H$18,,MATCH(E300,'Landbrugsareal - resultat'!$F$4:$H$4,0)))),SUMPRODUCT((B300='Landbrugsareal - resultat'!$B$5:$B$18)*(INDEX('Landbrugsareal - resultat'!$I$5:$K$18,,MATCH(E300,'Landbrugsareal - resultat'!$I$4:$K$4,0)))))),IF(C300=2019,SUMPRODUCT((B300='Landbrugsareal - resultat'!$B$5:$B$18)*(INDEX('Landbrugsareal - resultat'!$L$5:$N$18,,MATCH(E300,'Landbrugsareal - resultat'!$L$4:$N$4,0)))),IF(C300=2030,SUMPRODUCT((B300='Landbrugsareal - resultat'!$B$5:$B$18)*(INDEX('Landbrugsareal - resultat'!$O$5:$Q$18,,MATCH(E300,'Landbrugsareal - resultat'!$O$4:$Q$4,0)))),SUMPRODUCT((B300='Landbrugsareal - resultat'!$B$5:$B$18)*(INDEX('Landbrugsareal - resultat'!$R$5:$T$18,,MATCH(E300,'Landbrugsareal - resultat'!$R$4:$T$4,0))))))),IF(D300="Konventionel",IF(C300=2019,SUMPRODUCT((B300='Landbrugsareal - resultat'!$B$32:$B$45)*(INDEX('Landbrugsareal - resultat'!$C$32:$E$45,,MATCH(E300,'Landbrugsareal - resultat'!$C$4:$E$4,0)))),IF(C300=2030,SUMPRODUCT((B300='Landbrugsareal - resultat'!$B$32:$B$45)*(INDEX('Landbrugsareal - resultat'!$F$32:$H$45,,MATCH(E300,'Landbrugsareal - resultat'!$F$4:$H$4,0)))),SUMPRODUCT((B300='Landbrugsareal - resultat'!$B$32:$B$45)*(INDEX('Landbrugsareal - resultat'!$I$32:$K$45,,MATCH(E300,'Landbrugsareal - resultat'!$I$4:$K$4,0)))))),IF(C300=2019,SUMPRODUCT((B300='Landbrugsareal - resultat'!$B$32:$B$45)*(INDEX('Landbrugsareal - resultat'!$L$32:$N$45,,MATCH(E300,'Landbrugsareal - resultat'!$L$4:$N$4,0)))),IF(C300=2030,SUMPRODUCT((B300='Landbrugsareal - resultat'!$B$32:$B$45)*(INDEX('Landbrugsareal - resultat'!$O$32:$Q$45,,MATCH(E300,'Landbrugsareal - resultat'!$O$4:$Q$4,0)))),SUMPRODUCT((B300='Landbrugsareal - resultat'!$B$32:$B$45)*(INDEX('Landbrugsareal - resultat'!$R$32:$T$45,,MATCH(E300,'Landbrugsareal - resultat'!$R$4:$T$4,0))))))))</f>
        <v>492.34294534860186</v>
      </c>
      <c r="H300" s="172">
        <f>G300*VLOOKUP(B300,[1]Afgrødedata!$A$5:$F$18,2,FALSE)*IF(D300="Økologisk",VLOOKUP(B300,[1]Afgrødedata!$A$5:$F$18,4,FALSE),1)*IF(E300&lt;&gt;Jordbund1,IF(E300=Organ6,VLOOKUP(B300,[1]Afgrødedata!$A$5:$F$18,5,FALSE),VLOOKUP(B300,[1]Afgrødedata!$A$5:$F$18,6,FALSE)),1)*0.1</f>
        <v>5823.1861861105881</v>
      </c>
      <c r="I300" s="172">
        <f>G300*VLOOKUP(B300,[1]Afgrødedata!$A$5:$F$18,3,FALSE)*IF(D300="Økologisk",VLOOKUP(B300,[1]Afgrødedata!$A$5:$F$18,4,FALSE),1)*IF(E300&lt;&gt;Jordbund1,IF(E300=Organ6,VLOOKUP(B300,[1]Afgrødedata!$A$5:$F$18,5,FALSE),VLOOKUP(B300,[1]Afgrødedata!$A$5:$F$18,6,FALSE)),1)*HLOOKUP(C300,Landbrug!$C$15:$E$17,2,FALSE)*HLOOKUP(C300,Landbrug!$C$15:$E$17,3,FALSE)*0.1</f>
        <v>0</v>
      </c>
      <c r="J300" s="76">
        <f t="shared" si="55"/>
        <v>5823.1861861105881</v>
      </c>
    </row>
    <row r="301" spans="1:10" x14ac:dyDescent="0.55000000000000004">
      <c r="A301" t="s">
        <v>24</v>
      </c>
      <c r="B301" s="1" t="str">
        <f>[1]Afgrødefordeling!$C$7</f>
        <v>Kartofler</v>
      </c>
      <c r="C301">
        <v>2019</v>
      </c>
      <c r="D301" t="s">
        <v>8</v>
      </c>
      <c r="E301" s="172" t="str">
        <f t="shared" si="56"/>
        <v>JB1-10</v>
      </c>
      <c r="F301" t="str">
        <f t="shared" si="54"/>
        <v>Kartofler</v>
      </c>
      <c r="G301" s="76" cm="1">
        <f t="array" ref="G301">IF(A301="Vestdanmark",IF(D301="Konventionel",IF(C301=2019,SUMPRODUCT((B301='Landbrugsareal - resultat'!$B$5:$B$18)*(INDEX('Landbrugsareal - resultat'!$C$5:$E$18,,MATCH(E301,'Landbrugsareal - resultat'!$C$4:$E$4,0)))),IF(C301=2030,SUMPRODUCT((B301='Landbrugsareal - resultat'!$B$5:$B$18)*(INDEX('Landbrugsareal - resultat'!$F$5:$H$18,,MATCH(E301,'Landbrugsareal - resultat'!$F$4:$H$4,0)))),SUMPRODUCT((B301='Landbrugsareal - resultat'!$B$5:$B$18)*(INDEX('Landbrugsareal - resultat'!$I$5:$K$18,,MATCH(E301,'Landbrugsareal - resultat'!$I$4:$K$4,0)))))),IF(C301=2019,SUMPRODUCT((B301='Landbrugsareal - resultat'!$B$5:$B$18)*(INDEX('Landbrugsareal - resultat'!$L$5:$N$18,,MATCH(E301,'Landbrugsareal - resultat'!$L$4:$N$4,0)))),IF(C301=2030,SUMPRODUCT((B301='Landbrugsareal - resultat'!$B$5:$B$18)*(INDEX('Landbrugsareal - resultat'!$O$5:$Q$18,,MATCH(E301,'Landbrugsareal - resultat'!$O$4:$Q$4,0)))),SUMPRODUCT((B301='Landbrugsareal - resultat'!$B$5:$B$18)*(INDEX('Landbrugsareal - resultat'!$R$5:$T$18,,MATCH(E301,'Landbrugsareal - resultat'!$R$4:$T$4,0))))))),IF(D301="Konventionel",IF(C301=2019,SUMPRODUCT((B301='Landbrugsareal - resultat'!$B$32:$B$45)*(INDEX('Landbrugsareal - resultat'!$C$32:$E$45,,MATCH(E301,'Landbrugsareal - resultat'!$C$4:$E$4,0)))),IF(C301=2030,SUMPRODUCT((B301='Landbrugsareal - resultat'!$B$32:$B$45)*(INDEX('Landbrugsareal - resultat'!$F$32:$H$45,,MATCH(E301,'Landbrugsareal - resultat'!$F$4:$H$4,0)))),SUMPRODUCT((B301='Landbrugsareal - resultat'!$B$32:$B$45)*(INDEX('Landbrugsareal - resultat'!$I$32:$K$45,,MATCH(E301,'Landbrugsareal - resultat'!$I$4:$K$4,0)))))),IF(C301=2019,SUMPRODUCT((B301='Landbrugsareal - resultat'!$B$32:$B$45)*(INDEX('Landbrugsareal - resultat'!$L$32:$N$45,,MATCH(E301,'Landbrugsareal - resultat'!$L$4:$N$4,0)))),IF(C301=2030,SUMPRODUCT((B301='Landbrugsareal - resultat'!$B$32:$B$45)*(INDEX('Landbrugsareal - resultat'!$O$32:$Q$45,,MATCH(E301,'Landbrugsareal - resultat'!$O$4:$Q$4,0)))),SUMPRODUCT((B301='Landbrugsareal - resultat'!$B$32:$B$45)*(INDEX('Landbrugsareal - resultat'!$R$32:$T$45,,MATCH(E301,'Landbrugsareal - resultat'!$R$4:$T$4,0))))))))</f>
        <v>315.83920819930114</v>
      </c>
      <c r="H301" s="172">
        <f>G301*VLOOKUP(B301,[1]Afgrødedata!$A$5:$F$18,2,FALSE)*IF(D301="Økologisk",VLOOKUP(B301,[1]Afgrødedata!$A$5:$F$18,4,FALSE),1)*IF(E301&lt;&gt;Jordbund1,IF(E301=Organ6,VLOOKUP(B301,[1]Afgrødedata!$A$5:$F$18,5,FALSE),VLOOKUP(B301,[1]Afgrødedata!$A$5:$F$18,6,FALSE)),1)*0.1</f>
        <v>7645.9658984285725</v>
      </c>
      <c r="I301" s="172">
        <f>G301*VLOOKUP(B301,[1]Afgrødedata!$A$5:$F$18,3,FALSE)*IF(D301="Økologisk",VLOOKUP(B301,[1]Afgrødedata!$A$5:$F$18,4,FALSE),1)*IF(E301&lt;&gt;Jordbund1,IF(E301=Organ6,VLOOKUP(B301,[1]Afgrødedata!$A$5:$F$18,5,FALSE),VLOOKUP(B301,[1]Afgrødedata!$A$5:$F$18,6,FALSE)),1)*HLOOKUP(C301,Landbrug!$C$15:$E$17,2,FALSE)*HLOOKUP(C301,Landbrug!$C$15:$E$17,3,FALSE)*0.1</f>
        <v>0</v>
      </c>
      <c r="J301" s="76">
        <f t="shared" si="55"/>
        <v>7645.9658984285725</v>
      </c>
    </row>
    <row r="302" spans="1:10" x14ac:dyDescent="0.55000000000000004">
      <c r="A302" t="s">
        <v>24</v>
      </c>
      <c r="B302" s="1" t="str">
        <f>[1]Afgrødefordeling!$C$8</f>
        <v>Roer</v>
      </c>
      <c r="C302">
        <v>2019</v>
      </c>
      <c r="D302" t="s">
        <v>8</v>
      </c>
      <c r="E302" s="172" t="str">
        <f t="shared" si="56"/>
        <v>JB1-10</v>
      </c>
      <c r="F302" t="str">
        <f t="shared" si="54"/>
        <v>Roer</v>
      </c>
      <c r="G302" s="76" cm="1">
        <f t="array" ref="G302">IF(A302="Vestdanmark",IF(D302="Konventionel",IF(C302=2019,SUMPRODUCT((B302='Landbrugsareal - resultat'!$B$5:$B$18)*(INDEX('Landbrugsareal - resultat'!$C$5:$E$18,,MATCH(E302,'Landbrugsareal - resultat'!$C$4:$E$4,0)))),IF(C302=2030,SUMPRODUCT((B302='Landbrugsareal - resultat'!$B$5:$B$18)*(INDEX('Landbrugsareal - resultat'!$F$5:$H$18,,MATCH(E302,'Landbrugsareal - resultat'!$F$4:$H$4,0)))),SUMPRODUCT((B302='Landbrugsareal - resultat'!$B$5:$B$18)*(INDEX('Landbrugsareal - resultat'!$I$5:$K$18,,MATCH(E302,'Landbrugsareal - resultat'!$I$4:$K$4,0)))))),IF(C302=2019,SUMPRODUCT((B302='Landbrugsareal - resultat'!$B$5:$B$18)*(INDEX('Landbrugsareal - resultat'!$L$5:$N$18,,MATCH(E302,'Landbrugsareal - resultat'!$L$4:$N$4,0)))),IF(C302=2030,SUMPRODUCT((B302='Landbrugsareal - resultat'!$B$5:$B$18)*(INDEX('Landbrugsareal - resultat'!$O$5:$Q$18,,MATCH(E302,'Landbrugsareal - resultat'!$O$4:$Q$4,0)))),SUMPRODUCT((B302='Landbrugsareal - resultat'!$B$5:$B$18)*(INDEX('Landbrugsareal - resultat'!$R$5:$T$18,,MATCH(E302,'Landbrugsareal - resultat'!$R$4:$T$4,0))))))),IF(D302="Konventionel",IF(C302=2019,SUMPRODUCT((B302='Landbrugsareal - resultat'!$B$32:$B$45)*(INDEX('Landbrugsareal - resultat'!$C$32:$E$45,,MATCH(E302,'Landbrugsareal - resultat'!$C$4:$E$4,0)))),IF(C302=2030,SUMPRODUCT((B302='Landbrugsareal - resultat'!$B$32:$B$45)*(INDEX('Landbrugsareal - resultat'!$F$32:$H$45,,MATCH(E302,'Landbrugsareal - resultat'!$F$4:$H$4,0)))),SUMPRODUCT((B302='Landbrugsareal - resultat'!$B$32:$B$45)*(INDEX('Landbrugsareal - resultat'!$I$32:$K$45,,MATCH(E302,'Landbrugsareal - resultat'!$I$4:$K$4,0)))))),IF(C302=2019,SUMPRODUCT((B302='Landbrugsareal - resultat'!$B$32:$B$45)*(INDEX('Landbrugsareal - resultat'!$L$32:$N$45,,MATCH(E302,'Landbrugsareal - resultat'!$L$4:$N$4,0)))),IF(C302=2030,SUMPRODUCT((B302='Landbrugsareal - resultat'!$B$32:$B$45)*(INDEX('Landbrugsareal - resultat'!$O$32:$Q$45,,MATCH(E302,'Landbrugsareal - resultat'!$O$4:$Q$4,0)))),SUMPRODUCT((B302='Landbrugsareal - resultat'!$B$32:$B$45)*(INDEX('Landbrugsareal - resultat'!$R$32:$T$45,,MATCH(E302,'Landbrugsareal - resultat'!$R$4:$T$4,0))))))))</f>
        <v>3283.3406094619722</v>
      </c>
      <c r="H302" s="172">
        <f>G302*VLOOKUP(B302,[1]Afgrødedata!$A$5:$F$18,2,FALSE)*IF(D302="Økologisk",VLOOKUP(B302,[1]Afgrødedata!$A$5:$F$18,4,FALSE),1)*IF(E302&lt;&gt;Jordbund1,IF(E302=Organ6,VLOOKUP(B302,[1]Afgrødedata!$A$5:$F$18,5,FALSE),VLOOKUP(B302,[1]Afgrødedata!$A$5:$F$18,6,FALSE)),1)*0.1</f>
        <v>152066.69520013814</v>
      </c>
      <c r="I302" s="172">
        <f>G302*VLOOKUP(B302,[1]Afgrødedata!$A$5:$F$18,3,FALSE)*IF(D302="Økologisk",VLOOKUP(B302,[1]Afgrødedata!$A$5:$F$18,4,FALSE),1)*IF(E302&lt;&gt;Jordbund1,IF(E302=Organ6,VLOOKUP(B302,[1]Afgrødedata!$A$5:$F$18,5,FALSE),VLOOKUP(B302,[1]Afgrødedata!$A$5:$F$18,6,FALSE)),1)*HLOOKUP(C302,Landbrug!$C$15:$E$17,2,FALSE)*HLOOKUP(C302,Landbrug!$C$15:$E$17,3,FALSE)*0.1</f>
        <v>0</v>
      </c>
      <c r="J302" s="76">
        <f t="shared" si="55"/>
        <v>152066.69520013814</v>
      </c>
    </row>
    <row r="303" spans="1:10" x14ac:dyDescent="0.55000000000000004">
      <c r="A303" t="s">
        <v>24</v>
      </c>
      <c r="B303" s="1" t="str">
        <f>[1]Afgrødefordeling!$C$9</f>
        <v>Majs</v>
      </c>
      <c r="C303">
        <v>2019</v>
      </c>
      <c r="D303" t="s">
        <v>8</v>
      </c>
      <c r="E303" s="172" t="str">
        <f t="shared" si="56"/>
        <v>JB1-10</v>
      </c>
      <c r="F303" t="str">
        <f t="shared" si="54"/>
        <v>Majs</v>
      </c>
      <c r="G303" s="76" cm="1">
        <f t="array" ref="G303">IF(A303="Vestdanmark",IF(D303="Konventionel",IF(C303=2019,SUMPRODUCT((B303='Landbrugsareal - resultat'!$B$5:$B$18)*(INDEX('Landbrugsareal - resultat'!$C$5:$E$18,,MATCH(E303,'Landbrugsareal - resultat'!$C$4:$E$4,0)))),IF(C303=2030,SUMPRODUCT((B303='Landbrugsareal - resultat'!$B$5:$B$18)*(INDEX('Landbrugsareal - resultat'!$F$5:$H$18,,MATCH(E303,'Landbrugsareal - resultat'!$F$4:$H$4,0)))),SUMPRODUCT((B303='Landbrugsareal - resultat'!$B$5:$B$18)*(INDEX('Landbrugsareal - resultat'!$I$5:$K$18,,MATCH(E303,'Landbrugsareal - resultat'!$I$4:$K$4,0)))))),IF(C303=2019,SUMPRODUCT((B303='Landbrugsareal - resultat'!$B$5:$B$18)*(INDEX('Landbrugsareal - resultat'!$L$5:$N$18,,MATCH(E303,'Landbrugsareal - resultat'!$L$4:$N$4,0)))),IF(C303=2030,SUMPRODUCT((B303='Landbrugsareal - resultat'!$B$5:$B$18)*(INDEX('Landbrugsareal - resultat'!$O$5:$Q$18,,MATCH(E303,'Landbrugsareal - resultat'!$O$4:$Q$4,0)))),SUMPRODUCT((B303='Landbrugsareal - resultat'!$B$5:$B$18)*(INDEX('Landbrugsareal - resultat'!$R$5:$T$18,,MATCH(E303,'Landbrugsareal - resultat'!$R$4:$T$4,0))))))),IF(D303="Konventionel",IF(C303=2019,SUMPRODUCT((B303='Landbrugsareal - resultat'!$B$32:$B$45)*(INDEX('Landbrugsareal - resultat'!$C$32:$E$45,,MATCH(E303,'Landbrugsareal - resultat'!$C$4:$E$4,0)))),IF(C303=2030,SUMPRODUCT((B303='Landbrugsareal - resultat'!$B$32:$B$45)*(INDEX('Landbrugsareal - resultat'!$F$32:$H$45,,MATCH(E303,'Landbrugsareal - resultat'!$F$4:$H$4,0)))),SUMPRODUCT((B303='Landbrugsareal - resultat'!$B$32:$B$45)*(INDEX('Landbrugsareal - resultat'!$I$32:$K$45,,MATCH(E303,'Landbrugsareal - resultat'!$I$4:$K$4,0)))))),IF(C303=2019,SUMPRODUCT((B303='Landbrugsareal - resultat'!$B$32:$B$45)*(INDEX('Landbrugsareal - resultat'!$L$32:$N$45,,MATCH(E303,'Landbrugsareal - resultat'!$L$4:$N$4,0)))),IF(C303=2030,SUMPRODUCT((B303='Landbrugsareal - resultat'!$B$32:$B$45)*(INDEX('Landbrugsareal - resultat'!$O$32:$Q$45,,MATCH(E303,'Landbrugsareal - resultat'!$O$4:$Q$4,0)))),SUMPRODUCT((B303='Landbrugsareal - resultat'!$B$32:$B$45)*(INDEX('Landbrugsareal - resultat'!$R$32:$T$45,,MATCH(E303,'Landbrugsareal - resultat'!$R$4:$T$4,0))))))))</f>
        <v>928.65090834978378</v>
      </c>
      <c r="H303" s="172">
        <f>G303*VLOOKUP(B303,[1]Afgrødedata!$A$5:$F$18,2,FALSE)*IF(D303="Økologisk",VLOOKUP(B303,[1]Afgrødedata!$A$5:$F$18,4,FALSE),1)*IF(E303&lt;&gt;Jordbund1,IF(E303=Organ6,VLOOKUP(B303,[1]Afgrødedata!$A$5:$F$18,5,FALSE),VLOOKUP(B303,[1]Afgrødedata!$A$5:$F$18,6,FALSE)),1)*0.1</f>
        <v>34307.429102438567</v>
      </c>
      <c r="I303" s="172">
        <f>G303*VLOOKUP(B303,[1]Afgrødedata!$A$5:$F$18,3,FALSE)*IF(D303="Økologisk",VLOOKUP(B303,[1]Afgrødedata!$A$5:$F$18,4,FALSE),1)*IF(E303&lt;&gt;Jordbund1,IF(E303=Organ6,VLOOKUP(B303,[1]Afgrødedata!$A$5:$F$18,5,FALSE),VLOOKUP(B303,[1]Afgrødedata!$A$5:$F$18,6,FALSE)),1)*HLOOKUP(C303,Landbrug!$C$15:$E$17,2,FALSE)*HLOOKUP(C303,Landbrug!$C$15:$E$17,3,FALSE)*0.1</f>
        <v>0</v>
      </c>
      <c r="J303" s="76">
        <f t="shared" si="55"/>
        <v>34307.429102438567</v>
      </c>
    </row>
    <row r="304" spans="1:10" x14ac:dyDescent="0.55000000000000004">
      <c r="A304" t="s">
        <v>24</v>
      </c>
      <c r="B304" s="1" t="str">
        <f>[1]Afgrødefordeling!$C$10</f>
        <v>Frugt</v>
      </c>
      <c r="C304">
        <v>2019</v>
      </c>
      <c r="D304" t="s">
        <v>8</v>
      </c>
      <c r="E304" s="172" t="str">
        <f t="shared" si="56"/>
        <v>JB1-10</v>
      </c>
      <c r="F304" t="str">
        <f t="shared" si="54"/>
        <v>Frugt</v>
      </c>
      <c r="G304" s="76" cm="1">
        <f t="array" ref="G304">IF(A304="Vestdanmark",IF(D304="Konventionel",IF(C304=2019,SUMPRODUCT((B304='Landbrugsareal - resultat'!$B$5:$B$18)*(INDEX('Landbrugsareal - resultat'!$C$5:$E$18,,MATCH(E304,'Landbrugsareal - resultat'!$C$4:$E$4,0)))),IF(C304=2030,SUMPRODUCT((B304='Landbrugsareal - resultat'!$B$5:$B$18)*(INDEX('Landbrugsareal - resultat'!$F$5:$H$18,,MATCH(E304,'Landbrugsareal - resultat'!$F$4:$H$4,0)))),SUMPRODUCT((B304='Landbrugsareal - resultat'!$B$5:$B$18)*(INDEX('Landbrugsareal - resultat'!$I$5:$K$18,,MATCH(E304,'Landbrugsareal - resultat'!$I$4:$K$4,0)))))),IF(C304=2019,SUMPRODUCT((B304='Landbrugsareal - resultat'!$B$5:$B$18)*(INDEX('Landbrugsareal - resultat'!$L$5:$N$18,,MATCH(E304,'Landbrugsareal - resultat'!$L$4:$N$4,0)))),IF(C304=2030,SUMPRODUCT((B304='Landbrugsareal - resultat'!$B$5:$B$18)*(INDEX('Landbrugsareal - resultat'!$O$5:$Q$18,,MATCH(E304,'Landbrugsareal - resultat'!$O$4:$Q$4,0)))),SUMPRODUCT((B304='Landbrugsareal - resultat'!$B$5:$B$18)*(INDEX('Landbrugsareal - resultat'!$R$5:$T$18,,MATCH(E304,'Landbrugsareal - resultat'!$R$4:$T$4,0))))))),IF(D304="Konventionel",IF(C304=2019,SUMPRODUCT((B304='Landbrugsareal - resultat'!$B$32:$B$45)*(INDEX('Landbrugsareal - resultat'!$C$32:$E$45,,MATCH(E304,'Landbrugsareal - resultat'!$C$4:$E$4,0)))),IF(C304=2030,SUMPRODUCT((B304='Landbrugsareal - resultat'!$B$32:$B$45)*(INDEX('Landbrugsareal - resultat'!$F$32:$H$45,,MATCH(E304,'Landbrugsareal - resultat'!$F$4:$H$4,0)))),SUMPRODUCT((B304='Landbrugsareal - resultat'!$B$32:$B$45)*(INDEX('Landbrugsareal - resultat'!$I$32:$K$45,,MATCH(E304,'Landbrugsareal - resultat'!$I$4:$K$4,0)))))),IF(C304=2019,SUMPRODUCT((B304='Landbrugsareal - resultat'!$B$32:$B$45)*(INDEX('Landbrugsareal - resultat'!$L$32:$N$45,,MATCH(E304,'Landbrugsareal - resultat'!$L$4:$N$4,0)))),IF(C304=2030,SUMPRODUCT((B304='Landbrugsareal - resultat'!$B$32:$B$45)*(INDEX('Landbrugsareal - resultat'!$O$32:$Q$45,,MATCH(E304,'Landbrugsareal - resultat'!$O$4:$Q$4,0)))),SUMPRODUCT((B304='Landbrugsareal - resultat'!$B$32:$B$45)*(INDEX('Landbrugsareal - resultat'!$R$32:$T$45,,MATCH(E304,'Landbrugsareal - resultat'!$R$4:$T$4,0))))))))</f>
        <v>216.07963746777307</v>
      </c>
      <c r="H304" s="172">
        <f>G304*VLOOKUP(B304,[1]Afgrødedata!$A$5:$F$18,2,FALSE)*IF(D304="Økologisk",VLOOKUP(B304,[1]Afgrødedata!$A$5:$F$18,4,FALSE),1)*IF(E304&lt;&gt;Jordbund1,IF(E304=Organ6,VLOOKUP(B304,[1]Afgrødedata!$A$5:$F$18,5,FALSE),VLOOKUP(B304,[1]Afgrødedata!$A$5:$F$18,6,FALSE)),1)*0.1</f>
        <v>1045.6741895977943</v>
      </c>
      <c r="I304" s="172">
        <f>G304*VLOOKUP(B304,[1]Afgrødedata!$A$5:$F$18,3,FALSE)*IF(D304="Økologisk",VLOOKUP(B304,[1]Afgrødedata!$A$5:$F$18,4,FALSE),1)*IF(E304&lt;&gt;Jordbund1,IF(E304=Organ6,VLOOKUP(B304,[1]Afgrødedata!$A$5:$F$18,5,FALSE),VLOOKUP(B304,[1]Afgrødedata!$A$5:$F$18,6,FALSE)),1)*HLOOKUP(C304,Landbrug!$C$15:$E$17,2,FALSE)*HLOOKUP(C304,Landbrug!$C$15:$E$17,3,FALSE)*0.1</f>
        <v>0</v>
      </c>
      <c r="J304" s="76">
        <f t="shared" si="55"/>
        <v>1045.6741895977943</v>
      </c>
    </row>
    <row r="305" spans="1:10" x14ac:dyDescent="0.55000000000000004">
      <c r="A305" t="s">
        <v>24</v>
      </c>
      <c r="B305" s="1" t="str">
        <f>[1]Afgrødefordeling!$C$11</f>
        <v>Øvrige</v>
      </c>
      <c r="C305">
        <v>2019</v>
      </c>
      <c r="D305" t="s">
        <v>8</v>
      </c>
      <c r="E305" s="172" t="str">
        <f t="shared" si="56"/>
        <v>JB1-10</v>
      </c>
      <c r="F305" t="str">
        <f t="shared" si="54"/>
        <v>Øvrige</v>
      </c>
      <c r="G305" s="76" cm="1">
        <f t="array" ref="G305">IF(A305="Vestdanmark",IF(D305="Konventionel",IF(C305=2019,SUMPRODUCT((B305='Landbrugsareal - resultat'!$B$5:$B$18)*(INDEX('Landbrugsareal - resultat'!$C$5:$E$18,,MATCH(E305,'Landbrugsareal - resultat'!$C$4:$E$4,0)))),IF(C305=2030,SUMPRODUCT((B305='Landbrugsareal - resultat'!$B$5:$B$18)*(INDEX('Landbrugsareal - resultat'!$F$5:$H$18,,MATCH(E305,'Landbrugsareal - resultat'!$F$4:$H$4,0)))),SUMPRODUCT((B305='Landbrugsareal - resultat'!$B$5:$B$18)*(INDEX('Landbrugsareal - resultat'!$I$5:$K$18,,MATCH(E305,'Landbrugsareal - resultat'!$I$4:$K$4,0)))))),IF(C305=2019,SUMPRODUCT((B305='Landbrugsareal - resultat'!$B$5:$B$18)*(INDEX('Landbrugsareal - resultat'!$L$5:$N$18,,MATCH(E305,'Landbrugsareal - resultat'!$L$4:$N$4,0)))),IF(C305=2030,SUMPRODUCT((B305='Landbrugsareal - resultat'!$B$5:$B$18)*(INDEX('Landbrugsareal - resultat'!$O$5:$Q$18,,MATCH(E305,'Landbrugsareal - resultat'!$O$4:$Q$4,0)))),SUMPRODUCT((B305='Landbrugsareal - resultat'!$B$5:$B$18)*(INDEX('Landbrugsareal - resultat'!$R$5:$T$18,,MATCH(E305,'Landbrugsareal - resultat'!$R$4:$T$4,0))))))),IF(D305="Konventionel",IF(C305=2019,SUMPRODUCT((B305='Landbrugsareal - resultat'!$B$32:$B$45)*(INDEX('Landbrugsareal - resultat'!$C$32:$E$45,,MATCH(E305,'Landbrugsareal - resultat'!$C$4:$E$4,0)))),IF(C305=2030,SUMPRODUCT((B305='Landbrugsareal - resultat'!$B$32:$B$45)*(INDEX('Landbrugsareal - resultat'!$F$32:$H$45,,MATCH(E305,'Landbrugsareal - resultat'!$F$4:$H$4,0)))),SUMPRODUCT((B305='Landbrugsareal - resultat'!$B$32:$B$45)*(INDEX('Landbrugsareal - resultat'!$I$32:$K$45,,MATCH(E305,'Landbrugsareal - resultat'!$I$4:$K$4,0)))))),IF(C305=2019,SUMPRODUCT((B305='Landbrugsareal - resultat'!$B$32:$B$45)*(INDEX('Landbrugsareal - resultat'!$L$32:$N$45,,MATCH(E305,'Landbrugsareal - resultat'!$L$4:$N$4,0)))),IF(C305=2030,SUMPRODUCT((B305='Landbrugsareal - resultat'!$B$32:$B$45)*(INDEX('Landbrugsareal - resultat'!$O$32:$Q$45,,MATCH(E305,'Landbrugsareal - resultat'!$O$4:$Q$4,0)))),SUMPRODUCT((B305='Landbrugsareal - resultat'!$B$32:$B$45)*(INDEX('Landbrugsareal - resultat'!$R$32:$T$45,,MATCH(E305,'Landbrugsareal - resultat'!$R$4:$T$4,0))))))))</f>
        <v>1542.9134126721628</v>
      </c>
      <c r="H305" s="172">
        <f>G305*VLOOKUP(B305,[1]Afgrødedata!$A$5:$F$18,2,FALSE)*IF(D305="Økologisk",VLOOKUP(B305,[1]Afgrødedata!$A$5:$F$18,4,FALSE),1)*IF(E305&lt;&gt;Jordbund1,IF(E305=Organ6,VLOOKUP(B305,[1]Afgrødedata!$A$5:$F$18,5,FALSE),VLOOKUP(B305,[1]Afgrødedata!$A$5:$F$18,6,FALSE)),1)*0.1</f>
        <v>26204.359702741538</v>
      </c>
      <c r="I305" s="172">
        <f>G305*VLOOKUP(B305,[1]Afgrødedata!$A$5:$F$18,3,FALSE)*IF(D305="Økologisk",VLOOKUP(B305,[1]Afgrødedata!$A$5:$F$18,4,FALSE),1)*IF(E305&lt;&gt;Jordbund1,IF(E305=Organ6,VLOOKUP(B305,[1]Afgrødedata!$A$5:$F$18,5,FALSE),VLOOKUP(B305,[1]Afgrødedata!$A$5:$F$18,6,FALSE)),1)*HLOOKUP(C305,Landbrug!$C$15:$E$17,2,FALSE)*HLOOKUP(C305,Landbrug!$C$15:$E$17,3,FALSE)*0.1</f>
        <v>0</v>
      </c>
      <c r="J305" s="76">
        <f t="shared" si="55"/>
        <v>26204.359702741538</v>
      </c>
    </row>
    <row r="306" spans="1:10" x14ac:dyDescent="0.55000000000000004">
      <c r="A306" t="s">
        <v>24</v>
      </c>
      <c r="B306" s="1" t="str">
        <f>[1]Afgrødefordeling!$C$12</f>
        <v>Frø</v>
      </c>
      <c r="C306">
        <v>2019</v>
      </c>
      <c r="D306" t="s">
        <v>8</v>
      </c>
      <c r="E306" s="172" t="str">
        <f t="shared" si="56"/>
        <v>JB1-10</v>
      </c>
      <c r="F306" t="str">
        <f t="shared" si="54"/>
        <v>Halm</v>
      </c>
      <c r="G306" s="76" cm="1">
        <f t="array" ref="G306">IF(A306="Vestdanmark",IF(D306="Konventionel",IF(C306=2019,SUMPRODUCT((B306='Landbrugsareal - resultat'!$B$5:$B$18)*(INDEX('Landbrugsareal - resultat'!$C$5:$E$18,,MATCH(E306,'Landbrugsareal - resultat'!$C$4:$E$4,0)))),IF(C306=2030,SUMPRODUCT((B306='Landbrugsareal - resultat'!$B$5:$B$18)*(INDEX('Landbrugsareal - resultat'!$F$5:$H$18,,MATCH(E306,'Landbrugsareal - resultat'!$F$4:$H$4,0)))),SUMPRODUCT((B306='Landbrugsareal - resultat'!$B$5:$B$18)*(INDEX('Landbrugsareal - resultat'!$I$5:$K$18,,MATCH(E306,'Landbrugsareal - resultat'!$I$4:$K$4,0)))))),IF(C306=2019,SUMPRODUCT((B306='Landbrugsareal - resultat'!$B$5:$B$18)*(INDEX('Landbrugsareal - resultat'!$L$5:$N$18,,MATCH(E306,'Landbrugsareal - resultat'!$L$4:$N$4,0)))),IF(C306=2030,SUMPRODUCT((B306='Landbrugsareal - resultat'!$B$5:$B$18)*(INDEX('Landbrugsareal - resultat'!$O$5:$Q$18,,MATCH(E306,'Landbrugsareal - resultat'!$O$4:$Q$4,0)))),SUMPRODUCT((B306='Landbrugsareal - resultat'!$B$5:$B$18)*(INDEX('Landbrugsareal - resultat'!$R$5:$T$18,,MATCH(E306,'Landbrugsareal - resultat'!$R$4:$T$4,0))))))),IF(D306="Konventionel",IF(C306=2019,SUMPRODUCT((B306='Landbrugsareal - resultat'!$B$32:$B$45)*(INDEX('Landbrugsareal - resultat'!$C$32:$E$45,,MATCH(E306,'Landbrugsareal - resultat'!$C$4:$E$4,0)))),IF(C306=2030,SUMPRODUCT((B306='Landbrugsareal - resultat'!$B$32:$B$45)*(INDEX('Landbrugsareal - resultat'!$F$32:$H$45,,MATCH(E306,'Landbrugsareal - resultat'!$F$4:$H$4,0)))),SUMPRODUCT((B306='Landbrugsareal - resultat'!$B$32:$B$45)*(INDEX('Landbrugsareal - resultat'!$I$32:$K$45,,MATCH(E306,'Landbrugsareal - resultat'!$I$4:$K$4,0)))))),IF(C306=2019,SUMPRODUCT((B306='Landbrugsareal - resultat'!$B$32:$B$45)*(INDEX('Landbrugsareal - resultat'!$L$32:$N$45,,MATCH(E306,'Landbrugsareal - resultat'!$L$4:$N$4,0)))),IF(C306=2030,SUMPRODUCT((B306='Landbrugsareal - resultat'!$B$32:$B$45)*(INDEX('Landbrugsareal - resultat'!$O$32:$Q$45,,MATCH(E306,'Landbrugsareal - resultat'!$O$4:$Q$4,0)))),SUMPRODUCT((B306='Landbrugsareal - resultat'!$B$32:$B$45)*(INDEX('Landbrugsareal - resultat'!$R$32:$T$45,,MATCH(E306,'Landbrugsareal - resultat'!$R$4:$T$4,0))))))))</f>
        <v>4773.7285911047593</v>
      </c>
      <c r="H306" s="172">
        <f>G306*VLOOKUP(B306,[1]Afgrødedata!$A$5:$F$18,2,FALSE)*IF(D306="Økologisk",VLOOKUP(B306,[1]Afgrødedata!$A$5:$F$18,4,FALSE),1)*IF(E306&lt;&gt;Jordbund1,IF(E306=Organ6,VLOOKUP(B306,[1]Afgrødedata!$A$5:$F$18,5,FALSE),VLOOKUP(B306,[1]Afgrødedata!$A$5:$F$18,6,FALSE)),1)*0.1</f>
        <v>38880.351590888582</v>
      </c>
      <c r="I306" s="172">
        <f>G306*VLOOKUP(B306,[1]Afgrødedata!$A$5:$F$18,3,FALSE)*IF(D306="Økologisk",VLOOKUP(B306,[1]Afgrødedata!$A$5:$F$18,4,FALSE),1)*IF(E306&lt;&gt;Jordbund1,IF(E306=Organ6,VLOOKUP(B306,[1]Afgrødedata!$A$5:$F$18,5,FALSE),VLOOKUP(B306,[1]Afgrødedata!$A$5:$F$18,6,FALSE)),1)*HLOOKUP(C306,Landbrug!$C$15:$E$17,2,FALSE)*HLOOKUP(C306,Landbrug!$C$15:$E$17,3,FALSE)*0.1</f>
        <v>6459.1698498517526</v>
      </c>
      <c r="J306" s="76">
        <f t="shared" si="55"/>
        <v>6459.1698498517526</v>
      </c>
    </row>
    <row r="307" spans="1:10" x14ac:dyDescent="0.55000000000000004">
      <c r="A307" t="s">
        <v>24</v>
      </c>
      <c r="B307" s="1" t="str">
        <f>[1]Afgrødefordeling!$C$13</f>
        <v>Juletræer</v>
      </c>
      <c r="C307">
        <v>2019</v>
      </c>
      <c r="D307" t="s">
        <v>8</v>
      </c>
      <c r="E307" s="172" t="str">
        <f t="shared" si="56"/>
        <v>JB1-10</v>
      </c>
      <c r="F307" t="str">
        <f t="shared" si="54"/>
        <v>Juletræer</v>
      </c>
      <c r="G307" s="76" cm="1">
        <f t="array" ref="G307">IF(A307="Vestdanmark",IF(D307="Konventionel",IF(C307=2019,SUMPRODUCT((B307='Landbrugsareal - resultat'!$B$5:$B$18)*(INDEX('Landbrugsareal - resultat'!$C$5:$E$18,,MATCH(E307,'Landbrugsareal - resultat'!$C$4:$E$4,0)))),IF(C307=2030,SUMPRODUCT((B307='Landbrugsareal - resultat'!$B$5:$B$18)*(INDEX('Landbrugsareal - resultat'!$F$5:$H$18,,MATCH(E307,'Landbrugsareal - resultat'!$F$4:$H$4,0)))),SUMPRODUCT((B307='Landbrugsareal - resultat'!$B$5:$B$18)*(INDEX('Landbrugsareal - resultat'!$I$5:$K$18,,MATCH(E307,'Landbrugsareal - resultat'!$I$4:$K$4,0)))))),IF(C307=2019,SUMPRODUCT((B307='Landbrugsareal - resultat'!$B$5:$B$18)*(INDEX('Landbrugsareal - resultat'!$L$5:$N$18,,MATCH(E307,'Landbrugsareal - resultat'!$L$4:$N$4,0)))),IF(C307=2030,SUMPRODUCT((B307='Landbrugsareal - resultat'!$B$5:$B$18)*(INDEX('Landbrugsareal - resultat'!$O$5:$Q$18,,MATCH(E307,'Landbrugsareal - resultat'!$O$4:$Q$4,0)))),SUMPRODUCT((B307='Landbrugsareal - resultat'!$B$5:$B$18)*(INDEX('Landbrugsareal - resultat'!$R$5:$T$18,,MATCH(E307,'Landbrugsareal - resultat'!$R$4:$T$4,0))))))),IF(D307="Konventionel",IF(C307=2019,SUMPRODUCT((B307='Landbrugsareal - resultat'!$B$32:$B$45)*(INDEX('Landbrugsareal - resultat'!$C$32:$E$45,,MATCH(E307,'Landbrugsareal - resultat'!$C$4:$E$4,0)))),IF(C307=2030,SUMPRODUCT((B307='Landbrugsareal - resultat'!$B$32:$B$45)*(INDEX('Landbrugsareal - resultat'!$F$32:$H$45,,MATCH(E307,'Landbrugsareal - resultat'!$F$4:$H$4,0)))),SUMPRODUCT((B307='Landbrugsareal - resultat'!$B$32:$B$45)*(INDEX('Landbrugsareal - resultat'!$I$32:$K$45,,MATCH(E307,'Landbrugsareal - resultat'!$I$4:$K$4,0)))))),IF(C307=2019,SUMPRODUCT((B307='Landbrugsareal - resultat'!$B$32:$B$45)*(INDEX('Landbrugsareal - resultat'!$L$32:$N$45,,MATCH(E307,'Landbrugsareal - resultat'!$L$4:$N$4,0)))),IF(C307=2030,SUMPRODUCT((B307='Landbrugsareal - resultat'!$B$32:$B$45)*(INDEX('Landbrugsareal - resultat'!$O$32:$Q$45,,MATCH(E307,'Landbrugsareal - resultat'!$O$4:$Q$4,0)))),SUMPRODUCT((B307='Landbrugsareal - resultat'!$B$32:$B$45)*(INDEX('Landbrugsareal - resultat'!$R$32:$T$45,,MATCH(E307,'Landbrugsareal - resultat'!$R$4:$T$4,0))))))))</f>
        <v>338.59556228136813</v>
      </c>
      <c r="H307" s="172">
        <f>G307*VLOOKUP(B307,[1]Afgrødedata!$A$5:$F$18,2,FALSE)*IF(D307="Økologisk",VLOOKUP(B307,[1]Afgrødedata!$A$5:$F$18,4,FALSE),1)*IF(E307&lt;&gt;Jordbund1,IF(E307=Organ6,VLOOKUP(B307,[1]Afgrødedata!$A$5:$F$18,5,FALSE),VLOOKUP(B307,[1]Afgrødedata!$A$5:$F$18,6,FALSE)),1)*0.1</f>
        <v>9649.9735250189897</v>
      </c>
      <c r="I307" s="172">
        <f>G307*VLOOKUP(B307,[1]Afgrødedata!$A$5:$F$18,3,FALSE)*IF(D307="Økologisk",VLOOKUP(B307,[1]Afgrødedata!$A$5:$F$18,4,FALSE),1)*IF(E307&lt;&gt;Jordbund1,IF(E307=Organ6,VLOOKUP(B307,[1]Afgrødedata!$A$5:$F$18,5,FALSE),VLOOKUP(B307,[1]Afgrødedata!$A$5:$F$18,6,FALSE)),1)*HLOOKUP(C307,Landbrug!$C$15:$E$17,2,FALSE)*HLOOKUP(C307,Landbrug!$C$15:$E$17,3,FALSE)*0.1</f>
        <v>0</v>
      </c>
      <c r="J307" s="76">
        <f t="shared" si="55"/>
        <v>9649.9735250189897</v>
      </c>
    </row>
    <row r="308" spans="1:10" x14ac:dyDescent="0.55000000000000004">
      <c r="A308" t="s">
        <v>24</v>
      </c>
      <c r="B308" s="1" t="str">
        <f>[1]Afgrødefordeling!$C$14</f>
        <v>Pil &amp; poppel</v>
      </c>
      <c r="C308">
        <v>2019</v>
      </c>
      <c r="D308" t="s">
        <v>8</v>
      </c>
      <c r="E308" s="172" t="str">
        <f t="shared" si="56"/>
        <v>JB1-10</v>
      </c>
      <c r="F308" t="str">
        <f t="shared" si="54"/>
        <v>Pil &amp; poppel</v>
      </c>
      <c r="G308" s="76" cm="1">
        <f t="array" ref="G308">IF(A308="Vestdanmark",IF(D308="Konventionel",IF(C308=2019,SUMPRODUCT((B308='Landbrugsareal - resultat'!$B$5:$B$18)*(INDEX('Landbrugsareal - resultat'!$C$5:$E$18,,MATCH(E308,'Landbrugsareal - resultat'!$C$4:$E$4,0)))),IF(C308=2030,SUMPRODUCT((B308='Landbrugsareal - resultat'!$B$5:$B$18)*(INDEX('Landbrugsareal - resultat'!$F$5:$H$18,,MATCH(E308,'Landbrugsareal - resultat'!$F$4:$H$4,0)))),SUMPRODUCT((B308='Landbrugsareal - resultat'!$B$5:$B$18)*(INDEX('Landbrugsareal - resultat'!$I$5:$K$18,,MATCH(E308,'Landbrugsareal - resultat'!$I$4:$K$4,0)))))),IF(C308=2019,SUMPRODUCT((B308='Landbrugsareal - resultat'!$B$5:$B$18)*(INDEX('Landbrugsareal - resultat'!$L$5:$N$18,,MATCH(E308,'Landbrugsareal - resultat'!$L$4:$N$4,0)))),IF(C308=2030,SUMPRODUCT((B308='Landbrugsareal - resultat'!$B$5:$B$18)*(INDEX('Landbrugsareal - resultat'!$O$5:$Q$18,,MATCH(E308,'Landbrugsareal - resultat'!$O$4:$Q$4,0)))),SUMPRODUCT((B308='Landbrugsareal - resultat'!$B$5:$B$18)*(INDEX('Landbrugsareal - resultat'!$R$5:$T$18,,MATCH(E308,'Landbrugsareal - resultat'!$R$4:$T$4,0))))))),IF(D308="Konventionel",IF(C308=2019,SUMPRODUCT((B308='Landbrugsareal - resultat'!$B$32:$B$45)*(INDEX('Landbrugsareal - resultat'!$C$32:$E$45,,MATCH(E308,'Landbrugsareal - resultat'!$C$4:$E$4,0)))),IF(C308=2030,SUMPRODUCT((B308='Landbrugsareal - resultat'!$B$32:$B$45)*(INDEX('Landbrugsareal - resultat'!$F$32:$H$45,,MATCH(E308,'Landbrugsareal - resultat'!$F$4:$H$4,0)))),SUMPRODUCT((B308='Landbrugsareal - resultat'!$B$32:$B$45)*(INDEX('Landbrugsareal - resultat'!$I$32:$K$45,,MATCH(E308,'Landbrugsareal - resultat'!$I$4:$K$4,0)))))),IF(C308=2019,SUMPRODUCT((B308='Landbrugsareal - resultat'!$B$32:$B$45)*(INDEX('Landbrugsareal - resultat'!$L$32:$N$45,,MATCH(E308,'Landbrugsareal - resultat'!$L$4:$N$4,0)))),IF(C308=2030,SUMPRODUCT((B308='Landbrugsareal - resultat'!$B$32:$B$45)*(INDEX('Landbrugsareal - resultat'!$O$32:$Q$45,,MATCH(E308,'Landbrugsareal - resultat'!$O$4:$Q$4,0)))),SUMPRODUCT((B308='Landbrugsareal - resultat'!$B$32:$B$45)*(INDEX('Landbrugsareal - resultat'!$R$32:$T$45,,MATCH(E308,'Landbrugsareal - resultat'!$R$4:$T$4,0))))))))</f>
        <v>160.94667615908057</v>
      </c>
      <c r="H308" s="172">
        <f>G308*VLOOKUP(B308,[1]Afgrødedata!$A$5:$F$18,2,FALSE)*IF(D308="Økologisk",VLOOKUP(B308,[1]Afgrødedata!$A$5:$F$18,4,FALSE),1)*IF(E308&lt;&gt;Jordbund1,IF(E308=Organ6,VLOOKUP(B308,[1]Afgrødedata!$A$5:$F$18,5,FALSE),VLOOKUP(B308,[1]Afgrødedata!$A$5:$F$18,6,FALSE)),1)*0.1</f>
        <v>2237.5513514799004</v>
      </c>
      <c r="I308" s="172">
        <f>G308*VLOOKUP(B308,[1]Afgrødedata!$A$5:$F$18,3,FALSE)*IF(D308="Økologisk",VLOOKUP(B308,[1]Afgrødedata!$A$5:$F$18,4,FALSE),1)*IF(E308&lt;&gt;Jordbund1,IF(E308=Organ6,VLOOKUP(B308,[1]Afgrødedata!$A$5:$F$18,5,FALSE),VLOOKUP(B308,[1]Afgrødedata!$A$5:$F$18,6,FALSE)),1)*HLOOKUP(C308,Landbrug!$C$15:$E$17,2,FALSE)*HLOOKUP(C308,Landbrug!$C$15:$E$17,3,FALSE)*0.1</f>
        <v>0</v>
      </c>
      <c r="J308" s="76">
        <f t="shared" si="55"/>
        <v>2237.5513514799004</v>
      </c>
    </row>
    <row r="309" spans="1:10" x14ac:dyDescent="0.55000000000000004">
      <c r="A309" t="s">
        <v>24</v>
      </c>
      <c r="B309" s="1" t="str">
        <f>[1]Afgrødefordeling!$C$15</f>
        <v>Permanent græs</v>
      </c>
      <c r="C309">
        <v>2019</v>
      </c>
      <c r="D309" t="s">
        <v>8</v>
      </c>
      <c r="E309" s="172" t="str">
        <f t="shared" si="56"/>
        <v>JB1-10</v>
      </c>
      <c r="F309" t="str">
        <f t="shared" si="54"/>
        <v>Græs</v>
      </c>
      <c r="G309" s="76" cm="1">
        <f t="array" ref="G309">IF(A309="Vestdanmark",IF(D309="Konventionel",IF(C309=2019,SUMPRODUCT((B309='Landbrugsareal - resultat'!$B$5:$B$18)*(INDEX('Landbrugsareal - resultat'!$C$5:$E$18,,MATCH(E309,'Landbrugsareal - resultat'!$C$4:$E$4,0)))),IF(C309=2030,SUMPRODUCT((B309='Landbrugsareal - resultat'!$B$5:$B$18)*(INDEX('Landbrugsareal - resultat'!$F$5:$H$18,,MATCH(E309,'Landbrugsareal - resultat'!$F$4:$H$4,0)))),SUMPRODUCT((B309='Landbrugsareal - resultat'!$B$5:$B$18)*(INDEX('Landbrugsareal - resultat'!$I$5:$K$18,,MATCH(E309,'Landbrugsareal - resultat'!$I$4:$K$4,0)))))),IF(C309=2019,SUMPRODUCT((B309='Landbrugsareal - resultat'!$B$5:$B$18)*(INDEX('Landbrugsareal - resultat'!$L$5:$N$18,,MATCH(E309,'Landbrugsareal - resultat'!$L$4:$N$4,0)))),IF(C309=2030,SUMPRODUCT((B309='Landbrugsareal - resultat'!$B$5:$B$18)*(INDEX('Landbrugsareal - resultat'!$O$5:$Q$18,,MATCH(E309,'Landbrugsareal - resultat'!$O$4:$Q$4,0)))),SUMPRODUCT((B309='Landbrugsareal - resultat'!$B$5:$B$18)*(INDEX('Landbrugsareal - resultat'!$R$5:$T$18,,MATCH(E309,'Landbrugsareal - resultat'!$R$4:$T$4,0))))))),IF(D309="Konventionel",IF(C309=2019,SUMPRODUCT((B309='Landbrugsareal - resultat'!$B$32:$B$45)*(INDEX('Landbrugsareal - resultat'!$C$32:$E$45,,MATCH(E309,'Landbrugsareal - resultat'!$C$4:$E$4,0)))),IF(C309=2030,SUMPRODUCT((B309='Landbrugsareal - resultat'!$B$32:$B$45)*(INDEX('Landbrugsareal - resultat'!$F$32:$H$45,,MATCH(E309,'Landbrugsareal - resultat'!$F$4:$H$4,0)))),SUMPRODUCT((B309='Landbrugsareal - resultat'!$B$32:$B$45)*(INDEX('Landbrugsareal - resultat'!$I$32:$K$45,,MATCH(E309,'Landbrugsareal - resultat'!$I$4:$K$4,0)))))),IF(C309=2019,SUMPRODUCT((B309='Landbrugsareal - resultat'!$B$32:$B$45)*(INDEX('Landbrugsareal - resultat'!$L$32:$N$45,,MATCH(E309,'Landbrugsareal - resultat'!$L$4:$N$4,0)))),IF(C309=2030,SUMPRODUCT((B309='Landbrugsareal - resultat'!$B$32:$B$45)*(INDEX('Landbrugsareal - resultat'!$O$32:$Q$45,,MATCH(E309,'Landbrugsareal - resultat'!$O$4:$Q$4,0)))),SUMPRODUCT((B309='Landbrugsareal - resultat'!$B$32:$B$45)*(INDEX('Landbrugsareal - resultat'!$R$32:$T$45,,MATCH(E309,'Landbrugsareal - resultat'!$R$4:$T$4,0))))))))</f>
        <v>4008.7323870971445</v>
      </c>
      <c r="H309" s="172">
        <f>G309*VLOOKUP(B309,[1]Afgrødedata!$A$5:$F$18,2,FALSE)*IF(D309="Økologisk",VLOOKUP(B309,[1]Afgrødedata!$A$5:$F$18,4,FALSE),1)*IF(E309&lt;&gt;Jordbund1,IF(E309=Organ6,VLOOKUP(B309,[1]Afgrødedata!$A$5:$F$18,5,FALSE),VLOOKUP(B309,[1]Afgrødedata!$A$5:$F$18,6,FALSE)),1)*0.1</f>
        <v>55280.419618069631</v>
      </c>
      <c r="I309" s="172">
        <f>G309*VLOOKUP(B309,[1]Afgrødedata!$A$5:$F$18,3,FALSE)*IF(D309="Økologisk",VLOOKUP(B309,[1]Afgrødedata!$A$5:$F$18,4,FALSE),1)*IF(E309&lt;&gt;Jordbund1,IF(E309=Organ6,VLOOKUP(B309,[1]Afgrødedata!$A$5:$F$18,5,FALSE),VLOOKUP(B309,[1]Afgrødedata!$A$5:$F$18,6,FALSE)),1)*HLOOKUP(C309,Landbrug!$C$15:$E$17,2,FALSE)*HLOOKUP(C309,Landbrug!$C$15:$E$17,3,FALSE)*0.1</f>
        <v>0</v>
      </c>
      <c r="J309" s="76">
        <f t="shared" si="55"/>
        <v>55280.419618069631</v>
      </c>
    </row>
    <row r="310" spans="1:10" x14ac:dyDescent="0.55000000000000004">
      <c r="A310" t="s">
        <v>24</v>
      </c>
      <c r="B310" s="1" t="str">
        <f>[1]Afgrødefordeling!$C$2</f>
        <v>Korn</v>
      </c>
      <c r="C310">
        <v>2030</v>
      </c>
      <c r="D310" t="s">
        <v>8</v>
      </c>
      <c r="E310" s="172" t="str">
        <f t="shared" si="56"/>
        <v>JB1-10</v>
      </c>
      <c r="F310" t="str">
        <f t="shared" si="54"/>
        <v>Halm</v>
      </c>
      <c r="G310" s="76" cm="1">
        <f t="array" ref="G310">IF(A310="Vestdanmark",IF(D310="Konventionel",IF(C310=2019,SUMPRODUCT((B310='Landbrugsareal - resultat'!$B$5:$B$18)*(INDEX('Landbrugsareal - resultat'!$C$5:$E$18,,MATCH(E310,'Landbrugsareal - resultat'!$C$4:$E$4,0)))),IF(C310=2030,SUMPRODUCT((B310='Landbrugsareal - resultat'!$B$5:$B$18)*(INDEX('Landbrugsareal - resultat'!$F$5:$H$18,,MATCH(E310,'Landbrugsareal - resultat'!$F$4:$H$4,0)))),SUMPRODUCT((B310='Landbrugsareal - resultat'!$B$5:$B$18)*(INDEX('Landbrugsareal - resultat'!$I$5:$K$18,,MATCH(E310,'Landbrugsareal - resultat'!$I$4:$K$4,0)))))),IF(C310=2019,SUMPRODUCT((B310='Landbrugsareal - resultat'!$B$5:$B$18)*(INDEX('Landbrugsareal - resultat'!$L$5:$N$18,,MATCH(E310,'Landbrugsareal - resultat'!$L$4:$N$4,0)))),IF(C310=2030,SUMPRODUCT((B310='Landbrugsareal - resultat'!$B$5:$B$18)*(INDEX('Landbrugsareal - resultat'!$O$5:$Q$18,,MATCH(E310,'Landbrugsareal - resultat'!$O$4:$Q$4,0)))),SUMPRODUCT((B310='Landbrugsareal - resultat'!$B$5:$B$18)*(INDEX('Landbrugsareal - resultat'!$R$5:$T$18,,MATCH(E310,'Landbrugsareal - resultat'!$R$4:$T$4,0))))))),IF(D310="Konventionel",IF(C310=2019,SUMPRODUCT((B310='Landbrugsareal - resultat'!$B$32:$B$45)*(INDEX('Landbrugsareal - resultat'!$C$32:$E$45,,MATCH(E310,'Landbrugsareal - resultat'!$C$4:$E$4,0)))),IF(C310=2030,SUMPRODUCT((B310='Landbrugsareal - resultat'!$B$32:$B$45)*(INDEX('Landbrugsareal - resultat'!$F$32:$H$45,,MATCH(E310,'Landbrugsareal - resultat'!$F$4:$H$4,0)))),SUMPRODUCT((B310='Landbrugsareal - resultat'!$B$32:$B$45)*(INDEX('Landbrugsareal - resultat'!$I$32:$K$45,,MATCH(E310,'Landbrugsareal - resultat'!$I$4:$K$4,0)))))),IF(C310=2019,SUMPRODUCT((B310='Landbrugsareal - resultat'!$B$32:$B$45)*(INDEX('Landbrugsareal - resultat'!$L$32:$N$45,,MATCH(E310,'Landbrugsareal - resultat'!$L$4:$N$4,0)))),IF(C310=2030,SUMPRODUCT((B310='Landbrugsareal - resultat'!$B$32:$B$45)*(INDEX('Landbrugsareal - resultat'!$O$32:$Q$45,,MATCH(E310,'Landbrugsareal - resultat'!$O$4:$Q$4,0)))),SUMPRODUCT((B310='Landbrugsareal - resultat'!$B$32:$B$45)*(INDEX('Landbrugsareal - resultat'!$R$32:$T$45,,MATCH(E310,'Landbrugsareal - resultat'!$R$4:$T$4,0))))))))</f>
        <v>44381.829299977158</v>
      </c>
      <c r="H310" s="172">
        <f>G310*VLOOKUP(B310,[1]Afgrødedata!$A$5:$F$18,2,FALSE)*IF(D310="Økologisk",VLOOKUP(B310,[1]Afgrødedata!$A$5:$F$18,4,FALSE),1)*IF(E310&lt;&gt;Jordbund1,IF(E310=Organ6,VLOOKUP(B310,[1]Afgrødedata!$A$5:$F$18,5,FALSE),VLOOKUP(B310,[1]Afgrødedata!$A$5:$F$18,6,FALSE)),1)*0.1</f>
        <v>208448.13767320273</v>
      </c>
      <c r="I310" s="172">
        <f>G310*VLOOKUP(B310,[1]Afgrødedata!$A$5:$F$18,3,FALSE)*IF(D310="Økologisk",VLOOKUP(B310,[1]Afgrødedata!$A$5:$F$18,4,FALSE),1)*IF(E310&lt;&gt;Jordbund1,IF(E310=Organ6,VLOOKUP(B310,[1]Afgrødedata!$A$5:$F$18,5,FALSE),VLOOKUP(B310,[1]Afgrødedata!$A$5:$F$18,6,FALSE)),1)*HLOOKUP(C310,Landbrug!$C$15:$E$17,2,FALSE)*HLOOKUP(C310,Landbrug!$C$15:$E$17,3,FALSE)*0.1</f>
        <v>67641.420674954294</v>
      </c>
      <c r="J310" s="76">
        <f t="shared" si="55"/>
        <v>67641.420674954294</v>
      </c>
    </row>
    <row r="311" spans="1:10" x14ac:dyDescent="0.55000000000000004">
      <c r="A311" t="s">
        <v>24</v>
      </c>
      <c r="B311" s="1" t="str">
        <f>[1]Afgrødefordeling!$C$3</f>
        <v>Bælgsæd</v>
      </c>
      <c r="C311">
        <v>2030</v>
      </c>
      <c r="D311" t="s">
        <v>8</v>
      </c>
      <c r="E311" s="172" t="str">
        <f t="shared" si="56"/>
        <v>JB1-10</v>
      </c>
      <c r="F311" t="str">
        <f t="shared" si="54"/>
        <v>Halm</v>
      </c>
      <c r="G311" s="76" cm="1">
        <f t="array" ref="G311">IF(A311="Vestdanmark",IF(D311="Konventionel",IF(C311=2019,SUMPRODUCT((B311='Landbrugsareal - resultat'!$B$5:$B$18)*(INDEX('Landbrugsareal - resultat'!$C$5:$E$18,,MATCH(E311,'Landbrugsareal - resultat'!$C$4:$E$4,0)))),IF(C311=2030,SUMPRODUCT((B311='Landbrugsareal - resultat'!$B$5:$B$18)*(INDEX('Landbrugsareal - resultat'!$F$5:$H$18,,MATCH(E311,'Landbrugsareal - resultat'!$F$4:$H$4,0)))),SUMPRODUCT((B311='Landbrugsareal - resultat'!$B$5:$B$18)*(INDEX('Landbrugsareal - resultat'!$I$5:$K$18,,MATCH(E311,'Landbrugsareal - resultat'!$I$4:$K$4,0)))))),IF(C311=2019,SUMPRODUCT((B311='Landbrugsareal - resultat'!$B$5:$B$18)*(INDEX('Landbrugsareal - resultat'!$L$5:$N$18,,MATCH(E311,'Landbrugsareal - resultat'!$L$4:$N$4,0)))),IF(C311=2030,SUMPRODUCT((B311='Landbrugsareal - resultat'!$B$5:$B$18)*(INDEX('Landbrugsareal - resultat'!$O$5:$Q$18,,MATCH(E311,'Landbrugsareal - resultat'!$O$4:$Q$4,0)))),SUMPRODUCT((B311='Landbrugsareal - resultat'!$B$5:$B$18)*(INDEX('Landbrugsareal - resultat'!$R$5:$T$18,,MATCH(E311,'Landbrugsareal - resultat'!$R$4:$T$4,0))))))),IF(D311="Konventionel",IF(C311=2019,SUMPRODUCT((B311='Landbrugsareal - resultat'!$B$32:$B$45)*(INDEX('Landbrugsareal - resultat'!$C$32:$E$45,,MATCH(E311,'Landbrugsareal - resultat'!$C$4:$E$4,0)))),IF(C311=2030,SUMPRODUCT((B311='Landbrugsareal - resultat'!$B$32:$B$45)*(INDEX('Landbrugsareal - resultat'!$F$32:$H$45,,MATCH(E311,'Landbrugsareal - resultat'!$F$4:$H$4,0)))),SUMPRODUCT((B311='Landbrugsareal - resultat'!$B$32:$B$45)*(INDEX('Landbrugsareal - resultat'!$I$32:$K$45,,MATCH(E311,'Landbrugsareal - resultat'!$I$4:$K$4,0)))))),IF(C311=2019,SUMPRODUCT((B311='Landbrugsareal - resultat'!$B$32:$B$45)*(INDEX('Landbrugsareal - resultat'!$L$32:$N$45,,MATCH(E311,'Landbrugsareal - resultat'!$L$4:$N$4,0)))),IF(C311=2030,SUMPRODUCT((B311='Landbrugsareal - resultat'!$B$32:$B$45)*(INDEX('Landbrugsareal - resultat'!$O$32:$Q$45,,MATCH(E311,'Landbrugsareal - resultat'!$O$4:$Q$4,0)))),SUMPRODUCT((B311='Landbrugsareal - resultat'!$B$32:$B$45)*(INDEX('Landbrugsareal - resultat'!$R$32:$T$45,,MATCH(E311,'Landbrugsareal - resultat'!$R$4:$T$4,0))))))))</f>
        <v>967.29472700735414</v>
      </c>
      <c r="H311" s="172">
        <f>G311*VLOOKUP(B311,[1]Afgrødedata!$A$5:$F$18,2,FALSE)*IF(D311="Økologisk",VLOOKUP(B311,[1]Afgrødedata!$A$5:$F$18,4,FALSE),1)*IF(E311&lt;&gt;Jordbund1,IF(E311=Organ6,VLOOKUP(B311,[1]Afgrødedata!$A$5:$F$18,5,FALSE),VLOOKUP(B311,[1]Afgrødedata!$A$5:$F$18,6,FALSE)),1)*0.1</f>
        <v>2128.2418583615804</v>
      </c>
      <c r="I311" s="172">
        <f>G311*VLOOKUP(B311,[1]Afgrødedata!$A$5:$F$18,3,FALSE)*IF(D311="Økologisk",VLOOKUP(B311,[1]Afgrødedata!$A$5:$F$18,4,FALSE),1)*IF(E311&lt;&gt;Jordbund1,IF(E311=Organ6,VLOOKUP(B311,[1]Afgrødedata!$A$5:$F$18,5,FALSE),VLOOKUP(B311,[1]Afgrødedata!$A$5:$F$18,6,FALSE)),1)*HLOOKUP(C311,Landbrug!$C$15:$E$17,2,FALSE)*HLOOKUP(C311,Landbrug!$C$15:$E$17,3,FALSE)*0.1</f>
        <v>628.15664943335878</v>
      </c>
      <c r="J311" s="76">
        <f t="shared" si="55"/>
        <v>628.15664943335878</v>
      </c>
    </row>
    <row r="312" spans="1:10" x14ac:dyDescent="0.55000000000000004">
      <c r="A312" t="s">
        <v>24</v>
      </c>
      <c r="B312" s="1" t="str">
        <f>[1]Afgrødefordeling!$C$4</f>
        <v>Raps</v>
      </c>
      <c r="C312">
        <v>2030</v>
      </c>
      <c r="D312" t="s">
        <v>8</v>
      </c>
      <c r="E312" s="172" t="str">
        <f t="shared" si="56"/>
        <v>JB1-10</v>
      </c>
      <c r="F312" t="str">
        <f t="shared" si="54"/>
        <v>Halm</v>
      </c>
      <c r="G312" s="76" cm="1">
        <f t="array" ref="G312">IF(A312="Vestdanmark",IF(D312="Konventionel",IF(C312=2019,SUMPRODUCT((B312='Landbrugsareal - resultat'!$B$5:$B$18)*(INDEX('Landbrugsareal - resultat'!$C$5:$E$18,,MATCH(E312,'Landbrugsareal - resultat'!$C$4:$E$4,0)))),IF(C312=2030,SUMPRODUCT((B312='Landbrugsareal - resultat'!$B$5:$B$18)*(INDEX('Landbrugsareal - resultat'!$F$5:$H$18,,MATCH(E312,'Landbrugsareal - resultat'!$F$4:$H$4,0)))),SUMPRODUCT((B312='Landbrugsareal - resultat'!$B$5:$B$18)*(INDEX('Landbrugsareal - resultat'!$I$5:$K$18,,MATCH(E312,'Landbrugsareal - resultat'!$I$4:$K$4,0)))))),IF(C312=2019,SUMPRODUCT((B312='Landbrugsareal - resultat'!$B$5:$B$18)*(INDEX('Landbrugsareal - resultat'!$L$5:$N$18,,MATCH(E312,'Landbrugsareal - resultat'!$L$4:$N$4,0)))),IF(C312=2030,SUMPRODUCT((B312='Landbrugsareal - resultat'!$B$5:$B$18)*(INDEX('Landbrugsareal - resultat'!$O$5:$Q$18,,MATCH(E312,'Landbrugsareal - resultat'!$O$4:$Q$4,0)))),SUMPRODUCT((B312='Landbrugsareal - resultat'!$B$5:$B$18)*(INDEX('Landbrugsareal - resultat'!$R$5:$T$18,,MATCH(E312,'Landbrugsareal - resultat'!$R$4:$T$4,0))))))),IF(D312="Konventionel",IF(C312=2019,SUMPRODUCT((B312='Landbrugsareal - resultat'!$B$32:$B$45)*(INDEX('Landbrugsareal - resultat'!$C$32:$E$45,,MATCH(E312,'Landbrugsareal - resultat'!$C$4:$E$4,0)))),IF(C312=2030,SUMPRODUCT((B312='Landbrugsareal - resultat'!$B$32:$B$45)*(INDEX('Landbrugsareal - resultat'!$F$32:$H$45,,MATCH(E312,'Landbrugsareal - resultat'!$F$4:$H$4,0)))),SUMPRODUCT((B312='Landbrugsareal - resultat'!$B$32:$B$45)*(INDEX('Landbrugsareal - resultat'!$I$32:$K$45,,MATCH(E312,'Landbrugsareal - resultat'!$I$4:$K$4,0)))))),IF(C312=2019,SUMPRODUCT((B312='Landbrugsareal - resultat'!$B$32:$B$45)*(INDEX('Landbrugsareal - resultat'!$L$32:$N$45,,MATCH(E312,'Landbrugsareal - resultat'!$L$4:$N$4,0)))),IF(C312=2030,SUMPRODUCT((B312='Landbrugsareal - resultat'!$B$32:$B$45)*(INDEX('Landbrugsareal - resultat'!$O$32:$Q$45,,MATCH(E312,'Landbrugsareal - resultat'!$O$4:$Q$4,0)))),SUMPRODUCT((B312='Landbrugsareal - resultat'!$B$32:$B$45)*(INDEX('Landbrugsareal - resultat'!$R$32:$T$45,,MATCH(E312,'Landbrugsareal - resultat'!$R$4:$T$4,0))))))))</f>
        <v>6135.9431668045636</v>
      </c>
      <c r="H312" s="172">
        <f>G312*VLOOKUP(B312,[1]Afgrødedata!$A$5:$F$18,2,FALSE)*IF(D312="Økologisk",VLOOKUP(B312,[1]Afgrødedata!$A$5:$F$18,4,FALSE),1)*IF(E312&lt;&gt;Jordbund1,IF(E312=Organ6,VLOOKUP(B312,[1]Afgrødedata!$A$5:$F$18,5,FALSE),VLOOKUP(B312,[1]Afgrødedata!$A$5:$F$18,6,FALSE)),1)*0.1</f>
        <v>14848.982463667046</v>
      </c>
      <c r="I312" s="172">
        <f>G312*VLOOKUP(B312,[1]Afgrødedata!$A$5:$F$18,3,FALSE)*IF(D312="Økologisk",VLOOKUP(B312,[1]Afgrødedata!$A$5:$F$18,4,FALSE),1)*IF(E312&lt;&gt;Jordbund1,IF(E312=Organ6,VLOOKUP(B312,[1]Afgrødedata!$A$5:$F$18,5,FALSE),VLOOKUP(B312,[1]Afgrødedata!$A$5:$F$18,6,FALSE)),1)*HLOOKUP(C312,Landbrug!$C$15:$E$17,2,FALSE)*HLOOKUP(C312,Landbrug!$C$15:$E$17,3,FALSE)*0.1</f>
        <v>7884.8096882072023</v>
      </c>
      <c r="J312" s="76">
        <f t="shared" si="55"/>
        <v>7884.8096882072023</v>
      </c>
    </row>
    <row r="313" spans="1:10" x14ac:dyDescent="0.55000000000000004">
      <c r="A313" t="s">
        <v>24</v>
      </c>
      <c r="B313" s="1" t="str">
        <f>[1]Afgrødefordeling!$C$5</f>
        <v>Græs</v>
      </c>
      <c r="C313">
        <v>2030</v>
      </c>
      <c r="D313" t="s">
        <v>8</v>
      </c>
      <c r="E313" s="172" t="str">
        <f t="shared" si="56"/>
        <v>JB1-10</v>
      </c>
      <c r="F313" t="str">
        <f t="shared" si="54"/>
        <v>Græs</v>
      </c>
      <c r="G313" s="76" cm="1">
        <f t="array" ref="G313">IF(A313="Vestdanmark",IF(D313="Konventionel",IF(C313=2019,SUMPRODUCT((B313='Landbrugsareal - resultat'!$B$5:$B$18)*(INDEX('Landbrugsareal - resultat'!$C$5:$E$18,,MATCH(E313,'Landbrugsareal - resultat'!$C$4:$E$4,0)))),IF(C313=2030,SUMPRODUCT((B313='Landbrugsareal - resultat'!$B$5:$B$18)*(INDEX('Landbrugsareal - resultat'!$F$5:$H$18,,MATCH(E313,'Landbrugsareal - resultat'!$F$4:$H$4,0)))),SUMPRODUCT((B313='Landbrugsareal - resultat'!$B$5:$B$18)*(INDEX('Landbrugsareal - resultat'!$I$5:$K$18,,MATCH(E313,'Landbrugsareal - resultat'!$I$4:$K$4,0)))))),IF(C313=2019,SUMPRODUCT((B313='Landbrugsareal - resultat'!$B$5:$B$18)*(INDEX('Landbrugsareal - resultat'!$L$5:$N$18,,MATCH(E313,'Landbrugsareal - resultat'!$L$4:$N$4,0)))),IF(C313=2030,SUMPRODUCT((B313='Landbrugsareal - resultat'!$B$5:$B$18)*(INDEX('Landbrugsareal - resultat'!$O$5:$Q$18,,MATCH(E313,'Landbrugsareal - resultat'!$O$4:$Q$4,0)))),SUMPRODUCT((B313='Landbrugsareal - resultat'!$B$5:$B$18)*(INDEX('Landbrugsareal - resultat'!$R$5:$T$18,,MATCH(E313,'Landbrugsareal - resultat'!$R$4:$T$4,0))))))),IF(D313="Konventionel",IF(C313=2019,SUMPRODUCT((B313='Landbrugsareal - resultat'!$B$32:$B$45)*(INDEX('Landbrugsareal - resultat'!$C$32:$E$45,,MATCH(E313,'Landbrugsareal - resultat'!$C$4:$E$4,0)))),IF(C313=2030,SUMPRODUCT((B313='Landbrugsareal - resultat'!$B$32:$B$45)*(INDEX('Landbrugsareal - resultat'!$F$32:$H$45,,MATCH(E313,'Landbrugsareal - resultat'!$F$4:$H$4,0)))),SUMPRODUCT((B313='Landbrugsareal - resultat'!$B$32:$B$45)*(INDEX('Landbrugsareal - resultat'!$I$32:$K$45,,MATCH(E313,'Landbrugsareal - resultat'!$I$4:$K$4,0)))))),IF(C313=2019,SUMPRODUCT((B313='Landbrugsareal - resultat'!$B$32:$B$45)*(INDEX('Landbrugsareal - resultat'!$L$32:$N$45,,MATCH(E313,'Landbrugsareal - resultat'!$L$4:$N$4,0)))),IF(C313=2030,SUMPRODUCT((B313='Landbrugsareal - resultat'!$B$32:$B$45)*(INDEX('Landbrugsareal - resultat'!$O$32:$Q$45,,MATCH(E313,'Landbrugsareal - resultat'!$O$4:$Q$4,0)))),SUMPRODUCT((B313='Landbrugsareal - resultat'!$B$32:$B$45)*(INDEX('Landbrugsareal - resultat'!$R$32:$T$45,,MATCH(E313,'Landbrugsareal - resultat'!$R$4:$T$4,0))))))))</f>
        <v>3727.7382672117792</v>
      </c>
      <c r="H313" s="172">
        <f>G313*VLOOKUP(B313,[1]Afgrødedata!$A$5:$F$18,2,FALSE)*IF(D313="Økologisk",VLOOKUP(B313,[1]Afgrødedata!$A$5:$F$18,4,FALSE),1)*IF(E313&lt;&gt;Jordbund1,IF(E313=Organ6,VLOOKUP(B313,[1]Afgrødedata!$A$5:$F$18,5,FALSE),VLOOKUP(B313,[1]Afgrødedata!$A$5:$F$18,6,FALSE)),1)*0.1</f>
        <v>144276.89079885781</v>
      </c>
      <c r="I313" s="172">
        <f>G313*VLOOKUP(B313,[1]Afgrødedata!$A$5:$F$18,3,FALSE)*IF(D313="Økologisk",VLOOKUP(B313,[1]Afgrødedata!$A$5:$F$18,4,FALSE),1)*IF(E313&lt;&gt;Jordbund1,IF(E313=Organ6,VLOOKUP(B313,[1]Afgrødedata!$A$5:$F$18,5,FALSE),VLOOKUP(B313,[1]Afgrødedata!$A$5:$F$18,6,FALSE)),1)*HLOOKUP(C313,Landbrug!$C$15:$E$17,2,FALSE)*HLOOKUP(C313,Landbrug!$C$15:$E$17,3,FALSE)*0.1</f>
        <v>0</v>
      </c>
      <c r="J313" s="76">
        <f t="shared" si="55"/>
        <v>144276.89079885781</v>
      </c>
    </row>
    <row r="314" spans="1:10" x14ac:dyDescent="0.55000000000000004">
      <c r="A314" t="s">
        <v>24</v>
      </c>
      <c r="B314" s="1" t="str">
        <f>[1]Afgrødefordeling!$C$6</f>
        <v>Grøntsager</v>
      </c>
      <c r="C314">
        <v>2030</v>
      </c>
      <c r="D314" t="s">
        <v>8</v>
      </c>
      <c r="E314" s="172" t="str">
        <f t="shared" si="56"/>
        <v>JB1-10</v>
      </c>
      <c r="F314" t="str">
        <f t="shared" si="54"/>
        <v>Grøntsager</v>
      </c>
      <c r="G314" s="76" cm="1">
        <f t="array" ref="G314">IF(A314="Vestdanmark",IF(D314="Konventionel",IF(C314=2019,SUMPRODUCT((B314='Landbrugsareal - resultat'!$B$5:$B$18)*(INDEX('Landbrugsareal - resultat'!$C$5:$E$18,,MATCH(E314,'Landbrugsareal - resultat'!$C$4:$E$4,0)))),IF(C314=2030,SUMPRODUCT((B314='Landbrugsareal - resultat'!$B$5:$B$18)*(INDEX('Landbrugsareal - resultat'!$F$5:$H$18,,MATCH(E314,'Landbrugsareal - resultat'!$F$4:$H$4,0)))),SUMPRODUCT((B314='Landbrugsareal - resultat'!$B$5:$B$18)*(INDEX('Landbrugsareal - resultat'!$I$5:$K$18,,MATCH(E314,'Landbrugsareal - resultat'!$I$4:$K$4,0)))))),IF(C314=2019,SUMPRODUCT((B314='Landbrugsareal - resultat'!$B$5:$B$18)*(INDEX('Landbrugsareal - resultat'!$L$5:$N$18,,MATCH(E314,'Landbrugsareal - resultat'!$L$4:$N$4,0)))),IF(C314=2030,SUMPRODUCT((B314='Landbrugsareal - resultat'!$B$5:$B$18)*(INDEX('Landbrugsareal - resultat'!$O$5:$Q$18,,MATCH(E314,'Landbrugsareal - resultat'!$O$4:$Q$4,0)))),SUMPRODUCT((B314='Landbrugsareal - resultat'!$B$5:$B$18)*(INDEX('Landbrugsareal - resultat'!$R$5:$T$18,,MATCH(E314,'Landbrugsareal - resultat'!$R$4:$T$4,0))))))),IF(D314="Konventionel",IF(C314=2019,SUMPRODUCT((B314='Landbrugsareal - resultat'!$B$32:$B$45)*(INDEX('Landbrugsareal - resultat'!$C$32:$E$45,,MATCH(E314,'Landbrugsareal - resultat'!$C$4:$E$4,0)))),IF(C314=2030,SUMPRODUCT((B314='Landbrugsareal - resultat'!$B$32:$B$45)*(INDEX('Landbrugsareal - resultat'!$F$32:$H$45,,MATCH(E314,'Landbrugsareal - resultat'!$F$4:$H$4,0)))),SUMPRODUCT((B314='Landbrugsareal - resultat'!$B$32:$B$45)*(INDEX('Landbrugsareal - resultat'!$I$32:$K$45,,MATCH(E314,'Landbrugsareal - resultat'!$I$4:$K$4,0)))))),IF(C314=2019,SUMPRODUCT((B314='Landbrugsareal - resultat'!$B$32:$B$45)*(INDEX('Landbrugsareal - resultat'!$L$32:$N$45,,MATCH(E314,'Landbrugsareal - resultat'!$L$4:$N$4,0)))),IF(C314=2030,SUMPRODUCT((B314='Landbrugsareal - resultat'!$B$32:$B$45)*(INDEX('Landbrugsareal - resultat'!$O$32:$Q$45,,MATCH(E314,'Landbrugsareal - resultat'!$O$4:$Q$4,0)))),SUMPRODUCT((B314='Landbrugsareal - resultat'!$B$32:$B$45)*(INDEX('Landbrugsareal - resultat'!$R$32:$T$45,,MATCH(E314,'Landbrugsareal - resultat'!$R$4:$T$4,0))))))))</f>
        <v>584.13756153813279</v>
      </c>
      <c r="H314" s="172">
        <f>G314*VLOOKUP(B314,[1]Afgrødedata!$A$5:$F$18,2,FALSE)*IF(D314="Økologisk",VLOOKUP(B314,[1]Afgrødedata!$A$5:$F$18,4,FALSE),1)*IF(E314&lt;&gt;Jordbund1,IF(E314=Organ6,VLOOKUP(B314,[1]Afgrødedata!$A$5:$F$18,5,FALSE),VLOOKUP(B314,[1]Afgrødedata!$A$5:$F$18,6,FALSE)),1)*0.1</f>
        <v>6908.8870090922646</v>
      </c>
      <c r="I314" s="172">
        <f>G314*VLOOKUP(B314,[1]Afgrødedata!$A$5:$F$18,3,FALSE)*IF(D314="Økologisk",VLOOKUP(B314,[1]Afgrødedata!$A$5:$F$18,4,FALSE),1)*IF(E314&lt;&gt;Jordbund1,IF(E314=Organ6,VLOOKUP(B314,[1]Afgrødedata!$A$5:$F$18,5,FALSE),VLOOKUP(B314,[1]Afgrødedata!$A$5:$F$18,6,FALSE)),1)*HLOOKUP(C314,Landbrug!$C$15:$E$17,2,FALSE)*HLOOKUP(C314,Landbrug!$C$15:$E$17,3,FALSE)*0.1</f>
        <v>0</v>
      </c>
      <c r="J314" s="76">
        <f t="shared" si="55"/>
        <v>6908.8870090922646</v>
      </c>
    </row>
    <row r="315" spans="1:10" x14ac:dyDescent="0.55000000000000004">
      <c r="A315" t="s">
        <v>24</v>
      </c>
      <c r="B315" s="1" t="str">
        <f>[1]Afgrødefordeling!$C$7</f>
        <v>Kartofler</v>
      </c>
      <c r="C315">
        <v>2030</v>
      </c>
      <c r="D315" t="s">
        <v>8</v>
      </c>
      <c r="E315" s="172" t="str">
        <f t="shared" si="56"/>
        <v>JB1-10</v>
      </c>
      <c r="F315" t="str">
        <f t="shared" si="54"/>
        <v>Kartofler</v>
      </c>
      <c r="G315" s="76" cm="1">
        <f t="array" ref="G315">IF(A315="Vestdanmark",IF(D315="Konventionel",IF(C315=2019,SUMPRODUCT((B315='Landbrugsareal - resultat'!$B$5:$B$18)*(INDEX('Landbrugsareal - resultat'!$C$5:$E$18,,MATCH(E315,'Landbrugsareal - resultat'!$C$4:$E$4,0)))),IF(C315=2030,SUMPRODUCT((B315='Landbrugsareal - resultat'!$B$5:$B$18)*(INDEX('Landbrugsareal - resultat'!$F$5:$H$18,,MATCH(E315,'Landbrugsareal - resultat'!$F$4:$H$4,0)))),SUMPRODUCT((B315='Landbrugsareal - resultat'!$B$5:$B$18)*(INDEX('Landbrugsareal - resultat'!$I$5:$K$18,,MATCH(E315,'Landbrugsareal - resultat'!$I$4:$K$4,0)))))),IF(C315=2019,SUMPRODUCT((B315='Landbrugsareal - resultat'!$B$5:$B$18)*(INDEX('Landbrugsareal - resultat'!$L$5:$N$18,,MATCH(E315,'Landbrugsareal - resultat'!$L$4:$N$4,0)))),IF(C315=2030,SUMPRODUCT((B315='Landbrugsareal - resultat'!$B$5:$B$18)*(INDEX('Landbrugsareal - resultat'!$O$5:$Q$18,,MATCH(E315,'Landbrugsareal - resultat'!$O$4:$Q$4,0)))),SUMPRODUCT((B315='Landbrugsareal - resultat'!$B$5:$B$18)*(INDEX('Landbrugsareal - resultat'!$R$5:$T$18,,MATCH(E315,'Landbrugsareal - resultat'!$R$4:$T$4,0))))))),IF(D315="Konventionel",IF(C315=2019,SUMPRODUCT((B315='Landbrugsareal - resultat'!$B$32:$B$45)*(INDEX('Landbrugsareal - resultat'!$C$32:$E$45,,MATCH(E315,'Landbrugsareal - resultat'!$C$4:$E$4,0)))),IF(C315=2030,SUMPRODUCT((B315='Landbrugsareal - resultat'!$B$32:$B$45)*(INDEX('Landbrugsareal - resultat'!$F$32:$H$45,,MATCH(E315,'Landbrugsareal - resultat'!$F$4:$H$4,0)))),SUMPRODUCT((B315='Landbrugsareal - resultat'!$B$32:$B$45)*(INDEX('Landbrugsareal - resultat'!$I$32:$K$45,,MATCH(E315,'Landbrugsareal - resultat'!$I$4:$K$4,0)))))),IF(C315=2019,SUMPRODUCT((B315='Landbrugsareal - resultat'!$B$32:$B$45)*(INDEX('Landbrugsareal - resultat'!$L$32:$N$45,,MATCH(E315,'Landbrugsareal - resultat'!$L$4:$N$4,0)))),IF(C315=2030,SUMPRODUCT((B315='Landbrugsareal - resultat'!$B$32:$B$45)*(INDEX('Landbrugsareal - resultat'!$O$32:$Q$45,,MATCH(E315,'Landbrugsareal - resultat'!$O$4:$Q$4,0)))),SUMPRODUCT((B315='Landbrugsareal - resultat'!$B$32:$B$45)*(INDEX('Landbrugsareal - resultat'!$R$32:$T$45,,MATCH(E315,'Landbrugsareal - resultat'!$R$4:$T$4,0))))))))</f>
        <v>374.72567985115398</v>
      </c>
      <c r="H315" s="172">
        <f>G315*VLOOKUP(B315,[1]Afgrødedata!$A$5:$F$18,2,FALSE)*IF(D315="Økologisk",VLOOKUP(B315,[1]Afgrødedata!$A$5:$F$18,4,FALSE),1)*IF(E315&lt;&gt;Jordbund1,IF(E315=Organ6,VLOOKUP(B315,[1]Afgrødedata!$A$5:$F$18,5,FALSE),VLOOKUP(B315,[1]Afgrødedata!$A$5:$F$18,6,FALSE)),1)*0.1</f>
        <v>9071.5139065300064</v>
      </c>
      <c r="I315" s="172">
        <f>G315*VLOOKUP(B315,[1]Afgrødedata!$A$5:$F$18,3,FALSE)*IF(D315="Økologisk",VLOOKUP(B315,[1]Afgrødedata!$A$5:$F$18,4,FALSE),1)*IF(E315&lt;&gt;Jordbund1,IF(E315=Organ6,VLOOKUP(B315,[1]Afgrødedata!$A$5:$F$18,5,FALSE),VLOOKUP(B315,[1]Afgrødedata!$A$5:$F$18,6,FALSE)),1)*HLOOKUP(C315,Landbrug!$C$15:$E$17,2,FALSE)*HLOOKUP(C315,Landbrug!$C$15:$E$17,3,FALSE)*0.1</f>
        <v>0</v>
      </c>
      <c r="J315" s="76">
        <f t="shared" si="55"/>
        <v>9071.5139065300064</v>
      </c>
    </row>
    <row r="316" spans="1:10" x14ac:dyDescent="0.55000000000000004">
      <c r="A316" t="s">
        <v>24</v>
      </c>
      <c r="B316" s="1" t="str">
        <f>[1]Afgrødefordeling!$C$8</f>
        <v>Roer</v>
      </c>
      <c r="C316">
        <v>2030</v>
      </c>
      <c r="D316" t="s">
        <v>8</v>
      </c>
      <c r="E316" s="172" t="str">
        <f t="shared" si="56"/>
        <v>JB1-10</v>
      </c>
      <c r="F316" t="str">
        <f t="shared" si="54"/>
        <v>Roer</v>
      </c>
      <c r="G316" s="76" cm="1">
        <f t="array" ref="G316">IF(A316="Vestdanmark",IF(D316="Konventionel",IF(C316=2019,SUMPRODUCT((B316='Landbrugsareal - resultat'!$B$5:$B$18)*(INDEX('Landbrugsareal - resultat'!$C$5:$E$18,,MATCH(E316,'Landbrugsareal - resultat'!$C$4:$E$4,0)))),IF(C316=2030,SUMPRODUCT((B316='Landbrugsareal - resultat'!$B$5:$B$18)*(INDEX('Landbrugsareal - resultat'!$F$5:$H$18,,MATCH(E316,'Landbrugsareal - resultat'!$F$4:$H$4,0)))),SUMPRODUCT((B316='Landbrugsareal - resultat'!$B$5:$B$18)*(INDEX('Landbrugsareal - resultat'!$I$5:$K$18,,MATCH(E316,'Landbrugsareal - resultat'!$I$4:$K$4,0)))))),IF(C316=2019,SUMPRODUCT((B316='Landbrugsareal - resultat'!$B$5:$B$18)*(INDEX('Landbrugsareal - resultat'!$L$5:$N$18,,MATCH(E316,'Landbrugsareal - resultat'!$L$4:$N$4,0)))),IF(C316=2030,SUMPRODUCT((B316='Landbrugsareal - resultat'!$B$5:$B$18)*(INDEX('Landbrugsareal - resultat'!$O$5:$Q$18,,MATCH(E316,'Landbrugsareal - resultat'!$O$4:$Q$4,0)))),SUMPRODUCT((B316='Landbrugsareal - resultat'!$B$5:$B$18)*(INDEX('Landbrugsareal - resultat'!$R$5:$T$18,,MATCH(E316,'Landbrugsareal - resultat'!$R$4:$T$4,0))))))),IF(D316="Konventionel",IF(C316=2019,SUMPRODUCT((B316='Landbrugsareal - resultat'!$B$32:$B$45)*(INDEX('Landbrugsareal - resultat'!$C$32:$E$45,,MATCH(E316,'Landbrugsareal - resultat'!$C$4:$E$4,0)))),IF(C316=2030,SUMPRODUCT((B316='Landbrugsareal - resultat'!$B$32:$B$45)*(INDEX('Landbrugsareal - resultat'!$F$32:$H$45,,MATCH(E316,'Landbrugsareal - resultat'!$F$4:$H$4,0)))),SUMPRODUCT((B316='Landbrugsareal - resultat'!$B$32:$B$45)*(INDEX('Landbrugsareal - resultat'!$I$32:$K$45,,MATCH(E316,'Landbrugsareal - resultat'!$I$4:$K$4,0)))))),IF(C316=2019,SUMPRODUCT((B316='Landbrugsareal - resultat'!$B$32:$B$45)*(INDEX('Landbrugsareal - resultat'!$L$32:$N$45,,MATCH(E316,'Landbrugsareal - resultat'!$L$4:$N$4,0)))),IF(C316=2030,SUMPRODUCT((B316='Landbrugsareal - resultat'!$B$32:$B$45)*(INDEX('Landbrugsareal - resultat'!$O$32:$Q$45,,MATCH(E316,'Landbrugsareal - resultat'!$O$4:$Q$4,0)))),SUMPRODUCT((B316='Landbrugsareal - resultat'!$B$32:$B$45)*(INDEX('Landbrugsareal - resultat'!$R$32:$T$45,,MATCH(E316,'Landbrugsareal - resultat'!$R$4:$T$4,0))))))))</f>
        <v>3895.5012871206354</v>
      </c>
      <c r="H316" s="172">
        <f>G316*VLOOKUP(B316,[1]Afgrødedata!$A$5:$F$18,2,FALSE)*IF(D316="Økologisk",VLOOKUP(B316,[1]Afgrødedata!$A$5:$F$18,4,FALSE),1)*IF(E316&lt;&gt;Jordbund1,IF(E316=Organ6,VLOOKUP(B316,[1]Afgrødedata!$A$5:$F$18,5,FALSE),VLOOKUP(B316,[1]Afgrødedata!$A$5:$F$18,6,FALSE)),1)*0.1</f>
        <v>180418.68856773584</v>
      </c>
      <c r="I316" s="172">
        <f>G316*VLOOKUP(B316,[1]Afgrødedata!$A$5:$F$18,3,FALSE)*IF(D316="Økologisk",VLOOKUP(B316,[1]Afgrødedata!$A$5:$F$18,4,FALSE),1)*IF(E316&lt;&gt;Jordbund1,IF(E316=Organ6,VLOOKUP(B316,[1]Afgrødedata!$A$5:$F$18,5,FALSE),VLOOKUP(B316,[1]Afgrødedata!$A$5:$F$18,6,FALSE)),1)*HLOOKUP(C316,Landbrug!$C$15:$E$17,2,FALSE)*HLOOKUP(C316,Landbrug!$C$15:$E$17,3,FALSE)*0.1</f>
        <v>0</v>
      </c>
      <c r="J316" s="76">
        <f t="shared" si="55"/>
        <v>180418.68856773584</v>
      </c>
    </row>
    <row r="317" spans="1:10" x14ac:dyDescent="0.55000000000000004">
      <c r="A317" t="s">
        <v>24</v>
      </c>
      <c r="B317" s="1" t="str">
        <f>[1]Afgrødefordeling!$C$9</f>
        <v>Majs</v>
      </c>
      <c r="C317">
        <v>2030</v>
      </c>
      <c r="D317" t="s">
        <v>8</v>
      </c>
      <c r="E317" s="172" t="str">
        <f t="shared" si="56"/>
        <v>JB1-10</v>
      </c>
      <c r="F317" t="str">
        <f t="shared" si="54"/>
        <v>Majs</v>
      </c>
      <c r="G317" s="76" cm="1">
        <f t="array" ref="G317">IF(A317="Vestdanmark",IF(D317="Konventionel",IF(C317=2019,SUMPRODUCT((B317='Landbrugsareal - resultat'!$B$5:$B$18)*(INDEX('Landbrugsareal - resultat'!$C$5:$E$18,,MATCH(E317,'Landbrugsareal - resultat'!$C$4:$E$4,0)))),IF(C317=2030,SUMPRODUCT((B317='Landbrugsareal - resultat'!$B$5:$B$18)*(INDEX('Landbrugsareal - resultat'!$F$5:$H$18,,MATCH(E317,'Landbrugsareal - resultat'!$F$4:$H$4,0)))),SUMPRODUCT((B317='Landbrugsareal - resultat'!$B$5:$B$18)*(INDEX('Landbrugsareal - resultat'!$I$5:$K$18,,MATCH(E317,'Landbrugsareal - resultat'!$I$4:$K$4,0)))))),IF(C317=2019,SUMPRODUCT((B317='Landbrugsareal - resultat'!$B$5:$B$18)*(INDEX('Landbrugsareal - resultat'!$L$5:$N$18,,MATCH(E317,'Landbrugsareal - resultat'!$L$4:$N$4,0)))),IF(C317=2030,SUMPRODUCT((B317='Landbrugsareal - resultat'!$B$5:$B$18)*(INDEX('Landbrugsareal - resultat'!$O$5:$Q$18,,MATCH(E317,'Landbrugsareal - resultat'!$O$4:$Q$4,0)))),SUMPRODUCT((B317='Landbrugsareal - resultat'!$B$5:$B$18)*(INDEX('Landbrugsareal - resultat'!$R$5:$T$18,,MATCH(E317,'Landbrugsareal - resultat'!$R$4:$T$4,0))))))),IF(D317="Konventionel",IF(C317=2019,SUMPRODUCT((B317='Landbrugsareal - resultat'!$B$32:$B$45)*(INDEX('Landbrugsareal - resultat'!$C$32:$E$45,,MATCH(E317,'Landbrugsareal - resultat'!$C$4:$E$4,0)))),IF(C317=2030,SUMPRODUCT((B317='Landbrugsareal - resultat'!$B$32:$B$45)*(INDEX('Landbrugsareal - resultat'!$F$32:$H$45,,MATCH(E317,'Landbrugsareal - resultat'!$F$4:$H$4,0)))),SUMPRODUCT((B317='Landbrugsareal - resultat'!$B$32:$B$45)*(INDEX('Landbrugsareal - resultat'!$I$32:$K$45,,MATCH(E317,'Landbrugsareal - resultat'!$I$4:$K$4,0)))))),IF(C317=2019,SUMPRODUCT((B317='Landbrugsareal - resultat'!$B$32:$B$45)*(INDEX('Landbrugsareal - resultat'!$L$32:$N$45,,MATCH(E317,'Landbrugsareal - resultat'!$L$4:$N$4,0)))),IF(C317=2030,SUMPRODUCT((B317='Landbrugsareal - resultat'!$B$32:$B$45)*(INDEX('Landbrugsareal - resultat'!$O$32:$Q$45,,MATCH(E317,'Landbrugsareal - resultat'!$O$4:$Q$4,0)))),SUMPRODUCT((B317='Landbrugsareal - resultat'!$B$32:$B$45)*(INDEX('Landbrugsareal - resultat'!$R$32:$T$45,,MATCH(E317,'Landbrugsareal - resultat'!$R$4:$T$4,0))))))))</f>
        <v>1101.7927285208236</v>
      </c>
      <c r="H317" s="172">
        <f>G317*VLOOKUP(B317,[1]Afgrødedata!$A$5:$F$18,2,FALSE)*IF(D317="Økologisk",VLOOKUP(B317,[1]Afgrødedata!$A$5:$F$18,4,FALSE),1)*IF(E317&lt;&gt;Jordbund1,IF(E317=Organ6,VLOOKUP(B317,[1]Afgrødedata!$A$5:$F$18,5,FALSE),VLOOKUP(B317,[1]Afgrødedata!$A$5:$F$18,6,FALSE)),1)*0.1</f>
        <v>40703.859307563347</v>
      </c>
      <c r="I317" s="172">
        <f>G317*VLOOKUP(B317,[1]Afgrødedata!$A$5:$F$18,3,FALSE)*IF(D317="Økologisk",VLOOKUP(B317,[1]Afgrødedata!$A$5:$F$18,4,FALSE),1)*IF(E317&lt;&gt;Jordbund1,IF(E317=Organ6,VLOOKUP(B317,[1]Afgrødedata!$A$5:$F$18,5,FALSE),VLOOKUP(B317,[1]Afgrødedata!$A$5:$F$18,6,FALSE)),1)*HLOOKUP(C317,Landbrug!$C$15:$E$17,2,FALSE)*HLOOKUP(C317,Landbrug!$C$15:$E$17,3,FALSE)*0.1</f>
        <v>0</v>
      </c>
      <c r="J317" s="76">
        <f t="shared" si="55"/>
        <v>40703.859307563347</v>
      </c>
    </row>
    <row r="318" spans="1:10" x14ac:dyDescent="0.55000000000000004">
      <c r="A318" t="s">
        <v>24</v>
      </c>
      <c r="B318" s="1" t="str">
        <f>[1]Afgrødefordeling!$C$10</f>
        <v>Frugt</v>
      </c>
      <c r="C318">
        <v>2030</v>
      </c>
      <c r="D318" t="s">
        <v>8</v>
      </c>
      <c r="E318" s="172" t="str">
        <f t="shared" ref="E318:E337" si="57">Jordbund1</f>
        <v>JB1-10</v>
      </c>
      <c r="F318" t="str">
        <f t="shared" si="54"/>
        <v>Frugt</v>
      </c>
      <c r="G318" s="76" cm="1">
        <f t="array" ref="G318">IF(A318="Vestdanmark",IF(D318="Konventionel",IF(C318=2019,SUMPRODUCT((B318='Landbrugsareal - resultat'!$B$5:$B$18)*(INDEX('Landbrugsareal - resultat'!$C$5:$E$18,,MATCH(E318,'Landbrugsareal - resultat'!$C$4:$E$4,0)))),IF(C318=2030,SUMPRODUCT((B318='Landbrugsareal - resultat'!$B$5:$B$18)*(INDEX('Landbrugsareal - resultat'!$F$5:$H$18,,MATCH(E318,'Landbrugsareal - resultat'!$F$4:$H$4,0)))),SUMPRODUCT((B318='Landbrugsareal - resultat'!$B$5:$B$18)*(INDEX('Landbrugsareal - resultat'!$I$5:$K$18,,MATCH(E318,'Landbrugsareal - resultat'!$I$4:$K$4,0)))))),IF(C318=2019,SUMPRODUCT((B318='Landbrugsareal - resultat'!$B$5:$B$18)*(INDEX('Landbrugsareal - resultat'!$L$5:$N$18,,MATCH(E318,'Landbrugsareal - resultat'!$L$4:$N$4,0)))),IF(C318=2030,SUMPRODUCT((B318='Landbrugsareal - resultat'!$B$5:$B$18)*(INDEX('Landbrugsareal - resultat'!$O$5:$Q$18,,MATCH(E318,'Landbrugsareal - resultat'!$O$4:$Q$4,0)))),SUMPRODUCT((B318='Landbrugsareal - resultat'!$B$5:$B$18)*(INDEX('Landbrugsareal - resultat'!$R$5:$T$18,,MATCH(E318,'Landbrugsareal - resultat'!$R$4:$T$4,0))))))),IF(D318="Konventionel",IF(C318=2019,SUMPRODUCT((B318='Landbrugsareal - resultat'!$B$32:$B$45)*(INDEX('Landbrugsareal - resultat'!$C$32:$E$45,,MATCH(E318,'Landbrugsareal - resultat'!$C$4:$E$4,0)))),IF(C318=2030,SUMPRODUCT((B318='Landbrugsareal - resultat'!$B$32:$B$45)*(INDEX('Landbrugsareal - resultat'!$F$32:$H$45,,MATCH(E318,'Landbrugsareal - resultat'!$F$4:$H$4,0)))),SUMPRODUCT((B318='Landbrugsareal - resultat'!$B$32:$B$45)*(INDEX('Landbrugsareal - resultat'!$I$32:$K$45,,MATCH(E318,'Landbrugsareal - resultat'!$I$4:$K$4,0)))))),IF(C318=2019,SUMPRODUCT((B318='Landbrugsareal - resultat'!$B$32:$B$45)*(INDEX('Landbrugsareal - resultat'!$L$32:$N$45,,MATCH(E318,'Landbrugsareal - resultat'!$L$4:$N$4,0)))),IF(C318=2030,SUMPRODUCT((B318='Landbrugsareal - resultat'!$B$32:$B$45)*(INDEX('Landbrugsareal - resultat'!$O$32:$Q$45,,MATCH(E318,'Landbrugsareal - resultat'!$O$4:$Q$4,0)))),SUMPRODUCT((B318='Landbrugsareal - resultat'!$B$32:$B$45)*(INDEX('Landbrugsareal - resultat'!$R$32:$T$45,,MATCH(E318,'Landbrugsareal - resultat'!$R$4:$T$4,0))))))))</f>
        <v>256.36648949869465</v>
      </c>
      <c r="H318" s="172">
        <f>G318*VLOOKUP(B318,[1]Afgrødedata!$A$5:$F$18,2,FALSE)*IF(D318="Økologisk",VLOOKUP(B318,[1]Afgrødedata!$A$5:$F$18,4,FALSE),1)*IF(E318&lt;&gt;Jordbund1,IF(E318=Organ6,VLOOKUP(B318,[1]Afgrødedata!$A$5:$F$18,5,FALSE),VLOOKUP(B318,[1]Afgrødedata!$A$5:$F$18,6,FALSE)),1)*0.1</f>
        <v>1240.6343526310329</v>
      </c>
      <c r="I318" s="172">
        <f>G318*VLOOKUP(B318,[1]Afgrødedata!$A$5:$F$18,3,FALSE)*IF(D318="Økologisk",VLOOKUP(B318,[1]Afgrødedata!$A$5:$F$18,4,FALSE),1)*IF(E318&lt;&gt;Jordbund1,IF(E318=Organ6,VLOOKUP(B318,[1]Afgrødedata!$A$5:$F$18,5,FALSE),VLOOKUP(B318,[1]Afgrødedata!$A$5:$F$18,6,FALSE)),1)*HLOOKUP(C318,Landbrug!$C$15:$E$17,2,FALSE)*HLOOKUP(C318,Landbrug!$C$15:$E$17,3,FALSE)*0.1</f>
        <v>0</v>
      </c>
      <c r="J318" s="76">
        <f t="shared" si="55"/>
        <v>1240.6343526310329</v>
      </c>
    </row>
    <row r="319" spans="1:10" x14ac:dyDescent="0.55000000000000004">
      <c r="A319" t="s">
        <v>24</v>
      </c>
      <c r="B319" s="1" t="str">
        <f>[1]Afgrødefordeling!$C$11</f>
        <v>Øvrige</v>
      </c>
      <c r="C319">
        <v>2030</v>
      </c>
      <c r="D319" t="s">
        <v>8</v>
      </c>
      <c r="E319" s="172" t="str">
        <f t="shared" si="57"/>
        <v>JB1-10</v>
      </c>
      <c r="F319" t="str">
        <f t="shared" si="54"/>
        <v>Øvrige</v>
      </c>
      <c r="G319" s="76" cm="1">
        <f t="array" ref="G319">IF(A319="Vestdanmark",IF(D319="Konventionel",IF(C319=2019,SUMPRODUCT((B319='Landbrugsareal - resultat'!$B$5:$B$18)*(INDEX('Landbrugsareal - resultat'!$C$5:$E$18,,MATCH(E319,'Landbrugsareal - resultat'!$C$4:$E$4,0)))),IF(C319=2030,SUMPRODUCT((B319='Landbrugsareal - resultat'!$B$5:$B$18)*(INDEX('Landbrugsareal - resultat'!$F$5:$H$18,,MATCH(E319,'Landbrugsareal - resultat'!$F$4:$H$4,0)))),SUMPRODUCT((B319='Landbrugsareal - resultat'!$B$5:$B$18)*(INDEX('Landbrugsareal - resultat'!$I$5:$K$18,,MATCH(E319,'Landbrugsareal - resultat'!$I$4:$K$4,0)))))),IF(C319=2019,SUMPRODUCT((B319='Landbrugsareal - resultat'!$B$5:$B$18)*(INDEX('Landbrugsareal - resultat'!$L$5:$N$18,,MATCH(E319,'Landbrugsareal - resultat'!$L$4:$N$4,0)))),IF(C319=2030,SUMPRODUCT((B319='Landbrugsareal - resultat'!$B$5:$B$18)*(INDEX('Landbrugsareal - resultat'!$O$5:$Q$18,,MATCH(E319,'Landbrugsareal - resultat'!$O$4:$Q$4,0)))),SUMPRODUCT((B319='Landbrugsareal - resultat'!$B$5:$B$18)*(INDEX('Landbrugsareal - resultat'!$R$5:$T$18,,MATCH(E319,'Landbrugsareal - resultat'!$R$4:$T$4,0))))))),IF(D319="Konventionel",IF(C319=2019,SUMPRODUCT((B319='Landbrugsareal - resultat'!$B$32:$B$45)*(INDEX('Landbrugsareal - resultat'!$C$32:$E$45,,MATCH(E319,'Landbrugsareal - resultat'!$C$4:$E$4,0)))),IF(C319=2030,SUMPRODUCT((B319='Landbrugsareal - resultat'!$B$32:$B$45)*(INDEX('Landbrugsareal - resultat'!$F$32:$H$45,,MATCH(E319,'Landbrugsareal - resultat'!$F$4:$H$4,0)))),SUMPRODUCT((B319='Landbrugsareal - resultat'!$B$32:$B$45)*(INDEX('Landbrugsareal - resultat'!$I$32:$K$45,,MATCH(E319,'Landbrugsareal - resultat'!$I$4:$K$4,0)))))),IF(C319=2019,SUMPRODUCT((B319='Landbrugsareal - resultat'!$B$32:$B$45)*(INDEX('Landbrugsareal - resultat'!$L$32:$N$45,,MATCH(E319,'Landbrugsareal - resultat'!$L$4:$N$4,0)))),IF(C319=2030,SUMPRODUCT((B319='Landbrugsareal - resultat'!$B$32:$B$45)*(INDEX('Landbrugsareal - resultat'!$O$32:$Q$45,,MATCH(E319,'Landbrugsareal - resultat'!$O$4:$Q$4,0)))),SUMPRODUCT((B319='Landbrugsareal - resultat'!$B$32:$B$45)*(INDEX('Landbrugsareal - resultat'!$R$32:$T$45,,MATCH(E319,'Landbrugsareal - resultat'!$R$4:$T$4,0))))))))</f>
        <v>1830.5810757675265</v>
      </c>
      <c r="H319" s="172">
        <f>G319*VLOOKUP(B319,[1]Afgrødedata!$A$5:$F$18,2,FALSE)*IF(D319="Økologisk",VLOOKUP(B319,[1]Afgrødedata!$A$5:$F$18,4,FALSE),1)*IF(E319&lt;&gt;Jordbund1,IF(E319=Organ6,VLOOKUP(B319,[1]Afgrødedata!$A$5:$F$18,5,FALSE),VLOOKUP(B319,[1]Afgrødedata!$A$5:$F$18,6,FALSE)),1)*0.1</f>
        <v>31090.017482812756</v>
      </c>
      <c r="I319" s="172">
        <f>G319*VLOOKUP(B319,[1]Afgrødedata!$A$5:$F$18,3,FALSE)*IF(D319="Økologisk",VLOOKUP(B319,[1]Afgrødedata!$A$5:$F$18,4,FALSE),1)*IF(E319&lt;&gt;Jordbund1,IF(E319=Organ6,VLOOKUP(B319,[1]Afgrødedata!$A$5:$F$18,5,FALSE),VLOOKUP(B319,[1]Afgrødedata!$A$5:$F$18,6,FALSE)),1)*HLOOKUP(C319,Landbrug!$C$15:$E$17,2,FALSE)*HLOOKUP(C319,Landbrug!$C$15:$E$17,3,FALSE)*0.1</f>
        <v>0</v>
      </c>
      <c r="J319" s="76">
        <f t="shared" si="55"/>
        <v>31090.017482812756</v>
      </c>
    </row>
    <row r="320" spans="1:10" x14ac:dyDescent="0.55000000000000004">
      <c r="A320" t="s">
        <v>24</v>
      </c>
      <c r="B320" s="1" t="str">
        <f>[1]Afgrødefordeling!$C$12</f>
        <v>Frø</v>
      </c>
      <c r="C320">
        <v>2030</v>
      </c>
      <c r="D320" t="s">
        <v>8</v>
      </c>
      <c r="E320" s="172" t="str">
        <f t="shared" si="57"/>
        <v>JB1-10</v>
      </c>
      <c r="F320" t="str">
        <f t="shared" si="54"/>
        <v>Halm</v>
      </c>
      <c r="G320" s="76" cm="1">
        <f t="array" ref="G320">IF(A320="Vestdanmark",IF(D320="Konventionel",IF(C320=2019,SUMPRODUCT((B320='Landbrugsareal - resultat'!$B$5:$B$18)*(INDEX('Landbrugsareal - resultat'!$C$5:$E$18,,MATCH(E320,'Landbrugsareal - resultat'!$C$4:$E$4,0)))),IF(C320=2030,SUMPRODUCT((B320='Landbrugsareal - resultat'!$B$5:$B$18)*(INDEX('Landbrugsareal - resultat'!$F$5:$H$18,,MATCH(E320,'Landbrugsareal - resultat'!$F$4:$H$4,0)))),SUMPRODUCT((B320='Landbrugsareal - resultat'!$B$5:$B$18)*(INDEX('Landbrugsareal - resultat'!$I$5:$K$18,,MATCH(E320,'Landbrugsareal - resultat'!$I$4:$K$4,0)))))),IF(C320=2019,SUMPRODUCT((B320='Landbrugsareal - resultat'!$B$5:$B$18)*(INDEX('Landbrugsareal - resultat'!$L$5:$N$18,,MATCH(E320,'Landbrugsareal - resultat'!$L$4:$N$4,0)))),IF(C320=2030,SUMPRODUCT((B320='Landbrugsareal - resultat'!$B$5:$B$18)*(INDEX('Landbrugsareal - resultat'!$O$5:$Q$18,,MATCH(E320,'Landbrugsareal - resultat'!$O$4:$Q$4,0)))),SUMPRODUCT((B320='Landbrugsareal - resultat'!$B$5:$B$18)*(INDEX('Landbrugsareal - resultat'!$R$5:$T$18,,MATCH(E320,'Landbrugsareal - resultat'!$R$4:$T$4,0))))))),IF(D320="Konventionel",IF(C320=2019,SUMPRODUCT((B320='Landbrugsareal - resultat'!$B$32:$B$45)*(INDEX('Landbrugsareal - resultat'!$C$32:$E$45,,MATCH(E320,'Landbrugsareal - resultat'!$C$4:$E$4,0)))),IF(C320=2030,SUMPRODUCT((B320='Landbrugsareal - resultat'!$B$32:$B$45)*(INDEX('Landbrugsareal - resultat'!$F$32:$H$45,,MATCH(E320,'Landbrugsareal - resultat'!$F$4:$H$4,0)))),SUMPRODUCT((B320='Landbrugsareal - resultat'!$B$32:$B$45)*(INDEX('Landbrugsareal - resultat'!$I$32:$K$45,,MATCH(E320,'Landbrugsareal - resultat'!$I$4:$K$4,0)))))),IF(C320=2019,SUMPRODUCT((B320='Landbrugsareal - resultat'!$B$32:$B$45)*(INDEX('Landbrugsareal - resultat'!$L$32:$N$45,,MATCH(E320,'Landbrugsareal - resultat'!$L$4:$N$4,0)))),IF(C320=2030,SUMPRODUCT((B320='Landbrugsareal - resultat'!$B$32:$B$45)*(INDEX('Landbrugsareal - resultat'!$O$32:$Q$45,,MATCH(E320,'Landbrugsareal - resultat'!$O$4:$Q$4,0)))),SUMPRODUCT((B320='Landbrugsareal - resultat'!$B$32:$B$45)*(INDEX('Landbrugsareal - resultat'!$R$32:$T$45,,MATCH(E320,'Landbrugsareal - resultat'!$R$4:$T$4,0))))))))</f>
        <v>5663.7638560625701</v>
      </c>
      <c r="H320" s="172">
        <f>G320*VLOOKUP(B320,[1]Afgrødedata!$A$5:$F$18,2,FALSE)*IF(D320="Økologisk",VLOOKUP(B320,[1]Afgrødedata!$A$5:$F$18,4,FALSE),1)*IF(E320&lt;&gt;Jordbund1,IF(E320=Organ6,VLOOKUP(B320,[1]Afgrødedata!$A$5:$F$18,5,FALSE),VLOOKUP(B320,[1]Afgrødedata!$A$5:$F$18,6,FALSE)),1)*0.1</f>
        <v>46129.377874940677</v>
      </c>
      <c r="I320" s="172">
        <f>G320*VLOOKUP(B320,[1]Afgrødedata!$A$5:$F$18,3,FALSE)*IF(D320="Økologisk",VLOOKUP(B320,[1]Afgrødedata!$A$5:$F$18,4,FALSE),1)*IF(E320&lt;&gt;Jordbund1,IF(E320=Organ6,VLOOKUP(B320,[1]Afgrødedata!$A$5:$F$18,5,FALSE),VLOOKUP(B320,[1]Afgrødedata!$A$5:$F$18,6,FALSE)),1)*HLOOKUP(C320,Landbrug!$C$15:$E$17,2,FALSE)*HLOOKUP(C320,Landbrug!$C$15:$E$17,3,FALSE)*0.1</f>
        <v>7618.895139175369</v>
      </c>
      <c r="J320" s="76">
        <f t="shared" si="55"/>
        <v>7618.895139175369</v>
      </c>
    </row>
    <row r="321" spans="1:10" x14ac:dyDescent="0.55000000000000004">
      <c r="A321" t="s">
        <v>24</v>
      </c>
      <c r="B321" s="1" t="str">
        <f>[1]Afgrødefordeling!$C$13</f>
        <v>Juletræer</v>
      </c>
      <c r="C321">
        <v>2030</v>
      </c>
      <c r="D321" t="s">
        <v>8</v>
      </c>
      <c r="E321" s="172" t="str">
        <f t="shared" si="57"/>
        <v>JB1-10</v>
      </c>
      <c r="F321" t="str">
        <f t="shared" si="54"/>
        <v>Juletræer</v>
      </c>
      <c r="G321" s="76" cm="1">
        <f t="array" ref="G321">IF(A321="Vestdanmark",IF(D321="Konventionel",IF(C321=2019,SUMPRODUCT((B321='Landbrugsareal - resultat'!$B$5:$B$18)*(INDEX('Landbrugsareal - resultat'!$C$5:$E$18,,MATCH(E321,'Landbrugsareal - resultat'!$C$4:$E$4,0)))),IF(C321=2030,SUMPRODUCT((B321='Landbrugsareal - resultat'!$B$5:$B$18)*(INDEX('Landbrugsareal - resultat'!$F$5:$H$18,,MATCH(E321,'Landbrugsareal - resultat'!$F$4:$H$4,0)))),SUMPRODUCT((B321='Landbrugsareal - resultat'!$B$5:$B$18)*(INDEX('Landbrugsareal - resultat'!$I$5:$K$18,,MATCH(E321,'Landbrugsareal - resultat'!$I$4:$K$4,0)))))),IF(C321=2019,SUMPRODUCT((B321='Landbrugsareal - resultat'!$B$5:$B$18)*(INDEX('Landbrugsareal - resultat'!$L$5:$N$18,,MATCH(E321,'Landbrugsareal - resultat'!$L$4:$N$4,0)))),IF(C321=2030,SUMPRODUCT((B321='Landbrugsareal - resultat'!$B$5:$B$18)*(INDEX('Landbrugsareal - resultat'!$O$5:$Q$18,,MATCH(E321,'Landbrugsareal - resultat'!$O$4:$Q$4,0)))),SUMPRODUCT((B321='Landbrugsareal - resultat'!$B$5:$B$18)*(INDEX('Landbrugsareal - resultat'!$R$5:$T$18,,MATCH(E321,'Landbrugsareal - resultat'!$R$4:$T$4,0))))))),IF(D321="Konventionel",IF(C321=2019,SUMPRODUCT((B321='Landbrugsareal - resultat'!$B$32:$B$45)*(INDEX('Landbrugsareal - resultat'!$C$32:$E$45,,MATCH(E321,'Landbrugsareal - resultat'!$C$4:$E$4,0)))),IF(C321=2030,SUMPRODUCT((B321='Landbrugsareal - resultat'!$B$32:$B$45)*(INDEX('Landbrugsareal - resultat'!$F$32:$H$45,,MATCH(E321,'Landbrugsareal - resultat'!$F$4:$H$4,0)))),SUMPRODUCT((B321='Landbrugsareal - resultat'!$B$32:$B$45)*(INDEX('Landbrugsareal - resultat'!$I$32:$K$45,,MATCH(E321,'Landbrugsareal - resultat'!$I$4:$K$4,0)))))),IF(C321=2019,SUMPRODUCT((B321='Landbrugsareal - resultat'!$B$32:$B$45)*(INDEX('Landbrugsareal - resultat'!$L$32:$N$45,,MATCH(E321,'Landbrugsareal - resultat'!$L$4:$N$4,0)))),IF(C321=2030,SUMPRODUCT((B321='Landbrugsareal - resultat'!$B$32:$B$45)*(INDEX('Landbrugsareal - resultat'!$O$32:$Q$45,,MATCH(E321,'Landbrugsareal - resultat'!$O$4:$Q$4,0)))),SUMPRODUCT((B321='Landbrugsareal - resultat'!$B$32:$B$45)*(INDEX('Landbrugsareal - resultat'!$R$32:$T$45,,MATCH(E321,'Landbrugsareal - resultat'!$R$4:$T$4,0))))))))</f>
        <v>401.72483015599897</v>
      </c>
      <c r="H321" s="172">
        <f>G321*VLOOKUP(B321,[1]Afgrødedata!$A$5:$F$18,2,FALSE)*IF(D321="Økologisk",VLOOKUP(B321,[1]Afgrødedata!$A$5:$F$18,4,FALSE),1)*IF(E321&lt;&gt;Jordbund1,IF(E321=Organ6,VLOOKUP(B321,[1]Afgrødedata!$A$5:$F$18,5,FALSE),VLOOKUP(B321,[1]Afgrødedata!$A$5:$F$18,6,FALSE)),1)*0.1</f>
        <v>11449.157659445971</v>
      </c>
      <c r="I321" s="172">
        <f>G321*VLOOKUP(B321,[1]Afgrødedata!$A$5:$F$18,3,FALSE)*IF(D321="Økologisk",VLOOKUP(B321,[1]Afgrødedata!$A$5:$F$18,4,FALSE),1)*IF(E321&lt;&gt;Jordbund1,IF(E321=Organ6,VLOOKUP(B321,[1]Afgrødedata!$A$5:$F$18,5,FALSE),VLOOKUP(B321,[1]Afgrødedata!$A$5:$F$18,6,FALSE)),1)*HLOOKUP(C321,Landbrug!$C$15:$E$17,2,FALSE)*HLOOKUP(C321,Landbrug!$C$15:$E$17,3,FALSE)*0.1</f>
        <v>0</v>
      </c>
      <c r="J321" s="76">
        <f t="shared" si="55"/>
        <v>11449.157659445971</v>
      </c>
    </row>
    <row r="322" spans="1:10" x14ac:dyDescent="0.55000000000000004">
      <c r="A322" t="s">
        <v>24</v>
      </c>
      <c r="B322" s="1" t="str">
        <f>[1]Afgrødefordeling!$C$14</f>
        <v>Pil &amp; poppel</v>
      </c>
      <c r="C322">
        <v>2030</v>
      </c>
      <c r="D322" t="s">
        <v>8</v>
      </c>
      <c r="E322" s="172" t="str">
        <f t="shared" si="57"/>
        <v>JB1-10</v>
      </c>
      <c r="F322" t="str">
        <f t="shared" si="54"/>
        <v>Pil &amp; poppel</v>
      </c>
      <c r="G322" s="76" cm="1">
        <f t="array" ref="G322">IF(A322="Vestdanmark",IF(D322="Konventionel",IF(C322=2019,SUMPRODUCT((B322='Landbrugsareal - resultat'!$B$5:$B$18)*(INDEX('Landbrugsareal - resultat'!$C$5:$E$18,,MATCH(E322,'Landbrugsareal - resultat'!$C$4:$E$4,0)))),IF(C322=2030,SUMPRODUCT((B322='Landbrugsareal - resultat'!$B$5:$B$18)*(INDEX('Landbrugsareal - resultat'!$F$5:$H$18,,MATCH(E322,'Landbrugsareal - resultat'!$F$4:$H$4,0)))),SUMPRODUCT((B322='Landbrugsareal - resultat'!$B$5:$B$18)*(INDEX('Landbrugsareal - resultat'!$I$5:$K$18,,MATCH(E322,'Landbrugsareal - resultat'!$I$4:$K$4,0)))))),IF(C322=2019,SUMPRODUCT((B322='Landbrugsareal - resultat'!$B$5:$B$18)*(INDEX('Landbrugsareal - resultat'!$L$5:$N$18,,MATCH(E322,'Landbrugsareal - resultat'!$L$4:$N$4,0)))),IF(C322=2030,SUMPRODUCT((B322='Landbrugsareal - resultat'!$B$5:$B$18)*(INDEX('Landbrugsareal - resultat'!$O$5:$Q$18,,MATCH(E322,'Landbrugsareal - resultat'!$O$4:$Q$4,0)))),SUMPRODUCT((B322='Landbrugsareal - resultat'!$B$5:$B$18)*(INDEX('Landbrugsareal - resultat'!$R$5:$T$18,,MATCH(E322,'Landbrugsareal - resultat'!$R$4:$T$4,0))))))),IF(D322="Konventionel",IF(C322=2019,SUMPRODUCT((B322='Landbrugsareal - resultat'!$B$32:$B$45)*(INDEX('Landbrugsareal - resultat'!$C$32:$E$45,,MATCH(E322,'Landbrugsareal - resultat'!$C$4:$E$4,0)))),IF(C322=2030,SUMPRODUCT((B322='Landbrugsareal - resultat'!$B$32:$B$45)*(INDEX('Landbrugsareal - resultat'!$F$32:$H$45,,MATCH(E322,'Landbrugsareal - resultat'!$F$4:$H$4,0)))),SUMPRODUCT((B322='Landbrugsareal - resultat'!$B$32:$B$45)*(INDEX('Landbrugsareal - resultat'!$I$32:$K$45,,MATCH(E322,'Landbrugsareal - resultat'!$I$4:$K$4,0)))))),IF(C322=2019,SUMPRODUCT((B322='Landbrugsareal - resultat'!$B$32:$B$45)*(INDEX('Landbrugsareal - resultat'!$L$32:$N$45,,MATCH(E322,'Landbrugsareal - resultat'!$L$4:$N$4,0)))),IF(C322=2030,SUMPRODUCT((B322='Landbrugsareal - resultat'!$B$32:$B$45)*(INDEX('Landbrugsareal - resultat'!$O$32:$Q$45,,MATCH(E322,'Landbrugsareal - resultat'!$O$4:$Q$4,0)))),SUMPRODUCT((B322='Landbrugsareal - resultat'!$B$32:$B$45)*(INDEX('Landbrugsareal - resultat'!$R$32:$T$45,,MATCH(E322,'Landbrugsareal - resultat'!$R$4:$T$4,0))))))))</f>
        <v>190.95429281040239</v>
      </c>
      <c r="H322" s="172">
        <f>G322*VLOOKUP(B322,[1]Afgrødedata!$A$5:$F$18,2,FALSE)*IF(D322="Økologisk",VLOOKUP(B322,[1]Afgrødedata!$A$5:$F$18,4,FALSE),1)*IF(E322&lt;&gt;Jordbund1,IF(E322=Organ6,VLOOKUP(B322,[1]Afgrødedata!$A$5:$F$18,5,FALSE),VLOOKUP(B322,[1]Afgrødedata!$A$5:$F$18,6,FALSE)),1)*0.1</f>
        <v>2654.7304122421797</v>
      </c>
      <c r="I322" s="172">
        <f>G322*VLOOKUP(B322,[1]Afgrødedata!$A$5:$F$18,3,FALSE)*IF(D322="Økologisk",VLOOKUP(B322,[1]Afgrødedata!$A$5:$F$18,4,FALSE),1)*IF(E322&lt;&gt;Jordbund1,IF(E322=Organ6,VLOOKUP(B322,[1]Afgrødedata!$A$5:$F$18,5,FALSE),VLOOKUP(B322,[1]Afgrødedata!$A$5:$F$18,6,FALSE)),1)*HLOOKUP(C322,Landbrug!$C$15:$E$17,2,FALSE)*HLOOKUP(C322,Landbrug!$C$15:$E$17,3,FALSE)*0.1</f>
        <v>0</v>
      </c>
      <c r="J322" s="76">
        <f t="shared" si="55"/>
        <v>2654.7304122421797</v>
      </c>
    </row>
    <row r="323" spans="1:10" x14ac:dyDescent="0.55000000000000004">
      <c r="A323" t="s">
        <v>24</v>
      </c>
      <c r="B323" s="1" t="str">
        <f>[1]Afgrødefordeling!$C$15</f>
        <v>Permanent græs</v>
      </c>
      <c r="C323">
        <v>2030</v>
      </c>
      <c r="D323" t="s">
        <v>8</v>
      </c>
      <c r="E323" s="172" t="str">
        <f t="shared" si="57"/>
        <v>JB1-10</v>
      </c>
      <c r="F323" t="str">
        <f t="shared" si="54"/>
        <v>Græs</v>
      </c>
      <c r="G323" s="76" cm="1">
        <f t="array" ref="G323">IF(A323="Vestdanmark",IF(D323="Konventionel",IF(C323=2019,SUMPRODUCT((B323='Landbrugsareal - resultat'!$B$5:$B$18)*(INDEX('Landbrugsareal - resultat'!$C$5:$E$18,,MATCH(E323,'Landbrugsareal - resultat'!$C$4:$E$4,0)))),IF(C323=2030,SUMPRODUCT((B323='Landbrugsareal - resultat'!$B$5:$B$18)*(INDEX('Landbrugsareal - resultat'!$F$5:$H$18,,MATCH(E323,'Landbrugsareal - resultat'!$F$4:$H$4,0)))),SUMPRODUCT((B323='Landbrugsareal - resultat'!$B$5:$B$18)*(INDEX('Landbrugsareal - resultat'!$I$5:$K$18,,MATCH(E323,'Landbrugsareal - resultat'!$I$4:$K$4,0)))))),IF(C323=2019,SUMPRODUCT((B323='Landbrugsareal - resultat'!$B$5:$B$18)*(INDEX('Landbrugsareal - resultat'!$L$5:$N$18,,MATCH(E323,'Landbrugsareal - resultat'!$L$4:$N$4,0)))),IF(C323=2030,SUMPRODUCT((B323='Landbrugsareal - resultat'!$B$5:$B$18)*(INDEX('Landbrugsareal - resultat'!$O$5:$Q$18,,MATCH(E323,'Landbrugsareal - resultat'!$O$4:$Q$4,0)))),SUMPRODUCT((B323='Landbrugsareal - resultat'!$B$5:$B$18)*(INDEX('Landbrugsareal - resultat'!$R$5:$T$18,,MATCH(E323,'Landbrugsareal - resultat'!$R$4:$T$4,0))))))),IF(D323="Konventionel",IF(C323=2019,SUMPRODUCT((B323='Landbrugsareal - resultat'!$B$32:$B$45)*(INDEX('Landbrugsareal - resultat'!$C$32:$E$45,,MATCH(E323,'Landbrugsareal - resultat'!$C$4:$E$4,0)))),IF(C323=2030,SUMPRODUCT((B323='Landbrugsareal - resultat'!$B$32:$B$45)*(INDEX('Landbrugsareal - resultat'!$F$32:$H$45,,MATCH(E323,'Landbrugsareal - resultat'!$F$4:$H$4,0)))),SUMPRODUCT((B323='Landbrugsareal - resultat'!$B$32:$B$45)*(INDEX('Landbrugsareal - resultat'!$I$32:$K$45,,MATCH(E323,'Landbrugsareal - resultat'!$I$4:$K$4,0)))))),IF(C323=2019,SUMPRODUCT((B323='Landbrugsareal - resultat'!$B$32:$B$45)*(INDEX('Landbrugsareal - resultat'!$L$32:$N$45,,MATCH(E323,'Landbrugsareal - resultat'!$L$4:$N$4,0)))),IF(C323=2030,SUMPRODUCT((B323='Landbrugsareal - resultat'!$B$32:$B$45)*(INDEX('Landbrugsareal - resultat'!$O$32:$Q$45,,MATCH(E323,'Landbrugsareal - resultat'!$O$4:$Q$4,0)))),SUMPRODUCT((B323='Landbrugsareal - resultat'!$B$32:$B$45)*(INDEX('Landbrugsareal - resultat'!$R$32:$T$45,,MATCH(E323,'Landbrugsareal - resultat'!$R$4:$T$4,0))))))))</f>
        <v>4756.138345396349</v>
      </c>
      <c r="H323" s="172">
        <f>G323*VLOOKUP(B323,[1]Afgrødedata!$A$5:$F$18,2,FALSE)*IF(D323="Økologisk",VLOOKUP(B323,[1]Afgrødedata!$A$5:$F$18,4,FALSE),1)*IF(E323&lt;&gt;Jordbund1,IF(E323=Organ6,VLOOKUP(B323,[1]Afgrødedata!$A$5:$F$18,5,FALSE),VLOOKUP(B323,[1]Afgrødedata!$A$5:$F$18,6,FALSE)),1)*0.1</f>
        <v>65587.147783015665</v>
      </c>
      <c r="I323" s="172">
        <f>G323*VLOOKUP(B323,[1]Afgrødedata!$A$5:$F$18,3,FALSE)*IF(D323="Økologisk",VLOOKUP(B323,[1]Afgrødedata!$A$5:$F$18,4,FALSE),1)*IF(E323&lt;&gt;Jordbund1,IF(E323=Organ6,VLOOKUP(B323,[1]Afgrødedata!$A$5:$F$18,5,FALSE),VLOOKUP(B323,[1]Afgrødedata!$A$5:$F$18,6,FALSE)),1)*HLOOKUP(C323,Landbrug!$C$15:$E$17,2,FALSE)*HLOOKUP(C323,Landbrug!$C$15:$E$17,3,FALSE)*0.1</f>
        <v>0</v>
      </c>
      <c r="J323" s="76">
        <f t="shared" si="55"/>
        <v>65587.147783015665</v>
      </c>
    </row>
    <row r="324" spans="1:10" x14ac:dyDescent="0.55000000000000004">
      <c r="A324" t="s">
        <v>24</v>
      </c>
      <c r="B324" s="1" t="str">
        <f>[1]Afgrødefordeling!$C$2</f>
        <v>Korn</v>
      </c>
      <c r="C324">
        <v>2050</v>
      </c>
      <c r="D324" t="s">
        <v>8</v>
      </c>
      <c r="E324" s="172" t="str">
        <f t="shared" si="57"/>
        <v>JB1-10</v>
      </c>
      <c r="F324" t="str">
        <f t="shared" si="54"/>
        <v>Halm</v>
      </c>
      <c r="G324" s="76" cm="1">
        <f t="array" ref="G324">IF(A324="Vestdanmark",IF(D324="Konventionel",IF(C324=2019,SUMPRODUCT((B324='Landbrugsareal - resultat'!$B$5:$B$18)*(INDEX('Landbrugsareal - resultat'!$C$5:$E$18,,MATCH(E324,'Landbrugsareal - resultat'!$C$4:$E$4,0)))),IF(C324=2030,SUMPRODUCT((B324='Landbrugsareal - resultat'!$B$5:$B$18)*(INDEX('Landbrugsareal - resultat'!$F$5:$H$18,,MATCH(E324,'Landbrugsareal - resultat'!$F$4:$H$4,0)))),SUMPRODUCT((B324='Landbrugsareal - resultat'!$B$5:$B$18)*(INDEX('Landbrugsareal - resultat'!$I$5:$K$18,,MATCH(E324,'Landbrugsareal - resultat'!$I$4:$K$4,0)))))),IF(C324=2019,SUMPRODUCT((B324='Landbrugsareal - resultat'!$B$5:$B$18)*(INDEX('Landbrugsareal - resultat'!$L$5:$N$18,,MATCH(E324,'Landbrugsareal - resultat'!$L$4:$N$4,0)))),IF(C324=2030,SUMPRODUCT((B324='Landbrugsareal - resultat'!$B$5:$B$18)*(INDEX('Landbrugsareal - resultat'!$O$5:$Q$18,,MATCH(E324,'Landbrugsareal - resultat'!$O$4:$Q$4,0)))),SUMPRODUCT((B324='Landbrugsareal - resultat'!$B$5:$B$18)*(INDEX('Landbrugsareal - resultat'!$R$5:$T$18,,MATCH(E324,'Landbrugsareal - resultat'!$R$4:$T$4,0))))))),IF(D324="Konventionel",IF(C324=2019,SUMPRODUCT((B324='Landbrugsareal - resultat'!$B$32:$B$45)*(INDEX('Landbrugsareal - resultat'!$C$32:$E$45,,MATCH(E324,'Landbrugsareal - resultat'!$C$4:$E$4,0)))),IF(C324=2030,SUMPRODUCT((B324='Landbrugsareal - resultat'!$B$32:$B$45)*(INDEX('Landbrugsareal - resultat'!$F$32:$H$45,,MATCH(E324,'Landbrugsareal - resultat'!$F$4:$H$4,0)))),SUMPRODUCT((B324='Landbrugsareal - resultat'!$B$32:$B$45)*(INDEX('Landbrugsareal - resultat'!$I$32:$K$45,,MATCH(E324,'Landbrugsareal - resultat'!$I$4:$K$4,0)))))),IF(C324=2019,SUMPRODUCT((B324='Landbrugsareal - resultat'!$B$32:$B$45)*(INDEX('Landbrugsareal - resultat'!$L$32:$N$45,,MATCH(E324,'Landbrugsareal - resultat'!$L$4:$N$4,0)))),IF(C324=2030,SUMPRODUCT((B324='Landbrugsareal - resultat'!$B$32:$B$45)*(INDEX('Landbrugsareal - resultat'!$O$32:$Q$45,,MATCH(E324,'Landbrugsareal - resultat'!$O$4:$Q$4,0)))),SUMPRODUCT((B324='Landbrugsareal - resultat'!$B$32:$B$45)*(INDEX('Landbrugsareal - resultat'!$R$32:$T$45,,MATCH(E324,'Landbrugsareal - resultat'!$R$4:$T$4,0))))))))</f>
        <v>57145.362883639027</v>
      </c>
      <c r="H324" s="172">
        <f>G324*VLOOKUP(B324,[1]Afgrødedata!$A$5:$F$18,2,FALSE)*IF(D324="Økologisk",VLOOKUP(B324,[1]Afgrødedata!$A$5:$F$18,4,FALSE),1)*IF(E324&lt;&gt;Jordbund1,IF(E324=Organ6,VLOOKUP(B324,[1]Afgrødedata!$A$5:$F$18,5,FALSE),VLOOKUP(B324,[1]Afgrødedata!$A$5:$F$18,6,FALSE)),1)*0.1</f>
        <v>268394.62585558742</v>
      </c>
      <c r="I324" s="172">
        <f>G324*VLOOKUP(B324,[1]Afgrødedata!$A$5:$F$18,3,FALSE)*IF(D324="Økologisk",VLOOKUP(B324,[1]Afgrødedata!$A$5:$F$18,4,FALSE),1)*IF(E324&lt;&gt;Jordbund1,IF(E324=Organ6,VLOOKUP(B324,[1]Afgrødedata!$A$5:$F$18,5,FALSE),VLOOKUP(B324,[1]Afgrødedata!$A$5:$F$18,6,FALSE)),1)*HLOOKUP(C324,Landbrug!$C$15:$E$17,2,FALSE)*HLOOKUP(C324,Landbrug!$C$15:$E$17,3,FALSE)*0.1</f>
        <v>87094.056090138125</v>
      </c>
      <c r="J324" s="76">
        <f t="shared" si="55"/>
        <v>87094.056090138125</v>
      </c>
    </row>
    <row r="325" spans="1:10" x14ac:dyDescent="0.55000000000000004">
      <c r="A325" t="s">
        <v>24</v>
      </c>
      <c r="B325" s="1" t="str">
        <f>[1]Afgrødefordeling!$C$3</f>
        <v>Bælgsæd</v>
      </c>
      <c r="C325">
        <v>2050</v>
      </c>
      <c r="D325" t="s">
        <v>8</v>
      </c>
      <c r="E325" s="172" t="str">
        <f t="shared" si="57"/>
        <v>JB1-10</v>
      </c>
      <c r="F325" t="str">
        <f t="shared" si="54"/>
        <v>Halm</v>
      </c>
      <c r="G325" s="76" cm="1">
        <f t="array" ref="G325">IF(A325="Vestdanmark",IF(D325="Konventionel",IF(C325=2019,SUMPRODUCT((B325='Landbrugsareal - resultat'!$B$5:$B$18)*(INDEX('Landbrugsareal - resultat'!$C$5:$E$18,,MATCH(E325,'Landbrugsareal - resultat'!$C$4:$E$4,0)))),IF(C325=2030,SUMPRODUCT((B325='Landbrugsareal - resultat'!$B$5:$B$18)*(INDEX('Landbrugsareal - resultat'!$F$5:$H$18,,MATCH(E325,'Landbrugsareal - resultat'!$F$4:$H$4,0)))),SUMPRODUCT((B325='Landbrugsareal - resultat'!$B$5:$B$18)*(INDEX('Landbrugsareal - resultat'!$I$5:$K$18,,MATCH(E325,'Landbrugsareal - resultat'!$I$4:$K$4,0)))))),IF(C325=2019,SUMPRODUCT((B325='Landbrugsareal - resultat'!$B$5:$B$18)*(INDEX('Landbrugsareal - resultat'!$L$5:$N$18,,MATCH(E325,'Landbrugsareal - resultat'!$L$4:$N$4,0)))),IF(C325=2030,SUMPRODUCT((B325='Landbrugsareal - resultat'!$B$5:$B$18)*(INDEX('Landbrugsareal - resultat'!$O$5:$Q$18,,MATCH(E325,'Landbrugsareal - resultat'!$O$4:$Q$4,0)))),SUMPRODUCT((B325='Landbrugsareal - resultat'!$B$5:$B$18)*(INDEX('Landbrugsareal - resultat'!$R$5:$T$18,,MATCH(E325,'Landbrugsareal - resultat'!$R$4:$T$4,0))))))),IF(D325="Konventionel",IF(C325=2019,SUMPRODUCT((B325='Landbrugsareal - resultat'!$B$32:$B$45)*(INDEX('Landbrugsareal - resultat'!$C$32:$E$45,,MATCH(E325,'Landbrugsareal - resultat'!$C$4:$E$4,0)))),IF(C325=2030,SUMPRODUCT((B325='Landbrugsareal - resultat'!$B$32:$B$45)*(INDEX('Landbrugsareal - resultat'!$F$32:$H$45,,MATCH(E325,'Landbrugsareal - resultat'!$F$4:$H$4,0)))),SUMPRODUCT((B325='Landbrugsareal - resultat'!$B$32:$B$45)*(INDEX('Landbrugsareal - resultat'!$I$32:$K$45,,MATCH(E325,'Landbrugsareal - resultat'!$I$4:$K$4,0)))))),IF(C325=2019,SUMPRODUCT((B325='Landbrugsareal - resultat'!$B$32:$B$45)*(INDEX('Landbrugsareal - resultat'!$L$32:$N$45,,MATCH(E325,'Landbrugsareal - resultat'!$L$4:$N$4,0)))),IF(C325=2030,SUMPRODUCT((B325='Landbrugsareal - resultat'!$B$32:$B$45)*(INDEX('Landbrugsareal - resultat'!$O$32:$Q$45,,MATCH(E325,'Landbrugsareal - resultat'!$O$4:$Q$4,0)))),SUMPRODUCT((B325='Landbrugsareal - resultat'!$B$32:$B$45)*(INDEX('Landbrugsareal - resultat'!$R$32:$T$45,,MATCH(E325,'Landbrugsareal - resultat'!$R$4:$T$4,0))))))))</f>
        <v>1245.4738586066856</v>
      </c>
      <c r="H325" s="172">
        <f>G325*VLOOKUP(B325,[1]Afgrødedata!$A$5:$F$18,2,FALSE)*IF(D325="Økologisk",VLOOKUP(B325,[1]Afgrødedata!$A$5:$F$18,4,FALSE),1)*IF(E325&lt;&gt;Jordbund1,IF(E325=Organ6,VLOOKUP(B325,[1]Afgrødedata!$A$5:$F$18,5,FALSE),VLOOKUP(B325,[1]Afgrødedata!$A$5:$F$18,6,FALSE)),1)*0.1</f>
        <v>2740.2915837064297</v>
      </c>
      <c r="I325" s="172">
        <f>G325*VLOOKUP(B325,[1]Afgrødedata!$A$5:$F$18,3,FALSE)*IF(D325="Økologisk",VLOOKUP(B325,[1]Afgrødedata!$A$5:$F$18,4,FALSE),1)*IF(E325&lt;&gt;Jordbund1,IF(E325=Organ6,VLOOKUP(B325,[1]Afgrødedata!$A$5:$F$18,5,FALSE),VLOOKUP(B325,[1]Afgrødedata!$A$5:$F$18,6,FALSE)),1)*HLOOKUP(C325,Landbrug!$C$15:$E$17,2,FALSE)*HLOOKUP(C325,Landbrug!$C$15:$E$17,3,FALSE)*0.1</f>
        <v>808.80487005204611</v>
      </c>
      <c r="J325" s="76">
        <f t="shared" si="55"/>
        <v>808.80487005204611</v>
      </c>
    </row>
    <row r="326" spans="1:10" x14ac:dyDescent="0.55000000000000004">
      <c r="A326" t="s">
        <v>24</v>
      </c>
      <c r="B326" s="1" t="str">
        <f>[1]Afgrødefordeling!$C$4</f>
        <v>Raps</v>
      </c>
      <c r="C326">
        <v>2050</v>
      </c>
      <c r="D326" t="s">
        <v>8</v>
      </c>
      <c r="E326" s="172" t="str">
        <f t="shared" si="57"/>
        <v>JB1-10</v>
      </c>
      <c r="F326" t="str">
        <f t="shared" si="54"/>
        <v>Halm</v>
      </c>
      <c r="G326" s="76" cm="1">
        <f t="array" ref="G326">IF(A326="Vestdanmark",IF(D326="Konventionel",IF(C326=2019,SUMPRODUCT((B326='Landbrugsareal - resultat'!$B$5:$B$18)*(INDEX('Landbrugsareal - resultat'!$C$5:$E$18,,MATCH(E326,'Landbrugsareal - resultat'!$C$4:$E$4,0)))),IF(C326=2030,SUMPRODUCT((B326='Landbrugsareal - resultat'!$B$5:$B$18)*(INDEX('Landbrugsareal - resultat'!$F$5:$H$18,,MATCH(E326,'Landbrugsareal - resultat'!$F$4:$H$4,0)))),SUMPRODUCT((B326='Landbrugsareal - resultat'!$B$5:$B$18)*(INDEX('Landbrugsareal - resultat'!$I$5:$K$18,,MATCH(E326,'Landbrugsareal - resultat'!$I$4:$K$4,0)))))),IF(C326=2019,SUMPRODUCT((B326='Landbrugsareal - resultat'!$B$5:$B$18)*(INDEX('Landbrugsareal - resultat'!$L$5:$N$18,,MATCH(E326,'Landbrugsareal - resultat'!$L$4:$N$4,0)))),IF(C326=2030,SUMPRODUCT((B326='Landbrugsareal - resultat'!$B$5:$B$18)*(INDEX('Landbrugsareal - resultat'!$O$5:$Q$18,,MATCH(E326,'Landbrugsareal - resultat'!$O$4:$Q$4,0)))),SUMPRODUCT((B326='Landbrugsareal - resultat'!$B$5:$B$18)*(INDEX('Landbrugsareal - resultat'!$R$5:$T$18,,MATCH(E326,'Landbrugsareal - resultat'!$R$4:$T$4,0))))))),IF(D326="Konventionel",IF(C326=2019,SUMPRODUCT((B326='Landbrugsareal - resultat'!$B$32:$B$45)*(INDEX('Landbrugsareal - resultat'!$C$32:$E$45,,MATCH(E326,'Landbrugsareal - resultat'!$C$4:$E$4,0)))),IF(C326=2030,SUMPRODUCT((B326='Landbrugsareal - resultat'!$B$32:$B$45)*(INDEX('Landbrugsareal - resultat'!$F$32:$H$45,,MATCH(E326,'Landbrugsareal - resultat'!$F$4:$H$4,0)))),SUMPRODUCT((B326='Landbrugsareal - resultat'!$B$32:$B$45)*(INDEX('Landbrugsareal - resultat'!$I$32:$K$45,,MATCH(E326,'Landbrugsareal - resultat'!$I$4:$K$4,0)))))),IF(C326=2019,SUMPRODUCT((B326='Landbrugsareal - resultat'!$B$32:$B$45)*(INDEX('Landbrugsareal - resultat'!$L$32:$N$45,,MATCH(E326,'Landbrugsareal - resultat'!$L$4:$N$4,0)))),IF(C326=2030,SUMPRODUCT((B326='Landbrugsareal - resultat'!$B$32:$B$45)*(INDEX('Landbrugsareal - resultat'!$O$32:$Q$45,,MATCH(E326,'Landbrugsareal - resultat'!$O$4:$Q$4,0)))),SUMPRODUCT((B326='Landbrugsareal - resultat'!$B$32:$B$45)*(INDEX('Landbrugsareal - resultat'!$R$32:$T$45,,MATCH(E326,'Landbrugsareal - resultat'!$R$4:$T$4,0))))))))</f>
        <v>7900.5463368904539</v>
      </c>
      <c r="H326" s="172">
        <f>G326*VLOOKUP(B326,[1]Afgrødedata!$A$5:$F$18,2,FALSE)*IF(D326="Økologisk",VLOOKUP(B326,[1]Afgrødedata!$A$5:$F$18,4,FALSE),1)*IF(E326&lt;&gt;Jordbund1,IF(E326=Organ6,VLOOKUP(B326,[1]Afgrødedata!$A$5:$F$18,5,FALSE),VLOOKUP(B326,[1]Afgrødedata!$A$5:$F$18,6,FALSE)),1)*0.1</f>
        <v>19119.322135274899</v>
      </c>
      <c r="I326" s="172">
        <f>G326*VLOOKUP(B326,[1]Afgrødedata!$A$5:$F$18,3,FALSE)*IF(D326="Økologisk",VLOOKUP(B326,[1]Afgrødedata!$A$5:$F$18,4,FALSE),1)*IF(E326&lt;&gt;Jordbund1,IF(E326=Organ6,VLOOKUP(B326,[1]Afgrødedata!$A$5:$F$18,5,FALSE),VLOOKUP(B326,[1]Afgrødedata!$A$5:$F$18,6,FALSE)),1)*HLOOKUP(C326,Landbrug!$C$15:$E$17,2,FALSE)*HLOOKUP(C326,Landbrug!$C$15:$E$17,3,FALSE)*0.1</f>
        <v>10152.360053830971</v>
      </c>
      <c r="J326" s="76">
        <f t="shared" si="55"/>
        <v>10152.360053830971</v>
      </c>
    </row>
    <row r="327" spans="1:10" x14ac:dyDescent="0.55000000000000004">
      <c r="A327" t="s">
        <v>24</v>
      </c>
      <c r="B327" s="1" t="str">
        <f>[1]Afgrødefordeling!$C$5</f>
        <v>Græs</v>
      </c>
      <c r="C327">
        <v>2050</v>
      </c>
      <c r="D327" t="s">
        <v>8</v>
      </c>
      <c r="E327" s="172" t="str">
        <f t="shared" si="57"/>
        <v>JB1-10</v>
      </c>
      <c r="F327" t="str">
        <f t="shared" si="54"/>
        <v>Græs</v>
      </c>
      <c r="G327" s="76" cm="1">
        <f t="array" ref="G327">IF(A327="Vestdanmark",IF(D327="Konventionel",IF(C327=2019,SUMPRODUCT((B327='Landbrugsareal - resultat'!$B$5:$B$18)*(INDEX('Landbrugsareal - resultat'!$C$5:$E$18,,MATCH(E327,'Landbrugsareal - resultat'!$C$4:$E$4,0)))),IF(C327=2030,SUMPRODUCT((B327='Landbrugsareal - resultat'!$B$5:$B$18)*(INDEX('Landbrugsareal - resultat'!$F$5:$H$18,,MATCH(E327,'Landbrugsareal - resultat'!$F$4:$H$4,0)))),SUMPRODUCT((B327='Landbrugsareal - resultat'!$B$5:$B$18)*(INDEX('Landbrugsareal - resultat'!$I$5:$K$18,,MATCH(E327,'Landbrugsareal - resultat'!$I$4:$K$4,0)))))),IF(C327=2019,SUMPRODUCT((B327='Landbrugsareal - resultat'!$B$5:$B$18)*(INDEX('Landbrugsareal - resultat'!$L$5:$N$18,,MATCH(E327,'Landbrugsareal - resultat'!$L$4:$N$4,0)))),IF(C327=2030,SUMPRODUCT((B327='Landbrugsareal - resultat'!$B$5:$B$18)*(INDEX('Landbrugsareal - resultat'!$O$5:$Q$18,,MATCH(E327,'Landbrugsareal - resultat'!$O$4:$Q$4,0)))),SUMPRODUCT((B327='Landbrugsareal - resultat'!$B$5:$B$18)*(INDEX('Landbrugsareal - resultat'!$R$5:$T$18,,MATCH(E327,'Landbrugsareal - resultat'!$R$4:$T$4,0))))))),IF(D327="Konventionel",IF(C327=2019,SUMPRODUCT((B327='Landbrugsareal - resultat'!$B$32:$B$45)*(INDEX('Landbrugsareal - resultat'!$C$32:$E$45,,MATCH(E327,'Landbrugsareal - resultat'!$C$4:$E$4,0)))),IF(C327=2030,SUMPRODUCT((B327='Landbrugsareal - resultat'!$B$32:$B$45)*(INDEX('Landbrugsareal - resultat'!$F$32:$H$45,,MATCH(E327,'Landbrugsareal - resultat'!$F$4:$H$4,0)))),SUMPRODUCT((B327='Landbrugsareal - resultat'!$B$32:$B$45)*(INDEX('Landbrugsareal - resultat'!$I$32:$K$45,,MATCH(E327,'Landbrugsareal - resultat'!$I$4:$K$4,0)))))),IF(C327=2019,SUMPRODUCT((B327='Landbrugsareal - resultat'!$B$32:$B$45)*(INDEX('Landbrugsareal - resultat'!$L$32:$N$45,,MATCH(E327,'Landbrugsareal - resultat'!$L$4:$N$4,0)))),IF(C327=2030,SUMPRODUCT((B327='Landbrugsareal - resultat'!$B$32:$B$45)*(INDEX('Landbrugsareal - resultat'!$O$32:$Q$45,,MATCH(E327,'Landbrugsareal - resultat'!$O$4:$Q$4,0)))),SUMPRODUCT((B327='Landbrugsareal - resultat'!$B$32:$B$45)*(INDEX('Landbrugsareal - resultat'!$R$32:$T$45,,MATCH(E327,'Landbrugsareal - resultat'!$R$4:$T$4,0))))))))</f>
        <v>4799.7786340716357</v>
      </c>
      <c r="H327" s="172">
        <f>G327*VLOOKUP(B327,[1]Afgrødedata!$A$5:$F$18,2,FALSE)*IF(D327="Økologisk",VLOOKUP(B327,[1]Afgrødedata!$A$5:$F$18,4,FALSE),1)*IF(E327&lt;&gt;Jordbund1,IF(E327=Organ6,VLOOKUP(B327,[1]Afgrødedata!$A$5:$F$18,5,FALSE),VLOOKUP(B327,[1]Afgrødedata!$A$5:$F$18,6,FALSE)),1)*0.1</f>
        <v>185768.71234165499</v>
      </c>
      <c r="I327" s="172">
        <f>G327*VLOOKUP(B327,[1]Afgrødedata!$A$5:$F$18,3,FALSE)*IF(D327="Økologisk",VLOOKUP(B327,[1]Afgrødedata!$A$5:$F$18,4,FALSE),1)*IF(E327&lt;&gt;Jordbund1,IF(E327=Organ6,VLOOKUP(B327,[1]Afgrødedata!$A$5:$F$18,5,FALSE),VLOOKUP(B327,[1]Afgrødedata!$A$5:$F$18,6,FALSE)),1)*HLOOKUP(C327,Landbrug!$C$15:$E$17,2,FALSE)*HLOOKUP(C327,Landbrug!$C$15:$E$17,3,FALSE)*0.1</f>
        <v>0</v>
      </c>
      <c r="J327" s="76">
        <f t="shared" si="55"/>
        <v>185768.71234165499</v>
      </c>
    </row>
    <row r="328" spans="1:10" x14ac:dyDescent="0.55000000000000004">
      <c r="A328" t="s">
        <v>24</v>
      </c>
      <c r="B328" s="1" t="str">
        <f>[1]Afgrødefordeling!$C$6</f>
        <v>Grøntsager</v>
      </c>
      <c r="C328">
        <v>2050</v>
      </c>
      <c r="D328" t="s">
        <v>8</v>
      </c>
      <c r="E328" s="172" t="str">
        <f t="shared" si="57"/>
        <v>JB1-10</v>
      </c>
      <c r="F328" t="str">
        <f t="shared" si="54"/>
        <v>Grøntsager</v>
      </c>
      <c r="G328" s="76" cm="1">
        <f t="array" ref="G328">IF(A328="Vestdanmark",IF(D328="Konventionel",IF(C328=2019,SUMPRODUCT((B328='Landbrugsareal - resultat'!$B$5:$B$18)*(INDEX('Landbrugsareal - resultat'!$C$5:$E$18,,MATCH(E328,'Landbrugsareal - resultat'!$C$4:$E$4,0)))),IF(C328=2030,SUMPRODUCT((B328='Landbrugsareal - resultat'!$B$5:$B$18)*(INDEX('Landbrugsareal - resultat'!$F$5:$H$18,,MATCH(E328,'Landbrugsareal - resultat'!$F$4:$H$4,0)))),SUMPRODUCT((B328='Landbrugsareal - resultat'!$B$5:$B$18)*(INDEX('Landbrugsareal - resultat'!$I$5:$K$18,,MATCH(E328,'Landbrugsareal - resultat'!$I$4:$K$4,0)))))),IF(C328=2019,SUMPRODUCT((B328='Landbrugsareal - resultat'!$B$5:$B$18)*(INDEX('Landbrugsareal - resultat'!$L$5:$N$18,,MATCH(E328,'Landbrugsareal - resultat'!$L$4:$N$4,0)))),IF(C328=2030,SUMPRODUCT((B328='Landbrugsareal - resultat'!$B$5:$B$18)*(INDEX('Landbrugsareal - resultat'!$O$5:$Q$18,,MATCH(E328,'Landbrugsareal - resultat'!$O$4:$Q$4,0)))),SUMPRODUCT((B328='Landbrugsareal - resultat'!$B$5:$B$18)*(INDEX('Landbrugsareal - resultat'!$R$5:$T$18,,MATCH(E328,'Landbrugsareal - resultat'!$R$4:$T$4,0))))))),IF(D328="Konventionel",IF(C328=2019,SUMPRODUCT((B328='Landbrugsareal - resultat'!$B$32:$B$45)*(INDEX('Landbrugsareal - resultat'!$C$32:$E$45,,MATCH(E328,'Landbrugsareal - resultat'!$C$4:$E$4,0)))),IF(C328=2030,SUMPRODUCT((B328='Landbrugsareal - resultat'!$B$32:$B$45)*(INDEX('Landbrugsareal - resultat'!$F$32:$H$45,,MATCH(E328,'Landbrugsareal - resultat'!$F$4:$H$4,0)))),SUMPRODUCT((B328='Landbrugsareal - resultat'!$B$32:$B$45)*(INDEX('Landbrugsareal - resultat'!$I$32:$K$45,,MATCH(E328,'Landbrugsareal - resultat'!$I$4:$K$4,0)))))),IF(C328=2019,SUMPRODUCT((B328='Landbrugsareal - resultat'!$B$32:$B$45)*(INDEX('Landbrugsareal - resultat'!$L$32:$N$45,,MATCH(E328,'Landbrugsareal - resultat'!$L$4:$N$4,0)))),IF(C328=2030,SUMPRODUCT((B328='Landbrugsareal - resultat'!$B$32:$B$45)*(INDEX('Landbrugsareal - resultat'!$O$32:$Q$45,,MATCH(E328,'Landbrugsareal - resultat'!$O$4:$Q$4,0)))),SUMPRODUCT((B328='Landbrugsareal - resultat'!$B$32:$B$45)*(INDEX('Landbrugsareal - resultat'!$R$32:$T$45,,MATCH(E328,'Landbrugsareal - resultat'!$R$4:$T$4,0))))))))</f>
        <v>752.12656743911634</v>
      </c>
      <c r="H328" s="172">
        <f>G328*VLOOKUP(B328,[1]Afgrødedata!$A$5:$F$18,2,FALSE)*IF(D328="Økologisk",VLOOKUP(B328,[1]Afgrødedata!$A$5:$F$18,4,FALSE),1)*IF(E328&lt;&gt;Jordbund1,IF(E328=Organ6,VLOOKUP(B328,[1]Afgrødedata!$A$5:$F$18,5,FALSE),VLOOKUP(B328,[1]Afgrødedata!$A$5:$F$18,6,FALSE)),1)*0.1</f>
        <v>8895.7769763861488</v>
      </c>
      <c r="I328" s="172">
        <f>G328*VLOOKUP(B328,[1]Afgrødedata!$A$5:$F$18,3,FALSE)*IF(D328="Økologisk",VLOOKUP(B328,[1]Afgrødedata!$A$5:$F$18,4,FALSE),1)*IF(E328&lt;&gt;Jordbund1,IF(E328=Organ6,VLOOKUP(B328,[1]Afgrødedata!$A$5:$F$18,5,FALSE),VLOOKUP(B328,[1]Afgrødedata!$A$5:$F$18,6,FALSE)),1)*HLOOKUP(C328,Landbrug!$C$15:$E$17,2,FALSE)*HLOOKUP(C328,Landbrug!$C$15:$E$17,3,FALSE)*0.1</f>
        <v>0</v>
      </c>
      <c r="J328" s="76">
        <f t="shared" si="55"/>
        <v>8895.7769763861488</v>
      </c>
    </row>
    <row r="329" spans="1:10" x14ac:dyDescent="0.55000000000000004">
      <c r="A329" t="s">
        <v>24</v>
      </c>
      <c r="B329" s="1" t="str">
        <f>[1]Afgrødefordeling!$C$7</f>
        <v>Kartofler</v>
      </c>
      <c r="C329">
        <v>2050</v>
      </c>
      <c r="D329" t="s">
        <v>8</v>
      </c>
      <c r="E329" s="172" t="str">
        <f t="shared" si="57"/>
        <v>JB1-10</v>
      </c>
      <c r="F329" t="str">
        <f t="shared" si="54"/>
        <v>Kartofler</v>
      </c>
      <c r="G329" s="76" cm="1">
        <f t="array" ref="G329">IF(A329="Vestdanmark",IF(D329="Konventionel",IF(C329=2019,SUMPRODUCT((B329='Landbrugsareal - resultat'!$B$5:$B$18)*(INDEX('Landbrugsareal - resultat'!$C$5:$E$18,,MATCH(E329,'Landbrugsareal - resultat'!$C$4:$E$4,0)))),IF(C329=2030,SUMPRODUCT((B329='Landbrugsareal - resultat'!$B$5:$B$18)*(INDEX('Landbrugsareal - resultat'!$F$5:$H$18,,MATCH(E329,'Landbrugsareal - resultat'!$F$4:$H$4,0)))),SUMPRODUCT((B329='Landbrugsareal - resultat'!$B$5:$B$18)*(INDEX('Landbrugsareal - resultat'!$I$5:$K$18,,MATCH(E329,'Landbrugsareal - resultat'!$I$4:$K$4,0)))))),IF(C329=2019,SUMPRODUCT((B329='Landbrugsareal - resultat'!$B$5:$B$18)*(INDEX('Landbrugsareal - resultat'!$L$5:$N$18,,MATCH(E329,'Landbrugsareal - resultat'!$L$4:$N$4,0)))),IF(C329=2030,SUMPRODUCT((B329='Landbrugsareal - resultat'!$B$5:$B$18)*(INDEX('Landbrugsareal - resultat'!$O$5:$Q$18,,MATCH(E329,'Landbrugsareal - resultat'!$O$4:$Q$4,0)))),SUMPRODUCT((B329='Landbrugsareal - resultat'!$B$5:$B$18)*(INDEX('Landbrugsareal - resultat'!$R$5:$T$18,,MATCH(E329,'Landbrugsareal - resultat'!$R$4:$T$4,0))))))),IF(D329="Konventionel",IF(C329=2019,SUMPRODUCT((B329='Landbrugsareal - resultat'!$B$32:$B$45)*(INDEX('Landbrugsareal - resultat'!$C$32:$E$45,,MATCH(E329,'Landbrugsareal - resultat'!$C$4:$E$4,0)))),IF(C329=2030,SUMPRODUCT((B329='Landbrugsareal - resultat'!$B$32:$B$45)*(INDEX('Landbrugsareal - resultat'!$F$32:$H$45,,MATCH(E329,'Landbrugsareal - resultat'!$F$4:$H$4,0)))),SUMPRODUCT((B329='Landbrugsareal - resultat'!$B$32:$B$45)*(INDEX('Landbrugsareal - resultat'!$I$32:$K$45,,MATCH(E329,'Landbrugsareal - resultat'!$I$4:$K$4,0)))))),IF(C329=2019,SUMPRODUCT((B329='Landbrugsareal - resultat'!$B$32:$B$45)*(INDEX('Landbrugsareal - resultat'!$L$32:$N$45,,MATCH(E329,'Landbrugsareal - resultat'!$L$4:$N$4,0)))),IF(C329=2030,SUMPRODUCT((B329='Landbrugsareal - resultat'!$B$32:$B$45)*(INDEX('Landbrugsareal - resultat'!$O$32:$Q$45,,MATCH(E329,'Landbrugsareal - resultat'!$O$4:$Q$4,0)))),SUMPRODUCT((B329='Landbrugsareal - resultat'!$B$32:$B$45)*(INDEX('Landbrugsareal - resultat'!$R$32:$T$45,,MATCH(E329,'Landbrugsareal - resultat'!$R$4:$T$4,0))))))))</f>
        <v>482.49103956883454</v>
      </c>
      <c r="H329" s="172">
        <f>G329*VLOOKUP(B329,[1]Afgrødedata!$A$5:$F$18,2,FALSE)*IF(D329="Økologisk",VLOOKUP(B329,[1]Afgrødedata!$A$5:$F$18,4,FALSE),1)*IF(E329&lt;&gt;Jordbund1,IF(E329=Organ6,VLOOKUP(B329,[1]Afgrødedata!$A$5:$F$18,5,FALSE),VLOOKUP(B329,[1]Afgrødedata!$A$5:$F$18,6,FALSE)),1)*0.1</f>
        <v>11680.342209168517</v>
      </c>
      <c r="I329" s="172">
        <f>G329*VLOOKUP(B329,[1]Afgrødedata!$A$5:$F$18,3,FALSE)*IF(D329="Økologisk",VLOOKUP(B329,[1]Afgrødedata!$A$5:$F$18,4,FALSE),1)*IF(E329&lt;&gt;Jordbund1,IF(E329=Organ6,VLOOKUP(B329,[1]Afgrødedata!$A$5:$F$18,5,FALSE),VLOOKUP(B329,[1]Afgrødedata!$A$5:$F$18,6,FALSE)),1)*HLOOKUP(C329,Landbrug!$C$15:$E$17,2,FALSE)*HLOOKUP(C329,Landbrug!$C$15:$E$17,3,FALSE)*0.1</f>
        <v>0</v>
      </c>
      <c r="J329" s="76">
        <f t="shared" si="55"/>
        <v>11680.342209168517</v>
      </c>
    </row>
    <row r="330" spans="1:10" x14ac:dyDescent="0.55000000000000004">
      <c r="A330" t="s">
        <v>24</v>
      </c>
      <c r="B330" s="1" t="str">
        <f>[1]Afgrødefordeling!$C$8</f>
        <v>Roer</v>
      </c>
      <c r="C330">
        <v>2050</v>
      </c>
      <c r="D330" t="s">
        <v>8</v>
      </c>
      <c r="E330" s="172" t="str">
        <f t="shared" si="57"/>
        <v>JB1-10</v>
      </c>
      <c r="F330" t="str">
        <f t="shared" si="54"/>
        <v>Roer</v>
      </c>
      <c r="G330" s="76" cm="1">
        <f t="array" ref="G330">IF(A330="Vestdanmark",IF(D330="Konventionel",IF(C330=2019,SUMPRODUCT((B330='Landbrugsareal - resultat'!$B$5:$B$18)*(INDEX('Landbrugsareal - resultat'!$C$5:$E$18,,MATCH(E330,'Landbrugsareal - resultat'!$C$4:$E$4,0)))),IF(C330=2030,SUMPRODUCT((B330='Landbrugsareal - resultat'!$B$5:$B$18)*(INDEX('Landbrugsareal - resultat'!$F$5:$H$18,,MATCH(E330,'Landbrugsareal - resultat'!$F$4:$H$4,0)))),SUMPRODUCT((B330='Landbrugsareal - resultat'!$B$5:$B$18)*(INDEX('Landbrugsareal - resultat'!$I$5:$K$18,,MATCH(E330,'Landbrugsareal - resultat'!$I$4:$K$4,0)))))),IF(C330=2019,SUMPRODUCT((B330='Landbrugsareal - resultat'!$B$5:$B$18)*(INDEX('Landbrugsareal - resultat'!$L$5:$N$18,,MATCH(E330,'Landbrugsareal - resultat'!$L$4:$N$4,0)))),IF(C330=2030,SUMPRODUCT((B330='Landbrugsareal - resultat'!$B$5:$B$18)*(INDEX('Landbrugsareal - resultat'!$O$5:$Q$18,,MATCH(E330,'Landbrugsareal - resultat'!$O$4:$Q$4,0)))),SUMPRODUCT((B330='Landbrugsareal - resultat'!$B$5:$B$18)*(INDEX('Landbrugsareal - resultat'!$R$5:$T$18,,MATCH(E330,'Landbrugsareal - resultat'!$R$4:$T$4,0))))))),IF(D330="Konventionel",IF(C330=2019,SUMPRODUCT((B330='Landbrugsareal - resultat'!$B$32:$B$45)*(INDEX('Landbrugsareal - resultat'!$C$32:$E$45,,MATCH(E330,'Landbrugsareal - resultat'!$C$4:$E$4,0)))),IF(C330=2030,SUMPRODUCT((B330='Landbrugsareal - resultat'!$B$32:$B$45)*(INDEX('Landbrugsareal - resultat'!$F$32:$H$45,,MATCH(E330,'Landbrugsareal - resultat'!$F$4:$H$4,0)))),SUMPRODUCT((B330='Landbrugsareal - resultat'!$B$32:$B$45)*(INDEX('Landbrugsareal - resultat'!$I$32:$K$45,,MATCH(E330,'Landbrugsareal - resultat'!$I$4:$K$4,0)))))),IF(C330=2019,SUMPRODUCT((B330='Landbrugsareal - resultat'!$B$32:$B$45)*(INDEX('Landbrugsareal - resultat'!$L$32:$N$45,,MATCH(E330,'Landbrugsareal - resultat'!$L$4:$N$4,0)))),IF(C330=2030,SUMPRODUCT((B330='Landbrugsareal - resultat'!$B$32:$B$45)*(INDEX('Landbrugsareal - resultat'!$O$32:$Q$45,,MATCH(E330,'Landbrugsareal - resultat'!$O$4:$Q$4,0)))),SUMPRODUCT((B330='Landbrugsareal - resultat'!$B$32:$B$45)*(INDEX('Landbrugsareal - resultat'!$R$32:$T$45,,MATCH(E330,'Landbrugsareal - resultat'!$R$4:$T$4,0))))))))</f>
        <v>5015.7877261338162</v>
      </c>
      <c r="H330" s="172">
        <f>G330*VLOOKUP(B330,[1]Afgrødedata!$A$5:$F$18,2,FALSE)*IF(D330="Økologisk",VLOOKUP(B330,[1]Afgrødedata!$A$5:$F$18,4,FALSE),1)*IF(E330&lt;&gt;Jordbund1,IF(E330=Organ6,VLOOKUP(B330,[1]Afgrødedata!$A$5:$F$18,5,FALSE),VLOOKUP(B330,[1]Afgrødedata!$A$5:$F$18,6,FALSE)),1)*0.1</f>
        <v>232304.33697330329</v>
      </c>
      <c r="I330" s="172">
        <f>G330*VLOOKUP(B330,[1]Afgrødedata!$A$5:$F$18,3,FALSE)*IF(D330="Økologisk",VLOOKUP(B330,[1]Afgrødedata!$A$5:$F$18,4,FALSE),1)*IF(E330&lt;&gt;Jordbund1,IF(E330=Organ6,VLOOKUP(B330,[1]Afgrødedata!$A$5:$F$18,5,FALSE),VLOOKUP(B330,[1]Afgrødedata!$A$5:$F$18,6,FALSE)),1)*HLOOKUP(C330,Landbrug!$C$15:$E$17,2,FALSE)*HLOOKUP(C330,Landbrug!$C$15:$E$17,3,FALSE)*0.1</f>
        <v>0</v>
      </c>
      <c r="J330" s="76">
        <f t="shared" si="55"/>
        <v>232304.33697330329</v>
      </c>
    </row>
    <row r="331" spans="1:10" x14ac:dyDescent="0.55000000000000004">
      <c r="A331" t="s">
        <v>24</v>
      </c>
      <c r="B331" s="1" t="str">
        <f>[1]Afgrødefordeling!$C$9</f>
        <v>Majs</v>
      </c>
      <c r="C331">
        <v>2050</v>
      </c>
      <c r="D331" t="s">
        <v>8</v>
      </c>
      <c r="E331" s="172" t="str">
        <f t="shared" si="57"/>
        <v>JB1-10</v>
      </c>
      <c r="F331" t="str">
        <f t="shared" si="54"/>
        <v>Majs</v>
      </c>
      <c r="G331" s="76" cm="1">
        <f t="array" ref="G331">IF(A331="Vestdanmark",IF(D331="Konventionel",IF(C331=2019,SUMPRODUCT((B331='Landbrugsareal - resultat'!$B$5:$B$18)*(INDEX('Landbrugsareal - resultat'!$C$5:$E$18,,MATCH(E331,'Landbrugsareal - resultat'!$C$4:$E$4,0)))),IF(C331=2030,SUMPRODUCT((B331='Landbrugsareal - resultat'!$B$5:$B$18)*(INDEX('Landbrugsareal - resultat'!$F$5:$H$18,,MATCH(E331,'Landbrugsareal - resultat'!$F$4:$H$4,0)))),SUMPRODUCT((B331='Landbrugsareal - resultat'!$B$5:$B$18)*(INDEX('Landbrugsareal - resultat'!$I$5:$K$18,,MATCH(E331,'Landbrugsareal - resultat'!$I$4:$K$4,0)))))),IF(C331=2019,SUMPRODUCT((B331='Landbrugsareal - resultat'!$B$5:$B$18)*(INDEX('Landbrugsareal - resultat'!$L$5:$N$18,,MATCH(E331,'Landbrugsareal - resultat'!$L$4:$N$4,0)))),IF(C331=2030,SUMPRODUCT((B331='Landbrugsareal - resultat'!$B$5:$B$18)*(INDEX('Landbrugsareal - resultat'!$O$5:$Q$18,,MATCH(E331,'Landbrugsareal - resultat'!$O$4:$Q$4,0)))),SUMPRODUCT((B331='Landbrugsareal - resultat'!$B$5:$B$18)*(INDEX('Landbrugsareal - resultat'!$R$5:$T$18,,MATCH(E331,'Landbrugsareal - resultat'!$R$4:$T$4,0))))))),IF(D331="Konventionel",IF(C331=2019,SUMPRODUCT((B331='Landbrugsareal - resultat'!$B$32:$B$45)*(INDEX('Landbrugsareal - resultat'!$C$32:$E$45,,MATCH(E331,'Landbrugsareal - resultat'!$C$4:$E$4,0)))),IF(C331=2030,SUMPRODUCT((B331='Landbrugsareal - resultat'!$B$32:$B$45)*(INDEX('Landbrugsareal - resultat'!$F$32:$H$45,,MATCH(E331,'Landbrugsareal - resultat'!$F$4:$H$4,0)))),SUMPRODUCT((B331='Landbrugsareal - resultat'!$B$32:$B$45)*(INDEX('Landbrugsareal - resultat'!$I$32:$K$45,,MATCH(E331,'Landbrugsareal - resultat'!$I$4:$K$4,0)))))),IF(C331=2019,SUMPRODUCT((B331='Landbrugsareal - resultat'!$B$32:$B$45)*(INDEX('Landbrugsareal - resultat'!$L$32:$N$45,,MATCH(E331,'Landbrugsareal - resultat'!$L$4:$N$4,0)))),IF(C331=2030,SUMPRODUCT((B331='Landbrugsareal - resultat'!$B$32:$B$45)*(INDEX('Landbrugsareal - resultat'!$O$32:$Q$45,,MATCH(E331,'Landbrugsareal - resultat'!$O$4:$Q$4,0)))),SUMPRODUCT((B331='Landbrugsareal - resultat'!$B$32:$B$45)*(INDEX('Landbrugsareal - resultat'!$R$32:$T$45,,MATCH(E331,'Landbrugsareal - resultat'!$R$4:$T$4,0))))))))</f>
        <v>1418.6514230478022</v>
      </c>
      <c r="H331" s="172">
        <f>G331*VLOOKUP(B331,[1]Afgrødedata!$A$5:$F$18,2,FALSE)*IF(D331="Økologisk",VLOOKUP(B331,[1]Afgrødedata!$A$5:$F$18,4,FALSE),1)*IF(E331&lt;&gt;Jordbund1,IF(E331=Organ6,VLOOKUP(B331,[1]Afgrødedata!$A$5:$F$18,5,FALSE),VLOOKUP(B331,[1]Afgrødedata!$A$5:$F$18,6,FALSE)),1)*0.1</f>
        <v>52409.665117081866</v>
      </c>
      <c r="I331" s="172">
        <f>G331*VLOOKUP(B331,[1]Afgrødedata!$A$5:$F$18,3,FALSE)*IF(D331="Økologisk",VLOOKUP(B331,[1]Afgrødedata!$A$5:$F$18,4,FALSE),1)*IF(E331&lt;&gt;Jordbund1,IF(E331=Organ6,VLOOKUP(B331,[1]Afgrødedata!$A$5:$F$18,5,FALSE),VLOOKUP(B331,[1]Afgrødedata!$A$5:$F$18,6,FALSE)),1)*HLOOKUP(C331,Landbrug!$C$15:$E$17,2,FALSE)*HLOOKUP(C331,Landbrug!$C$15:$E$17,3,FALSE)*0.1</f>
        <v>0</v>
      </c>
      <c r="J331" s="76">
        <f t="shared" si="55"/>
        <v>52409.665117081866</v>
      </c>
    </row>
    <row r="332" spans="1:10" x14ac:dyDescent="0.55000000000000004">
      <c r="A332" t="s">
        <v>24</v>
      </c>
      <c r="B332" s="1" t="str">
        <f>[1]Afgrødefordeling!$C$10</f>
        <v>Frugt</v>
      </c>
      <c r="C332">
        <v>2050</v>
      </c>
      <c r="D332" t="s">
        <v>8</v>
      </c>
      <c r="E332" s="172" t="str">
        <f t="shared" si="57"/>
        <v>JB1-10</v>
      </c>
      <c r="F332" t="str">
        <f t="shared" si="54"/>
        <v>Frugt</v>
      </c>
      <c r="G332" s="76" cm="1">
        <f t="array" ref="G332">IF(A332="Vestdanmark",IF(D332="Konventionel",IF(C332=2019,SUMPRODUCT((B332='Landbrugsareal - resultat'!$B$5:$B$18)*(INDEX('Landbrugsareal - resultat'!$C$5:$E$18,,MATCH(E332,'Landbrugsareal - resultat'!$C$4:$E$4,0)))),IF(C332=2030,SUMPRODUCT((B332='Landbrugsareal - resultat'!$B$5:$B$18)*(INDEX('Landbrugsareal - resultat'!$F$5:$H$18,,MATCH(E332,'Landbrugsareal - resultat'!$F$4:$H$4,0)))),SUMPRODUCT((B332='Landbrugsareal - resultat'!$B$5:$B$18)*(INDEX('Landbrugsareal - resultat'!$I$5:$K$18,,MATCH(E332,'Landbrugsareal - resultat'!$I$4:$K$4,0)))))),IF(C332=2019,SUMPRODUCT((B332='Landbrugsareal - resultat'!$B$5:$B$18)*(INDEX('Landbrugsareal - resultat'!$L$5:$N$18,,MATCH(E332,'Landbrugsareal - resultat'!$L$4:$N$4,0)))),IF(C332=2030,SUMPRODUCT((B332='Landbrugsareal - resultat'!$B$5:$B$18)*(INDEX('Landbrugsareal - resultat'!$O$5:$Q$18,,MATCH(E332,'Landbrugsareal - resultat'!$O$4:$Q$4,0)))),SUMPRODUCT((B332='Landbrugsareal - resultat'!$B$5:$B$18)*(INDEX('Landbrugsareal - resultat'!$R$5:$T$18,,MATCH(E332,'Landbrugsareal - resultat'!$R$4:$T$4,0))))))),IF(D332="Konventionel",IF(C332=2019,SUMPRODUCT((B332='Landbrugsareal - resultat'!$B$32:$B$45)*(INDEX('Landbrugsareal - resultat'!$C$32:$E$45,,MATCH(E332,'Landbrugsareal - resultat'!$C$4:$E$4,0)))),IF(C332=2030,SUMPRODUCT((B332='Landbrugsareal - resultat'!$B$32:$B$45)*(INDEX('Landbrugsareal - resultat'!$F$32:$H$45,,MATCH(E332,'Landbrugsareal - resultat'!$F$4:$H$4,0)))),SUMPRODUCT((B332='Landbrugsareal - resultat'!$B$32:$B$45)*(INDEX('Landbrugsareal - resultat'!$I$32:$K$45,,MATCH(E332,'Landbrugsareal - resultat'!$I$4:$K$4,0)))))),IF(C332=2019,SUMPRODUCT((B332='Landbrugsareal - resultat'!$B$32:$B$45)*(INDEX('Landbrugsareal - resultat'!$L$32:$N$45,,MATCH(E332,'Landbrugsareal - resultat'!$L$4:$N$4,0)))),IF(C332=2030,SUMPRODUCT((B332='Landbrugsareal - resultat'!$B$32:$B$45)*(INDEX('Landbrugsareal - resultat'!$O$32:$Q$45,,MATCH(E332,'Landbrugsareal - resultat'!$O$4:$Q$4,0)))),SUMPRODUCT((B332='Landbrugsareal - resultat'!$B$32:$B$45)*(INDEX('Landbrugsareal - resultat'!$R$32:$T$45,,MATCH(E332,'Landbrugsareal - resultat'!$R$4:$T$4,0))))))))</f>
        <v>330.09356091627075</v>
      </c>
      <c r="H332" s="172">
        <f>G332*VLOOKUP(B332,[1]Afgrødedata!$A$5:$F$18,2,FALSE)*IF(D332="Økologisk",VLOOKUP(B332,[1]Afgrødedata!$A$5:$F$18,4,FALSE),1)*IF(E332&lt;&gt;Jordbund1,IF(E332=Organ6,VLOOKUP(B332,[1]Afgrødedata!$A$5:$F$18,5,FALSE),VLOOKUP(B332,[1]Afgrødedata!$A$5:$F$18,6,FALSE)),1)*0.1</f>
        <v>1597.421769342109</v>
      </c>
      <c r="I332" s="172">
        <f>G332*VLOOKUP(B332,[1]Afgrødedata!$A$5:$F$18,3,FALSE)*IF(D332="Økologisk",VLOOKUP(B332,[1]Afgrødedata!$A$5:$F$18,4,FALSE),1)*IF(E332&lt;&gt;Jordbund1,IF(E332=Organ6,VLOOKUP(B332,[1]Afgrødedata!$A$5:$F$18,5,FALSE),VLOOKUP(B332,[1]Afgrødedata!$A$5:$F$18,6,FALSE)),1)*HLOOKUP(C332,Landbrug!$C$15:$E$17,2,FALSE)*HLOOKUP(C332,Landbrug!$C$15:$E$17,3,FALSE)*0.1</f>
        <v>0</v>
      </c>
      <c r="J332" s="76">
        <f t="shared" si="55"/>
        <v>1597.421769342109</v>
      </c>
    </row>
    <row r="333" spans="1:10" x14ac:dyDescent="0.55000000000000004">
      <c r="A333" t="s">
        <v>24</v>
      </c>
      <c r="B333" s="1" t="str">
        <f>[1]Afgrødefordeling!$C$11</f>
        <v>Øvrige</v>
      </c>
      <c r="C333">
        <v>2050</v>
      </c>
      <c r="D333" t="s">
        <v>8</v>
      </c>
      <c r="E333" s="172" t="str">
        <f t="shared" si="57"/>
        <v>JB1-10</v>
      </c>
      <c r="F333" t="str">
        <f t="shared" si="54"/>
        <v>Øvrige</v>
      </c>
      <c r="G333" s="76" cm="1">
        <f t="array" ref="G333">IF(A333="Vestdanmark",IF(D333="Konventionel",IF(C333=2019,SUMPRODUCT((B333='Landbrugsareal - resultat'!$B$5:$B$18)*(INDEX('Landbrugsareal - resultat'!$C$5:$E$18,,MATCH(E333,'Landbrugsareal - resultat'!$C$4:$E$4,0)))),IF(C333=2030,SUMPRODUCT((B333='Landbrugsareal - resultat'!$B$5:$B$18)*(INDEX('Landbrugsareal - resultat'!$F$5:$H$18,,MATCH(E333,'Landbrugsareal - resultat'!$F$4:$H$4,0)))),SUMPRODUCT((B333='Landbrugsareal - resultat'!$B$5:$B$18)*(INDEX('Landbrugsareal - resultat'!$I$5:$K$18,,MATCH(E333,'Landbrugsareal - resultat'!$I$4:$K$4,0)))))),IF(C333=2019,SUMPRODUCT((B333='Landbrugsareal - resultat'!$B$5:$B$18)*(INDEX('Landbrugsareal - resultat'!$L$5:$N$18,,MATCH(E333,'Landbrugsareal - resultat'!$L$4:$N$4,0)))),IF(C333=2030,SUMPRODUCT((B333='Landbrugsareal - resultat'!$B$5:$B$18)*(INDEX('Landbrugsareal - resultat'!$O$5:$Q$18,,MATCH(E333,'Landbrugsareal - resultat'!$O$4:$Q$4,0)))),SUMPRODUCT((B333='Landbrugsareal - resultat'!$B$5:$B$18)*(INDEX('Landbrugsareal - resultat'!$R$5:$T$18,,MATCH(E333,'Landbrugsareal - resultat'!$R$4:$T$4,0))))))),IF(D333="Konventionel",IF(C333=2019,SUMPRODUCT((B333='Landbrugsareal - resultat'!$B$32:$B$45)*(INDEX('Landbrugsareal - resultat'!$C$32:$E$45,,MATCH(E333,'Landbrugsareal - resultat'!$C$4:$E$4,0)))),IF(C333=2030,SUMPRODUCT((B333='Landbrugsareal - resultat'!$B$32:$B$45)*(INDEX('Landbrugsareal - resultat'!$F$32:$H$45,,MATCH(E333,'Landbrugsareal - resultat'!$F$4:$H$4,0)))),SUMPRODUCT((B333='Landbrugsareal - resultat'!$B$32:$B$45)*(INDEX('Landbrugsareal - resultat'!$I$32:$K$45,,MATCH(E333,'Landbrugsareal - resultat'!$I$4:$K$4,0)))))),IF(C333=2019,SUMPRODUCT((B333='Landbrugsareal - resultat'!$B$32:$B$45)*(INDEX('Landbrugsareal - resultat'!$L$32:$N$45,,MATCH(E333,'Landbrugsareal - resultat'!$L$4:$N$4,0)))),IF(C333=2030,SUMPRODUCT((B333='Landbrugsareal - resultat'!$B$32:$B$45)*(INDEX('Landbrugsareal - resultat'!$O$32:$Q$45,,MATCH(E333,'Landbrugsareal - resultat'!$O$4:$Q$4,0)))),SUMPRODUCT((B333='Landbrugsareal - resultat'!$B$32:$B$45)*(INDEX('Landbrugsareal - resultat'!$R$32:$T$45,,MATCH(E333,'Landbrugsareal - resultat'!$R$4:$T$4,0))))))))</f>
        <v>2357.0281241812504</v>
      </c>
      <c r="H333" s="172">
        <f>G333*VLOOKUP(B333,[1]Afgrødedata!$A$5:$F$18,2,FALSE)*IF(D333="Økologisk",VLOOKUP(B333,[1]Afgrødedata!$A$5:$F$18,4,FALSE),1)*IF(E333&lt;&gt;Jordbund1,IF(E333=Organ6,VLOOKUP(B333,[1]Afgrødedata!$A$5:$F$18,5,FALSE),VLOOKUP(B333,[1]Afgrødedata!$A$5:$F$18,6,FALSE)),1)*0.1</f>
        <v>40031.029796127194</v>
      </c>
      <c r="I333" s="172">
        <f>G333*VLOOKUP(B333,[1]Afgrødedata!$A$5:$F$18,3,FALSE)*IF(D333="Økologisk",VLOOKUP(B333,[1]Afgrødedata!$A$5:$F$18,4,FALSE),1)*IF(E333&lt;&gt;Jordbund1,IF(E333=Organ6,VLOOKUP(B333,[1]Afgrødedata!$A$5:$F$18,5,FALSE),VLOOKUP(B333,[1]Afgrødedata!$A$5:$F$18,6,FALSE)),1)*HLOOKUP(C333,Landbrug!$C$15:$E$17,2,FALSE)*HLOOKUP(C333,Landbrug!$C$15:$E$17,3,FALSE)*0.1</f>
        <v>0</v>
      </c>
      <c r="J333" s="76">
        <f t="shared" si="55"/>
        <v>40031.029796127194</v>
      </c>
    </row>
    <row r="334" spans="1:10" x14ac:dyDescent="0.55000000000000004">
      <c r="A334" t="s">
        <v>24</v>
      </c>
      <c r="B334" s="1" t="str">
        <f>[1]Afgrødefordeling!$C$12</f>
        <v>Frø</v>
      </c>
      <c r="C334">
        <v>2050</v>
      </c>
      <c r="D334" t="s">
        <v>8</v>
      </c>
      <c r="E334" s="172" t="str">
        <f t="shared" si="57"/>
        <v>JB1-10</v>
      </c>
      <c r="F334" t="str">
        <f t="shared" si="54"/>
        <v>Halm</v>
      </c>
      <c r="G334" s="76" cm="1">
        <f t="array" ref="G334">IF(A334="Vestdanmark",IF(D334="Konventionel",IF(C334=2019,SUMPRODUCT((B334='Landbrugsareal - resultat'!$B$5:$B$18)*(INDEX('Landbrugsareal - resultat'!$C$5:$E$18,,MATCH(E334,'Landbrugsareal - resultat'!$C$4:$E$4,0)))),IF(C334=2030,SUMPRODUCT((B334='Landbrugsareal - resultat'!$B$5:$B$18)*(INDEX('Landbrugsareal - resultat'!$F$5:$H$18,,MATCH(E334,'Landbrugsareal - resultat'!$F$4:$H$4,0)))),SUMPRODUCT((B334='Landbrugsareal - resultat'!$B$5:$B$18)*(INDEX('Landbrugsareal - resultat'!$I$5:$K$18,,MATCH(E334,'Landbrugsareal - resultat'!$I$4:$K$4,0)))))),IF(C334=2019,SUMPRODUCT((B334='Landbrugsareal - resultat'!$B$5:$B$18)*(INDEX('Landbrugsareal - resultat'!$L$5:$N$18,,MATCH(E334,'Landbrugsareal - resultat'!$L$4:$N$4,0)))),IF(C334=2030,SUMPRODUCT((B334='Landbrugsareal - resultat'!$B$5:$B$18)*(INDEX('Landbrugsareal - resultat'!$O$5:$Q$18,,MATCH(E334,'Landbrugsareal - resultat'!$O$4:$Q$4,0)))),SUMPRODUCT((B334='Landbrugsareal - resultat'!$B$5:$B$18)*(INDEX('Landbrugsareal - resultat'!$R$5:$T$18,,MATCH(E334,'Landbrugsareal - resultat'!$R$4:$T$4,0))))))),IF(D334="Konventionel",IF(C334=2019,SUMPRODUCT((B334='Landbrugsareal - resultat'!$B$32:$B$45)*(INDEX('Landbrugsareal - resultat'!$C$32:$E$45,,MATCH(E334,'Landbrugsareal - resultat'!$C$4:$E$4,0)))),IF(C334=2030,SUMPRODUCT((B334='Landbrugsareal - resultat'!$B$32:$B$45)*(INDEX('Landbrugsareal - resultat'!$F$32:$H$45,,MATCH(E334,'Landbrugsareal - resultat'!$F$4:$H$4,0)))),SUMPRODUCT((B334='Landbrugsareal - resultat'!$B$32:$B$45)*(INDEX('Landbrugsareal - resultat'!$I$32:$K$45,,MATCH(E334,'Landbrugsareal - resultat'!$I$4:$K$4,0)))))),IF(C334=2019,SUMPRODUCT((B334='Landbrugsareal - resultat'!$B$32:$B$45)*(INDEX('Landbrugsareal - resultat'!$L$32:$N$45,,MATCH(E334,'Landbrugsareal - resultat'!$L$4:$N$4,0)))),IF(C334=2030,SUMPRODUCT((B334='Landbrugsareal - resultat'!$B$32:$B$45)*(INDEX('Landbrugsareal - resultat'!$O$32:$Q$45,,MATCH(E334,'Landbrugsareal - resultat'!$O$4:$Q$4,0)))),SUMPRODUCT((B334='Landbrugsareal - resultat'!$B$32:$B$45)*(INDEX('Landbrugsareal - resultat'!$R$32:$T$45,,MATCH(E334,'Landbrugsareal - resultat'!$R$4:$T$4,0))))))))</f>
        <v>7292.5754964791595</v>
      </c>
      <c r="H334" s="172">
        <f>G334*VLOOKUP(B334,[1]Afgrødedata!$A$5:$F$18,2,FALSE)*IF(D334="Økologisk",VLOOKUP(B334,[1]Afgrødedata!$A$5:$F$18,4,FALSE),1)*IF(E334&lt;&gt;Jordbund1,IF(E334=Organ6,VLOOKUP(B334,[1]Afgrødedata!$A$5:$F$18,5,FALSE),VLOOKUP(B334,[1]Afgrødedata!$A$5:$F$18,6,FALSE)),1)*0.1</f>
        <v>59395.479632953095</v>
      </c>
      <c r="I334" s="172">
        <f>G334*VLOOKUP(B334,[1]Afgrødedata!$A$5:$F$18,3,FALSE)*IF(D334="Økologisk",VLOOKUP(B334,[1]Afgrødedata!$A$5:$F$18,4,FALSE),1)*IF(E334&lt;&gt;Jordbund1,IF(E334=Organ6,VLOOKUP(B334,[1]Afgrødedata!$A$5:$F$18,5,FALSE),VLOOKUP(B334,[1]Afgrødedata!$A$5:$F$18,6,FALSE)),1)*HLOOKUP(C334,Landbrug!$C$15:$E$17,2,FALSE)*HLOOKUP(C334,Landbrug!$C$15:$E$17,3,FALSE)*0.1</f>
        <v>9809.9725578637645</v>
      </c>
      <c r="J334" s="76">
        <f t="shared" si="55"/>
        <v>9809.9725578637645</v>
      </c>
    </row>
    <row r="335" spans="1:10" x14ac:dyDescent="0.55000000000000004">
      <c r="A335" t="s">
        <v>24</v>
      </c>
      <c r="B335" s="1" t="str">
        <f>[1]Afgrødefordeling!$C$13</f>
        <v>Juletræer</v>
      </c>
      <c r="C335">
        <v>2050</v>
      </c>
      <c r="D335" t="s">
        <v>8</v>
      </c>
      <c r="E335" s="172" t="str">
        <f t="shared" si="57"/>
        <v>JB1-10</v>
      </c>
      <c r="F335" t="str">
        <f t="shared" si="54"/>
        <v>Juletræer</v>
      </c>
      <c r="G335" s="76" cm="1">
        <f t="array" ref="G335">IF(A335="Vestdanmark",IF(D335="Konventionel",IF(C335=2019,SUMPRODUCT((B335='Landbrugsareal - resultat'!$B$5:$B$18)*(INDEX('Landbrugsareal - resultat'!$C$5:$E$18,,MATCH(E335,'Landbrugsareal - resultat'!$C$4:$E$4,0)))),IF(C335=2030,SUMPRODUCT((B335='Landbrugsareal - resultat'!$B$5:$B$18)*(INDEX('Landbrugsareal - resultat'!$F$5:$H$18,,MATCH(E335,'Landbrugsareal - resultat'!$F$4:$H$4,0)))),SUMPRODUCT((B335='Landbrugsareal - resultat'!$B$5:$B$18)*(INDEX('Landbrugsareal - resultat'!$I$5:$K$18,,MATCH(E335,'Landbrugsareal - resultat'!$I$4:$K$4,0)))))),IF(C335=2019,SUMPRODUCT((B335='Landbrugsareal - resultat'!$B$5:$B$18)*(INDEX('Landbrugsareal - resultat'!$L$5:$N$18,,MATCH(E335,'Landbrugsareal - resultat'!$L$4:$N$4,0)))),IF(C335=2030,SUMPRODUCT((B335='Landbrugsareal - resultat'!$B$5:$B$18)*(INDEX('Landbrugsareal - resultat'!$O$5:$Q$18,,MATCH(E335,'Landbrugsareal - resultat'!$O$4:$Q$4,0)))),SUMPRODUCT((B335='Landbrugsareal - resultat'!$B$5:$B$18)*(INDEX('Landbrugsareal - resultat'!$R$5:$T$18,,MATCH(E335,'Landbrugsareal - resultat'!$R$4:$T$4,0))))))),IF(D335="Konventionel",IF(C335=2019,SUMPRODUCT((B335='Landbrugsareal - resultat'!$B$32:$B$45)*(INDEX('Landbrugsareal - resultat'!$C$32:$E$45,,MATCH(E335,'Landbrugsareal - resultat'!$C$4:$E$4,0)))),IF(C335=2030,SUMPRODUCT((B335='Landbrugsareal - resultat'!$B$32:$B$45)*(INDEX('Landbrugsareal - resultat'!$F$32:$H$45,,MATCH(E335,'Landbrugsareal - resultat'!$F$4:$H$4,0)))),SUMPRODUCT((B335='Landbrugsareal - resultat'!$B$32:$B$45)*(INDEX('Landbrugsareal - resultat'!$I$32:$K$45,,MATCH(E335,'Landbrugsareal - resultat'!$I$4:$K$4,0)))))),IF(C335=2019,SUMPRODUCT((B335='Landbrugsareal - resultat'!$B$32:$B$45)*(INDEX('Landbrugsareal - resultat'!$L$32:$N$45,,MATCH(E335,'Landbrugsareal - resultat'!$L$4:$N$4,0)))),IF(C335=2030,SUMPRODUCT((B335='Landbrugsareal - resultat'!$B$32:$B$45)*(INDEX('Landbrugsareal - resultat'!$O$32:$Q$45,,MATCH(E335,'Landbrugsareal - resultat'!$O$4:$Q$4,0)))),SUMPRODUCT((B335='Landbrugsareal - resultat'!$B$32:$B$45)*(INDEX('Landbrugsareal - resultat'!$R$32:$T$45,,MATCH(E335,'Landbrugsareal - resultat'!$R$4:$T$4,0))))))))</f>
        <v>517.25473151339054</v>
      </c>
      <c r="H335" s="172">
        <f>G335*VLOOKUP(B335,[1]Afgrødedata!$A$5:$F$18,2,FALSE)*IF(D335="Økologisk",VLOOKUP(B335,[1]Afgrødedata!$A$5:$F$18,4,FALSE),1)*IF(E335&lt;&gt;Jordbund1,IF(E335=Organ6,VLOOKUP(B335,[1]Afgrødedata!$A$5:$F$18,5,FALSE),VLOOKUP(B335,[1]Afgrødedata!$A$5:$F$18,6,FALSE)),1)*0.1</f>
        <v>14741.759848131631</v>
      </c>
      <c r="I335" s="172">
        <f>G335*VLOOKUP(B335,[1]Afgrødedata!$A$5:$F$18,3,FALSE)*IF(D335="Økologisk",VLOOKUP(B335,[1]Afgrødedata!$A$5:$F$18,4,FALSE),1)*IF(E335&lt;&gt;Jordbund1,IF(E335=Organ6,VLOOKUP(B335,[1]Afgrødedata!$A$5:$F$18,5,FALSE),VLOOKUP(B335,[1]Afgrødedata!$A$5:$F$18,6,FALSE)),1)*HLOOKUP(C335,Landbrug!$C$15:$E$17,2,FALSE)*HLOOKUP(C335,Landbrug!$C$15:$E$17,3,FALSE)*0.1</f>
        <v>0</v>
      </c>
      <c r="J335" s="76">
        <f t="shared" si="55"/>
        <v>14741.759848131631</v>
      </c>
    </row>
    <row r="336" spans="1:10" x14ac:dyDescent="0.55000000000000004">
      <c r="A336" t="s">
        <v>24</v>
      </c>
      <c r="B336" s="1" t="str">
        <f>[1]Afgrødefordeling!$C$14</f>
        <v>Pil &amp; poppel</v>
      </c>
      <c r="C336">
        <v>2050</v>
      </c>
      <c r="D336" t="s">
        <v>8</v>
      </c>
      <c r="E336" s="172" t="str">
        <f t="shared" si="57"/>
        <v>JB1-10</v>
      </c>
      <c r="F336" t="str">
        <f t="shared" ref="F336:F399" si="58">IF(I336&lt;&gt;0,"Halm",IF(B336&lt;&gt;"Permanent græs",B336,"Græs"))</f>
        <v>Pil &amp; poppel</v>
      </c>
      <c r="G336" s="76" cm="1">
        <f t="array" ref="G336">IF(A336="Vestdanmark",IF(D336="Konventionel",IF(C336=2019,SUMPRODUCT((B336='Landbrugsareal - resultat'!$B$5:$B$18)*(INDEX('Landbrugsareal - resultat'!$C$5:$E$18,,MATCH(E336,'Landbrugsareal - resultat'!$C$4:$E$4,0)))),IF(C336=2030,SUMPRODUCT((B336='Landbrugsareal - resultat'!$B$5:$B$18)*(INDEX('Landbrugsareal - resultat'!$F$5:$H$18,,MATCH(E336,'Landbrugsareal - resultat'!$F$4:$H$4,0)))),SUMPRODUCT((B336='Landbrugsareal - resultat'!$B$5:$B$18)*(INDEX('Landbrugsareal - resultat'!$I$5:$K$18,,MATCH(E336,'Landbrugsareal - resultat'!$I$4:$K$4,0)))))),IF(C336=2019,SUMPRODUCT((B336='Landbrugsareal - resultat'!$B$5:$B$18)*(INDEX('Landbrugsareal - resultat'!$L$5:$N$18,,MATCH(E336,'Landbrugsareal - resultat'!$L$4:$N$4,0)))),IF(C336=2030,SUMPRODUCT((B336='Landbrugsareal - resultat'!$B$5:$B$18)*(INDEX('Landbrugsareal - resultat'!$O$5:$Q$18,,MATCH(E336,'Landbrugsareal - resultat'!$O$4:$Q$4,0)))),SUMPRODUCT((B336='Landbrugsareal - resultat'!$B$5:$B$18)*(INDEX('Landbrugsareal - resultat'!$R$5:$T$18,,MATCH(E336,'Landbrugsareal - resultat'!$R$4:$T$4,0))))))),IF(D336="Konventionel",IF(C336=2019,SUMPRODUCT((B336='Landbrugsareal - resultat'!$B$32:$B$45)*(INDEX('Landbrugsareal - resultat'!$C$32:$E$45,,MATCH(E336,'Landbrugsareal - resultat'!$C$4:$E$4,0)))),IF(C336=2030,SUMPRODUCT((B336='Landbrugsareal - resultat'!$B$32:$B$45)*(INDEX('Landbrugsareal - resultat'!$F$32:$H$45,,MATCH(E336,'Landbrugsareal - resultat'!$F$4:$H$4,0)))),SUMPRODUCT((B336='Landbrugsareal - resultat'!$B$32:$B$45)*(INDEX('Landbrugsareal - resultat'!$I$32:$K$45,,MATCH(E336,'Landbrugsareal - resultat'!$I$4:$K$4,0)))))),IF(C336=2019,SUMPRODUCT((B336='Landbrugsareal - resultat'!$B$32:$B$45)*(INDEX('Landbrugsareal - resultat'!$L$32:$N$45,,MATCH(E336,'Landbrugsareal - resultat'!$L$4:$N$4,0)))),IF(C336=2030,SUMPRODUCT((B336='Landbrugsareal - resultat'!$B$32:$B$45)*(INDEX('Landbrugsareal - resultat'!$O$32:$Q$45,,MATCH(E336,'Landbrugsareal - resultat'!$O$4:$Q$4,0)))),SUMPRODUCT((B336='Landbrugsareal - resultat'!$B$32:$B$45)*(INDEX('Landbrugsareal - resultat'!$R$32:$T$45,,MATCH(E336,'Landbrugsareal - resultat'!$R$4:$T$4,0))))))))</f>
        <v>245.86981944984234</v>
      </c>
      <c r="H336" s="172">
        <f>G336*VLOOKUP(B336,[1]Afgrødedata!$A$5:$F$18,2,FALSE)*IF(D336="Økologisk",VLOOKUP(B336,[1]Afgrødedata!$A$5:$F$18,4,FALSE),1)*IF(E336&lt;&gt;Jordbund1,IF(E336=Organ6,VLOOKUP(B336,[1]Afgrødedata!$A$5:$F$18,5,FALSE),VLOOKUP(B336,[1]Afgrødedata!$A$5:$F$18,6,FALSE)),1)*0.1</f>
        <v>3418.1901728392713</v>
      </c>
      <c r="I336" s="172">
        <f>G336*VLOOKUP(B336,[1]Afgrødedata!$A$5:$F$18,3,FALSE)*IF(D336="Økologisk",VLOOKUP(B336,[1]Afgrødedata!$A$5:$F$18,4,FALSE),1)*IF(E336&lt;&gt;Jordbund1,IF(E336=Organ6,VLOOKUP(B336,[1]Afgrødedata!$A$5:$F$18,5,FALSE),VLOOKUP(B336,[1]Afgrødedata!$A$5:$F$18,6,FALSE)),1)*HLOOKUP(C336,Landbrug!$C$15:$E$17,2,FALSE)*HLOOKUP(C336,Landbrug!$C$15:$E$17,3,FALSE)*0.1</f>
        <v>0</v>
      </c>
      <c r="J336" s="76">
        <f t="shared" si="55"/>
        <v>3418.1901728392713</v>
      </c>
    </row>
    <row r="337" spans="1:10" x14ac:dyDescent="0.55000000000000004">
      <c r="A337" t="s">
        <v>24</v>
      </c>
      <c r="B337" s="1" t="str">
        <f>[1]Afgrødefordeling!$C$15</f>
        <v>Permanent græs</v>
      </c>
      <c r="C337">
        <v>2050</v>
      </c>
      <c r="D337" t="s">
        <v>8</v>
      </c>
      <c r="E337" s="172" t="str">
        <f t="shared" si="57"/>
        <v>JB1-10</v>
      </c>
      <c r="F337" t="str">
        <f t="shared" si="58"/>
        <v>Græs</v>
      </c>
      <c r="G337" s="76" cm="1">
        <f t="array" ref="G337">IF(A337="Vestdanmark",IF(D337="Konventionel",IF(C337=2019,SUMPRODUCT((B337='Landbrugsareal - resultat'!$B$5:$B$18)*(INDEX('Landbrugsareal - resultat'!$C$5:$E$18,,MATCH(E337,'Landbrugsareal - resultat'!$C$4:$E$4,0)))),IF(C337=2030,SUMPRODUCT((B337='Landbrugsareal - resultat'!$B$5:$B$18)*(INDEX('Landbrugsareal - resultat'!$F$5:$H$18,,MATCH(E337,'Landbrugsareal - resultat'!$F$4:$H$4,0)))),SUMPRODUCT((B337='Landbrugsareal - resultat'!$B$5:$B$18)*(INDEX('Landbrugsareal - resultat'!$I$5:$K$18,,MATCH(E337,'Landbrugsareal - resultat'!$I$4:$K$4,0)))))),IF(C337=2019,SUMPRODUCT((B337='Landbrugsareal - resultat'!$B$5:$B$18)*(INDEX('Landbrugsareal - resultat'!$L$5:$N$18,,MATCH(E337,'Landbrugsareal - resultat'!$L$4:$N$4,0)))),IF(C337=2030,SUMPRODUCT((B337='Landbrugsareal - resultat'!$B$5:$B$18)*(INDEX('Landbrugsareal - resultat'!$O$5:$Q$18,,MATCH(E337,'Landbrugsareal - resultat'!$O$4:$Q$4,0)))),SUMPRODUCT((B337='Landbrugsareal - resultat'!$B$5:$B$18)*(INDEX('Landbrugsareal - resultat'!$R$5:$T$18,,MATCH(E337,'Landbrugsareal - resultat'!$R$4:$T$4,0))))))),IF(D337="Konventionel",IF(C337=2019,SUMPRODUCT((B337='Landbrugsareal - resultat'!$B$32:$B$45)*(INDEX('Landbrugsareal - resultat'!$C$32:$E$45,,MATCH(E337,'Landbrugsareal - resultat'!$C$4:$E$4,0)))),IF(C337=2030,SUMPRODUCT((B337='Landbrugsareal - resultat'!$B$32:$B$45)*(INDEX('Landbrugsareal - resultat'!$F$32:$H$45,,MATCH(E337,'Landbrugsareal - resultat'!$F$4:$H$4,0)))),SUMPRODUCT((B337='Landbrugsareal - resultat'!$B$32:$B$45)*(INDEX('Landbrugsareal - resultat'!$I$32:$K$45,,MATCH(E337,'Landbrugsareal - resultat'!$I$4:$K$4,0)))))),IF(C337=2019,SUMPRODUCT((B337='Landbrugsareal - resultat'!$B$32:$B$45)*(INDEX('Landbrugsareal - resultat'!$L$32:$N$45,,MATCH(E337,'Landbrugsareal - resultat'!$L$4:$N$4,0)))),IF(C337=2030,SUMPRODUCT((B337='Landbrugsareal - resultat'!$B$32:$B$45)*(INDEX('Landbrugsareal - resultat'!$O$32:$Q$45,,MATCH(E337,'Landbrugsareal - resultat'!$O$4:$Q$4,0)))),SUMPRODUCT((B337='Landbrugsareal - resultat'!$B$32:$B$45)*(INDEX('Landbrugsareal - resultat'!$R$32:$T$45,,MATCH(E337,'Landbrugsareal - resultat'!$R$4:$T$4,0))))))))</f>
        <v>6123.9308059031428</v>
      </c>
      <c r="H337" s="172">
        <f>G337*VLOOKUP(B337,[1]Afgrødedata!$A$5:$F$18,2,FALSE)*IF(D337="Økologisk",VLOOKUP(B337,[1]Afgrødedata!$A$5:$F$18,4,FALSE),1)*IF(E337&lt;&gt;Jordbund1,IF(E337=Organ6,VLOOKUP(B337,[1]Afgrødedata!$A$5:$F$18,5,FALSE),VLOOKUP(B337,[1]Afgrødedata!$A$5:$F$18,6,FALSE)),1)*0.1</f>
        <v>84449.00581340435</v>
      </c>
      <c r="I337" s="172">
        <f>G337*VLOOKUP(B337,[1]Afgrødedata!$A$5:$F$18,3,FALSE)*IF(D337="Økologisk",VLOOKUP(B337,[1]Afgrødedata!$A$5:$F$18,4,FALSE),1)*IF(E337&lt;&gt;Jordbund1,IF(E337=Organ6,VLOOKUP(B337,[1]Afgrødedata!$A$5:$F$18,5,FALSE),VLOOKUP(B337,[1]Afgrødedata!$A$5:$F$18,6,FALSE)),1)*HLOOKUP(C337,Landbrug!$C$15:$E$17,2,FALSE)*HLOOKUP(C337,Landbrug!$C$15:$E$17,3,FALSE)*0.1</f>
        <v>0</v>
      </c>
      <c r="J337" s="76">
        <f t="shared" si="55"/>
        <v>84449.00581340435</v>
      </c>
    </row>
    <row r="338" spans="1:10" x14ac:dyDescent="0.55000000000000004">
      <c r="A338" t="s">
        <v>24</v>
      </c>
      <c r="B338" s="1" t="str">
        <f>[1]Afgrødefordeling!$C$2</f>
        <v>Korn</v>
      </c>
      <c r="C338">
        <v>2019</v>
      </c>
      <c r="D338" t="s">
        <v>7</v>
      </c>
      <c r="E338" s="172" t="str">
        <f t="shared" ref="E338:E369" si="59">Organ6</f>
        <v>OC6</v>
      </c>
      <c r="F338" t="str">
        <f t="shared" si="58"/>
        <v>Halm</v>
      </c>
      <c r="G338" s="76" cm="1">
        <f t="array" ref="G338">IF(A338="Vestdanmark",IF(D338="Konventionel",IF(C338=2019,SUMPRODUCT((B338='Landbrugsareal - resultat'!$B$5:$B$18)*(INDEX('Landbrugsareal - resultat'!$C$5:$E$18,,MATCH(E338,'Landbrugsareal - resultat'!$C$4:$E$4,0)))),IF(C338=2030,SUMPRODUCT((B338='Landbrugsareal - resultat'!$B$5:$B$18)*(INDEX('Landbrugsareal - resultat'!$F$5:$H$18,,MATCH(E338,'Landbrugsareal - resultat'!$F$4:$H$4,0)))),SUMPRODUCT((B338='Landbrugsareal - resultat'!$B$5:$B$18)*(INDEX('Landbrugsareal - resultat'!$I$5:$K$18,,MATCH(E338,'Landbrugsareal - resultat'!$I$4:$K$4,0)))))),IF(C338=2019,SUMPRODUCT((B338='Landbrugsareal - resultat'!$B$5:$B$18)*(INDEX('Landbrugsareal - resultat'!$L$5:$N$18,,MATCH(E338,'Landbrugsareal - resultat'!$L$4:$N$4,0)))),IF(C338=2030,SUMPRODUCT((B338='Landbrugsareal - resultat'!$B$5:$B$18)*(INDEX('Landbrugsareal - resultat'!$O$5:$Q$18,,MATCH(E338,'Landbrugsareal - resultat'!$O$4:$Q$4,0)))),SUMPRODUCT((B338='Landbrugsareal - resultat'!$B$5:$B$18)*(INDEX('Landbrugsareal - resultat'!$R$5:$T$18,,MATCH(E338,'Landbrugsareal - resultat'!$R$4:$T$4,0))))))),IF(D338="Konventionel",IF(C338=2019,SUMPRODUCT((B338='Landbrugsareal - resultat'!$B$32:$B$45)*(INDEX('Landbrugsareal - resultat'!$C$32:$E$45,,MATCH(E338,'Landbrugsareal - resultat'!$C$4:$E$4,0)))),IF(C338=2030,SUMPRODUCT((B338='Landbrugsareal - resultat'!$B$32:$B$45)*(INDEX('Landbrugsareal - resultat'!$F$32:$H$45,,MATCH(E338,'Landbrugsareal - resultat'!$F$4:$H$4,0)))),SUMPRODUCT((B338='Landbrugsareal - resultat'!$B$32:$B$45)*(INDEX('Landbrugsareal - resultat'!$I$32:$K$45,,MATCH(E338,'Landbrugsareal - resultat'!$I$4:$K$4,0)))))),IF(C338=2019,SUMPRODUCT((B338='Landbrugsareal - resultat'!$B$32:$B$45)*(INDEX('Landbrugsareal - resultat'!$L$32:$N$45,,MATCH(E338,'Landbrugsareal - resultat'!$L$4:$N$4,0)))),IF(C338=2030,SUMPRODUCT((B338='Landbrugsareal - resultat'!$B$32:$B$45)*(INDEX('Landbrugsareal - resultat'!$O$32:$Q$45,,MATCH(E338,'Landbrugsareal - resultat'!$O$4:$Q$4,0)))),SUMPRODUCT((B338='Landbrugsareal - resultat'!$B$32:$B$45)*(INDEX('Landbrugsareal - resultat'!$R$32:$T$45,,MATCH(E338,'Landbrugsareal - resultat'!$R$4:$T$4,0))))))))</f>
        <v>3321.6653666372972</v>
      </c>
      <c r="H338" s="172">
        <f>G338*VLOOKUP(B338,[1]Afgrødedata!$A$5:$F$18,2,FALSE)*IF(D338="Økologisk",VLOOKUP(B338,[1]Afgrødedata!$A$5:$F$18,4,FALSE),1)*IF(E338&lt;&gt;Jordbund1,IF(E338=Organ6,VLOOKUP(B338,[1]Afgrødedata!$A$5:$F$18,5,FALSE),VLOOKUP(B338,[1]Afgrødedata!$A$5:$F$18,6,FALSE)),1)*0.1</f>
        <v>27941.849064152946</v>
      </c>
      <c r="I338" s="172">
        <f>G338*VLOOKUP(B338,[1]Afgrødedata!$A$5:$F$18,3,FALSE)*IF(D338="Økologisk",VLOOKUP(B338,[1]Afgrødedata!$A$5:$F$18,4,FALSE),1)*IF(E338&lt;&gt;Jordbund1,IF(E338=Organ6,VLOOKUP(B338,[1]Afgrødedata!$A$5:$F$18,5,FALSE),VLOOKUP(B338,[1]Afgrødedata!$A$5:$F$18,6,FALSE)),1)*HLOOKUP(C338,Landbrug!$C$15:$E$17,2,FALSE)*HLOOKUP(C338,Landbrug!$C$15:$E$17,3,FALSE)*0.1</f>
        <v>9120.1496799168599</v>
      </c>
      <c r="J338" s="76">
        <f t="shared" si="55"/>
        <v>9120.1496799168599</v>
      </c>
    </row>
    <row r="339" spans="1:10" x14ac:dyDescent="0.55000000000000004">
      <c r="A339" t="s">
        <v>24</v>
      </c>
      <c r="B339" s="1" t="str">
        <f>[1]Afgrødefordeling!$C$3</f>
        <v>Bælgsæd</v>
      </c>
      <c r="C339">
        <v>2019</v>
      </c>
      <c r="D339" t="s">
        <v>7</v>
      </c>
      <c r="E339" s="172" t="str">
        <f t="shared" si="59"/>
        <v>OC6</v>
      </c>
      <c r="F339" t="str">
        <f t="shared" si="58"/>
        <v>Halm</v>
      </c>
      <c r="G339" s="76" cm="1">
        <f t="array" ref="G339">IF(A339="Vestdanmark",IF(D339="Konventionel",IF(C339=2019,SUMPRODUCT((B339='Landbrugsareal - resultat'!$B$5:$B$18)*(INDEX('Landbrugsareal - resultat'!$C$5:$E$18,,MATCH(E339,'Landbrugsareal - resultat'!$C$4:$E$4,0)))),IF(C339=2030,SUMPRODUCT((B339='Landbrugsareal - resultat'!$B$5:$B$18)*(INDEX('Landbrugsareal - resultat'!$F$5:$H$18,,MATCH(E339,'Landbrugsareal - resultat'!$F$4:$H$4,0)))),SUMPRODUCT((B339='Landbrugsareal - resultat'!$B$5:$B$18)*(INDEX('Landbrugsareal - resultat'!$I$5:$K$18,,MATCH(E339,'Landbrugsareal - resultat'!$I$4:$K$4,0)))))),IF(C339=2019,SUMPRODUCT((B339='Landbrugsareal - resultat'!$B$5:$B$18)*(INDEX('Landbrugsareal - resultat'!$L$5:$N$18,,MATCH(E339,'Landbrugsareal - resultat'!$L$4:$N$4,0)))),IF(C339=2030,SUMPRODUCT((B339='Landbrugsareal - resultat'!$B$5:$B$18)*(INDEX('Landbrugsareal - resultat'!$O$5:$Q$18,,MATCH(E339,'Landbrugsareal - resultat'!$O$4:$Q$4,0)))),SUMPRODUCT((B339='Landbrugsareal - resultat'!$B$5:$B$18)*(INDEX('Landbrugsareal - resultat'!$R$5:$T$18,,MATCH(E339,'Landbrugsareal - resultat'!$R$4:$T$4,0))))))),IF(D339="Konventionel",IF(C339=2019,SUMPRODUCT((B339='Landbrugsareal - resultat'!$B$32:$B$45)*(INDEX('Landbrugsareal - resultat'!$C$32:$E$45,,MATCH(E339,'Landbrugsareal - resultat'!$C$4:$E$4,0)))),IF(C339=2030,SUMPRODUCT((B339='Landbrugsareal - resultat'!$B$32:$B$45)*(INDEX('Landbrugsareal - resultat'!$F$32:$H$45,,MATCH(E339,'Landbrugsareal - resultat'!$F$4:$H$4,0)))),SUMPRODUCT((B339='Landbrugsareal - resultat'!$B$32:$B$45)*(INDEX('Landbrugsareal - resultat'!$I$32:$K$45,,MATCH(E339,'Landbrugsareal - resultat'!$I$4:$K$4,0)))))),IF(C339=2019,SUMPRODUCT((B339='Landbrugsareal - resultat'!$B$32:$B$45)*(INDEX('Landbrugsareal - resultat'!$L$32:$N$45,,MATCH(E339,'Landbrugsareal - resultat'!$L$4:$N$4,0)))),IF(C339=2030,SUMPRODUCT((B339='Landbrugsareal - resultat'!$B$32:$B$45)*(INDEX('Landbrugsareal - resultat'!$O$32:$Q$45,,MATCH(E339,'Landbrugsareal - resultat'!$O$4:$Q$4,0)))),SUMPRODUCT((B339='Landbrugsareal - resultat'!$B$32:$B$45)*(INDEX('Landbrugsareal - resultat'!$R$32:$T$45,,MATCH(E339,'Landbrugsareal - resultat'!$R$4:$T$4,0))))))))</f>
        <v>89.823141135380936</v>
      </c>
      <c r="H339" s="172">
        <f>G339*VLOOKUP(B339,[1]Afgrødedata!$A$5:$F$18,2,FALSE)*IF(D339="Økologisk",VLOOKUP(B339,[1]Afgrødedata!$A$5:$F$18,4,FALSE),1)*IF(E339&lt;&gt;Jordbund1,IF(E339=Organ6,VLOOKUP(B339,[1]Afgrødedata!$A$5:$F$18,5,FALSE),VLOOKUP(B339,[1]Afgrødedata!$A$5:$F$18,6,FALSE)),1)*0.1</f>
        <v>416.06078973908456</v>
      </c>
      <c r="I339" s="172">
        <f>G339*VLOOKUP(B339,[1]Afgrødedata!$A$5:$F$18,3,FALSE)*IF(D339="Økologisk",VLOOKUP(B339,[1]Afgrødedata!$A$5:$F$18,4,FALSE),1)*IF(E339&lt;&gt;Jordbund1,IF(E339=Organ6,VLOOKUP(B339,[1]Afgrødedata!$A$5:$F$18,5,FALSE),VLOOKUP(B339,[1]Afgrødedata!$A$5:$F$18,6,FALSE)),1)*HLOOKUP(C339,Landbrug!$C$15:$E$17,2,FALSE)*HLOOKUP(C339,Landbrug!$C$15:$E$17,3,FALSE)*0.1</f>
        <v>123.51960448705798</v>
      </c>
      <c r="J339" s="76">
        <f t="shared" si="55"/>
        <v>123.51960448705798</v>
      </c>
    </row>
    <row r="340" spans="1:10" x14ac:dyDescent="0.55000000000000004">
      <c r="A340" t="s">
        <v>24</v>
      </c>
      <c r="B340" s="1" t="str">
        <f>[1]Afgrødefordeling!$C$4</f>
        <v>Raps</v>
      </c>
      <c r="C340">
        <v>2019</v>
      </c>
      <c r="D340" t="s">
        <v>7</v>
      </c>
      <c r="E340" s="172" t="str">
        <f t="shared" si="59"/>
        <v>OC6</v>
      </c>
      <c r="F340" t="str">
        <f t="shared" si="58"/>
        <v>Halm</v>
      </c>
      <c r="G340" s="76" cm="1">
        <f t="array" ref="G340">IF(A340="Vestdanmark",IF(D340="Konventionel",IF(C340=2019,SUMPRODUCT((B340='Landbrugsareal - resultat'!$B$5:$B$18)*(INDEX('Landbrugsareal - resultat'!$C$5:$E$18,,MATCH(E340,'Landbrugsareal - resultat'!$C$4:$E$4,0)))),IF(C340=2030,SUMPRODUCT((B340='Landbrugsareal - resultat'!$B$5:$B$18)*(INDEX('Landbrugsareal - resultat'!$F$5:$H$18,,MATCH(E340,'Landbrugsareal - resultat'!$F$4:$H$4,0)))),SUMPRODUCT((B340='Landbrugsareal - resultat'!$B$5:$B$18)*(INDEX('Landbrugsareal - resultat'!$I$5:$K$18,,MATCH(E340,'Landbrugsareal - resultat'!$I$4:$K$4,0)))))),IF(C340=2019,SUMPRODUCT((B340='Landbrugsareal - resultat'!$B$5:$B$18)*(INDEX('Landbrugsareal - resultat'!$L$5:$N$18,,MATCH(E340,'Landbrugsareal - resultat'!$L$4:$N$4,0)))),IF(C340=2030,SUMPRODUCT((B340='Landbrugsareal - resultat'!$B$5:$B$18)*(INDEX('Landbrugsareal - resultat'!$O$5:$Q$18,,MATCH(E340,'Landbrugsareal - resultat'!$O$4:$Q$4,0)))),SUMPRODUCT((B340='Landbrugsareal - resultat'!$B$5:$B$18)*(INDEX('Landbrugsareal - resultat'!$R$5:$T$18,,MATCH(E340,'Landbrugsareal - resultat'!$R$4:$T$4,0))))))),IF(D340="Konventionel",IF(C340=2019,SUMPRODUCT((B340='Landbrugsareal - resultat'!$B$32:$B$45)*(INDEX('Landbrugsareal - resultat'!$C$32:$E$45,,MATCH(E340,'Landbrugsareal - resultat'!$C$4:$E$4,0)))),IF(C340=2030,SUMPRODUCT((B340='Landbrugsareal - resultat'!$B$32:$B$45)*(INDEX('Landbrugsareal - resultat'!$F$32:$H$45,,MATCH(E340,'Landbrugsareal - resultat'!$F$4:$H$4,0)))),SUMPRODUCT((B340='Landbrugsareal - resultat'!$B$32:$B$45)*(INDEX('Landbrugsareal - resultat'!$I$32:$K$45,,MATCH(E340,'Landbrugsareal - resultat'!$I$4:$K$4,0)))))),IF(C340=2019,SUMPRODUCT((B340='Landbrugsareal - resultat'!$B$32:$B$45)*(INDEX('Landbrugsareal - resultat'!$L$32:$N$45,,MATCH(E340,'Landbrugsareal - resultat'!$L$4:$N$4,0)))),IF(C340=2030,SUMPRODUCT((B340='Landbrugsareal - resultat'!$B$32:$B$45)*(INDEX('Landbrugsareal - resultat'!$O$32:$Q$45,,MATCH(E340,'Landbrugsareal - resultat'!$O$4:$Q$4,0)))),SUMPRODUCT((B340='Landbrugsareal - resultat'!$B$32:$B$45)*(INDEX('Landbrugsareal - resultat'!$R$32:$T$45,,MATCH(E340,'Landbrugsareal - resultat'!$R$4:$T$4,0))))))))</f>
        <v>362.80969861856295</v>
      </c>
      <c r="H340" s="172">
        <f>G340*VLOOKUP(B340,[1]Afgrødedata!$A$5:$F$18,2,FALSE)*IF(D340="Økologisk",VLOOKUP(B340,[1]Afgrødedata!$A$5:$F$18,4,FALSE),1)*IF(E340&lt;&gt;Jordbund1,IF(E340=Organ6,VLOOKUP(B340,[1]Afgrødedata!$A$5:$F$18,5,FALSE),VLOOKUP(B340,[1]Afgrødedata!$A$5:$F$18,6,FALSE)),1)*0.1</f>
        <v>1915.6352087060125</v>
      </c>
      <c r="I340" s="172">
        <f>G340*VLOOKUP(B340,[1]Afgrødedata!$A$5:$F$18,3,FALSE)*IF(D340="Økologisk",VLOOKUP(B340,[1]Afgrødedata!$A$5:$F$18,4,FALSE),1)*IF(E340&lt;&gt;Jordbund1,IF(E340=Organ6,VLOOKUP(B340,[1]Afgrødedata!$A$5:$F$18,5,FALSE),VLOOKUP(B340,[1]Afgrødedata!$A$5:$F$18,6,FALSE)),1)*HLOOKUP(C340,Landbrug!$C$15:$E$17,2,FALSE)*HLOOKUP(C340,Landbrug!$C$15:$E$17,3,FALSE)*0.1</f>
        <v>1023.1503431459249</v>
      </c>
      <c r="J340" s="76">
        <f t="shared" si="55"/>
        <v>1023.1503431459249</v>
      </c>
    </row>
    <row r="341" spans="1:10" x14ac:dyDescent="0.55000000000000004">
      <c r="A341" t="s">
        <v>24</v>
      </c>
      <c r="B341" s="1" t="str">
        <f>[1]Afgrødefordeling!$C$5</f>
        <v>Græs</v>
      </c>
      <c r="C341">
        <v>2019</v>
      </c>
      <c r="D341" t="s">
        <v>7</v>
      </c>
      <c r="E341" s="172" t="str">
        <f t="shared" si="59"/>
        <v>OC6</v>
      </c>
      <c r="F341" t="str">
        <f t="shared" si="58"/>
        <v>Græs</v>
      </c>
      <c r="G341" s="76" cm="1">
        <f t="array" ref="G341">IF(A341="Vestdanmark",IF(D341="Konventionel",IF(C341=2019,SUMPRODUCT((B341='Landbrugsareal - resultat'!$B$5:$B$18)*(INDEX('Landbrugsareal - resultat'!$C$5:$E$18,,MATCH(E341,'Landbrugsareal - resultat'!$C$4:$E$4,0)))),IF(C341=2030,SUMPRODUCT((B341='Landbrugsareal - resultat'!$B$5:$B$18)*(INDEX('Landbrugsareal - resultat'!$F$5:$H$18,,MATCH(E341,'Landbrugsareal - resultat'!$F$4:$H$4,0)))),SUMPRODUCT((B341='Landbrugsareal - resultat'!$B$5:$B$18)*(INDEX('Landbrugsareal - resultat'!$I$5:$K$18,,MATCH(E341,'Landbrugsareal - resultat'!$I$4:$K$4,0)))))),IF(C341=2019,SUMPRODUCT((B341='Landbrugsareal - resultat'!$B$5:$B$18)*(INDEX('Landbrugsareal - resultat'!$L$5:$N$18,,MATCH(E341,'Landbrugsareal - resultat'!$L$4:$N$4,0)))),IF(C341=2030,SUMPRODUCT((B341='Landbrugsareal - resultat'!$B$5:$B$18)*(INDEX('Landbrugsareal - resultat'!$O$5:$Q$18,,MATCH(E341,'Landbrugsareal - resultat'!$O$4:$Q$4,0)))),SUMPRODUCT((B341='Landbrugsareal - resultat'!$B$5:$B$18)*(INDEX('Landbrugsareal - resultat'!$R$5:$T$18,,MATCH(E341,'Landbrugsareal - resultat'!$R$4:$T$4,0))))))),IF(D341="Konventionel",IF(C341=2019,SUMPRODUCT((B341='Landbrugsareal - resultat'!$B$32:$B$45)*(INDEX('Landbrugsareal - resultat'!$C$32:$E$45,,MATCH(E341,'Landbrugsareal - resultat'!$C$4:$E$4,0)))),IF(C341=2030,SUMPRODUCT((B341='Landbrugsareal - resultat'!$B$32:$B$45)*(INDEX('Landbrugsareal - resultat'!$F$32:$H$45,,MATCH(E341,'Landbrugsareal - resultat'!$F$4:$H$4,0)))),SUMPRODUCT((B341='Landbrugsareal - resultat'!$B$32:$B$45)*(INDEX('Landbrugsareal - resultat'!$I$32:$K$45,,MATCH(E341,'Landbrugsareal - resultat'!$I$4:$K$4,0)))))),IF(C341=2019,SUMPRODUCT((B341='Landbrugsareal - resultat'!$B$32:$B$45)*(INDEX('Landbrugsareal - resultat'!$L$32:$N$45,,MATCH(E341,'Landbrugsareal - resultat'!$L$4:$N$4,0)))),IF(C341=2030,SUMPRODUCT((B341='Landbrugsareal - resultat'!$B$32:$B$45)*(INDEX('Landbrugsareal - resultat'!$O$32:$Q$45,,MATCH(E341,'Landbrugsareal - resultat'!$O$4:$Q$4,0)))),SUMPRODUCT((B341='Landbrugsareal - resultat'!$B$32:$B$45)*(INDEX('Landbrugsareal - resultat'!$R$32:$T$45,,MATCH(E341,'Landbrugsareal - resultat'!$R$4:$T$4,0))))))))</f>
        <v>1066.8125324809869</v>
      </c>
      <c r="H341" s="172">
        <f>G341*VLOOKUP(B341,[1]Afgrødedata!$A$5:$F$18,2,FALSE)*IF(D341="Økologisk",VLOOKUP(B341,[1]Afgrødedata!$A$5:$F$18,4,FALSE),1)*IF(E341&lt;&gt;Jordbund1,IF(E341=Organ6,VLOOKUP(B341,[1]Afgrødedata!$A$5:$F$18,5,FALSE),VLOOKUP(B341,[1]Afgrødedata!$A$5:$F$18,6,FALSE)),1)*0.1</f>
        <v>63522.285434047895</v>
      </c>
      <c r="I341" s="172">
        <f>G341*VLOOKUP(B341,[1]Afgrødedata!$A$5:$F$18,3,FALSE)*IF(D341="Økologisk",VLOOKUP(B341,[1]Afgrødedata!$A$5:$F$18,4,FALSE),1)*IF(E341&lt;&gt;Jordbund1,IF(E341=Organ6,VLOOKUP(B341,[1]Afgrødedata!$A$5:$F$18,5,FALSE),VLOOKUP(B341,[1]Afgrødedata!$A$5:$F$18,6,FALSE)),1)*HLOOKUP(C341,Landbrug!$C$15:$E$17,2,FALSE)*HLOOKUP(C341,Landbrug!$C$15:$E$17,3,FALSE)*0.1</f>
        <v>0</v>
      </c>
      <c r="J341" s="76">
        <f t="shared" ref="J341:J404" si="60">IF(I341&lt;&gt;0,I341,H341)</f>
        <v>63522.285434047895</v>
      </c>
    </row>
    <row r="342" spans="1:10" x14ac:dyDescent="0.55000000000000004">
      <c r="A342" t="s">
        <v>24</v>
      </c>
      <c r="B342" s="1" t="str">
        <f>[1]Afgrødefordeling!$C$6</f>
        <v>Grøntsager</v>
      </c>
      <c r="C342">
        <v>2019</v>
      </c>
      <c r="D342" t="s">
        <v>7</v>
      </c>
      <c r="E342" s="172" t="str">
        <f t="shared" si="59"/>
        <v>OC6</v>
      </c>
      <c r="F342" t="str">
        <f t="shared" si="58"/>
        <v>Grøntsager</v>
      </c>
      <c r="G342" s="76" cm="1">
        <f t="array" ref="G342">IF(A342="Vestdanmark",IF(D342="Konventionel",IF(C342=2019,SUMPRODUCT((B342='Landbrugsareal - resultat'!$B$5:$B$18)*(INDEX('Landbrugsareal - resultat'!$C$5:$E$18,,MATCH(E342,'Landbrugsareal - resultat'!$C$4:$E$4,0)))),IF(C342=2030,SUMPRODUCT((B342='Landbrugsareal - resultat'!$B$5:$B$18)*(INDEX('Landbrugsareal - resultat'!$F$5:$H$18,,MATCH(E342,'Landbrugsareal - resultat'!$F$4:$H$4,0)))),SUMPRODUCT((B342='Landbrugsareal - resultat'!$B$5:$B$18)*(INDEX('Landbrugsareal - resultat'!$I$5:$K$18,,MATCH(E342,'Landbrugsareal - resultat'!$I$4:$K$4,0)))))),IF(C342=2019,SUMPRODUCT((B342='Landbrugsareal - resultat'!$B$5:$B$18)*(INDEX('Landbrugsareal - resultat'!$L$5:$N$18,,MATCH(E342,'Landbrugsareal - resultat'!$L$4:$N$4,0)))),IF(C342=2030,SUMPRODUCT((B342='Landbrugsareal - resultat'!$B$5:$B$18)*(INDEX('Landbrugsareal - resultat'!$O$5:$Q$18,,MATCH(E342,'Landbrugsareal - resultat'!$O$4:$Q$4,0)))),SUMPRODUCT((B342='Landbrugsareal - resultat'!$B$5:$B$18)*(INDEX('Landbrugsareal - resultat'!$R$5:$T$18,,MATCH(E342,'Landbrugsareal - resultat'!$R$4:$T$4,0))))))),IF(D342="Konventionel",IF(C342=2019,SUMPRODUCT((B342='Landbrugsareal - resultat'!$B$32:$B$45)*(INDEX('Landbrugsareal - resultat'!$C$32:$E$45,,MATCH(E342,'Landbrugsareal - resultat'!$C$4:$E$4,0)))),IF(C342=2030,SUMPRODUCT((B342='Landbrugsareal - resultat'!$B$32:$B$45)*(INDEX('Landbrugsareal - resultat'!$F$32:$H$45,,MATCH(E342,'Landbrugsareal - resultat'!$F$4:$H$4,0)))),SUMPRODUCT((B342='Landbrugsareal - resultat'!$B$32:$B$45)*(INDEX('Landbrugsareal - resultat'!$I$32:$K$45,,MATCH(E342,'Landbrugsareal - resultat'!$I$4:$K$4,0)))))),IF(C342=2019,SUMPRODUCT((B342='Landbrugsareal - resultat'!$B$32:$B$45)*(INDEX('Landbrugsareal - resultat'!$L$32:$N$45,,MATCH(E342,'Landbrugsareal - resultat'!$L$4:$N$4,0)))),IF(C342=2030,SUMPRODUCT((B342='Landbrugsareal - resultat'!$B$32:$B$45)*(INDEX('Landbrugsareal - resultat'!$O$32:$Q$45,,MATCH(E342,'Landbrugsareal - resultat'!$O$4:$Q$4,0)))),SUMPRODUCT((B342='Landbrugsareal - resultat'!$B$32:$B$45)*(INDEX('Landbrugsareal - resultat'!$R$32:$T$45,,MATCH(E342,'Landbrugsareal - resultat'!$R$4:$T$4,0))))))))</f>
        <v>20.204274039436456</v>
      </c>
      <c r="H342" s="172">
        <f>G342*VLOOKUP(B342,[1]Afgrødedata!$A$5:$F$18,2,FALSE)*IF(D342="Økologisk",VLOOKUP(B342,[1]Afgrødedata!$A$5:$F$18,4,FALSE),1)*IF(E342&lt;&gt;Jordbund1,IF(E342=Organ6,VLOOKUP(B342,[1]Afgrødedata!$A$5:$F$18,5,FALSE),VLOOKUP(B342,[1]Afgrødedata!$A$5:$F$18,6,FALSE)),1)*0.1</f>
        <v>503.08642358196778</v>
      </c>
      <c r="I342" s="172">
        <f>G342*VLOOKUP(B342,[1]Afgrødedata!$A$5:$F$18,3,FALSE)*IF(D342="Økologisk",VLOOKUP(B342,[1]Afgrødedata!$A$5:$F$18,4,FALSE),1)*IF(E342&lt;&gt;Jordbund1,IF(E342=Organ6,VLOOKUP(B342,[1]Afgrødedata!$A$5:$F$18,5,FALSE),VLOOKUP(B342,[1]Afgrødedata!$A$5:$F$18,6,FALSE)),1)*HLOOKUP(C342,Landbrug!$C$15:$E$17,2,FALSE)*HLOOKUP(C342,Landbrug!$C$15:$E$17,3,FALSE)*0.1</f>
        <v>0</v>
      </c>
      <c r="J342" s="76">
        <f t="shared" si="60"/>
        <v>503.08642358196778</v>
      </c>
    </row>
    <row r="343" spans="1:10" x14ac:dyDescent="0.55000000000000004">
      <c r="A343" t="s">
        <v>24</v>
      </c>
      <c r="B343" s="1" t="str">
        <f>[1]Afgrødefordeling!$C$7</f>
        <v>Kartofler</v>
      </c>
      <c r="C343">
        <v>2019</v>
      </c>
      <c r="D343" t="s">
        <v>7</v>
      </c>
      <c r="E343" s="172" t="str">
        <f t="shared" si="59"/>
        <v>OC6</v>
      </c>
      <c r="F343" t="str">
        <f t="shared" si="58"/>
        <v>Kartofler</v>
      </c>
      <c r="G343" s="76" cm="1">
        <f t="array" ref="G343">IF(A343="Vestdanmark",IF(D343="Konventionel",IF(C343=2019,SUMPRODUCT((B343='Landbrugsareal - resultat'!$B$5:$B$18)*(INDEX('Landbrugsareal - resultat'!$C$5:$E$18,,MATCH(E343,'Landbrugsareal - resultat'!$C$4:$E$4,0)))),IF(C343=2030,SUMPRODUCT((B343='Landbrugsareal - resultat'!$B$5:$B$18)*(INDEX('Landbrugsareal - resultat'!$F$5:$H$18,,MATCH(E343,'Landbrugsareal - resultat'!$F$4:$H$4,0)))),SUMPRODUCT((B343='Landbrugsareal - resultat'!$B$5:$B$18)*(INDEX('Landbrugsareal - resultat'!$I$5:$K$18,,MATCH(E343,'Landbrugsareal - resultat'!$I$4:$K$4,0)))))),IF(C343=2019,SUMPRODUCT((B343='Landbrugsareal - resultat'!$B$5:$B$18)*(INDEX('Landbrugsareal - resultat'!$L$5:$N$18,,MATCH(E343,'Landbrugsareal - resultat'!$L$4:$N$4,0)))),IF(C343=2030,SUMPRODUCT((B343='Landbrugsareal - resultat'!$B$5:$B$18)*(INDEX('Landbrugsareal - resultat'!$O$5:$Q$18,,MATCH(E343,'Landbrugsareal - resultat'!$O$4:$Q$4,0)))),SUMPRODUCT((B343='Landbrugsareal - resultat'!$B$5:$B$18)*(INDEX('Landbrugsareal - resultat'!$R$5:$T$18,,MATCH(E343,'Landbrugsareal - resultat'!$R$4:$T$4,0))))))),IF(D343="Konventionel",IF(C343=2019,SUMPRODUCT((B343='Landbrugsareal - resultat'!$B$32:$B$45)*(INDEX('Landbrugsareal - resultat'!$C$32:$E$45,,MATCH(E343,'Landbrugsareal - resultat'!$C$4:$E$4,0)))),IF(C343=2030,SUMPRODUCT((B343='Landbrugsareal - resultat'!$B$32:$B$45)*(INDEX('Landbrugsareal - resultat'!$F$32:$H$45,,MATCH(E343,'Landbrugsareal - resultat'!$F$4:$H$4,0)))),SUMPRODUCT((B343='Landbrugsareal - resultat'!$B$32:$B$45)*(INDEX('Landbrugsareal - resultat'!$I$32:$K$45,,MATCH(E343,'Landbrugsareal - resultat'!$I$4:$K$4,0)))))),IF(C343=2019,SUMPRODUCT((B343='Landbrugsareal - resultat'!$B$32:$B$45)*(INDEX('Landbrugsareal - resultat'!$L$32:$N$45,,MATCH(E343,'Landbrugsareal - resultat'!$L$4:$N$4,0)))),IF(C343=2030,SUMPRODUCT((B343='Landbrugsareal - resultat'!$B$32:$B$45)*(INDEX('Landbrugsareal - resultat'!$O$32:$Q$45,,MATCH(E343,'Landbrugsareal - resultat'!$O$4:$Q$4,0)))),SUMPRODUCT((B343='Landbrugsareal - resultat'!$B$32:$B$45)*(INDEX('Landbrugsareal - resultat'!$R$32:$T$45,,MATCH(E343,'Landbrugsareal - resultat'!$R$4:$T$4,0))))))))</f>
        <v>34.349115010819808</v>
      </c>
      <c r="H343" s="172">
        <f>G343*VLOOKUP(B343,[1]Afgrødedata!$A$5:$F$18,2,FALSE)*IF(D343="Økologisk",VLOOKUP(B343,[1]Afgrødedata!$A$5:$F$18,4,FALSE),1)*IF(E343&lt;&gt;Jordbund1,IF(E343=Organ6,VLOOKUP(B343,[1]Afgrødedata!$A$5:$F$18,5,FALSE),VLOOKUP(B343,[1]Afgrødedata!$A$5:$F$18,6,FALSE)),1)*0.1</f>
        <v>1750.6053726466705</v>
      </c>
      <c r="I343" s="172">
        <f>G343*VLOOKUP(B343,[1]Afgrødedata!$A$5:$F$18,3,FALSE)*IF(D343="Økologisk",VLOOKUP(B343,[1]Afgrødedata!$A$5:$F$18,4,FALSE),1)*IF(E343&lt;&gt;Jordbund1,IF(E343=Organ6,VLOOKUP(B343,[1]Afgrødedata!$A$5:$F$18,5,FALSE),VLOOKUP(B343,[1]Afgrødedata!$A$5:$F$18,6,FALSE)),1)*HLOOKUP(C343,Landbrug!$C$15:$E$17,2,FALSE)*HLOOKUP(C343,Landbrug!$C$15:$E$17,3,FALSE)*0.1</f>
        <v>0</v>
      </c>
      <c r="J343" s="76">
        <f t="shared" si="60"/>
        <v>1750.6053726466705</v>
      </c>
    </row>
    <row r="344" spans="1:10" x14ac:dyDescent="0.55000000000000004">
      <c r="A344" t="s">
        <v>24</v>
      </c>
      <c r="B344" s="1" t="str">
        <f>[1]Afgrødefordeling!$C$8</f>
        <v>Roer</v>
      </c>
      <c r="C344">
        <v>2019</v>
      </c>
      <c r="D344" t="s">
        <v>7</v>
      </c>
      <c r="E344" s="172" t="str">
        <f t="shared" si="59"/>
        <v>OC6</v>
      </c>
      <c r="F344" t="str">
        <f t="shared" si="58"/>
        <v>Roer</v>
      </c>
      <c r="G344" s="76" cm="1">
        <f t="array" ref="G344">IF(A344="Vestdanmark",IF(D344="Konventionel",IF(C344=2019,SUMPRODUCT((B344='Landbrugsareal - resultat'!$B$5:$B$18)*(INDEX('Landbrugsareal - resultat'!$C$5:$E$18,,MATCH(E344,'Landbrugsareal - resultat'!$C$4:$E$4,0)))),IF(C344=2030,SUMPRODUCT((B344='Landbrugsareal - resultat'!$B$5:$B$18)*(INDEX('Landbrugsareal - resultat'!$F$5:$H$18,,MATCH(E344,'Landbrugsareal - resultat'!$F$4:$H$4,0)))),SUMPRODUCT((B344='Landbrugsareal - resultat'!$B$5:$B$18)*(INDEX('Landbrugsareal - resultat'!$I$5:$K$18,,MATCH(E344,'Landbrugsareal - resultat'!$I$4:$K$4,0)))))),IF(C344=2019,SUMPRODUCT((B344='Landbrugsareal - resultat'!$B$5:$B$18)*(INDEX('Landbrugsareal - resultat'!$L$5:$N$18,,MATCH(E344,'Landbrugsareal - resultat'!$L$4:$N$4,0)))),IF(C344=2030,SUMPRODUCT((B344='Landbrugsareal - resultat'!$B$5:$B$18)*(INDEX('Landbrugsareal - resultat'!$O$5:$Q$18,,MATCH(E344,'Landbrugsareal - resultat'!$O$4:$Q$4,0)))),SUMPRODUCT((B344='Landbrugsareal - resultat'!$B$5:$B$18)*(INDEX('Landbrugsareal - resultat'!$R$5:$T$18,,MATCH(E344,'Landbrugsareal - resultat'!$R$4:$T$4,0))))))),IF(D344="Konventionel",IF(C344=2019,SUMPRODUCT((B344='Landbrugsareal - resultat'!$B$32:$B$45)*(INDEX('Landbrugsareal - resultat'!$C$32:$E$45,,MATCH(E344,'Landbrugsareal - resultat'!$C$4:$E$4,0)))),IF(C344=2030,SUMPRODUCT((B344='Landbrugsareal - resultat'!$B$32:$B$45)*(INDEX('Landbrugsareal - resultat'!$F$32:$H$45,,MATCH(E344,'Landbrugsareal - resultat'!$F$4:$H$4,0)))),SUMPRODUCT((B344='Landbrugsareal - resultat'!$B$32:$B$45)*(INDEX('Landbrugsareal - resultat'!$I$32:$K$45,,MATCH(E344,'Landbrugsareal - resultat'!$I$4:$K$4,0)))))),IF(C344=2019,SUMPRODUCT((B344='Landbrugsareal - resultat'!$B$32:$B$45)*(INDEX('Landbrugsareal - resultat'!$L$32:$N$45,,MATCH(E344,'Landbrugsareal - resultat'!$L$4:$N$4,0)))),IF(C344=2030,SUMPRODUCT((B344='Landbrugsareal - resultat'!$B$32:$B$45)*(INDEX('Landbrugsareal - resultat'!$O$32:$Q$45,,MATCH(E344,'Landbrugsareal - resultat'!$O$4:$Q$4,0)))),SUMPRODUCT((B344='Landbrugsareal - resultat'!$B$32:$B$45)*(INDEX('Landbrugsareal - resultat'!$R$32:$T$45,,MATCH(E344,'Landbrugsareal - resultat'!$R$4:$T$4,0))))))))</f>
        <v>95.964200645574223</v>
      </c>
      <c r="H344" s="172">
        <f>G344*VLOOKUP(B344,[1]Afgrødedata!$A$5:$F$18,2,FALSE)*IF(D344="Økologisk",VLOOKUP(B344,[1]Afgrødedata!$A$5:$F$18,4,FALSE),1)*IF(E344&lt;&gt;Jordbund1,IF(E344=Organ6,VLOOKUP(B344,[1]Afgrødedata!$A$5:$F$18,5,FALSE),VLOOKUP(B344,[1]Afgrødedata!$A$5:$F$18,6,FALSE)),1)*0.1</f>
        <v>9356.9392533941373</v>
      </c>
      <c r="I344" s="172">
        <f>G344*VLOOKUP(B344,[1]Afgrødedata!$A$5:$F$18,3,FALSE)*IF(D344="Økologisk",VLOOKUP(B344,[1]Afgrødedata!$A$5:$F$18,4,FALSE),1)*IF(E344&lt;&gt;Jordbund1,IF(E344=Organ6,VLOOKUP(B344,[1]Afgrødedata!$A$5:$F$18,5,FALSE),VLOOKUP(B344,[1]Afgrødedata!$A$5:$F$18,6,FALSE)),1)*HLOOKUP(C344,Landbrug!$C$15:$E$17,2,FALSE)*HLOOKUP(C344,Landbrug!$C$15:$E$17,3,FALSE)*0.1</f>
        <v>0</v>
      </c>
      <c r="J344" s="76">
        <f t="shared" si="60"/>
        <v>9356.9392533941373</v>
      </c>
    </row>
    <row r="345" spans="1:10" x14ac:dyDescent="0.55000000000000004">
      <c r="A345" t="s">
        <v>24</v>
      </c>
      <c r="B345" s="1" t="str">
        <f>[1]Afgrødefordeling!$C$9</f>
        <v>Majs</v>
      </c>
      <c r="C345">
        <v>2019</v>
      </c>
      <c r="D345" t="s">
        <v>7</v>
      </c>
      <c r="E345" s="172" t="str">
        <f t="shared" si="59"/>
        <v>OC6</v>
      </c>
      <c r="F345" t="str">
        <f t="shared" si="58"/>
        <v>Majs</v>
      </c>
      <c r="G345" s="76" cm="1">
        <f t="array" ref="G345">IF(A345="Vestdanmark",IF(D345="Konventionel",IF(C345=2019,SUMPRODUCT((B345='Landbrugsareal - resultat'!$B$5:$B$18)*(INDEX('Landbrugsareal - resultat'!$C$5:$E$18,,MATCH(E345,'Landbrugsareal - resultat'!$C$4:$E$4,0)))),IF(C345=2030,SUMPRODUCT((B345='Landbrugsareal - resultat'!$B$5:$B$18)*(INDEX('Landbrugsareal - resultat'!$F$5:$H$18,,MATCH(E345,'Landbrugsareal - resultat'!$F$4:$H$4,0)))),SUMPRODUCT((B345='Landbrugsareal - resultat'!$B$5:$B$18)*(INDEX('Landbrugsareal - resultat'!$I$5:$K$18,,MATCH(E345,'Landbrugsareal - resultat'!$I$4:$K$4,0)))))),IF(C345=2019,SUMPRODUCT((B345='Landbrugsareal - resultat'!$B$5:$B$18)*(INDEX('Landbrugsareal - resultat'!$L$5:$N$18,,MATCH(E345,'Landbrugsareal - resultat'!$L$4:$N$4,0)))),IF(C345=2030,SUMPRODUCT((B345='Landbrugsareal - resultat'!$B$5:$B$18)*(INDEX('Landbrugsareal - resultat'!$O$5:$Q$18,,MATCH(E345,'Landbrugsareal - resultat'!$O$4:$Q$4,0)))),SUMPRODUCT((B345='Landbrugsareal - resultat'!$B$5:$B$18)*(INDEX('Landbrugsareal - resultat'!$R$5:$T$18,,MATCH(E345,'Landbrugsareal - resultat'!$R$4:$T$4,0))))))),IF(D345="Konventionel",IF(C345=2019,SUMPRODUCT((B345='Landbrugsareal - resultat'!$B$32:$B$45)*(INDEX('Landbrugsareal - resultat'!$C$32:$E$45,,MATCH(E345,'Landbrugsareal - resultat'!$C$4:$E$4,0)))),IF(C345=2030,SUMPRODUCT((B345='Landbrugsareal - resultat'!$B$32:$B$45)*(INDEX('Landbrugsareal - resultat'!$F$32:$H$45,,MATCH(E345,'Landbrugsareal - resultat'!$F$4:$H$4,0)))),SUMPRODUCT((B345='Landbrugsareal - resultat'!$B$32:$B$45)*(INDEX('Landbrugsareal - resultat'!$I$32:$K$45,,MATCH(E345,'Landbrugsareal - resultat'!$I$4:$K$4,0)))))),IF(C345=2019,SUMPRODUCT((B345='Landbrugsareal - resultat'!$B$32:$B$45)*(INDEX('Landbrugsareal - resultat'!$L$32:$N$45,,MATCH(E345,'Landbrugsareal - resultat'!$L$4:$N$4,0)))),IF(C345=2030,SUMPRODUCT((B345='Landbrugsareal - resultat'!$B$32:$B$45)*(INDEX('Landbrugsareal - resultat'!$O$32:$Q$45,,MATCH(E345,'Landbrugsareal - resultat'!$O$4:$Q$4,0)))),SUMPRODUCT((B345='Landbrugsareal - resultat'!$B$32:$B$45)*(INDEX('Landbrugsareal - resultat'!$R$32:$T$45,,MATCH(E345,'Landbrugsareal - resultat'!$R$4:$T$4,0))))))))</f>
        <v>102.31264680005847</v>
      </c>
      <c r="H345" s="172">
        <f>G345*VLOOKUP(B345,[1]Afgrødedata!$A$5:$F$18,2,FALSE)*IF(D345="Økologisk",VLOOKUP(B345,[1]Afgrødedata!$A$5:$F$18,4,FALSE),1)*IF(E345&lt;&gt;Jordbund1,IF(E345=Organ6,VLOOKUP(B345,[1]Afgrødedata!$A$5:$F$18,5,FALSE),VLOOKUP(B345,[1]Afgrødedata!$A$5:$F$18,6,FALSE)),1)*0.1</f>
        <v>5464.7230908847232</v>
      </c>
      <c r="I345" s="172">
        <f>G345*VLOOKUP(B345,[1]Afgrødedata!$A$5:$F$18,3,FALSE)*IF(D345="Økologisk",VLOOKUP(B345,[1]Afgrødedata!$A$5:$F$18,4,FALSE),1)*IF(E345&lt;&gt;Jordbund1,IF(E345=Organ6,VLOOKUP(B345,[1]Afgrødedata!$A$5:$F$18,5,FALSE),VLOOKUP(B345,[1]Afgrødedata!$A$5:$F$18,6,FALSE)),1)*HLOOKUP(C345,Landbrug!$C$15:$E$17,2,FALSE)*HLOOKUP(C345,Landbrug!$C$15:$E$17,3,FALSE)*0.1</f>
        <v>0</v>
      </c>
      <c r="J345" s="76">
        <f t="shared" si="60"/>
        <v>5464.7230908847232</v>
      </c>
    </row>
    <row r="346" spans="1:10" x14ac:dyDescent="0.55000000000000004">
      <c r="A346" t="s">
        <v>24</v>
      </c>
      <c r="B346" s="1" t="str">
        <f>[1]Afgrødefordeling!$C$10</f>
        <v>Frugt</v>
      </c>
      <c r="C346">
        <v>2019</v>
      </c>
      <c r="D346" t="s">
        <v>7</v>
      </c>
      <c r="E346" s="172" t="str">
        <f t="shared" si="59"/>
        <v>OC6</v>
      </c>
      <c r="F346" t="str">
        <f t="shared" si="58"/>
        <v>Frugt</v>
      </c>
      <c r="G346" s="76" cm="1">
        <f t="array" ref="G346">IF(A346="Vestdanmark",IF(D346="Konventionel",IF(C346=2019,SUMPRODUCT((B346='Landbrugsareal - resultat'!$B$5:$B$18)*(INDEX('Landbrugsareal - resultat'!$C$5:$E$18,,MATCH(E346,'Landbrugsareal - resultat'!$C$4:$E$4,0)))),IF(C346=2030,SUMPRODUCT((B346='Landbrugsareal - resultat'!$B$5:$B$18)*(INDEX('Landbrugsareal - resultat'!$F$5:$H$18,,MATCH(E346,'Landbrugsareal - resultat'!$F$4:$H$4,0)))),SUMPRODUCT((B346='Landbrugsareal - resultat'!$B$5:$B$18)*(INDEX('Landbrugsareal - resultat'!$I$5:$K$18,,MATCH(E346,'Landbrugsareal - resultat'!$I$4:$K$4,0)))))),IF(C346=2019,SUMPRODUCT((B346='Landbrugsareal - resultat'!$B$5:$B$18)*(INDEX('Landbrugsareal - resultat'!$L$5:$N$18,,MATCH(E346,'Landbrugsareal - resultat'!$L$4:$N$4,0)))),IF(C346=2030,SUMPRODUCT((B346='Landbrugsareal - resultat'!$B$5:$B$18)*(INDEX('Landbrugsareal - resultat'!$O$5:$Q$18,,MATCH(E346,'Landbrugsareal - resultat'!$O$4:$Q$4,0)))),SUMPRODUCT((B346='Landbrugsareal - resultat'!$B$5:$B$18)*(INDEX('Landbrugsareal - resultat'!$R$5:$T$18,,MATCH(E346,'Landbrugsareal - resultat'!$R$4:$T$4,0))))))),IF(D346="Konventionel",IF(C346=2019,SUMPRODUCT((B346='Landbrugsareal - resultat'!$B$32:$B$45)*(INDEX('Landbrugsareal - resultat'!$C$32:$E$45,,MATCH(E346,'Landbrugsareal - resultat'!$C$4:$E$4,0)))),IF(C346=2030,SUMPRODUCT((B346='Landbrugsareal - resultat'!$B$32:$B$45)*(INDEX('Landbrugsareal - resultat'!$F$32:$H$45,,MATCH(E346,'Landbrugsareal - resultat'!$F$4:$H$4,0)))),SUMPRODUCT((B346='Landbrugsareal - resultat'!$B$32:$B$45)*(INDEX('Landbrugsareal - resultat'!$I$32:$K$45,,MATCH(E346,'Landbrugsareal - resultat'!$I$4:$K$4,0)))))),IF(C346=2019,SUMPRODUCT((B346='Landbrugsareal - resultat'!$B$32:$B$45)*(INDEX('Landbrugsareal - resultat'!$L$32:$N$45,,MATCH(E346,'Landbrugsareal - resultat'!$L$4:$N$4,0)))),IF(C346=2030,SUMPRODUCT((B346='Landbrugsareal - resultat'!$B$32:$B$45)*(INDEX('Landbrugsareal - resultat'!$O$32:$Q$45,,MATCH(E346,'Landbrugsareal - resultat'!$O$4:$Q$4,0)))),SUMPRODUCT((B346='Landbrugsareal - resultat'!$B$32:$B$45)*(INDEX('Landbrugsareal - resultat'!$R$32:$T$45,,MATCH(E346,'Landbrugsareal - resultat'!$R$4:$T$4,0))))))))</f>
        <v>22.070941108444988</v>
      </c>
      <c r="H346" s="172">
        <f>G346*VLOOKUP(B346,[1]Afgrødedata!$A$5:$F$18,2,FALSE)*IF(D346="Økologisk",VLOOKUP(B346,[1]Afgrødedata!$A$5:$F$18,4,FALSE),1)*IF(E346&lt;&gt;Jordbund1,IF(E346=Organ6,VLOOKUP(B346,[1]Afgrødedata!$A$5:$F$18,5,FALSE),VLOOKUP(B346,[1]Afgrødedata!$A$5:$F$18,6,FALSE)),1)*0.1</f>
        <v>224.85874801283754</v>
      </c>
      <c r="I346" s="172">
        <f>G346*VLOOKUP(B346,[1]Afgrødedata!$A$5:$F$18,3,FALSE)*IF(D346="Økologisk",VLOOKUP(B346,[1]Afgrødedata!$A$5:$F$18,4,FALSE),1)*IF(E346&lt;&gt;Jordbund1,IF(E346=Organ6,VLOOKUP(B346,[1]Afgrødedata!$A$5:$F$18,5,FALSE),VLOOKUP(B346,[1]Afgrødedata!$A$5:$F$18,6,FALSE)),1)*HLOOKUP(C346,Landbrug!$C$15:$E$17,2,FALSE)*HLOOKUP(C346,Landbrug!$C$15:$E$17,3,FALSE)*0.1</f>
        <v>0</v>
      </c>
      <c r="J346" s="76">
        <f t="shared" si="60"/>
        <v>224.85874801283754</v>
      </c>
    </row>
    <row r="347" spans="1:10" x14ac:dyDescent="0.55000000000000004">
      <c r="A347" t="s">
        <v>24</v>
      </c>
      <c r="B347" s="1" t="str">
        <f>[1]Afgrødefordeling!$C$11</f>
        <v>Øvrige</v>
      </c>
      <c r="C347">
        <v>2019</v>
      </c>
      <c r="D347" t="s">
        <v>7</v>
      </c>
      <c r="E347" s="172" t="str">
        <f t="shared" si="59"/>
        <v>OC6</v>
      </c>
      <c r="F347" t="str">
        <f t="shared" si="58"/>
        <v>Øvrige</v>
      </c>
      <c r="G347" s="76" cm="1">
        <f t="array" ref="G347">IF(A347="Vestdanmark",IF(D347="Konventionel",IF(C347=2019,SUMPRODUCT((B347='Landbrugsareal - resultat'!$B$5:$B$18)*(INDEX('Landbrugsareal - resultat'!$C$5:$E$18,,MATCH(E347,'Landbrugsareal - resultat'!$C$4:$E$4,0)))),IF(C347=2030,SUMPRODUCT((B347='Landbrugsareal - resultat'!$B$5:$B$18)*(INDEX('Landbrugsareal - resultat'!$F$5:$H$18,,MATCH(E347,'Landbrugsareal - resultat'!$F$4:$H$4,0)))),SUMPRODUCT((B347='Landbrugsareal - resultat'!$B$5:$B$18)*(INDEX('Landbrugsareal - resultat'!$I$5:$K$18,,MATCH(E347,'Landbrugsareal - resultat'!$I$4:$K$4,0)))))),IF(C347=2019,SUMPRODUCT((B347='Landbrugsareal - resultat'!$B$5:$B$18)*(INDEX('Landbrugsareal - resultat'!$L$5:$N$18,,MATCH(E347,'Landbrugsareal - resultat'!$L$4:$N$4,0)))),IF(C347=2030,SUMPRODUCT((B347='Landbrugsareal - resultat'!$B$5:$B$18)*(INDEX('Landbrugsareal - resultat'!$O$5:$Q$18,,MATCH(E347,'Landbrugsareal - resultat'!$O$4:$Q$4,0)))),SUMPRODUCT((B347='Landbrugsareal - resultat'!$B$5:$B$18)*(INDEX('Landbrugsareal - resultat'!$R$5:$T$18,,MATCH(E347,'Landbrugsareal - resultat'!$R$4:$T$4,0))))))),IF(D347="Konventionel",IF(C347=2019,SUMPRODUCT((B347='Landbrugsareal - resultat'!$B$32:$B$45)*(INDEX('Landbrugsareal - resultat'!$C$32:$E$45,,MATCH(E347,'Landbrugsareal - resultat'!$C$4:$E$4,0)))),IF(C347=2030,SUMPRODUCT((B347='Landbrugsareal - resultat'!$B$32:$B$45)*(INDEX('Landbrugsareal - resultat'!$F$32:$H$45,,MATCH(E347,'Landbrugsareal - resultat'!$F$4:$H$4,0)))),SUMPRODUCT((B347='Landbrugsareal - resultat'!$B$32:$B$45)*(INDEX('Landbrugsareal - resultat'!$I$32:$K$45,,MATCH(E347,'Landbrugsareal - resultat'!$I$4:$K$4,0)))))),IF(C347=2019,SUMPRODUCT((B347='Landbrugsareal - resultat'!$B$32:$B$45)*(INDEX('Landbrugsareal - resultat'!$L$32:$N$45,,MATCH(E347,'Landbrugsareal - resultat'!$L$4:$N$4,0)))),IF(C347=2030,SUMPRODUCT((B347='Landbrugsareal - resultat'!$B$32:$B$45)*(INDEX('Landbrugsareal - resultat'!$O$32:$Q$45,,MATCH(E347,'Landbrugsareal - resultat'!$O$4:$Q$4,0)))),SUMPRODUCT((B347='Landbrugsareal - resultat'!$B$32:$B$45)*(INDEX('Landbrugsareal - resultat'!$R$32:$T$45,,MATCH(E347,'Landbrugsareal - resultat'!$R$4:$T$4,0))))))))</f>
        <v>157.59722417896069</v>
      </c>
      <c r="H347" s="172">
        <f>G347*VLOOKUP(B347,[1]Afgrødedata!$A$5:$F$18,2,FALSE)*IF(D347="Økologisk",VLOOKUP(B347,[1]Afgrødedata!$A$5:$F$18,4,FALSE),1)*IF(E347&lt;&gt;Jordbund1,IF(E347=Organ6,VLOOKUP(B347,[1]Afgrødedata!$A$5:$F$18,5,FALSE),VLOOKUP(B347,[1]Afgrødedata!$A$5:$F$18,6,FALSE)),1)*0.1</f>
        <v>5634.9095864199417</v>
      </c>
      <c r="I347" s="172">
        <f>G347*VLOOKUP(B347,[1]Afgrødedata!$A$5:$F$18,3,FALSE)*IF(D347="Økologisk",VLOOKUP(B347,[1]Afgrødedata!$A$5:$F$18,4,FALSE),1)*IF(E347&lt;&gt;Jordbund1,IF(E347=Organ6,VLOOKUP(B347,[1]Afgrødedata!$A$5:$F$18,5,FALSE),VLOOKUP(B347,[1]Afgrødedata!$A$5:$F$18,6,FALSE)),1)*HLOOKUP(C347,Landbrug!$C$15:$E$17,2,FALSE)*HLOOKUP(C347,Landbrug!$C$15:$E$17,3,FALSE)*0.1</f>
        <v>0</v>
      </c>
      <c r="J347" s="76">
        <f t="shared" si="60"/>
        <v>5634.9095864199417</v>
      </c>
    </row>
    <row r="348" spans="1:10" x14ac:dyDescent="0.55000000000000004">
      <c r="A348" t="s">
        <v>24</v>
      </c>
      <c r="B348" s="1" t="str">
        <f>[1]Afgrødefordeling!$C$12</f>
        <v>Frø</v>
      </c>
      <c r="C348">
        <v>2019</v>
      </c>
      <c r="D348" t="s">
        <v>7</v>
      </c>
      <c r="E348" s="172" t="str">
        <f t="shared" si="59"/>
        <v>OC6</v>
      </c>
      <c r="F348" t="str">
        <f t="shared" si="58"/>
        <v>Halm</v>
      </c>
      <c r="G348" s="76" cm="1">
        <f t="array" ref="G348">IF(A348="Vestdanmark",IF(D348="Konventionel",IF(C348=2019,SUMPRODUCT((B348='Landbrugsareal - resultat'!$B$5:$B$18)*(INDEX('Landbrugsareal - resultat'!$C$5:$E$18,,MATCH(E348,'Landbrugsareal - resultat'!$C$4:$E$4,0)))),IF(C348=2030,SUMPRODUCT((B348='Landbrugsareal - resultat'!$B$5:$B$18)*(INDEX('Landbrugsareal - resultat'!$F$5:$H$18,,MATCH(E348,'Landbrugsareal - resultat'!$F$4:$H$4,0)))),SUMPRODUCT((B348='Landbrugsareal - resultat'!$B$5:$B$18)*(INDEX('Landbrugsareal - resultat'!$I$5:$K$18,,MATCH(E348,'Landbrugsareal - resultat'!$I$4:$K$4,0)))))),IF(C348=2019,SUMPRODUCT((B348='Landbrugsareal - resultat'!$B$5:$B$18)*(INDEX('Landbrugsareal - resultat'!$L$5:$N$18,,MATCH(E348,'Landbrugsareal - resultat'!$L$4:$N$4,0)))),IF(C348=2030,SUMPRODUCT((B348='Landbrugsareal - resultat'!$B$5:$B$18)*(INDEX('Landbrugsareal - resultat'!$O$5:$Q$18,,MATCH(E348,'Landbrugsareal - resultat'!$O$4:$Q$4,0)))),SUMPRODUCT((B348='Landbrugsareal - resultat'!$B$5:$B$18)*(INDEX('Landbrugsareal - resultat'!$R$5:$T$18,,MATCH(E348,'Landbrugsareal - resultat'!$R$4:$T$4,0))))))),IF(D348="Konventionel",IF(C348=2019,SUMPRODUCT((B348='Landbrugsareal - resultat'!$B$32:$B$45)*(INDEX('Landbrugsareal - resultat'!$C$32:$E$45,,MATCH(E348,'Landbrugsareal - resultat'!$C$4:$E$4,0)))),IF(C348=2030,SUMPRODUCT((B348='Landbrugsareal - resultat'!$B$32:$B$45)*(INDEX('Landbrugsareal - resultat'!$F$32:$H$45,,MATCH(E348,'Landbrugsareal - resultat'!$F$4:$H$4,0)))),SUMPRODUCT((B348='Landbrugsareal - resultat'!$B$32:$B$45)*(INDEX('Landbrugsareal - resultat'!$I$32:$K$45,,MATCH(E348,'Landbrugsareal - resultat'!$I$4:$K$4,0)))))),IF(C348=2019,SUMPRODUCT((B348='Landbrugsareal - resultat'!$B$32:$B$45)*(INDEX('Landbrugsareal - resultat'!$L$32:$N$45,,MATCH(E348,'Landbrugsareal - resultat'!$L$4:$N$4,0)))),IF(C348=2030,SUMPRODUCT((B348='Landbrugsareal - resultat'!$B$32:$B$45)*(INDEX('Landbrugsareal - resultat'!$O$32:$Q$45,,MATCH(E348,'Landbrugsareal - resultat'!$O$4:$Q$4,0)))),SUMPRODUCT((B348='Landbrugsareal - resultat'!$B$32:$B$45)*(INDEX('Landbrugsareal - resultat'!$R$32:$T$45,,MATCH(E348,'Landbrugsareal - resultat'!$R$4:$T$4,0))))))))</f>
        <v>1144.1483740031422</v>
      </c>
      <c r="H348" s="172">
        <f>G348*VLOOKUP(B348,[1]Afgrødedata!$A$5:$F$18,2,FALSE)*IF(D348="Økologisk",VLOOKUP(B348,[1]Afgrødedata!$A$5:$F$18,4,FALSE),1)*IF(E348&lt;&gt;Jordbund1,IF(E348=Organ6,VLOOKUP(B348,[1]Afgrødedata!$A$5:$F$18,5,FALSE),VLOOKUP(B348,[1]Afgrødedata!$A$5:$F$18,6,FALSE)),1)*0.1</f>
        <v>19618.292165198385</v>
      </c>
      <c r="I348" s="172">
        <f>G348*VLOOKUP(B348,[1]Afgrødedata!$A$5:$F$18,3,FALSE)*IF(D348="Økologisk",VLOOKUP(B348,[1]Afgrødedata!$A$5:$F$18,4,FALSE),1)*IF(E348&lt;&gt;Jordbund1,IF(E348=Organ6,VLOOKUP(B348,[1]Afgrødedata!$A$5:$F$18,5,FALSE),VLOOKUP(B348,[1]Afgrødedata!$A$5:$F$18,6,FALSE)),1)*HLOOKUP(C348,Landbrug!$C$15:$E$17,2,FALSE)*HLOOKUP(C348,Landbrug!$C$15:$E$17,3,FALSE)*0.1</f>
        <v>3259.1752922503906</v>
      </c>
      <c r="J348" s="76">
        <f t="shared" si="60"/>
        <v>3259.1752922503906</v>
      </c>
    </row>
    <row r="349" spans="1:10" x14ac:dyDescent="0.55000000000000004">
      <c r="A349" t="s">
        <v>24</v>
      </c>
      <c r="B349" s="1" t="str">
        <f>[1]Afgrødefordeling!$C$13</f>
        <v>Juletræer</v>
      </c>
      <c r="C349">
        <v>2019</v>
      </c>
      <c r="D349" t="s">
        <v>7</v>
      </c>
      <c r="E349" s="172" t="str">
        <f t="shared" si="59"/>
        <v>OC6</v>
      </c>
      <c r="F349" t="str">
        <f t="shared" si="58"/>
        <v>Juletræer</v>
      </c>
      <c r="G349" s="76" cm="1">
        <f t="array" ref="G349">IF(A349="Vestdanmark",IF(D349="Konventionel",IF(C349=2019,SUMPRODUCT((B349='Landbrugsareal - resultat'!$B$5:$B$18)*(INDEX('Landbrugsareal - resultat'!$C$5:$E$18,,MATCH(E349,'Landbrugsareal - resultat'!$C$4:$E$4,0)))),IF(C349=2030,SUMPRODUCT((B349='Landbrugsareal - resultat'!$B$5:$B$18)*(INDEX('Landbrugsareal - resultat'!$F$5:$H$18,,MATCH(E349,'Landbrugsareal - resultat'!$F$4:$H$4,0)))),SUMPRODUCT((B349='Landbrugsareal - resultat'!$B$5:$B$18)*(INDEX('Landbrugsareal - resultat'!$I$5:$K$18,,MATCH(E349,'Landbrugsareal - resultat'!$I$4:$K$4,0)))))),IF(C349=2019,SUMPRODUCT((B349='Landbrugsareal - resultat'!$B$5:$B$18)*(INDEX('Landbrugsareal - resultat'!$L$5:$N$18,,MATCH(E349,'Landbrugsareal - resultat'!$L$4:$N$4,0)))),IF(C349=2030,SUMPRODUCT((B349='Landbrugsareal - resultat'!$B$5:$B$18)*(INDEX('Landbrugsareal - resultat'!$O$5:$Q$18,,MATCH(E349,'Landbrugsareal - resultat'!$O$4:$Q$4,0)))),SUMPRODUCT((B349='Landbrugsareal - resultat'!$B$5:$B$18)*(INDEX('Landbrugsareal - resultat'!$R$5:$T$18,,MATCH(E349,'Landbrugsareal - resultat'!$R$4:$T$4,0))))))),IF(D349="Konventionel",IF(C349=2019,SUMPRODUCT((B349='Landbrugsareal - resultat'!$B$32:$B$45)*(INDEX('Landbrugsareal - resultat'!$C$32:$E$45,,MATCH(E349,'Landbrugsareal - resultat'!$C$4:$E$4,0)))),IF(C349=2030,SUMPRODUCT((B349='Landbrugsareal - resultat'!$B$32:$B$45)*(INDEX('Landbrugsareal - resultat'!$F$32:$H$45,,MATCH(E349,'Landbrugsareal - resultat'!$F$4:$H$4,0)))),SUMPRODUCT((B349='Landbrugsareal - resultat'!$B$32:$B$45)*(INDEX('Landbrugsareal - resultat'!$I$32:$K$45,,MATCH(E349,'Landbrugsareal - resultat'!$I$4:$K$4,0)))))),IF(C349=2019,SUMPRODUCT((B349='Landbrugsareal - resultat'!$B$32:$B$45)*(INDEX('Landbrugsareal - resultat'!$L$32:$N$45,,MATCH(E349,'Landbrugsareal - resultat'!$L$4:$N$4,0)))),IF(C349=2030,SUMPRODUCT((B349='Landbrugsareal - resultat'!$B$32:$B$45)*(INDEX('Landbrugsareal - resultat'!$O$32:$Q$45,,MATCH(E349,'Landbrugsareal - resultat'!$O$4:$Q$4,0)))),SUMPRODUCT((B349='Landbrugsareal - resultat'!$B$32:$B$45)*(INDEX('Landbrugsareal - resultat'!$R$32:$T$45,,MATCH(E349,'Landbrugsareal - resultat'!$R$4:$T$4,0))))))))</f>
        <v>34.585039119234281</v>
      </c>
      <c r="H349" s="172">
        <f>G349*VLOOKUP(B349,[1]Afgrødedata!$A$5:$F$18,2,FALSE)*IF(D349="Økologisk",VLOOKUP(B349,[1]Afgrødedata!$A$5:$F$18,4,FALSE),1)*IF(E349&lt;&gt;Jordbund1,IF(E349=Organ6,VLOOKUP(B349,[1]Afgrødedata!$A$5:$F$18,5,FALSE),VLOOKUP(B349,[1]Afgrødedata!$A$5:$F$18,6,FALSE)),1)*0.1</f>
        <v>2075.102347154057</v>
      </c>
      <c r="I349" s="172">
        <f>G349*VLOOKUP(B349,[1]Afgrødedata!$A$5:$F$18,3,FALSE)*IF(D349="Økologisk",VLOOKUP(B349,[1]Afgrødedata!$A$5:$F$18,4,FALSE),1)*IF(E349&lt;&gt;Jordbund1,IF(E349=Organ6,VLOOKUP(B349,[1]Afgrødedata!$A$5:$F$18,5,FALSE),VLOOKUP(B349,[1]Afgrødedata!$A$5:$F$18,6,FALSE)),1)*HLOOKUP(C349,Landbrug!$C$15:$E$17,2,FALSE)*HLOOKUP(C349,Landbrug!$C$15:$E$17,3,FALSE)*0.1</f>
        <v>0</v>
      </c>
      <c r="J349" s="76">
        <f t="shared" si="60"/>
        <v>2075.102347154057</v>
      </c>
    </row>
    <row r="350" spans="1:10" x14ac:dyDescent="0.55000000000000004">
      <c r="A350" t="s">
        <v>24</v>
      </c>
      <c r="B350" s="1" t="str">
        <f>[1]Afgrødefordeling!$C$14</f>
        <v>Pil &amp; poppel</v>
      </c>
      <c r="C350">
        <v>2019</v>
      </c>
      <c r="D350" t="s">
        <v>7</v>
      </c>
      <c r="E350" s="172" t="str">
        <f t="shared" si="59"/>
        <v>OC6</v>
      </c>
      <c r="F350" t="str">
        <f t="shared" si="58"/>
        <v>Pil &amp; poppel</v>
      </c>
      <c r="G350" s="76" cm="1">
        <f t="array" ref="G350">IF(A350="Vestdanmark",IF(D350="Konventionel",IF(C350=2019,SUMPRODUCT((B350='Landbrugsareal - resultat'!$B$5:$B$18)*(INDEX('Landbrugsareal - resultat'!$C$5:$E$18,,MATCH(E350,'Landbrugsareal - resultat'!$C$4:$E$4,0)))),IF(C350=2030,SUMPRODUCT((B350='Landbrugsareal - resultat'!$B$5:$B$18)*(INDEX('Landbrugsareal - resultat'!$F$5:$H$18,,MATCH(E350,'Landbrugsareal - resultat'!$F$4:$H$4,0)))),SUMPRODUCT((B350='Landbrugsareal - resultat'!$B$5:$B$18)*(INDEX('Landbrugsareal - resultat'!$I$5:$K$18,,MATCH(E350,'Landbrugsareal - resultat'!$I$4:$K$4,0)))))),IF(C350=2019,SUMPRODUCT((B350='Landbrugsareal - resultat'!$B$5:$B$18)*(INDEX('Landbrugsareal - resultat'!$L$5:$N$18,,MATCH(E350,'Landbrugsareal - resultat'!$L$4:$N$4,0)))),IF(C350=2030,SUMPRODUCT((B350='Landbrugsareal - resultat'!$B$5:$B$18)*(INDEX('Landbrugsareal - resultat'!$O$5:$Q$18,,MATCH(E350,'Landbrugsareal - resultat'!$O$4:$Q$4,0)))),SUMPRODUCT((B350='Landbrugsareal - resultat'!$B$5:$B$18)*(INDEX('Landbrugsareal - resultat'!$R$5:$T$18,,MATCH(E350,'Landbrugsareal - resultat'!$R$4:$T$4,0))))))),IF(D350="Konventionel",IF(C350=2019,SUMPRODUCT((B350='Landbrugsareal - resultat'!$B$32:$B$45)*(INDEX('Landbrugsareal - resultat'!$C$32:$E$45,,MATCH(E350,'Landbrugsareal - resultat'!$C$4:$E$4,0)))),IF(C350=2030,SUMPRODUCT((B350='Landbrugsareal - resultat'!$B$32:$B$45)*(INDEX('Landbrugsareal - resultat'!$F$32:$H$45,,MATCH(E350,'Landbrugsareal - resultat'!$F$4:$H$4,0)))),SUMPRODUCT((B350='Landbrugsareal - resultat'!$B$32:$B$45)*(INDEX('Landbrugsareal - resultat'!$I$32:$K$45,,MATCH(E350,'Landbrugsareal - resultat'!$I$4:$K$4,0)))))),IF(C350=2019,SUMPRODUCT((B350='Landbrugsareal - resultat'!$B$32:$B$45)*(INDEX('Landbrugsareal - resultat'!$L$32:$N$45,,MATCH(E350,'Landbrugsareal - resultat'!$L$4:$N$4,0)))),IF(C350=2030,SUMPRODUCT((B350='Landbrugsareal - resultat'!$B$32:$B$45)*(INDEX('Landbrugsareal - resultat'!$O$32:$Q$45,,MATCH(E350,'Landbrugsareal - resultat'!$O$4:$Q$4,0)))),SUMPRODUCT((B350='Landbrugsareal - resultat'!$B$32:$B$45)*(INDEX('Landbrugsareal - resultat'!$R$32:$T$45,,MATCH(E350,'Landbrugsareal - resultat'!$R$4:$T$4,0))))))))</f>
        <v>73.402370173862749</v>
      </c>
      <c r="H350" s="172">
        <f>G350*VLOOKUP(B350,[1]Afgrødedata!$A$5:$F$18,2,FALSE)*IF(D350="Økologisk",VLOOKUP(B350,[1]Afgrødedata!$A$5:$F$18,4,FALSE),1)*IF(E350&lt;&gt;Jordbund1,IF(E350=Organ6,VLOOKUP(B350,[1]Afgrødedata!$A$5:$F$18,5,FALSE),VLOOKUP(B350,[1]Afgrødedata!$A$5:$F$18,6,FALSE)),1)*0.1</f>
        <v>2148.3620538691534</v>
      </c>
      <c r="I350" s="172">
        <f>G350*VLOOKUP(B350,[1]Afgrødedata!$A$5:$F$18,3,FALSE)*IF(D350="Økologisk",VLOOKUP(B350,[1]Afgrødedata!$A$5:$F$18,4,FALSE),1)*IF(E350&lt;&gt;Jordbund1,IF(E350=Organ6,VLOOKUP(B350,[1]Afgrødedata!$A$5:$F$18,5,FALSE),VLOOKUP(B350,[1]Afgrødedata!$A$5:$F$18,6,FALSE)),1)*HLOOKUP(C350,Landbrug!$C$15:$E$17,2,FALSE)*HLOOKUP(C350,Landbrug!$C$15:$E$17,3,FALSE)*0.1</f>
        <v>0</v>
      </c>
      <c r="J350" s="76">
        <f t="shared" si="60"/>
        <v>2148.3620538691534</v>
      </c>
    </row>
    <row r="351" spans="1:10" x14ac:dyDescent="0.55000000000000004">
      <c r="A351" t="s">
        <v>24</v>
      </c>
      <c r="B351" s="1" t="str">
        <f>[1]Afgrødefordeling!$C$15</f>
        <v>Permanent græs</v>
      </c>
      <c r="C351">
        <v>2019</v>
      </c>
      <c r="D351" t="s">
        <v>7</v>
      </c>
      <c r="E351" s="172" t="str">
        <f t="shared" si="59"/>
        <v>OC6</v>
      </c>
      <c r="F351" t="str">
        <f t="shared" si="58"/>
        <v>Græs</v>
      </c>
      <c r="G351" s="76" cm="1">
        <f t="array" ref="G351">IF(A351="Vestdanmark",IF(D351="Konventionel",IF(C351=2019,SUMPRODUCT((B351='Landbrugsareal - resultat'!$B$5:$B$18)*(INDEX('Landbrugsareal - resultat'!$C$5:$E$18,,MATCH(E351,'Landbrugsareal - resultat'!$C$4:$E$4,0)))),IF(C351=2030,SUMPRODUCT((B351='Landbrugsareal - resultat'!$B$5:$B$18)*(INDEX('Landbrugsareal - resultat'!$F$5:$H$18,,MATCH(E351,'Landbrugsareal - resultat'!$F$4:$H$4,0)))),SUMPRODUCT((B351='Landbrugsareal - resultat'!$B$5:$B$18)*(INDEX('Landbrugsareal - resultat'!$I$5:$K$18,,MATCH(E351,'Landbrugsareal - resultat'!$I$4:$K$4,0)))))),IF(C351=2019,SUMPRODUCT((B351='Landbrugsareal - resultat'!$B$5:$B$18)*(INDEX('Landbrugsareal - resultat'!$L$5:$N$18,,MATCH(E351,'Landbrugsareal - resultat'!$L$4:$N$4,0)))),IF(C351=2030,SUMPRODUCT((B351='Landbrugsareal - resultat'!$B$5:$B$18)*(INDEX('Landbrugsareal - resultat'!$O$5:$Q$18,,MATCH(E351,'Landbrugsareal - resultat'!$O$4:$Q$4,0)))),SUMPRODUCT((B351='Landbrugsareal - resultat'!$B$5:$B$18)*(INDEX('Landbrugsareal - resultat'!$R$5:$T$18,,MATCH(E351,'Landbrugsareal - resultat'!$R$4:$T$4,0))))))),IF(D351="Konventionel",IF(C351=2019,SUMPRODUCT((B351='Landbrugsareal - resultat'!$B$32:$B$45)*(INDEX('Landbrugsareal - resultat'!$C$32:$E$45,,MATCH(E351,'Landbrugsareal - resultat'!$C$4:$E$4,0)))),IF(C351=2030,SUMPRODUCT((B351='Landbrugsareal - resultat'!$B$32:$B$45)*(INDEX('Landbrugsareal - resultat'!$F$32:$H$45,,MATCH(E351,'Landbrugsareal - resultat'!$F$4:$H$4,0)))),SUMPRODUCT((B351='Landbrugsareal - resultat'!$B$32:$B$45)*(INDEX('Landbrugsareal - resultat'!$I$32:$K$45,,MATCH(E351,'Landbrugsareal - resultat'!$I$4:$K$4,0)))))),IF(C351=2019,SUMPRODUCT((B351='Landbrugsareal - resultat'!$B$32:$B$45)*(INDEX('Landbrugsareal - resultat'!$L$32:$N$45,,MATCH(E351,'Landbrugsareal - resultat'!$L$4:$N$4,0)))),IF(C351=2030,SUMPRODUCT((B351='Landbrugsareal - resultat'!$B$32:$B$45)*(INDEX('Landbrugsareal - resultat'!$O$32:$Q$45,,MATCH(E351,'Landbrugsareal - resultat'!$O$4:$Q$4,0)))),SUMPRODUCT((B351='Landbrugsareal - resultat'!$B$32:$B$45)*(INDEX('Landbrugsareal - resultat'!$R$32:$T$45,,MATCH(E351,'Landbrugsareal - resultat'!$R$4:$T$4,0))))))))</f>
        <v>2143.8995874286088</v>
      </c>
      <c r="H351" s="172">
        <f>G351*VLOOKUP(B351,[1]Afgrødedata!$A$5:$F$18,2,FALSE)*IF(D351="Økologisk",VLOOKUP(B351,[1]Afgrødedata!$A$5:$F$18,4,FALSE),1)*IF(E351&lt;&gt;Jordbund1,IF(E351=Organ6,VLOOKUP(B351,[1]Afgrødedata!$A$5:$F$18,5,FALSE),VLOOKUP(B351,[1]Afgrødedata!$A$5:$F$18,6,FALSE)),1)*0.1</f>
        <v>35477.25037276862</v>
      </c>
      <c r="I351" s="172">
        <f>G351*VLOOKUP(B351,[1]Afgrødedata!$A$5:$F$18,3,FALSE)*IF(D351="Økologisk",VLOOKUP(B351,[1]Afgrødedata!$A$5:$F$18,4,FALSE),1)*IF(E351&lt;&gt;Jordbund1,IF(E351=Organ6,VLOOKUP(B351,[1]Afgrødedata!$A$5:$F$18,5,FALSE),VLOOKUP(B351,[1]Afgrødedata!$A$5:$F$18,6,FALSE)),1)*HLOOKUP(C351,Landbrug!$C$15:$E$17,2,FALSE)*HLOOKUP(C351,Landbrug!$C$15:$E$17,3,FALSE)*0.1</f>
        <v>0</v>
      </c>
      <c r="J351" s="76">
        <f t="shared" si="60"/>
        <v>35477.25037276862</v>
      </c>
    </row>
    <row r="352" spans="1:10" x14ac:dyDescent="0.55000000000000004">
      <c r="A352" t="s">
        <v>24</v>
      </c>
      <c r="B352" s="1" t="str">
        <f>[1]Afgrødefordeling!$C$2</f>
        <v>Korn</v>
      </c>
      <c r="C352">
        <v>2030</v>
      </c>
      <c r="D352" t="s">
        <v>7</v>
      </c>
      <c r="E352" s="172" t="str">
        <f t="shared" si="59"/>
        <v>OC6</v>
      </c>
      <c r="F352" t="str">
        <f t="shared" si="58"/>
        <v>Halm</v>
      </c>
      <c r="G352" s="76" cm="1">
        <f t="array" ref="G352">IF(A352="Vestdanmark",IF(D352="Konventionel",IF(C352=2019,SUMPRODUCT((B352='Landbrugsareal - resultat'!$B$5:$B$18)*(INDEX('Landbrugsareal - resultat'!$C$5:$E$18,,MATCH(E352,'Landbrugsareal - resultat'!$C$4:$E$4,0)))),IF(C352=2030,SUMPRODUCT((B352='Landbrugsareal - resultat'!$B$5:$B$18)*(INDEX('Landbrugsareal - resultat'!$F$5:$H$18,,MATCH(E352,'Landbrugsareal - resultat'!$F$4:$H$4,0)))),SUMPRODUCT((B352='Landbrugsareal - resultat'!$B$5:$B$18)*(INDEX('Landbrugsareal - resultat'!$I$5:$K$18,,MATCH(E352,'Landbrugsareal - resultat'!$I$4:$K$4,0)))))),IF(C352=2019,SUMPRODUCT((B352='Landbrugsareal - resultat'!$B$5:$B$18)*(INDEX('Landbrugsareal - resultat'!$L$5:$N$18,,MATCH(E352,'Landbrugsareal - resultat'!$L$4:$N$4,0)))),IF(C352=2030,SUMPRODUCT((B352='Landbrugsareal - resultat'!$B$5:$B$18)*(INDEX('Landbrugsareal - resultat'!$O$5:$Q$18,,MATCH(E352,'Landbrugsareal - resultat'!$O$4:$Q$4,0)))),SUMPRODUCT((B352='Landbrugsareal - resultat'!$B$5:$B$18)*(INDEX('Landbrugsareal - resultat'!$R$5:$T$18,,MATCH(E352,'Landbrugsareal - resultat'!$R$4:$T$4,0))))))),IF(D352="Konventionel",IF(C352=2019,SUMPRODUCT((B352='Landbrugsareal - resultat'!$B$32:$B$45)*(INDEX('Landbrugsareal - resultat'!$C$32:$E$45,,MATCH(E352,'Landbrugsareal - resultat'!$C$4:$E$4,0)))),IF(C352=2030,SUMPRODUCT((B352='Landbrugsareal - resultat'!$B$32:$B$45)*(INDEX('Landbrugsareal - resultat'!$F$32:$H$45,,MATCH(E352,'Landbrugsareal - resultat'!$F$4:$H$4,0)))),SUMPRODUCT((B352='Landbrugsareal - resultat'!$B$32:$B$45)*(INDEX('Landbrugsareal - resultat'!$I$32:$K$45,,MATCH(E352,'Landbrugsareal - resultat'!$I$4:$K$4,0)))))),IF(C352=2019,SUMPRODUCT((B352='Landbrugsareal - resultat'!$B$32:$B$45)*(INDEX('Landbrugsareal - resultat'!$L$32:$N$45,,MATCH(E352,'Landbrugsareal - resultat'!$L$4:$N$4,0)))),IF(C352=2030,SUMPRODUCT((B352='Landbrugsareal - resultat'!$B$32:$B$45)*(INDEX('Landbrugsareal - resultat'!$O$32:$Q$45,,MATCH(E352,'Landbrugsareal - resultat'!$O$4:$Q$4,0)))),SUMPRODUCT((B352='Landbrugsareal - resultat'!$B$32:$B$45)*(INDEX('Landbrugsareal - resultat'!$R$32:$T$45,,MATCH(E352,'Landbrugsareal - resultat'!$R$4:$T$4,0))))))))</f>
        <v>3004.5351617033111</v>
      </c>
      <c r="H352" s="172">
        <f>G352*VLOOKUP(B352,[1]Afgrødedata!$A$5:$F$18,2,FALSE)*IF(D352="Økologisk",VLOOKUP(B352,[1]Afgrødedata!$A$5:$F$18,4,FALSE),1)*IF(E352&lt;&gt;Jordbund1,IF(E352=Organ6,VLOOKUP(B352,[1]Afgrødedata!$A$5:$F$18,5,FALSE),VLOOKUP(B352,[1]Afgrødedata!$A$5:$F$18,6,FALSE)),1)*0.1</f>
        <v>25274.149780248252</v>
      </c>
      <c r="I352" s="172">
        <f>G352*VLOOKUP(B352,[1]Afgrødedata!$A$5:$F$18,3,FALSE)*IF(D352="Økologisk",VLOOKUP(B352,[1]Afgrødedata!$A$5:$F$18,4,FALSE),1)*IF(E352&lt;&gt;Jordbund1,IF(E352=Organ6,VLOOKUP(B352,[1]Afgrødedata!$A$5:$F$18,5,FALSE),VLOOKUP(B352,[1]Afgrødedata!$A$5:$F$18,6,FALSE)),1)*HLOOKUP(C352,Landbrug!$C$15:$E$17,2,FALSE)*HLOOKUP(C352,Landbrug!$C$15:$E$17,3,FALSE)*0.1</f>
        <v>8201.4616036905572</v>
      </c>
      <c r="J352" s="76">
        <f t="shared" si="60"/>
        <v>8201.4616036905572</v>
      </c>
    </row>
    <row r="353" spans="1:10" x14ac:dyDescent="0.55000000000000004">
      <c r="A353" t="s">
        <v>24</v>
      </c>
      <c r="B353" s="1" t="str">
        <f>[1]Afgrødefordeling!$C$3</f>
        <v>Bælgsæd</v>
      </c>
      <c r="C353">
        <v>2030</v>
      </c>
      <c r="D353" t="s">
        <v>7</v>
      </c>
      <c r="E353" s="172" t="str">
        <f t="shared" si="59"/>
        <v>OC6</v>
      </c>
      <c r="F353" t="str">
        <f t="shared" si="58"/>
        <v>Halm</v>
      </c>
      <c r="G353" s="76" cm="1">
        <f t="array" ref="G353">IF(A353="Vestdanmark",IF(D353="Konventionel",IF(C353=2019,SUMPRODUCT((B353='Landbrugsareal - resultat'!$B$5:$B$18)*(INDEX('Landbrugsareal - resultat'!$C$5:$E$18,,MATCH(E353,'Landbrugsareal - resultat'!$C$4:$E$4,0)))),IF(C353=2030,SUMPRODUCT((B353='Landbrugsareal - resultat'!$B$5:$B$18)*(INDEX('Landbrugsareal - resultat'!$F$5:$H$18,,MATCH(E353,'Landbrugsareal - resultat'!$F$4:$H$4,0)))),SUMPRODUCT((B353='Landbrugsareal - resultat'!$B$5:$B$18)*(INDEX('Landbrugsareal - resultat'!$I$5:$K$18,,MATCH(E353,'Landbrugsareal - resultat'!$I$4:$K$4,0)))))),IF(C353=2019,SUMPRODUCT((B353='Landbrugsareal - resultat'!$B$5:$B$18)*(INDEX('Landbrugsareal - resultat'!$L$5:$N$18,,MATCH(E353,'Landbrugsareal - resultat'!$L$4:$N$4,0)))),IF(C353=2030,SUMPRODUCT((B353='Landbrugsareal - resultat'!$B$5:$B$18)*(INDEX('Landbrugsareal - resultat'!$O$5:$Q$18,,MATCH(E353,'Landbrugsareal - resultat'!$O$4:$Q$4,0)))),SUMPRODUCT((B353='Landbrugsareal - resultat'!$B$5:$B$18)*(INDEX('Landbrugsareal - resultat'!$R$5:$T$18,,MATCH(E353,'Landbrugsareal - resultat'!$R$4:$T$4,0))))))),IF(D353="Konventionel",IF(C353=2019,SUMPRODUCT((B353='Landbrugsareal - resultat'!$B$32:$B$45)*(INDEX('Landbrugsareal - resultat'!$C$32:$E$45,,MATCH(E353,'Landbrugsareal - resultat'!$C$4:$E$4,0)))),IF(C353=2030,SUMPRODUCT((B353='Landbrugsareal - resultat'!$B$32:$B$45)*(INDEX('Landbrugsareal - resultat'!$F$32:$H$45,,MATCH(E353,'Landbrugsareal - resultat'!$F$4:$H$4,0)))),SUMPRODUCT((B353='Landbrugsareal - resultat'!$B$32:$B$45)*(INDEX('Landbrugsareal - resultat'!$I$32:$K$45,,MATCH(E353,'Landbrugsareal - resultat'!$I$4:$K$4,0)))))),IF(C353=2019,SUMPRODUCT((B353='Landbrugsareal - resultat'!$B$32:$B$45)*(INDEX('Landbrugsareal - resultat'!$L$32:$N$45,,MATCH(E353,'Landbrugsareal - resultat'!$L$4:$N$4,0)))),IF(C353=2030,SUMPRODUCT((B353='Landbrugsareal - resultat'!$B$32:$B$45)*(INDEX('Landbrugsareal - resultat'!$O$32:$Q$45,,MATCH(E353,'Landbrugsareal - resultat'!$O$4:$Q$4,0)))),SUMPRODUCT((B353='Landbrugsareal - resultat'!$B$32:$B$45)*(INDEX('Landbrugsareal - resultat'!$R$32:$T$45,,MATCH(E353,'Landbrugsareal - resultat'!$R$4:$T$4,0))))))))</f>
        <v>81.247433467117162</v>
      </c>
      <c r="H353" s="172">
        <f>G353*VLOOKUP(B353,[1]Afgrødedata!$A$5:$F$18,2,FALSE)*IF(D353="Økologisk",VLOOKUP(B353,[1]Afgrødedata!$A$5:$F$18,4,FALSE),1)*IF(E353&lt;&gt;Jordbund1,IF(E353=Organ6,VLOOKUP(B353,[1]Afgrødedata!$A$5:$F$18,5,FALSE),VLOOKUP(B353,[1]Afgrødedata!$A$5:$F$18,6,FALSE)),1)*0.1</f>
        <v>376.33811181968667</v>
      </c>
      <c r="I353" s="172">
        <f>G353*VLOOKUP(B353,[1]Afgrødedata!$A$5:$F$18,3,FALSE)*IF(D353="Økologisk",VLOOKUP(B353,[1]Afgrødedata!$A$5:$F$18,4,FALSE),1)*IF(E353&lt;&gt;Jordbund1,IF(E353=Organ6,VLOOKUP(B353,[1]Afgrødedata!$A$5:$F$18,5,FALSE),VLOOKUP(B353,[1]Afgrødedata!$A$5:$F$18,6,FALSE)),1)*HLOOKUP(C353,Landbrug!$C$15:$E$17,2,FALSE)*HLOOKUP(C353,Landbrug!$C$15:$E$17,3,FALSE)*0.1</f>
        <v>111.07726616970228</v>
      </c>
      <c r="J353" s="76">
        <f t="shared" si="60"/>
        <v>111.07726616970228</v>
      </c>
    </row>
    <row r="354" spans="1:10" x14ac:dyDescent="0.55000000000000004">
      <c r="A354" t="s">
        <v>24</v>
      </c>
      <c r="B354" s="1" t="str">
        <f>[1]Afgrødefordeling!$C$4</f>
        <v>Raps</v>
      </c>
      <c r="C354">
        <v>2030</v>
      </c>
      <c r="D354" t="s">
        <v>7</v>
      </c>
      <c r="E354" s="172" t="str">
        <f t="shared" si="59"/>
        <v>OC6</v>
      </c>
      <c r="F354" t="str">
        <f t="shared" si="58"/>
        <v>Halm</v>
      </c>
      <c r="G354" s="76" cm="1">
        <f t="array" ref="G354">IF(A354="Vestdanmark",IF(D354="Konventionel",IF(C354=2019,SUMPRODUCT((B354='Landbrugsareal - resultat'!$B$5:$B$18)*(INDEX('Landbrugsareal - resultat'!$C$5:$E$18,,MATCH(E354,'Landbrugsareal - resultat'!$C$4:$E$4,0)))),IF(C354=2030,SUMPRODUCT((B354='Landbrugsareal - resultat'!$B$5:$B$18)*(INDEX('Landbrugsareal - resultat'!$F$5:$H$18,,MATCH(E354,'Landbrugsareal - resultat'!$F$4:$H$4,0)))),SUMPRODUCT((B354='Landbrugsareal - resultat'!$B$5:$B$18)*(INDEX('Landbrugsareal - resultat'!$I$5:$K$18,,MATCH(E354,'Landbrugsareal - resultat'!$I$4:$K$4,0)))))),IF(C354=2019,SUMPRODUCT((B354='Landbrugsareal - resultat'!$B$5:$B$18)*(INDEX('Landbrugsareal - resultat'!$L$5:$N$18,,MATCH(E354,'Landbrugsareal - resultat'!$L$4:$N$4,0)))),IF(C354=2030,SUMPRODUCT((B354='Landbrugsareal - resultat'!$B$5:$B$18)*(INDEX('Landbrugsareal - resultat'!$O$5:$Q$18,,MATCH(E354,'Landbrugsareal - resultat'!$O$4:$Q$4,0)))),SUMPRODUCT((B354='Landbrugsareal - resultat'!$B$5:$B$18)*(INDEX('Landbrugsareal - resultat'!$R$5:$T$18,,MATCH(E354,'Landbrugsareal - resultat'!$R$4:$T$4,0))))))),IF(D354="Konventionel",IF(C354=2019,SUMPRODUCT((B354='Landbrugsareal - resultat'!$B$32:$B$45)*(INDEX('Landbrugsareal - resultat'!$C$32:$E$45,,MATCH(E354,'Landbrugsareal - resultat'!$C$4:$E$4,0)))),IF(C354=2030,SUMPRODUCT((B354='Landbrugsareal - resultat'!$B$32:$B$45)*(INDEX('Landbrugsareal - resultat'!$F$32:$H$45,,MATCH(E354,'Landbrugsareal - resultat'!$F$4:$H$4,0)))),SUMPRODUCT((B354='Landbrugsareal - resultat'!$B$32:$B$45)*(INDEX('Landbrugsareal - resultat'!$I$32:$K$45,,MATCH(E354,'Landbrugsareal - resultat'!$I$4:$K$4,0)))))),IF(C354=2019,SUMPRODUCT((B354='Landbrugsareal - resultat'!$B$32:$B$45)*(INDEX('Landbrugsareal - resultat'!$L$32:$N$45,,MATCH(E354,'Landbrugsareal - resultat'!$L$4:$N$4,0)))),IF(C354=2030,SUMPRODUCT((B354='Landbrugsareal - resultat'!$B$32:$B$45)*(INDEX('Landbrugsareal - resultat'!$O$32:$Q$45,,MATCH(E354,'Landbrugsareal - resultat'!$O$4:$Q$4,0)))),SUMPRODUCT((B354='Landbrugsareal - resultat'!$B$32:$B$45)*(INDEX('Landbrugsareal - resultat'!$R$32:$T$45,,MATCH(E354,'Landbrugsareal - resultat'!$R$4:$T$4,0))))))))</f>
        <v>328.17107570651984</v>
      </c>
      <c r="H354" s="172">
        <f>G354*VLOOKUP(B354,[1]Afgrødedata!$A$5:$F$18,2,FALSE)*IF(D354="Økologisk",VLOOKUP(B354,[1]Afgrødedata!$A$5:$F$18,4,FALSE),1)*IF(E354&lt;&gt;Jordbund1,IF(E354=Organ6,VLOOKUP(B354,[1]Afgrødedata!$A$5:$F$18,5,FALSE),VLOOKUP(B354,[1]Afgrødedata!$A$5:$F$18,6,FALSE)),1)*0.1</f>
        <v>1732.7432797304245</v>
      </c>
      <c r="I354" s="172">
        <f>G354*VLOOKUP(B354,[1]Afgrødedata!$A$5:$F$18,3,FALSE)*IF(D354="Økologisk",VLOOKUP(B354,[1]Afgrødedata!$A$5:$F$18,4,FALSE),1)*IF(E354&lt;&gt;Jordbund1,IF(E354=Organ6,VLOOKUP(B354,[1]Afgrødedata!$A$5:$F$18,5,FALSE),VLOOKUP(B354,[1]Afgrødedata!$A$5:$F$18,6,FALSE)),1)*HLOOKUP(C354,Landbrug!$C$15:$E$17,2,FALSE)*HLOOKUP(C354,Landbrug!$C$15:$E$17,3,FALSE)*0.1</f>
        <v>920.08668153685562</v>
      </c>
      <c r="J354" s="76">
        <f t="shared" si="60"/>
        <v>920.08668153685562</v>
      </c>
    </row>
    <row r="355" spans="1:10" x14ac:dyDescent="0.55000000000000004">
      <c r="A355" t="s">
        <v>24</v>
      </c>
      <c r="B355" s="1" t="str">
        <f>[1]Afgrødefordeling!$C$5</f>
        <v>Græs</v>
      </c>
      <c r="C355">
        <v>2030</v>
      </c>
      <c r="D355" t="s">
        <v>7</v>
      </c>
      <c r="E355" s="172" t="str">
        <f t="shared" si="59"/>
        <v>OC6</v>
      </c>
      <c r="F355" t="str">
        <f t="shared" si="58"/>
        <v>Græs</v>
      </c>
      <c r="G355" s="76" cm="1">
        <f t="array" ref="G355">IF(A355="Vestdanmark",IF(D355="Konventionel",IF(C355=2019,SUMPRODUCT((B355='Landbrugsareal - resultat'!$B$5:$B$18)*(INDEX('Landbrugsareal - resultat'!$C$5:$E$18,,MATCH(E355,'Landbrugsareal - resultat'!$C$4:$E$4,0)))),IF(C355=2030,SUMPRODUCT((B355='Landbrugsareal - resultat'!$B$5:$B$18)*(INDEX('Landbrugsareal - resultat'!$F$5:$H$18,,MATCH(E355,'Landbrugsareal - resultat'!$F$4:$H$4,0)))),SUMPRODUCT((B355='Landbrugsareal - resultat'!$B$5:$B$18)*(INDEX('Landbrugsareal - resultat'!$I$5:$K$18,,MATCH(E355,'Landbrugsareal - resultat'!$I$4:$K$4,0)))))),IF(C355=2019,SUMPRODUCT((B355='Landbrugsareal - resultat'!$B$5:$B$18)*(INDEX('Landbrugsareal - resultat'!$L$5:$N$18,,MATCH(E355,'Landbrugsareal - resultat'!$L$4:$N$4,0)))),IF(C355=2030,SUMPRODUCT((B355='Landbrugsareal - resultat'!$B$5:$B$18)*(INDEX('Landbrugsareal - resultat'!$O$5:$Q$18,,MATCH(E355,'Landbrugsareal - resultat'!$O$4:$Q$4,0)))),SUMPRODUCT((B355='Landbrugsareal - resultat'!$B$5:$B$18)*(INDEX('Landbrugsareal - resultat'!$R$5:$T$18,,MATCH(E355,'Landbrugsareal - resultat'!$R$4:$T$4,0))))))),IF(D355="Konventionel",IF(C355=2019,SUMPRODUCT((B355='Landbrugsareal - resultat'!$B$32:$B$45)*(INDEX('Landbrugsareal - resultat'!$C$32:$E$45,,MATCH(E355,'Landbrugsareal - resultat'!$C$4:$E$4,0)))),IF(C355=2030,SUMPRODUCT((B355='Landbrugsareal - resultat'!$B$32:$B$45)*(INDEX('Landbrugsareal - resultat'!$F$32:$H$45,,MATCH(E355,'Landbrugsareal - resultat'!$F$4:$H$4,0)))),SUMPRODUCT((B355='Landbrugsareal - resultat'!$B$32:$B$45)*(INDEX('Landbrugsareal - resultat'!$I$32:$K$45,,MATCH(E355,'Landbrugsareal - resultat'!$I$4:$K$4,0)))))),IF(C355=2019,SUMPRODUCT((B355='Landbrugsareal - resultat'!$B$32:$B$45)*(INDEX('Landbrugsareal - resultat'!$L$32:$N$45,,MATCH(E355,'Landbrugsareal - resultat'!$L$4:$N$4,0)))),IF(C355=2030,SUMPRODUCT((B355='Landbrugsareal - resultat'!$B$32:$B$45)*(INDEX('Landbrugsareal - resultat'!$O$32:$Q$45,,MATCH(E355,'Landbrugsareal - resultat'!$O$4:$Q$4,0)))),SUMPRODUCT((B355='Landbrugsareal - resultat'!$B$32:$B$45)*(INDEX('Landbrugsareal - resultat'!$R$32:$T$45,,MATCH(E355,'Landbrugsareal - resultat'!$R$4:$T$4,0))))))))</f>
        <v>964.96046741449936</v>
      </c>
      <c r="H355" s="172">
        <f>G355*VLOOKUP(B355,[1]Afgrødedata!$A$5:$F$18,2,FALSE)*IF(D355="Økologisk",VLOOKUP(B355,[1]Afgrødedata!$A$5:$F$18,4,FALSE),1)*IF(E355&lt;&gt;Jordbund1,IF(E355=Organ6,VLOOKUP(B355,[1]Afgrødedata!$A$5:$F$18,5,FALSE),VLOOKUP(B355,[1]Afgrødedata!$A$5:$F$18,6,FALSE)),1)*0.1</f>
        <v>57457.606071728951</v>
      </c>
      <c r="I355" s="172">
        <f>G355*VLOOKUP(B355,[1]Afgrødedata!$A$5:$F$18,3,FALSE)*IF(D355="Økologisk",VLOOKUP(B355,[1]Afgrødedata!$A$5:$F$18,4,FALSE),1)*IF(E355&lt;&gt;Jordbund1,IF(E355=Organ6,VLOOKUP(B355,[1]Afgrødedata!$A$5:$F$18,5,FALSE),VLOOKUP(B355,[1]Afgrødedata!$A$5:$F$18,6,FALSE)),1)*HLOOKUP(C355,Landbrug!$C$15:$E$17,2,FALSE)*HLOOKUP(C355,Landbrug!$C$15:$E$17,3,FALSE)*0.1</f>
        <v>0</v>
      </c>
      <c r="J355" s="76">
        <f t="shared" si="60"/>
        <v>57457.606071728951</v>
      </c>
    </row>
    <row r="356" spans="1:10" x14ac:dyDescent="0.55000000000000004">
      <c r="A356" t="s">
        <v>24</v>
      </c>
      <c r="B356" s="1" t="str">
        <f>[1]Afgrødefordeling!$C$6</f>
        <v>Grøntsager</v>
      </c>
      <c r="C356">
        <v>2030</v>
      </c>
      <c r="D356" t="s">
        <v>7</v>
      </c>
      <c r="E356" s="172" t="str">
        <f t="shared" si="59"/>
        <v>OC6</v>
      </c>
      <c r="F356" t="str">
        <f t="shared" si="58"/>
        <v>Grøntsager</v>
      </c>
      <c r="G356" s="76" cm="1">
        <f t="array" ref="G356">IF(A356="Vestdanmark",IF(D356="Konventionel",IF(C356=2019,SUMPRODUCT((B356='Landbrugsareal - resultat'!$B$5:$B$18)*(INDEX('Landbrugsareal - resultat'!$C$5:$E$18,,MATCH(E356,'Landbrugsareal - resultat'!$C$4:$E$4,0)))),IF(C356=2030,SUMPRODUCT((B356='Landbrugsareal - resultat'!$B$5:$B$18)*(INDEX('Landbrugsareal - resultat'!$F$5:$H$18,,MATCH(E356,'Landbrugsareal - resultat'!$F$4:$H$4,0)))),SUMPRODUCT((B356='Landbrugsareal - resultat'!$B$5:$B$18)*(INDEX('Landbrugsareal - resultat'!$I$5:$K$18,,MATCH(E356,'Landbrugsareal - resultat'!$I$4:$K$4,0)))))),IF(C356=2019,SUMPRODUCT((B356='Landbrugsareal - resultat'!$B$5:$B$18)*(INDEX('Landbrugsareal - resultat'!$L$5:$N$18,,MATCH(E356,'Landbrugsareal - resultat'!$L$4:$N$4,0)))),IF(C356=2030,SUMPRODUCT((B356='Landbrugsareal - resultat'!$B$5:$B$18)*(INDEX('Landbrugsareal - resultat'!$O$5:$Q$18,,MATCH(E356,'Landbrugsareal - resultat'!$O$4:$Q$4,0)))),SUMPRODUCT((B356='Landbrugsareal - resultat'!$B$5:$B$18)*(INDEX('Landbrugsareal - resultat'!$R$5:$T$18,,MATCH(E356,'Landbrugsareal - resultat'!$R$4:$T$4,0))))))),IF(D356="Konventionel",IF(C356=2019,SUMPRODUCT((B356='Landbrugsareal - resultat'!$B$32:$B$45)*(INDEX('Landbrugsareal - resultat'!$C$32:$E$45,,MATCH(E356,'Landbrugsareal - resultat'!$C$4:$E$4,0)))),IF(C356=2030,SUMPRODUCT((B356='Landbrugsareal - resultat'!$B$32:$B$45)*(INDEX('Landbrugsareal - resultat'!$F$32:$H$45,,MATCH(E356,'Landbrugsareal - resultat'!$F$4:$H$4,0)))),SUMPRODUCT((B356='Landbrugsareal - resultat'!$B$32:$B$45)*(INDEX('Landbrugsareal - resultat'!$I$32:$K$45,,MATCH(E356,'Landbrugsareal - resultat'!$I$4:$K$4,0)))))),IF(C356=2019,SUMPRODUCT((B356='Landbrugsareal - resultat'!$B$32:$B$45)*(INDEX('Landbrugsareal - resultat'!$L$32:$N$45,,MATCH(E356,'Landbrugsareal - resultat'!$L$4:$N$4,0)))),IF(C356=2030,SUMPRODUCT((B356='Landbrugsareal - resultat'!$B$32:$B$45)*(INDEX('Landbrugsareal - resultat'!$O$32:$Q$45,,MATCH(E356,'Landbrugsareal - resultat'!$O$4:$Q$4,0)))),SUMPRODUCT((B356='Landbrugsareal - resultat'!$B$32:$B$45)*(INDEX('Landbrugsareal - resultat'!$R$32:$T$45,,MATCH(E356,'Landbrugsareal - resultat'!$R$4:$T$4,0))))))))</f>
        <v>18.275306229787574</v>
      </c>
      <c r="H356" s="172">
        <f>G356*VLOOKUP(B356,[1]Afgrødedata!$A$5:$F$18,2,FALSE)*IF(D356="Økologisk",VLOOKUP(B356,[1]Afgrødedata!$A$5:$F$18,4,FALSE),1)*IF(E356&lt;&gt;Jordbund1,IF(E356=Organ6,VLOOKUP(B356,[1]Afgrødedata!$A$5:$F$18,5,FALSE),VLOOKUP(B356,[1]Afgrødedata!$A$5:$F$18,6,FALSE)),1)*0.1</f>
        <v>455.05512512171066</v>
      </c>
      <c r="I356" s="172">
        <f>G356*VLOOKUP(B356,[1]Afgrødedata!$A$5:$F$18,3,FALSE)*IF(D356="Økologisk",VLOOKUP(B356,[1]Afgrødedata!$A$5:$F$18,4,FALSE),1)*IF(E356&lt;&gt;Jordbund1,IF(E356=Organ6,VLOOKUP(B356,[1]Afgrødedata!$A$5:$F$18,5,FALSE),VLOOKUP(B356,[1]Afgrødedata!$A$5:$F$18,6,FALSE)),1)*HLOOKUP(C356,Landbrug!$C$15:$E$17,2,FALSE)*HLOOKUP(C356,Landbrug!$C$15:$E$17,3,FALSE)*0.1</f>
        <v>0</v>
      </c>
      <c r="J356" s="76">
        <f t="shared" si="60"/>
        <v>455.05512512171066</v>
      </c>
    </row>
    <row r="357" spans="1:10" x14ac:dyDescent="0.55000000000000004">
      <c r="A357" t="s">
        <v>24</v>
      </c>
      <c r="B357" s="1" t="str">
        <f>[1]Afgrødefordeling!$C$7</f>
        <v>Kartofler</v>
      </c>
      <c r="C357">
        <v>2030</v>
      </c>
      <c r="D357" t="s">
        <v>7</v>
      </c>
      <c r="E357" s="172" t="str">
        <f t="shared" si="59"/>
        <v>OC6</v>
      </c>
      <c r="F357" t="str">
        <f t="shared" si="58"/>
        <v>Kartofler</v>
      </c>
      <c r="G357" s="76" cm="1">
        <f t="array" ref="G357">IF(A357="Vestdanmark",IF(D357="Konventionel",IF(C357=2019,SUMPRODUCT((B357='Landbrugsareal - resultat'!$B$5:$B$18)*(INDEX('Landbrugsareal - resultat'!$C$5:$E$18,,MATCH(E357,'Landbrugsareal - resultat'!$C$4:$E$4,0)))),IF(C357=2030,SUMPRODUCT((B357='Landbrugsareal - resultat'!$B$5:$B$18)*(INDEX('Landbrugsareal - resultat'!$F$5:$H$18,,MATCH(E357,'Landbrugsareal - resultat'!$F$4:$H$4,0)))),SUMPRODUCT((B357='Landbrugsareal - resultat'!$B$5:$B$18)*(INDEX('Landbrugsareal - resultat'!$I$5:$K$18,,MATCH(E357,'Landbrugsareal - resultat'!$I$4:$K$4,0)))))),IF(C357=2019,SUMPRODUCT((B357='Landbrugsareal - resultat'!$B$5:$B$18)*(INDEX('Landbrugsareal - resultat'!$L$5:$N$18,,MATCH(E357,'Landbrugsareal - resultat'!$L$4:$N$4,0)))),IF(C357=2030,SUMPRODUCT((B357='Landbrugsareal - resultat'!$B$5:$B$18)*(INDEX('Landbrugsareal - resultat'!$O$5:$Q$18,,MATCH(E357,'Landbrugsareal - resultat'!$O$4:$Q$4,0)))),SUMPRODUCT((B357='Landbrugsareal - resultat'!$B$5:$B$18)*(INDEX('Landbrugsareal - resultat'!$R$5:$T$18,,MATCH(E357,'Landbrugsareal - resultat'!$R$4:$T$4,0))))))),IF(D357="Konventionel",IF(C357=2019,SUMPRODUCT((B357='Landbrugsareal - resultat'!$B$32:$B$45)*(INDEX('Landbrugsareal - resultat'!$C$32:$E$45,,MATCH(E357,'Landbrugsareal - resultat'!$C$4:$E$4,0)))),IF(C357=2030,SUMPRODUCT((B357='Landbrugsareal - resultat'!$B$32:$B$45)*(INDEX('Landbrugsareal - resultat'!$F$32:$H$45,,MATCH(E357,'Landbrugsareal - resultat'!$F$4:$H$4,0)))),SUMPRODUCT((B357='Landbrugsareal - resultat'!$B$32:$B$45)*(INDEX('Landbrugsareal - resultat'!$I$32:$K$45,,MATCH(E357,'Landbrugsareal - resultat'!$I$4:$K$4,0)))))),IF(C357=2019,SUMPRODUCT((B357='Landbrugsareal - resultat'!$B$32:$B$45)*(INDEX('Landbrugsareal - resultat'!$L$32:$N$45,,MATCH(E357,'Landbrugsareal - resultat'!$L$4:$N$4,0)))),IF(C357=2030,SUMPRODUCT((B357='Landbrugsareal - resultat'!$B$32:$B$45)*(INDEX('Landbrugsareal - resultat'!$O$32:$Q$45,,MATCH(E357,'Landbrugsareal - resultat'!$O$4:$Q$4,0)))),SUMPRODUCT((B357='Landbrugsareal - resultat'!$B$32:$B$45)*(INDEX('Landbrugsareal - resultat'!$R$32:$T$45,,MATCH(E357,'Landbrugsareal - resultat'!$R$4:$T$4,0))))))))</f>
        <v>31.069693190641079</v>
      </c>
      <c r="H357" s="172">
        <f>G357*VLOOKUP(B357,[1]Afgrødedata!$A$5:$F$18,2,FALSE)*IF(D357="Økologisk",VLOOKUP(B357,[1]Afgrødedata!$A$5:$F$18,4,FALSE),1)*IF(E357&lt;&gt;Jordbund1,IF(E357=Organ6,VLOOKUP(B357,[1]Afgrødedata!$A$5:$F$18,5,FALSE),VLOOKUP(B357,[1]Afgrødedata!$A$5:$F$18,6,FALSE)),1)*0.1</f>
        <v>1583.4693793096885</v>
      </c>
      <c r="I357" s="172">
        <f>G357*VLOOKUP(B357,[1]Afgrødedata!$A$5:$F$18,3,FALSE)*IF(D357="Økologisk",VLOOKUP(B357,[1]Afgrødedata!$A$5:$F$18,4,FALSE),1)*IF(E357&lt;&gt;Jordbund1,IF(E357=Organ6,VLOOKUP(B357,[1]Afgrødedata!$A$5:$F$18,5,FALSE),VLOOKUP(B357,[1]Afgrødedata!$A$5:$F$18,6,FALSE)),1)*HLOOKUP(C357,Landbrug!$C$15:$E$17,2,FALSE)*HLOOKUP(C357,Landbrug!$C$15:$E$17,3,FALSE)*0.1</f>
        <v>0</v>
      </c>
      <c r="J357" s="76">
        <f t="shared" si="60"/>
        <v>1583.4693793096885</v>
      </c>
    </row>
    <row r="358" spans="1:10" x14ac:dyDescent="0.55000000000000004">
      <c r="A358" t="s">
        <v>24</v>
      </c>
      <c r="B358" s="1" t="str">
        <f>[1]Afgrødefordeling!$C$8</f>
        <v>Roer</v>
      </c>
      <c r="C358">
        <v>2030</v>
      </c>
      <c r="D358" t="s">
        <v>7</v>
      </c>
      <c r="E358" s="172" t="str">
        <f t="shared" si="59"/>
        <v>OC6</v>
      </c>
      <c r="F358" t="str">
        <f t="shared" si="58"/>
        <v>Roer</v>
      </c>
      <c r="G358" s="76" cm="1">
        <f t="array" ref="G358">IF(A358="Vestdanmark",IF(D358="Konventionel",IF(C358=2019,SUMPRODUCT((B358='Landbrugsareal - resultat'!$B$5:$B$18)*(INDEX('Landbrugsareal - resultat'!$C$5:$E$18,,MATCH(E358,'Landbrugsareal - resultat'!$C$4:$E$4,0)))),IF(C358=2030,SUMPRODUCT((B358='Landbrugsareal - resultat'!$B$5:$B$18)*(INDEX('Landbrugsareal - resultat'!$F$5:$H$18,,MATCH(E358,'Landbrugsareal - resultat'!$F$4:$H$4,0)))),SUMPRODUCT((B358='Landbrugsareal - resultat'!$B$5:$B$18)*(INDEX('Landbrugsareal - resultat'!$I$5:$K$18,,MATCH(E358,'Landbrugsareal - resultat'!$I$4:$K$4,0)))))),IF(C358=2019,SUMPRODUCT((B358='Landbrugsareal - resultat'!$B$5:$B$18)*(INDEX('Landbrugsareal - resultat'!$L$5:$N$18,,MATCH(E358,'Landbrugsareal - resultat'!$L$4:$N$4,0)))),IF(C358=2030,SUMPRODUCT((B358='Landbrugsareal - resultat'!$B$5:$B$18)*(INDEX('Landbrugsareal - resultat'!$O$5:$Q$18,,MATCH(E358,'Landbrugsareal - resultat'!$O$4:$Q$4,0)))),SUMPRODUCT((B358='Landbrugsareal - resultat'!$B$5:$B$18)*(INDEX('Landbrugsareal - resultat'!$R$5:$T$18,,MATCH(E358,'Landbrugsareal - resultat'!$R$4:$T$4,0))))))),IF(D358="Konventionel",IF(C358=2019,SUMPRODUCT((B358='Landbrugsareal - resultat'!$B$32:$B$45)*(INDEX('Landbrugsareal - resultat'!$C$32:$E$45,,MATCH(E358,'Landbrugsareal - resultat'!$C$4:$E$4,0)))),IF(C358=2030,SUMPRODUCT((B358='Landbrugsareal - resultat'!$B$32:$B$45)*(INDEX('Landbrugsareal - resultat'!$F$32:$H$45,,MATCH(E358,'Landbrugsareal - resultat'!$F$4:$H$4,0)))),SUMPRODUCT((B358='Landbrugsareal - resultat'!$B$32:$B$45)*(INDEX('Landbrugsareal - resultat'!$I$32:$K$45,,MATCH(E358,'Landbrugsareal - resultat'!$I$4:$K$4,0)))))),IF(C358=2019,SUMPRODUCT((B358='Landbrugsareal - resultat'!$B$32:$B$45)*(INDEX('Landbrugsareal - resultat'!$L$32:$N$45,,MATCH(E358,'Landbrugsareal - resultat'!$L$4:$N$4,0)))),IF(C358=2030,SUMPRODUCT((B358='Landbrugsareal - resultat'!$B$32:$B$45)*(INDEX('Landbrugsareal - resultat'!$O$32:$Q$45,,MATCH(E358,'Landbrugsareal - resultat'!$O$4:$Q$4,0)))),SUMPRODUCT((B358='Landbrugsareal - resultat'!$B$32:$B$45)*(INDEX('Landbrugsareal - resultat'!$R$32:$T$45,,MATCH(E358,'Landbrugsareal - resultat'!$R$4:$T$4,0))))))))</f>
        <v>86.80218603605735</v>
      </c>
      <c r="H358" s="172">
        <f>G358*VLOOKUP(B358,[1]Afgrødedata!$A$5:$F$18,2,FALSE)*IF(D358="Økologisk",VLOOKUP(B358,[1]Afgrødedata!$A$5:$F$18,4,FALSE),1)*IF(E358&lt;&gt;Jordbund1,IF(E358=Organ6,VLOOKUP(B358,[1]Afgrødedata!$A$5:$F$18,5,FALSE),VLOOKUP(B358,[1]Afgrødedata!$A$5:$F$18,6,FALSE)),1)*0.1</f>
        <v>8463.6018050202292</v>
      </c>
      <c r="I358" s="172">
        <f>G358*VLOOKUP(B358,[1]Afgrødedata!$A$5:$F$18,3,FALSE)*IF(D358="Økologisk",VLOOKUP(B358,[1]Afgrødedata!$A$5:$F$18,4,FALSE),1)*IF(E358&lt;&gt;Jordbund1,IF(E358=Organ6,VLOOKUP(B358,[1]Afgrødedata!$A$5:$F$18,5,FALSE),VLOOKUP(B358,[1]Afgrødedata!$A$5:$F$18,6,FALSE)),1)*HLOOKUP(C358,Landbrug!$C$15:$E$17,2,FALSE)*HLOOKUP(C358,Landbrug!$C$15:$E$17,3,FALSE)*0.1</f>
        <v>0</v>
      </c>
      <c r="J358" s="76">
        <f t="shared" si="60"/>
        <v>8463.6018050202292</v>
      </c>
    </row>
    <row r="359" spans="1:10" x14ac:dyDescent="0.55000000000000004">
      <c r="A359" t="s">
        <v>24</v>
      </c>
      <c r="B359" s="1" t="str">
        <f>[1]Afgrødefordeling!$C$9</f>
        <v>Majs</v>
      </c>
      <c r="C359">
        <v>2030</v>
      </c>
      <c r="D359" t="s">
        <v>7</v>
      </c>
      <c r="E359" s="172" t="str">
        <f t="shared" si="59"/>
        <v>OC6</v>
      </c>
      <c r="F359" t="str">
        <f t="shared" si="58"/>
        <v>Majs</v>
      </c>
      <c r="G359" s="76" cm="1">
        <f t="array" ref="G359">IF(A359="Vestdanmark",IF(D359="Konventionel",IF(C359=2019,SUMPRODUCT((B359='Landbrugsareal - resultat'!$B$5:$B$18)*(INDEX('Landbrugsareal - resultat'!$C$5:$E$18,,MATCH(E359,'Landbrugsareal - resultat'!$C$4:$E$4,0)))),IF(C359=2030,SUMPRODUCT((B359='Landbrugsareal - resultat'!$B$5:$B$18)*(INDEX('Landbrugsareal - resultat'!$F$5:$H$18,,MATCH(E359,'Landbrugsareal - resultat'!$F$4:$H$4,0)))),SUMPRODUCT((B359='Landbrugsareal - resultat'!$B$5:$B$18)*(INDEX('Landbrugsareal - resultat'!$I$5:$K$18,,MATCH(E359,'Landbrugsareal - resultat'!$I$4:$K$4,0)))))),IF(C359=2019,SUMPRODUCT((B359='Landbrugsareal - resultat'!$B$5:$B$18)*(INDEX('Landbrugsareal - resultat'!$L$5:$N$18,,MATCH(E359,'Landbrugsareal - resultat'!$L$4:$N$4,0)))),IF(C359=2030,SUMPRODUCT((B359='Landbrugsareal - resultat'!$B$5:$B$18)*(INDEX('Landbrugsareal - resultat'!$O$5:$Q$18,,MATCH(E359,'Landbrugsareal - resultat'!$O$4:$Q$4,0)))),SUMPRODUCT((B359='Landbrugsareal - resultat'!$B$5:$B$18)*(INDEX('Landbrugsareal - resultat'!$R$5:$T$18,,MATCH(E359,'Landbrugsareal - resultat'!$R$4:$T$4,0))))))),IF(D359="Konventionel",IF(C359=2019,SUMPRODUCT((B359='Landbrugsareal - resultat'!$B$32:$B$45)*(INDEX('Landbrugsareal - resultat'!$C$32:$E$45,,MATCH(E359,'Landbrugsareal - resultat'!$C$4:$E$4,0)))),IF(C359=2030,SUMPRODUCT((B359='Landbrugsareal - resultat'!$B$32:$B$45)*(INDEX('Landbrugsareal - resultat'!$F$32:$H$45,,MATCH(E359,'Landbrugsareal - resultat'!$F$4:$H$4,0)))),SUMPRODUCT((B359='Landbrugsareal - resultat'!$B$32:$B$45)*(INDEX('Landbrugsareal - resultat'!$I$32:$K$45,,MATCH(E359,'Landbrugsareal - resultat'!$I$4:$K$4,0)))))),IF(C359=2019,SUMPRODUCT((B359='Landbrugsareal - resultat'!$B$32:$B$45)*(INDEX('Landbrugsareal - resultat'!$L$32:$N$45,,MATCH(E359,'Landbrugsareal - resultat'!$L$4:$N$4,0)))),IF(C359=2030,SUMPRODUCT((B359='Landbrugsareal - resultat'!$B$32:$B$45)*(INDEX('Landbrugsareal - resultat'!$O$32:$Q$45,,MATCH(E359,'Landbrugsareal - resultat'!$O$4:$Q$4,0)))),SUMPRODUCT((B359='Landbrugsareal - resultat'!$B$32:$B$45)*(INDEX('Landbrugsareal - resultat'!$R$32:$T$45,,MATCH(E359,'Landbrugsareal - resultat'!$R$4:$T$4,0))))))))</f>
        <v>92.544525371292039</v>
      </c>
      <c r="H359" s="172">
        <f>G359*VLOOKUP(B359,[1]Afgrødedata!$A$5:$F$18,2,FALSE)*IF(D359="Økologisk",VLOOKUP(B359,[1]Afgrødedata!$A$5:$F$18,4,FALSE),1)*IF(E359&lt;&gt;Jordbund1,IF(E359=Organ6,VLOOKUP(B359,[1]Afgrødedata!$A$5:$F$18,5,FALSE),VLOOKUP(B359,[1]Afgrødedata!$A$5:$F$18,6,FALSE)),1)*0.1</f>
        <v>4942.9881891314508</v>
      </c>
      <c r="I359" s="172">
        <f>G359*VLOOKUP(B359,[1]Afgrødedata!$A$5:$F$18,3,FALSE)*IF(D359="Økologisk",VLOOKUP(B359,[1]Afgrødedata!$A$5:$F$18,4,FALSE),1)*IF(E359&lt;&gt;Jordbund1,IF(E359=Organ6,VLOOKUP(B359,[1]Afgrødedata!$A$5:$F$18,5,FALSE),VLOOKUP(B359,[1]Afgrødedata!$A$5:$F$18,6,FALSE)),1)*HLOOKUP(C359,Landbrug!$C$15:$E$17,2,FALSE)*HLOOKUP(C359,Landbrug!$C$15:$E$17,3,FALSE)*0.1</f>
        <v>0</v>
      </c>
      <c r="J359" s="76">
        <f t="shared" si="60"/>
        <v>4942.9881891314508</v>
      </c>
    </row>
    <row r="360" spans="1:10" x14ac:dyDescent="0.55000000000000004">
      <c r="A360" t="s">
        <v>24</v>
      </c>
      <c r="B360" s="1" t="str">
        <f>[1]Afgrødefordeling!$C$10</f>
        <v>Frugt</v>
      </c>
      <c r="C360">
        <v>2030</v>
      </c>
      <c r="D360" t="s">
        <v>7</v>
      </c>
      <c r="E360" s="172" t="str">
        <f t="shared" si="59"/>
        <v>OC6</v>
      </c>
      <c r="F360" t="str">
        <f t="shared" si="58"/>
        <v>Frugt</v>
      </c>
      <c r="G360" s="76" cm="1">
        <f t="array" ref="G360">IF(A360="Vestdanmark",IF(D360="Konventionel",IF(C360=2019,SUMPRODUCT((B360='Landbrugsareal - resultat'!$B$5:$B$18)*(INDEX('Landbrugsareal - resultat'!$C$5:$E$18,,MATCH(E360,'Landbrugsareal - resultat'!$C$4:$E$4,0)))),IF(C360=2030,SUMPRODUCT((B360='Landbrugsareal - resultat'!$B$5:$B$18)*(INDEX('Landbrugsareal - resultat'!$F$5:$H$18,,MATCH(E360,'Landbrugsareal - resultat'!$F$4:$H$4,0)))),SUMPRODUCT((B360='Landbrugsareal - resultat'!$B$5:$B$18)*(INDEX('Landbrugsareal - resultat'!$I$5:$K$18,,MATCH(E360,'Landbrugsareal - resultat'!$I$4:$K$4,0)))))),IF(C360=2019,SUMPRODUCT((B360='Landbrugsareal - resultat'!$B$5:$B$18)*(INDEX('Landbrugsareal - resultat'!$L$5:$N$18,,MATCH(E360,'Landbrugsareal - resultat'!$L$4:$N$4,0)))),IF(C360=2030,SUMPRODUCT((B360='Landbrugsareal - resultat'!$B$5:$B$18)*(INDEX('Landbrugsareal - resultat'!$O$5:$Q$18,,MATCH(E360,'Landbrugsareal - resultat'!$O$4:$Q$4,0)))),SUMPRODUCT((B360='Landbrugsareal - resultat'!$B$5:$B$18)*(INDEX('Landbrugsareal - resultat'!$R$5:$T$18,,MATCH(E360,'Landbrugsareal - resultat'!$R$4:$T$4,0))))))),IF(D360="Konventionel",IF(C360=2019,SUMPRODUCT((B360='Landbrugsareal - resultat'!$B$32:$B$45)*(INDEX('Landbrugsareal - resultat'!$C$32:$E$45,,MATCH(E360,'Landbrugsareal - resultat'!$C$4:$E$4,0)))),IF(C360=2030,SUMPRODUCT((B360='Landbrugsareal - resultat'!$B$32:$B$45)*(INDEX('Landbrugsareal - resultat'!$F$32:$H$45,,MATCH(E360,'Landbrugsareal - resultat'!$F$4:$H$4,0)))),SUMPRODUCT((B360='Landbrugsareal - resultat'!$B$32:$B$45)*(INDEX('Landbrugsareal - resultat'!$I$32:$K$45,,MATCH(E360,'Landbrugsareal - resultat'!$I$4:$K$4,0)))))),IF(C360=2019,SUMPRODUCT((B360='Landbrugsareal - resultat'!$B$32:$B$45)*(INDEX('Landbrugsareal - resultat'!$L$32:$N$45,,MATCH(E360,'Landbrugsareal - resultat'!$L$4:$N$4,0)))),IF(C360=2030,SUMPRODUCT((B360='Landbrugsareal - resultat'!$B$32:$B$45)*(INDEX('Landbrugsareal - resultat'!$O$32:$Q$45,,MATCH(E360,'Landbrugsareal - resultat'!$O$4:$Q$4,0)))),SUMPRODUCT((B360='Landbrugsareal - resultat'!$B$32:$B$45)*(INDEX('Landbrugsareal - resultat'!$R$32:$T$45,,MATCH(E360,'Landbrugsareal - resultat'!$R$4:$T$4,0))))))))</f>
        <v>19.963756517514042</v>
      </c>
      <c r="H360" s="172">
        <f>G360*VLOOKUP(B360,[1]Afgrødedata!$A$5:$F$18,2,FALSE)*IF(D360="Økologisk",VLOOKUP(B360,[1]Afgrødedata!$A$5:$F$18,4,FALSE),1)*IF(E360&lt;&gt;Jordbund1,IF(E360=Organ6,VLOOKUP(B360,[1]Afgrødedata!$A$5:$F$18,5,FALSE),VLOOKUP(B360,[1]Afgrødedata!$A$5:$F$18,6,FALSE)),1)*0.1</f>
        <v>203.39075140043306</v>
      </c>
      <c r="I360" s="172">
        <f>G360*VLOOKUP(B360,[1]Afgrødedata!$A$5:$F$18,3,FALSE)*IF(D360="Økologisk",VLOOKUP(B360,[1]Afgrødedata!$A$5:$F$18,4,FALSE),1)*IF(E360&lt;&gt;Jordbund1,IF(E360=Organ6,VLOOKUP(B360,[1]Afgrødedata!$A$5:$F$18,5,FALSE),VLOOKUP(B360,[1]Afgrødedata!$A$5:$F$18,6,FALSE)),1)*HLOOKUP(C360,Landbrug!$C$15:$E$17,2,FALSE)*HLOOKUP(C360,Landbrug!$C$15:$E$17,3,FALSE)*0.1</f>
        <v>0</v>
      </c>
      <c r="J360" s="76">
        <f t="shared" si="60"/>
        <v>203.39075140043306</v>
      </c>
    </row>
    <row r="361" spans="1:10" x14ac:dyDescent="0.55000000000000004">
      <c r="A361" t="s">
        <v>24</v>
      </c>
      <c r="B361" s="1" t="str">
        <f>[1]Afgrødefordeling!$C$11</f>
        <v>Øvrige</v>
      </c>
      <c r="C361">
        <v>2030</v>
      </c>
      <c r="D361" t="s">
        <v>7</v>
      </c>
      <c r="E361" s="172" t="str">
        <f t="shared" si="59"/>
        <v>OC6</v>
      </c>
      <c r="F361" t="str">
        <f t="shared" si="58"/>
        <v>Øvrige</v>
      </c>
      <c r="G361" s="76" cm="1">
        <f t="array" ref="G361">IF(A361="Vestdanmark",IF(D361="Konventionel",IF(C361=2019,SUMPRODUCT((B361='Landbrugsareal - resultat'!$B$5:$B$18)*(INDEX('Landbrugsareal - resultat'!$C$5:$E$18,,MATCH(E361,'Landbrugsareal - resultat'!$C$4:$E$4,0)))),IF(C361=2030,SUMPRODUCT((B361='Landbrugsareal - resultat'!$B$5:$B$18)*(INDEX('Landbrugsareal - resultat'!$F$5:$H$18,,MATCH(E361,'Landbrugsareal - resultat'!$F$4:$H$4,0)))),SUMPRODUCT((B361='Landbrugsareal - resultat'!$B$5:$B$18)*(INDEX('Landbrugsareal - resultat'!$I$5:$K$18,,MATCH(E361,'Landbrugsareal - resultat'!$I$4:$K$4,0)))))),IF(C361=2019,SUMPRODUCT((B361='Landbrugsareal - resultat'!$B$5:$B$18)*(INDEX('Landbrugsareal - resultat'!$L$5:$N$18,,MATCH(E361,'Landbrugsareal - resultat'!$L$4:$N$4,0)))),IF(C361=2030,SUMPRODUCT((B361='Landbrugsareal - resultat'!$B$5:$B$18)*(INDEX('Landbrugsareal - resultat'!$O$5:$Q$18,,MATCH(E361,'Landbrugsareal - resultat'!$O$4:$Q$4,0)))),SUMPRODUCT((B361='Landbrugsareal - resultat'!$B$5:$B$18)*(INDEX('Landbrugsareal - resultat'!$R$5:$T$18,,MATCH(E361,'Landbrugsareal - resultat'!$R$4:$T$4,0))))))),IF(D361="Konventionel",IF(C361=2019,SUMPRODUCT((B361='Landbrugsareal - resultat'!$B$32:$B$45)*(INDEX('Landbrugsareal - resultat'!$C$32:$E$45,,MATCH(E361,'Landbrugsareal - resultat'!$C$4:$E$4,0)))),IF(C361=2030,SUMPRODUCT((B361='Landbrugsareal - resultat'!$B$32:$B$45)*(INDEX('Landbrugsareal - resultat'!$F$32:$H$45,,MATCH(E361,'Landbrugsareal - resultat'!$F$4:$H$4,0)))),SUMPRODUCT((B361='Landbrugsareal - resultat'!$B$32:$B$45)*(INDEX('Landbrugsareal - resultat'!$I$32:$K$45,,MATCH(E361,'Landbrugsareal - resultat'!$I$4:$K$4,0)))))),IF(C361=2019,SUMPRODUCT((B361='Landbrugsareal - resultat'!$B$32:$B$45)*(INDEX('Landbrugsareal - resultat'!$L$32:$N$45,,MATCH(E361,'Landbrugsareal - resultat'!$L$4:$N$4,0)))),IF(C361=2030,SUMPRODUCT((B361='Landbrugsareal - resultat'!$B$32:$B$45)*(INDEX('Landbrugsareal - resultat'!$O$32:$Q$45,,MATCH(E361,'Landbrugsareal - resultat'!$O$4:$Q$4,0)))),SUMPRODUCT((B361='Landbrugsareal - resultat'!$B$32:$B$45)*(INDEX('Landbrugsareal - resultat'!$R$32:$T$45,,MATCH(E361,'Landbrugsareal - resultat'!$R$4:$T$4,0))))))))</f>
        <v>142.55090419053352</v>
      </c>
      <c r="H361" s="172">
        <f>G361*VLOOKUP(B361,[1]Afgrødedata!$A$5:$F$18,2,FALSE)*IF(D361="Økologisk",VLOOKUP(B361,[1]Afgrødedata!$A$5:$F$18,4,FALSE),1)*IF(E361&lt;&gt;Jordbund1,IF(E361=Organ6,VLOOKUP(B361,[1]Afgrødedata!$A$5:$F$18,5,FALSE),VLOOKUP(B361,[1]Afgrødedata!$A$5:$F$18,6,FALSE)),1)*0.1</f>
        <v>5096.9264259624179</v>
      </c>
      <c r="I361" s="172">
        <f>G361*VLOOKUP(B361,[1]Afgrødedata!$A$5:$F$18,3,FALSE)*IF(D361="Økologisk",VLOOKUP(B361,[1]Afgrødedata!$A$5:$F$18,4,FALSE),1)*IF(E361&lt;&gt;Jordbund1,IF(E361=Organ6,VLOOKUP(B361,[1]Afgrødedata!$A$5:$F$18,5,FALSE),VLOOKUP(B361,[1]Afgrødedata!$A$5:$F$18,6,FALSE)),1)*HLOOKUP(C361,Landbrug!$C$15:$E$17,2,FALSE)*HLOOKUP(C361,Landbrug!$C$15:$E$17,3,FALSE)*0.1</f>
        <v>0</v>
      </c>
      <c r="J361" s="76">
        <f t="shared" si="60"/>
        <v>5096.9264259624179</v>
      </c>
    </row>
    <row r="362" spans="1:10" x14ac:dyDescent="0.55000000000000004">
      <c r="A362" t="s">
        <v>24</v>
      </c>
      <c r="B362" s="1" t="str">
        <f>[1]Afgrødefordeling!$C$12</f>
        <v>Frø</v>
      </c>
      <c r="C362">
        <v>2030</v>
      </c>
      <c r="D362" t="s">
        <v>7</v>
      </c>
      <c r="E362" s="172" t="str">
        <f t="shared" si="59"/>
        <v>OC6</v>
      </c>
      <c r="F362" t="str">
        <f t="shared" si="58"/>
        <v>Halm</v>
      </c>
      <c r="G362" s="76" cm="1">
        <f t="array" ref="G362">IF(A362="Vestdanmark",IF(D362="Konventionel",IF(C362=2019,SUMPRODUCT((B362='Landbrugsareal - resultat'!$B$5:$B$18)*(INDEX('Landbrugsareal - resultat'!$C$5:$E$18,,MATCH(E362,'Landbrugsareal - resultat'!$C$4:$E$4,0)))),IF(C362=2030,SUMPRODUCT((B362='Landbrugsareal - resultat'!$B$5:$B$18)*(INDEX('Landbrugsareal - resultat'!$F$5:$H$18,,MATCH(E362,'Landbrugsareal - resultat'!$F$4:$H$4,0)))),SUMPRODUCT((B362='Landbrugsareal - resultat'!$B$5:$B$18)*(INDEX('Landbrugsareal - resultat'!$I$5:$K$18,,MATCH(E362,'Landbrugsareal - resultat'!$I$4:$K$4,0)))))),IF(C362=2019,SUMPRODUCT((B362='Landbrugsareal - resultat'!$B$5:$B$18)*(INDEX('Landbrugsareal - resultat'!$L$5:$N$18,,MATCH(E362,'Landbrugsareal - resultat'!$L$4:$N$4,0)))),IF(C362=2030,SUMPRODUCT((B362='Landbrugsareal - resultat'!$B$5:$B$18)*(INDEX('Landbrugsareal - resultat'!$O$5:$Q$18,,MATCH(E362,'Landbrugsareal - resultat'!$O$4:$Q$4,0)))),SUMPRODUCT((B362='Landbrugsareal - resultat'!$B$5:$B$18)*(INDEX('Landbrugsareal - resultat'!$R$5:$T$18,,MATCH(E362,'Landbrugsareal - resultat'!$R$4:$T$4,0))))))),IF(D362="Konventionel",IF(C362=2019,SUMPRODUCT((B362='Landbrugsareal - resultat'!$B$32:$B$45)*(INDEX('Landbrugsareal - resultat'!$C$32:$E$45,,MATCH(E362,'Landbrugsareal - resultat'!$C$4:$E$4,0)))),IF(C362=2030,SUMPRODUCT((B362='Landbrugsareal - resultat'!$B$32:$B$45)*(INDEX('Landbrugsareal - resultat'!$F$32:$H$45,,MATCH(E362,'Landbrugsareal - resultat'!$F$4:$H$4,0)))),SUMPRODUCT((B362='Landbrugsareal - resultat'!$B$32:$B$45)*(INDEX('Landbrugsareal - resultat'!$I$32:$K$45,,MATCH(E362,'Landbrugsareal - resultat'!$I$4:$K$4,0)))))),IF(C362=2019,SUMPRODUCT((B362='Landbrugsareal - resultat'!$B$32:$B$45)*(INDEX('Landbrugsareal - resultat'!$L$32:$N$45,,MATCH(E362,'Landbrugsareal - resultat'!$L$4:$N$4,0)))),IF(C362=2030,SUMPRODUCT((B362='Landbrugsareal - resultat'!$B$32:$B$45)*(INDEX('Landbrugsareal - resultat'!$O$32:$Q$45,,MATCH(E362,'Landbrugsareal - resultat'!$O$4:$Q$4,0)))),SUMPRODUCT((B362='Landbrugsareal - resultat'!$B$32:$B$45)*(INDEX('Landbrugsareal - resultat'!$R$32:$T$45,,MATCH(E362,'Landbrugsareal - resultat'!$R$4:$T$4,0))))))))</f>
        <v>1034.9128044099805</v>
      </c>
      <c r="H362" s="172">
        <f>G362*VLOOKUP(B362,[1]Afgrødedata!$A$5:$F$18,2,FALSE)*IF(D362="Økologisk",VLOOKUP(B362,[1]Afgrødedata!$A$5:$F$18,4,FALSE),1)*IF(E362&lt;&gt;Jordbund1,IF(E362=Organ6,VLOOKUP(B362,[1]Afgrødedata!$A$5:$F$18,5,FALSE),VLOOKUP(B362,[1]Afgrødedata!$A$5:$F$18,6,FALSE)),1)*0.1</f>
        <v>17745.269952517581</v>
      </c>
      <c r="I362" s="172">
        <f>G362*VLOOKUP(B362,[1]Afgrødedata!$A$5:$F$18,3,FALSE)*IF(D362="Økologisk",VLOOKUP(B362,[1]Afgrødedata!$A$5:$F$18,4,FALSE),1)*IF(E362&lt;&gt;Jordbund1,IF(E362=Organ6,VLOOKUP(B362,[1]Afgrødedata!$A$5:$F$18,5,FALSE),VLOOKUP(B362,[1]Afgrødedata!$A$5:$F$18,6,FALSE)),1)*HLOOKUP(C362,Landbrug!$C$15:$E$17,2,FALSE)*HLOOKUP(C362,Landbrug!$C$15:$E$17,3,FALSE)*0.1</f>
        <v>2930.8730620890651</v>
      </c>
      <c r="J362" s="76">
        <f t="shared" si="60"/>
        <v>2930.8730620890651</v>
      </c>
    </row>
    <row r="363" spans="1:10" x14ac:dyDescent="0.55000000000000004">
      <c r="A363" t="s">
        <v>24</v>
      </c>
      <c r="B363" s="1" t="str">
        <f>[1]Afgrødefordeling!$C$13</f>
        <v>Juletræer</v>
      </c>
      <c r="C363">
        <v>2030</v>
      </c>
      <c r="D363" t="s">
        <v>7</v>
      </c>
      <c r="E363" s="172" t="str">
        <f t="shared" si="59"/>
        <v>OC6</v>
      </c>
      <c r="F363" t="str">
        <f t="shared" si="58"/>
        <v>Juletræer</v>
      </c>
      <c r="G363" s="76" cm="1">
        <f t="array" ref="G363">IF(A363="Vestdanmark",IF(D363="Konventionel",IF(C363=2019,SUMPRODUCT((B363='Landbrugsareal - resultat'!$B$5:$B$18)*(INDEX('Landbrugsareal - resultat'!$C$5:$E$18,,MATCH(E363,'Landbrugsareal - resultat'!$C$4:$E$4,0)))),IF(C363=2030,SUMPRODUCT((B363='Landbrugsareal - resultat'!$B$5:$B$18)*(INDEX('Landbrugsareal - resultat'!$F$5:$H$18,,MATCH(E363,'Landbrugsareal - resultat'!$F$4:$H$4,0)))),SUMPRODUCT((B363='Landbrugsareal - resultat'!$B$5:$B$18)*(INDEX('Landbrugsareal - resultat'!$I$5:$K$18,,MATCH(E363,'Landbrugsareal - resultat'!$I$4:$K$4,0)))))),IF(C363=2019,SUMPRODUCT((B363='Landbrugsareal - resultat'!$B$5:$B$18)*(INDEX('Landbrugsareal - resultat'!$L$5:$N$18,,MATCH(E363,'Landbrugsareal - resultat'!$L$4:$N$4,0)))),IF(C363=2030,SUMPRODUCT((B363='Landbrugsareal - resultat'!$B$5:$B$18)*(INDEX('Landbrugsareal - resultat'!$O$5:$Q$18,,MATCH(E363,'Landbrugsareal - resultat'!$O$4:$Q$4,0)))),SUMPRODUCT((B363='Landbrugsareal - resultat'!$B$5:$B$18)*(INDEX('Landbrugsareal - resultat'!$R$5:$T$18,,MATCH(E363,'Landbrugsareal - resultat'!$R$4:$T$4,0))))))),IF(D363="Konventionel",IF(C363=2019,SUMPRODUCT((B363='Landbrugsareal - resultat'!$B$32:$B$45)*(INDEX('Landbrugsareal - resultat'!$C$32:$E$45,,MATCH(E363,'Landbrugsareal - resultat'!$C$4:$E$4,0)))),IF(C363=2030,SUMPRODUCT((B363='Landbrugsareal - resultat'!$B$32:$B$45)*(INDEX('Landbrugsareal - resultat'!$F$32:$H$45,,MATCH(E363,'Landbrugsareal - resultat'!$F$4:$H$4,0)))),SUMPRODUCT((B363='Landbrugsareal - resultat'!$B$32:$B$45)*(INDEX('Landbrugsareal - resultat'!$I$32:$K$45,,MATCH(E363,'Landbrugsareal - resultat'!$I$4:$K$4,0)))))),IF(C363=2019,SUMPRODUCT((B363='Landbrugsareal - resultat'!$B$32:$B$45)*(INDEX('Landbrugsareal - resultat'!$L$32:$N$45,,MATCH(E363,'Landbrugsareal - resultat'!$L$4:$N$4,0)))),IF(C363=2030,SUMPRODUCT((B363='Landbrugsareal - resultat'!$B$32:$B$45)*(INDEX('Landbrugsareal - resultat'!$O$32:$Q$45,,MATCH(E363,'Landbrugsareal - resultat'!$O$4:$Q$4,0)))),SUMPRODUCT((B363='Landbrugsareal - resultat'!$B$32:$B$45)*(INDEX('Landbrugsareal - resultat'!$R$32:$T$45,,MATCH(E363,'Landbrugsareal - resultat'!$R$4:$T$4,0))))))))</f>
        <v>31.283092856466656</v>
      </c>
      <c r="H363" s="172">
        <f>G363*VLOOKUP(B363,[1]Afgrødedata!$A$5:$F$18,2,FALSE)*IF(D363="Økologisk",VLOOKUP(B363,[1]Afgrødedata!$A$5:$F$18,4,FALSE),1)*IF(E363&lt;&gt;Jordbund1,IF(E363=Organ6,VLOOKUP(B363,[1]Afgrødedata!$A$5:$F$18,5,FALSE),VLOOKUP(B363,[1]Afgrødedata!$A$5:$F$18,6,FALSE)),1)*0.1</f>
        <v>1876.9855713879997</v>
      </c>
      <c r="I363" s="172">
        <f>G363*VLOOKUP(B363,[1]Afgrødedata!$A$5:$F$18,3,FALSE)*IF(D363="Økologisk",VLOOKUP(B363,[1]Afgrødedata!$A$5:$F$18,4,FALSE),1)*IF(E363&lt;&gt;Jordbund1,IF(E363=Organ6,VLOOKUP(B363,[1]Afgrødedata!$A$5:$F$18,5,FALSE),VLOOKUP(B363,[1]Afgrødedata!$A$5:$F$18,6,FALSE)),1)*HLOOKUP(C363,Landbrug!$C$15:$E$17,2,FALSE)*HLOOKUP(C363,Landbrug!$C$15:$E$17,3,FALSE)*0.1</f>
        <v>0</v>
      </c>
      <c r="J363" s="76">
        <f t="shared" si="60"/>
        <v>1876.9855713879997</v>
      </c>
    </row>
    <row r="364" spans="1:10" x14ac:dyDescent="0.55000000000000004">
      <c r="A364" t="s">
        <v>24</v>
      </c>
      <c r="B364" s="1" t="str">
        <f>[1]Afgrødefordeling!$C$14</f>
        <v>Pil &amp; poppel</v>
      </c>
      <c r="C364">
        <v>2030</v>
      </c>
      <c r="D364" t="s">
        <v>7</v>
      </c>
      <c r="E364" s="172" t="str">
        <f t="shared" si="59"/>
        <v>OC6</v>
      </c>
      <c r="F364" t="str">
        <f t="shared" si="58"/>
        <v>Pil &amp; poppel</v>
      </c>
      <c r="G364" s="76" cm="1">
        <f t="array" ref="G364">IF(A364="Vestdanmark",IF(D364="Konventionel",IF(C364=2019,SUMPRODUCT((B364='Landbrugsareal - resultat'!$B$5:$B$18)*(INDEX('Landbrugsareal - resultat'!$C$5:$E$18,,MATCH(E364,'Landbrugsareal - resultat'!$C$4:$E$4,0)))),IF(C364=2030,SUMPRODUCT((B364='Landbrugsareal - resultat'!$B$5:$B$18)*(INDEX('Landbrugsareal - resultat'!$F$5:$H$18,,MATCH(E364,'Landbrugsareal - resultat'!$F$4:$H$4,0)))),SUMPRODUCT((B364='Landbrugsareal - resultat'!$B$5:$B$18)*(INDEX('Landbrugsareal - resultat'!$I$5:$K$18,,MATCH(E364,'Landbrugsareal - resultat'!$I$4:$K$4,0)))))),IF(C364=2019,SUMPRODUCT((B364='Landbrugsareal - resultat'!$B$5:$B$18)*(INDEX('Landbrugsareal - resultat'!$L$5:$N$18,,MATCH(E364,'Landbrugsareal - resultat'!$L$4:$N$4,0)))),IF(C364=2030,SUMPRODUCT((B364='Landbrugsareal - resultat'!$B$5:$B$18)*(INDEX('Landbrugsareal - resultat'!$O$5:$Q$18,,MATCH(E364,'Landbrugsareal - resultat'!$O$4:$Q$4,0)))),SUMPRODUCT((B364='Landbrugsareal - resultat'!$B$5:$B$18)*(INDEX('Landbrugsareal - resultat'!$R$5:$T$18,,MATCH(E364,'Landbrugsareal - resultat'!$R$4:$T$4,0))))))),IF(D364="Konventionel",IF(C364=2019,SUMPRODUCT((B364='Landbrugsareal - resultat'!$B$32:$B$45)*(INDEX('Landbrugsareal - resultat'!$C$32:$E$45,,MATCH(E364,'Landbrugsareal - resultat'!$C$4:$E$4,0)))),IF(C364=2030,SUMPRODUCT((B364='Landbrugsareal - resultat'!$B$32:$B$45)*(INDEX('Landbrugsareal - resultat'!$F$32:$H$45,,MATCH(E364,'Landbrugsareal - resultat'!$F$4:$H$4,0)))),SUMPRODUCT((B364='Landbrugsareal - resultat'!$B$32:$B$45)*(INDEX('Landbrugsareal - resultat'!$I$32:$K$45,,MATCH(E364,'Landbrugsareal - resultat'!$I$4:$K$4,0)))))),IF(C364=2019,SUMPRODUCT((B364='Landbrugsareal - resultat'!$B$32:$B$45)*(INDEX('Landbrugsareal - resultat'!$L$32:$N$45,,MATCH(E364,'Landbrugsareal - resultat'!$L$4:$N$4,0)))),IF(C364=2030,SUMPRODUCT((B364='Landbrugsareal - resultat'!$B$32:$B$45)*(INDEX('Landbrugsareal - resultat'!$O$32:$Q$45,,MATCH(E364,'Landbrugsareal - resultat'!$O$4:$Q$4,0)))),SUMPRODUCT((B364='Landbrugsareal - resultat'!$B$32:$B$45)*(INDEX('Landbrugsareal - resultat'!$R$32:$T$45,,MATCH(E364,'Landbrugsareal - resultat'!$R$4:$T$4,0))))))))</f>
        <v>66.394406960686013</v>
      </c>
      <c r="H364" s="172">
        <f>G364*VLOOKUP(B364,[1]Afgrødedata!$A$5:$F$18,2,FALSE)*IF(D364="Økologisk",VLOOKUP(B364,[1]Afgrødedata!$A$5:$F$18,4,FALSE),1)*IF(E364&lt;&gt;Jordbund1,IF(E364=Organ6,VLOOKUP(B364,[1]Afgrødedata!$A$5:$F$18,5,FALSE),VLOOKUP(B364,[1]Afgrødedata!$A$5:$F$18,6,FALSE)),1)*0.1</f>
        <v>1943.2509354347128</v>
      </c>
      <c r="I364" s="172">
        <f>G364*VLOOKUP(B364,[1]Afgrødedata!$A$5:$F$18,3,FALSE)*IF(D364="Økologisk",VLOOKUP(B364,[1]Afgrødedata!$A$5:$F$18,4,FALSE),1)*IF(E364&lt;&gt;Jordbund1,IF(E364=Organ6,VLOOKUP(B364,[1]Afgrødedata!$A$5:$F$18,5,FALSE),VLOOKUP(B364,[1]Afgrødedata!$A$5:$F$18,6,FALSE)),1)*HLOOKUP(C364,Landbrug!$C$15:$E$17,2,FALSE)*HLOOKUP(C364,Landbrug!$C$15:$E$17,3,FALSE)*0.1</f>
        <v>0</v>
      </c>
      <c r="J364" s="76">
        <f t="shared" si="60"/>
        <v>1943.2509354347128</v>
      </c>
    </row>
    <row r="365" spans="1:10" x14ac:dyDescent="0.55000000000000004">
      <c r="A365" t="s">
        <v>24</v>
      </c>
      <c r="B365" s="1" t="str">
        <f>[1]Afgrødefordeling!$C$15</f>
        <v>Permanent græs</v>
      </c>
      <c r="C365">
        <v>2030</v>
      </c>
      <c r="D365" t="s">
        <v>7</v>
      </c>
      <c r="E365" s="172" t="str">
        <f t="shared" si="59"/>
        <v>OC6</v>
      </c>
      <c r="F365" t="str">
        <f t="shared" si="58"/>
        <v>Græs</v>
      </c>
      <c r="G365" s="76" cm="1">
        <f t="array" ref="G365">IF(A365="Vestdanmark",IF(D365="Konventionel",IF(C365=2019,SUMPRODUCT((B365='Landbrugsareal - resultat'!$B$5:$B$18)*(INDEX('Landbrugsareal - resultat'!$C$5:$E$18,,MATCH(E365,'Landbrugsareal - resultat'!$C$4:$E$4,0)))),IF(C365=2030,SUMPRODUCT((B365='Landbrugsareal - resultat'!$B$5:$B$18)*(INDEX('Landbrugsareal - resultat'!$F$5:$H$18,,MATCH(E365,'Landbrugsareal - resultat'!$F$4:$H$4,0)))),SUMPRODUCT((B365='Landbrugsareal - resultat'!$B$5:$B$18)*(INDEX('Landbrugsareal - resultat'!$I$5:$K$18,,MATCH(E365,'Landbrugsareal - resultat'!$I$4:$K$4,0)))))),IF(C365=2019,SUMPRODUCT((B365='Landbrugsareal - resultat'!$B$5:$B$18)*(INDEX('Landbrugsareal - resultat'!$L$5:$N$18,,MATCH(E365,'Landbrugsareal - resultat'!$L$4:$N$4,0)))),IF(C365=2030,SUMPRODUCT((B365='Landbrugsareal - resultat'!$B$5:$B$18)*(INDEX('Landbrugsareal - resultat'!$O$5:$Q$18,,MATCH(E365,'Landbrugsareal - resultat'!$O$4:$Q$4,0)))),SUMPRODUCT((B365='Landbrugsareal - resultat'!$B$5:$B$18)*(INDEX('Landbrugsareal - resultat'!$R$5:$T$18,,MATCH(E365,'Landbrugsareal - resultat'!$R$4:$T$4,0))))))),IF(D365="Konventionel",IF(C365=2019,SUMPRODUCT((B365='Landbrugsareal - resultat'!$B$32:$B$45)*(INDEX('Landbrugsareal - resultat'!$C$32:$E$45,,MATCH(E365,'Landbrugsareal - resultat'!$C$4:$E$4,0)))),IF(C365=2030,SUMPRODUCT((B365='Landbrugsareal - resultat'!$B$32:$B$45)*(INDEX('Landbrugsareal - resultat'!$F$32:$H$45,,MATCH(E365,'Landbrugsareal - resultat'!$F$4:$H$4,0)))),SUMPRODUCT((B365='Landbrugsareal - resultat'!$B$32:$B$45)*(INDEX('Landbrugsareal - resultat'!$I$32:$K$45,,MATCH(E365,'Landbrugsareal - resultat'!$I$4:$K$4,0)))))),IF(C365=2019,SUMPRODUCT((B365='Landbrugsareal - resultat'!$B$32:$B$45)*(INDEX('Landbrugsareal - resultat'!$L$32:$N$45,,MATCH(E365,'Landbrugsareal - resultat'!$L$4:$N$4,0)))),IF(C365=2030,SUMPRODUCT((B365='Landbrugsareal - resultat'!$B$32:$B$45)*(INDEX('Landbrugsareal - resultat'!$O$32:$Q$45,,MATCH(E365,'Landbrugsareal - resultat'!$O$4:$Q$4,0)))),SUMPRODUCT((B365='Landbrugsareal - resultat'!$B$32:$B$45)*(INDEX('Landbrugsareal - resultat'!$R$32:$T$45,,MATCH(E365,'Landbrugsareal - resultat'!$R$4:$T$4,0))))))))</f>
        <v>1924.2067363305678</v>
      </c>
      <c r="H365" s="172">
        <f>G365*VLOOKUP(B365,[1]Afgrødedata!$A$5:$F$18,2,FALSE)*IF(D365="Økologisk",VLOOKUP(B365,[1]Afgrødedata!$A$5:$F$18,4,FALSE),1)*IF(E365&lt;&gt;Jordbund1,IF(E365=Organ6,VLOOKUP(B365,[1]Afgrødedata!$A$5:$F$18,5,FALSE),VLOOKUP(B365,[1]Afgrødedata!$A$5:$F$18,6,FALSE)),1)*0.1</f>
        <v>31841.773072798231</v>
      </c>
      <c r="I365" s="172">
        <f>G365*VLOOKUP(B365,[1]Afgrødedata!$A$5:$F$18,3,FALSE)*IF(D365="Økologisk",VLOOKUP(B365,[1]Afgrødedata!$A$5:$F$18,4,FALSE),1)*IF(E365&lt;&gt;Jordbund1,IF(E365=Organ6,VLOOKUP(B365,[1]Afgrødedata!$A$5:$F$18,5,FALSE),VLOOKUP(B365,[1]Afgrødedata!$A$5:$F$18,6,FALSE)),1)*HLOOKUP(C365,Landbrug!$C$15:$E$17,2,FALSE)*HLOOKUP(C365,Landbrug!$C$15:$E$17,3,FALSE)*0.1</f>
        <v>0</v>
      </c>
      <c r="J365" s="76">
        <f t="shared" si="60"/>
        <v>31841.773072798231</v>
      </c>
    </row>
    <row r="366" spans="1:10" x14ac:dyDescent="0.55000000000000004">
      <c r="A366" t="s">
        <v>24</v>
      </c>
      <c r="B366" s="1" t="str">
        <f>[1]Afgrødefordeling!$C$2</f>
        <v>Korn</v>
      </c>
      <c r="C366">
        <v>2050</v>
      </c>
      <c r="D366" t="s">
        <v>7</v>
      </c>
      <c r="E366" s="172" t="str">
        <f t="shared" si="59"/>
        <v>OC6</v>
      </c>
      <c r="F366" t="str">
        <f t="shared" si="58"/>
        <v>Halm</v>
      </c>
      <c r="G366" s="76" cm="1">
        <f t="array" ref="G366">IF(A366="Vestdanmark",IF(D366="Konventionel",IF(C366=2019,SUMPRODUCT((B366='Landbrugsareal - resultat'!$B$5:$B$18)*(INDEX('Landbrugsareal - resultat'!$C$5:$E$18,,MATCH(E366,'Landbrugsareal - resultat'!$C$4:$E$4,0)))),IF(C366=2030,SUMPRODUCT((B366='Landbrugsareal - resultat'!$B$5:$B$18)*(INDEX('Landbrugsareal - resultat'!$F$5:$H$18,,MATCH(E366,'Landbrugsareal - resultat'!$F$4:$H$4,0)))),SUMPRODUCT((B366='Landbrugsareal - resultat'!$B$5:$B$18)*(INDEX('Landbrugsareal - resultat'!$I$5:$K$18,,MATCH(E366,'Landbrugsareal - resultat'!$I$4:$K$4,0)))))),IF(C366=2019,SUMPRODUCT((B366='Landbrugsareal - resultat'!$B$5:$B$18)*(INDEX('Landbrugsareal - resultat'!$L$5:$N$18,,MATCH(E366,'Landbrugsareal - resultat'!$L$4:$N$4,0)))),IF(C366=2030,SUMPRODUCT((B366='Landbrugsareal - resultat'!$B$5:$B$18)*(INDEX('Landbrugsareal - resultat'!$O$5:$Q$18,,MATCH(E366,'Landbrugsareal - resultat'!$O$4:$Q$4,0)))),SUMPRODUCT((B366='Landbrugsareal - resultat'!$B$5:$B$18)*(INDEX('Landbrugsareal - resultat'!$R$5:$T$18,,MATCH(E366,'Landbrugsareal - resultat'!$R$4:$T$4,0))))))),IF(D366="Konventionel",IF(C366=2019,SUMPRODUCT((B366='Landbrugsareal - resultat'!$B$32:$B$45)*(INDEX('Landbrugsareal - resultat'!$C$32:$E$45,,MATCH(E366,'Landbrugsareal - resultat'!$C$4:$E$4,0)))),IF(C366=2030,SUMPRODUCT((B366='Landbrugsareal - resultat'!$B$32:$B$45)*(INDEX('Landbrugsareal - resultat'!$F$32:$H$45,,MATCH(E366,'Landbrugsareal - resultat'!$F$4:$H$4,0)))),SUMPRODUCT((B366='Landbrugsareal - resultat'!$B$32:$B$45)*(INDEX('Landbrugsareal - resultat'!$I$32:$K$45,,MATCH(E366,'Landbrugsareal - resultat'!$I$4:$K$4,0)))))),IF(C366=2019,SUMPRODUCT((B366='Landbrugsareal - resultat'!$B$32:$B$45)*(INDEX('Landbrugsareal - resultat'!$L$32:$N$45,,MATCH(E366,'Landbrugsareal - resultat'!$L$4:$N$4,0)))),IF(C366=2030,SUMPRODUCT((B366='Landbrugsareal - resultat'!$B$32:$B$45)*(INDEX('Landbrugsareal - resultat'!$O$32:$Q$45,,MATCH(E366,'Landbrugsareal - resultat'!$O$4:$Q$4,0)))),SUMPRODUCT((B366='Landbrugsareal - resultat'!$B$32:$B$45)*(INDEX('Landbrugsareal - resultat'!$R$32:$T$45,,MATCH(E366,'Landbrugsareal - resultat'!$R$4:$T$4,0))))))))</f>
        <v>2865.5971195436209</v>
      </c>
      <c r="H366" s="172">
        <f>G366*VLOOKUP(B366,[1]Afgrødedata!$A$5:$F$18,2,FALSE)*IF(D366="Økologisk",VLOOKUP(B366,[1]Afgrødedata!$A$5:$F$18,4,FALSE),1)*IF(E366&lt;&gt;Jordbund1,IF(E366=Organ6,VLOOKUP(B366,[1]Afgrødedata!$A$5:$F$18,5,FALSE),VLOOKUP(B366,[1]Afgrødedata!$A$5:$F$18,6,FALSE)),1)*0.1</f>
        <v>24105.402969600938</v>
      </c>
      <c r="I366" s="172">
        <f>G366*VLOOKUP(B366,[1]Afgrødedata!$A$5:$F$18,3,FALSE)*IF(D366="Økologisk",VLOOKUP(B366,[1]Afgrødedata!$A$5:$F$18,4,FALSE),1)*IF(E366&lt;&gt;Jordbund1,IF(E366=Organ6,VLOOKUP(B366,[1]Afgrødedata!$A$5:$F$18,5,FALSE),VLOOKUP(B366,[1]Afgrødedata!$A$5:$F$18,6,FALSE)),1)*HLOOKUP(C366,Landbrug!$C$15:$E$17,2,FALSE)*HLOOKUP(C366,Landbrug!$C$15:$E$17,3,FALSE)*0.1</f>
        <v>7822.2032636355034</v>
      </c>
      <c r="J366" s="76">
        <f t="shared" si="60"/>
        <v>7822.2032636355034</v>
      </c>
    </row>
    <row r="367" spans="1:10" x14ac:dyDescent="0.55000000000000004">
      <c r="A367" t="s">
        <v>24</v>
      </c>
      <c r="B367" s="1" t="str">
        <f>[1]Afgrødefordeling!$C$3</f>
        <v>Bælgsæd</v>
      </c>
      <c r="C367">
        <v>2050</v>
      </c>
      <c r="D367" t="s">
        <v>7</v>
      </c>
      <c r="E367" s="172" t="str">
        <f t="shared" si="59"/>
        <v>OC6</v>
      </c>
      <c r="F367" t="str">
        <f t="shared" si="58"/>
        <v>Halm</v>
      </c>
      <c r="G367" s="76" cm="1">
        <f t="array" ref="G367">IF(A367="Vestdanmark",IF(D367="Konventionel",IF(C367=2019,SUMPRODUCT((B367='Landbrugsareal - resultat'!$B$5:$B$18)*(INDEX('Landbrugsareal - resultat'!$C$5:$E$18,,MATCH(E367,'Landbrugsareal - resultat'!$C$4:$E$4,0)))),IF(C367=2030,SUMPRODUCT((B367='Landbrugsareal - resultat'!$B$5:$B$18)*(INDEX('Landbrugsareal - resultat'!$F$5:$H$18,,MATCH(E367,'Landbrugsareal - resultat'!$F$4:$H$4,0)))),SUMPRODUCT((B367='Landbrugsareal - resultat'!$B$5:$B$18)*(INDEX('Landbrugsareal - resultat'!$I$5:$K$18,,MATCH(E367,'Landbrugsareal - resultat'!$I$4:$K$4,0)))))),IF(C367=2019,SUMPRODUCT((B367='Landbrugsareal - resultat'!$B$5:$B$18)*(INDEX('Landbrugsareal - resultat'!$L$5:$N$18,,MATCH(E367,'Landbrugsareal - resultat'!$L$4:$N$4,0)))),IF(C367=2030,SUMPRODUCT((B367='Landbrugsareal - resultat'!$B$5:$B$18)*(INDEX('Landbrugsareal - resultat'!$O$5:$Q$18,,MATCH(E367,'Landbrugsareal - resultat'!$O$4:$Q$4,0)))),SUMPRODUCT((B367='Landbrugsareal - resultat'!$B$5:$B$18)*(INDEX('Landbrugsareal - resultat'!$R$5:$T$18,,MATCH(E367,'Landbrugsareal - resultat'!$R$4:$T$4,0))))))),IF(D367="Konventionel",IF(C367=2019,SUMPRODUCT((B367='Landbrugsareal - resultat'!$B$32:$B$45)*(INDEX('Landbrugsareal - resultat'!$C$32:$E$45,,MATCH(E367,'Landbrugsareal - resultat'!$C$4:$E$4,0)))),IF(C367=2030,SUMPRODUCT((B367='Landbrugsareal - resultat'!$B$32:$B$45)*(INDEX('Landbrugsareal - resultat'!$F$32:$H$45,,MATCH(E367,'Landbrugsareal - resultat'!$F$4:$H$4,0)))),SUMPRODUCT((B367='Landbrugsareal - resultat'!$B$32:$B$45)*(INDEX('Landbrugsareal - resultat'!$I$32:$K$45,,MATCH(E367,'Landbrugsareal - resultat'!$I$4:$K$4,0)))))),IF(C367=2019,SUMPRODUCT((B367='Landbrugsareal - resultat'!$B$32:$B$45)*(INDEX('Landbrugsareal - resultat'!$L$32:$N$45,,MATCH(E367,'Landbrugsareal - resultat'!$L$4:$N$4,0)))),IF(C367=2030,SUMPRODUCT((B367='Landbrugsareal - resultat'!$B$32:$B$45)*(INDEX('Landbrugsareal - resultat'!$O$32:$Q$45,,MATCH(E367,'Landbrugsareal - resultat'!$O$4:$Q$4,0)))),SUMPRODUCT((B367='Landbrugsareal - resultat'!$B$32:$B$45)*(INDEX('Landbrugsareal - resultat'!$R$32:$T$45,,MATCH(E367,'Landbrugsareal - resultat'!$R$4:$T$4,0))))))))</f>
        <v>77.490326717192659</v>
      </c>
      <c r="H367" s="172">
        <f>G367*VLOOKUP(B367,[1]Afgrødedata!$A$5:$F$18,2,FALSE)*IF(D367="Økologisk",VLOOKUP(B367,[1]Afgrødedata!$A$5:$F$18,4,FALSE),1)*IF(E367&lt;&gt;Jordbund1,IF(E367=Organ6,VLOOKUP(B367,[1]Afgrødedata!$A$5:$F$18,5,FALSE),VLOOKUP(B367,[1]Afgrødedata!$A$5:$F$18,6,FALSE)),1)*0.1</f>
        <v>358.93519335403641</v>
      </c>
      <c r="I367" s="172">
        <f>G367*VLOOKUP(B367,[1]Afgrødedata!$A$5:$F$18,3,FALSE)*IF(D367="Økologisk",VLOOKUP(B367,[1]Afgrødedata!$A$5:$F$18,4,FALSE),1)*IF(E367&lt;&gt;Jordbund1,IF(E367=Organ6,VLOOKUP(B367,[1]Afgrødedata!$A$5:$F$18,5,FALSE),VLOOKUP(B367,[1]Afgrødedata!$A$5:$F$18,6,FALSE)),1)*HLOOKUP(C367,Landbrug!$C$15:$E$17,2,FALSE)*HLOOKUP(C367,Landbrug!$C$15:$E$17,3,FALSE)*0.1</f>
        <v>105.94074519075649</v>
      </c>
      <c r="J367" s="76">
        <f t="shared" si="60"/>
        <v>105.94074519075649</v>
      </c>
    </row>
    <row r="368" spans="1:10" x14ac:dyDescent="0.55000000000000004">
      <c r="A368" t="s">
        <v>24</v>
      </c>
      <c r="B368" s="1" t="str">
        <f>[1]Afgrødefordeling!$C$4</f>
        <v>Raps</v>
      </c>
      <c r="C368">
        <v>2050</v>
      </c>
      <c r="D368" t="s">
        <v>7</v>
      </c>
      <c r="E368" s="172" t="str">
        <f t="shared" si="59"/>
        <v>OC6</v>
      </c>
      <c r="F368" t="str">
        <f t="shared" si="58"/>
        <v>Halm</v>
      </c>
      <c r="G368" s="76" cm="1">
        <f t="array" ref="G368">IF(A368="Vestdanmark",IF(D368="Konventionel",IF(C368=2019,SUMPRODUCT((B368='Landbrugsareal - resultat'!$B$5:$B$18)*(INDEX('Landbrugsareal - resultat'!$C$5:$E$18,,MATCH(E368,'Landbrugsareal - resultat'!$C$4:$E$4,0)))),IF(C368=2030,SUMPRODUCT((B368='Landbrugsareal - resultat'!$B$5:$B$18)*(INDEX('Landbrugsareal - resultat'!$F$5:$H$18,,MATCH(E368,'Landbrugsareal - resultat'!$F$4:$H$4,0)))),SUMPRODUCT((B368='Landbrugsareal - resultat'!$B$5:$B$18)*(INDEX('Landbrugsareal - resultat'!$I$5:$K$18,,MATCH(E368,'Landbrugsareal - resultat'!$I$4:$K$4,0)))))),IF(C368=2019,SUMPRODUCT((B368='Landbrugsareal - resultat'!$B$5:$B$18)*(INDEX('Landbrugsareal - resultat'!$L$5:$N$18,,MATCH(E368,'Landbrugsareal - resultat'!$L$4:$N$4,0)))),IF(C368=2030,SUMPRODUCT((B368='Landbrugsareal - resultat'!$B$5:$B$18)*(INDEX('Landbrugsareal - resultat'!$O$5:$Q$18,,MATCH(E368,'Landbrugsareal - resultat'!$O$4:$Q$4,0)))),SUMPRODUCT((B368='Landbrugsareal - resultat'!$B$5:$B$18)*(INDEX('Landbrugsareal - resultat'!$R$5:$T$18,,MATCH(E368,'Landbrugsareal - resultat'!$R$4:$T$4,0))))))),IF(D368="Konventionel",IF(C368=2019,SUMPRODUCT((B368='Landbrugsareal - resultat'!$B$32:$B$45)*(INDEX('Landbrugsareal - resultat'!$C$32:$E$45,,MATCH(E368,'Landbrugsareal - resultat'!$C$4:$E$4,0)))),IF(C368=2030,SUMPRODUCT((B368='Landbrugsareal - resultat'!$B$32:$B$45)*(INDEX('Landbrugsareal - resultat'!$F$32:$H$45,,MATCH(E368,'Landbrugsareal - resultat'!$F$4:$H$4,0)))),SUMPRODUCT((B368='Landbrugsareal - resultat'!$B$32:$B$45)*(INDEX('Landbrugsareal - resultat'!$I$32:$K$45,,MATCH(E368,'Landbrugsareal - resultat'!$I$4:$K$4,0)))))),IF(C368=2019,SUMPRODUCT((B368='Landbrugsareal - resultat'!$B$32:$B$45)*(INDEX('Landbrugsareal - resultat'!$L$32:$N$45,,MATCH(E368,'Landbrugsareal - resultat'!$L$4:$N$4,0)))),IF(C368=2030,SUMPRODUCT((B368='Landbrugsareal - resultat'!$B$32:$B$45)*(INDEX('Landbrugsareal - resultat'!$O$32:$Q$45,,MATCH(E368,'Landbrugsareal - resultat'!$O$4:$Q$4,0)))),SUMPRODUCT((B368='Landbrugsareal - resultat'!$B$32:$B$45)*(INDEX('Landbrugsareal - resultat'!$R$32:$T$45,,MATCH(E368,'Landbrugsareal - resultat'!$R$4:$T$4,0))))))))</f>
        <v>312.99553463338594</v>
      </c>
      <c r="H368" s="172">
        <f>G368*VLOOKUP(B368,[1]Afgrødedata!$A$5:$F$18,2,FALSE)*IF(D368="Økologisk",VLOOKUP(B368,[1]Afgrødedata!$A$5:$F$18,4,FALSE),1)*IF(E368&lt;&gt;Jordbund1,IF(E368=Organ6,VLOOKUP(B368,[1]Afgrødedata!$A$5:$F$18,5,FALSE),VLOOKUP(B368,[1]Afgrødedata!$A$5:$F$18,6,FALSE)),1)*0.1</f>
        <v>1652.6164228642779</v>
      </c>
      <c r="I368" s="172">
        <f>G368*VLOOKUP(B368,[1]Afgrødedata!$A$5:$F$18,3,FALSE)*IF(D368="Økologisk",VLOOKUP(B368,[1]Afgrødedata!$A$5:$F$18,4,FALSE),1)*IF(E368&lt;&gt;Jordbund1,IF(E368=Organ6,VLOOKUP(B368,[1]Afgrødedata!$A$5:$F$18,5,FALSE),VLOOKUP(B368,[1]Afgrødedata!$A$5:$F$18,6,FALSE)),1)*HLOOKUP(C368,Landbrug!$C$15:$E$17,2,FALSE)*HLOOKUP(C368,Landbrug!$C$15:$E$17,3,FALSE)*0.1</f>
        <v>877.5393205409315</v>
      </c>
      <c r="J368" s="76">
        <f t="shared" si="60"/>
        <v>877.5393205409315</v>
      </c>
    </row>
    <row r="369" spans="1:10" x14ac:dyDescent="0.55000000000000004">
      <c r="A369" t="s">
        <v>24</v>
      </c>
      <c r="B369" s="1" t="str">
        <f>[1]Afgrødefordeling!$C$5</f>
        <v>Græs</v>
      </c>
      <c r="C369">
        <v>2050</v>
      </c>
      <c r="D369" t="s">
        <v>7</v>
      </c>
      <c r="E369" s="172" t="str">
        <f t="shared" si="59"/>
        <v>OC6</v>
      </c>
      <c r="F369" t="str">
        <f t="shared" si="58"/>
        <v>Græs</v>
      </c>
      <c r="G369" s="76" cm="1">
        <f t="array" ref="G369">IF(A369="Vestdanmark",IF(D369="Konventionel",IF(C369=2019,SUMPRODUCT((B369='Landbrugsareal - resultat'!$B$5:$B$18)*(INDEX('Landbrugsareal - resultat'!$C$5:$E$18,,MATCH(E369,'Landbrugsareal - resultat'!$C$4:$E$4,0)))),IF(C369=2030,SUMPRODUCT((B369='Landbrugsareal - resultat'!$B$5:$B$18)*(INDEX('Landbrugsareal - resultat'!$F$5:$H$18,,MATCH(E369,'Landbrugsareal - resultat'!$F$4:$H$4,0)))),SUMPRODUCT((B369='Landbrugsareal - resultat'!$B$5:$B$18)*(INDEX('Landbrugsareal - resultat'!$I$5:$K$18,,MATCH(E369,'Landbrugsareal - resultat'!$I$4:$K$4,0)))))),IF(C369=2019,SUMPRODUCT((B369='Landbrugsareal - resultat'!$B$5:$B$18)*(INDEX('Landbrugsareal - resultat'!$L$5:$N$18,,MATCH(E369,'Landbrugsareal - resultat'!$L$4:$N$4,0)))),IF(C369=2030,SUMPRODUCT((B369='Landbrugsareal - resultat'!$B$5:$B$18)*(INDEX('Landbrugsareal - resultat'!$O$5:$Q$18,,MATCH(E369,'Landbrugsareal - resultat'!$O$4:$Q$4,0)))),SUMPRODUCT((B369='Landbrugsareal - resultat'!$B$5:$B$18)*(INDEX('Landbrugsareal - resultat'!$R$5:$T$18,,MATCH(E369,'Landbrugsareal - resultat'!$R$4:$T$4,0))))))),IF(D369="Konventionel",IF(C369=2019,SUMPRODUCT((B369='Landbrugsareal - resultat'!$B$32:$B$45)*(INDEX('Landbrugsareal - resultat'!$C$32:$E$45,,MATCH(E369,'Landbrugsareal - resultat'!$C$4:$E$4,0)))),IF(C369=2030,SUMPRODUCT((B369='Landbrugsareal - resultat'!$B$32:$B$45)*(INDEX('Landbrugsareal - resultat'!$F$32:$H$45,,MATCH(E369,'Landbrugsareal - resultat'!$F$4:$H$4,0)))),SUMPRODUCT((B369='Landbrugsareal - resultat'!$B$32:$B$45)*(INDEX('Landbrugsareal - resultat'!$I$32:$K$45,,MATCH(E369,'Landbrugsareal - resultat'!$I$4:$K$4,0)))))),IF(C369=2019,SUMPRODUCT((B369='Landbrugsareal - resultat'!$B$32:$B$45)*(INDEX('Landbrugsareal - resultat'!$L$32:$N$45,,MATCH(E369,'Landbrugsareal - resultat'!$L$4:$N$4,0)))),IF(C369=2030,SUMPRODUCT((B369='Landbrugsareal - resultat'!$B$32:$B$45)*(INDEX('Landbrugsareal - resultat'!$O$32:$Q$45,,MATCH(E369,'Landbrugsareal - resultat'!$O$4:$Q$4,0)))),SUMPRODUCT((B369='Landbrugsareal - resultat'!$B$32:$B$45)*(INDEX('Landbrugsareal - resultat'!$R$32:$T$45,,MATCH(E369,'Landbrugsareal - resultat'!$R$4:$T$4,0))))))))</f>
        <v>920.3380180542913</v>
      </c>
      <c r="H369" s="172">
        <f>G369*VLOOKUP(B369,[1]Afgrødedata!$A$5:$F$18,2,FALSE)*IF(D369="Økologisk",VLOOKUP(B369,[1]Afgrødedata!$A$5:$F$18,4,FALSE),1)*IF(E369&lt;&gt;Jordbund1,IF(E369=Organ6,VLOOKUP(B369,[1]Afgrødedata!$A$5:$F$18,5,FALSE),VLOOKUP(B369,[1]Afgrødedata!$A$5:$F$18,6,FALSE)),1)*0.1</f>
        <v>54800.606947024717</v>
      </c>
      <c r="I369" s="172">
        <f>G369*VLOOKUP(B369,[1]Afgrødedata!$A$5:$F$18,3,FALSE)*IF(D369="Økologisk",VLOOKUP(B369,[1]Afgrødedata!$A$5:$F$18,4,FALSE),1)*IF(E369&lt;&gt;Jordbund1,IF(E369=Organ6,VLOOKUP(B369,[1]Afgrødedata!$A$5:$F$18,5,FALSE),VLOOKUP(B369,[1]Afgrødedata!$A$5:$F$18,6,FALSE)),1)*HLOOKUP(C369,Landbrug!$C$15:$E$17,2,FALSE)*HLOOKUP(C369,Landbrug!$C$15:$E$17,3,FALSE)*0.1</f>
        <v>0</v>
      </c>
      <c r="J369" s="76">
        <f t="shared" si="60"/>
        <v>54800.606947024717</v>
      </c>
    </row>
    <row r="370" spans="1:10" x14ac:dyDescent="0.55000000000000004">
      <c r="A370" t="s">
        <v>24</v>
      </c>
      <c r="B370" s="1" t="str">
        <f>[1]Afgrødefordeling!$C$6</f>
        <v>Grøntsager</v>
      </c>
      <c r="C370">
        <v>2050</v>
      </c>
      <c r="D370" t="s">
        <v>7</v>
      </c>
      <c r="E370" s="172" t="str">
        <f t="shared" ref="E370:E401" si="61">Organ6</f>
        <v>OC6</v>
      </c>
      <c r="F370" t="str">
        <f t="shared" si="58"/>
        <v>Grøntsager</v>
      </c>
      <c r="G370" s="76" cm="1">
        <f t="array" ref="G370">IF(A370="Vestdanmark",IF(D370="Konventionel",IF(C370=2019,SUMPRODUCT((B370='Landbrugsareal - resultat'!$B$5:$B$18)*(INDEX('Landbrugsareal - resultat'!$C$5:$E$18,,MATCH(E370,'Landbrugsareal - resultat'!$C$4:$E$4,0)))),IF(C370=2030,SUMPRODUCT((B370='Landbrugsareal - resultat'!$B$5:$B$18)*(INDEX('Landbrugsareal - resultat'!$F$5:$H$18,,MATCH(E370,'Landbrugsareal - resultat'!$F$4:$H$4,0)))),SUMPRODUCT((B370='Landbrugsareal - resultat'!$B$5:$B$18)*(INDEX('Landbrugsareal - resultat'!$I$5:$K$18,,MATCH(E370,'Landbrugsareal - resultat'!$I$4:$K$4,0)))))),IF(C370=2019,SUMPRODUCT((B370='Landbrugsareal - resultat'!$B$5:$B$18)*(INDEX('Landbrugsareal - resultat'!$L$5:$N$18,,MATCH(E370,'Landbrugsareal - resultat'!$L$4:$N$4,0)))),IF(C370=2030,SUMPRODUCT((B370='Landbrugsareal - resultat'!$B$5:$B$18)*(INDEX('Landbrugsareal - resultat'!$O$5:$Q$18,,MATCH(E370,'Landbrugsareal - resultat'!$O$4:$Q$4,0)))),SUMPRODUCT((B370='Landbrugsareal - resultat'!$B$5:$B$18)*(INDEX('Landbrugsareal - resultat'!$R$5:$T$18,,MATCH(E370,'Landbrugsareal - resultat'!$R$4:$T$4,0))))))),IF(D370="Konventionel",IF(C370=2019,SUMPRODUCT((B370='Landbrugsareal - resultat'!$B$32:$B$45)*(INDEX('Landbrugsareal - resultat'!$C$32:$E$45,,MATCH(E370,'Landbrugsareal - resultat'!$C$4:$E$4,0)))),IF(C370=2030,SUMPRODUCT((B370='Landbrugsareal - resultat'!$B$32:$B$45)*(INDEX('Landbrugsareal - resultat'!$F$32:$H$45,,MATCH(E370,'Landbrugsareal - resultat'!$F$4:$H$4,0)))),SUMPRODUCT((B370='Landbrugsareal - resultat'!$B$32:$B$45)*(INDEX('Landbrugsareal - resultat'!$I$32:$K$45,,MATCH(E370,'Landbrugsareal - resultat'!$I$4:$K$4,0)))))),IF(C370=2019,SUMPRODUCT((B370='Landbrugsareal - resultat'!$B$32:$B$45)*(INDEX('Landbrugsareal - resultat'!$L$32:$N$45,,MATCH(E370,'Landbrugsareal - resultat'!$L$4:$N$4,0)))),IF(C370=2030,SUMPRODUCT((B370='Landbrugsareal - resultat'!$B$32:$B$45)*(INDEX('Landbrugsareal - resultat'!$O$32:$Q$45,,MATCH(E370,'Landbrugsareal - resultat'!$O$4:$Q$4,0)))),SUMPRODUCT((B370='Landbrugsareal - resultat'!$B$32:$B$45)*(INDEX('Landbrugsareal - resultat'!$R$32:$T$45,,MATCH(E370,'Landbrugsareal - resultat'!$R$4:$T$4,0))))))))</f>
        <v>17.430205363670229</v>
      </c>
      <c r="H370" s="172">
        <f>G370*VLOOKUP(B370,[1]Afgrødedata!$A$5:$F$18,2,FALSE)*IF(D370="Økologisk",VLOOKUP(B370,[1]Afgrødedata!$A$5:$F$18,4,FALSE),1)*IF(E370&lt;&gt;Jordbund1,IF(E370=Organ6,VLOOKUP(B370,[1]Afgrødedata!$A$5:$F$18,5,FALSE),VLOOKUP(B370,[1]Afgrødedata!$A$5:$F$18,6,FALSE)),1)*0.1</f>
        <v>434.01211355538874</v>
      </c>
      <c r="I370" s="172">
        <f>G370*VLOOKUP(B370,[1]Afgrødedata!$A$5:$F$18,3,FALSE)*IF(D370="Økologisk",VLOOKUP(B370,[1]Afgrødedata!$A$5:$F$18,4,FALSE),1)*IF(E370&lt;&gt;Jordbund1,IF(E370=Organ6,VLOOKUP(B370,[1]Afgrødedata!$A$5:$F$18,5,FALSE),VLOOKUP(B370,[1]Afgrødedata!$A$5:$F$18,6,FALSE)),1)*HLOOKUP(C370,Landbrug!$C$15:$E$17,2,FALSE)*HLOOKUP(C370,Landbrug!$C$15:$E$17,3,FALSE)*0.1</f>
        <v>0</v>
      </c>
      <c r="J370" s="76">
        <f t="shared" si="60"/>
        <v>434.01211355538874</v>
      </c>
    </row>
    <row r="371" spans="1:10" x14ac:dyDescent="0.55000000000000004">
      <c r="A371" t="s">
        <v>24</v>
      </c>
      <c r="B371" s="1" t="str">
        <f>[1]Afgrødefordeling!$C$7</f>
        <v>Kartofler</v>
      </c>
      <c r="C371">
        <v>2050</v>
      </c>
      <c r="D371" t="s">
        <v>7</v>
      </c>
      <c r="E371" s="172" t="str">
        <f t="shared" si="61"/>
        <v>OC6</v>
      </c>
      <c r="F371" t="str">
        <f t="shared" si="58"/>
        <v>Kartofler</v>
      </c>
      <c r="G371" s="76" cm="1">
        <f t="array" ref="G371">IF(A371="Vestdanmark",IF(D371="Konventionel",IF(C371=2019,SUMPRODUCT((B371='Landbrugsareal - resultat'!$B$5:$B$18)*(INDEX('Landbrugsareal - resultat'!$C$5:$E$18,,MATCH(E371,'Landbrugsareal - resultat'!$C$4:$E$4,0)))),IF(C371=2030,SUMPRODUCT((B371='Landbrugsareal - resultat'!$B$5:$B$18)*(INDEX('Landbrugsareal - resultat'!$F$5:$H$18,,MATCH(E371,'Landbrugsareal - resultat'!$F$4:$H$4,0)))),SUMPRODUCT((B371='Landbrugsareal - resultat'!$B$5:$B$18)*(INDEX('Landbrugsareal - resultat'!$I$5:$K$18,,MATCH(E371,'Landbrugsareal - resultat'!$I$4:$K$4,0)))))),IF(C371=2019,SUMPRODUCT((B371='Landbrugsareal - resultat'!$B$5:$B$18)*(INDEX('Landbrugsareal - resultat'!$L$5:$N$18,,MATCH(E371,'Landbrugsareal - resultat'!$L$4:$N$4,0)))),IF(C371=2030,SUMPRODUCT((B371='Landbrugsareal - resultat'!$B$5:$B$18)*(INDEX('Landbrugsareal - resultat'!$O$5:$Q$18,,MATCH(E371,'Landbrugsareal - resultat'!$O$4:$Q$4,0)))),SUMPRODUCT((B371='Landbrugsareal - resultat'!$B$5:$B$18)*(INDEX('Landbrugsareal - resultat'!$R$5:$T$18,,MATCH(E371,'Landbrugsareal - resultat'!$R$4:$T$4,0))))))),IF(D371="Konventionel",IF(C371=2019,SUMPRODUCT((B371='Landbrugsareal - resultat'!$B$32:$B$45)*(INDEX('Landbrugsareal - resultat'!$C$32:$E$45,,MATCH(E371,'Landbrugsareal - resultat'!$C$4:$E$4,0)))),IF(C371=2030,SUMPRODUCT((B371='Landbrugsareal - resultat'!$B$32:$B$45)*(INDEX('Landbrugsareal - resultat'!$F$32:$H$45,,MATCH(E371,'Landbrugsareal - resultat'!$F$4:$H$4,0)))),SUMPRODUCT((B371='Landbrugsareal - resultat'!$B$32:$B$45)*(INDEX('Landbrugsareal - resultat'!$I$32:$K$45,,MATCH(E371,'Landbrugsareal - resultat'!$I$4:$K$4,0)))))),IF(C371=2019,SUMPRODUCT((B371='Landbrugsareal - resultat'!$B$32:$B$45)*(INDEX('Landbrugsareal - resultat'!$L$32:$N$45,,MATCH(E371,'Landbrugsareal - resultat'!$L$4:$N$4,0)))),IF(C371=2030,SUMPRODUCT((B371='Landbrugsareal - resultat'!$B$32:$B$45)*(INDEX('Landbrugsareal - resultat'!$O$32:$Q$45,,MATCH(E371,'Landbrugsareal - resultat'!$O$4:$Q$4,0)))),SUMPRODUCT((B371='Landbrugsareal - resultat'!$B$32:$B$45)*(INDEX('Landbrugsareal - resultat'!$R$32:$T$45,,MATCH(E371,'Landbrugsareal - resultat'!$R$4:$T$4,0))))))))</f>
        <v>29.632944372576752</v>
      </c>
      <c r="H371" s="172">
        <f>G371*VLOOKUP(B371,[1]Afgrødedata!$A$5:$F$18,2,FALSE)*IF(D371="Økologisk",VLOOKUP(B371,[1]Afgrødedata!$A$5:$F$18,4,FALSE),1)*IF(E371&lt;&gt;Jordbund1,IF(E371=Organ6,VLOOKUP(B371,[1]Afgrødedata!$A$5:$F$18,5,FALSE),VLOOKUP(B371,[1]Afgrødedata!$A$5:$F$18,6,FALSE)),1)*0.1</f>
        <v>1510.2453617693561</v>
      </c>
      <c r="I371" s="172">
        <f>G371*VLOOKUP(B371,[1]Afgrødedata!$A$5:$F$18,3,FALSE)*IF(D371="Økologisk",VLOOKUP(B371,[1]Afgrødedata!$A$5:$F$18,4,FALSE),1)*IF(E371&lt;&gt;Jordbund1,IF(E371=Organ6,VLOOKUP(B371,[1]Afgrødedata!$A$5:$F$18,5,FALSE),VLOOKUP(B371,[1]Afgrødedata!$A$5:$F$18,6,FALSE)),1)*HLOOKUP(C371,Landbrug!$C$15:$E$17,2,FALSE)*HLOOKUP(C371,Landbrug!$C$15:$E$17,3,FALSE)*0.1</f>
        <v>0</v>
      </c>
      <c r="J371" s="76">
        <f t="shared" si="60"/>
        <v>1510.2453617693561</v>
      </c>
    </row>
    <row r="372" spans="1:10" x14ac:dyDescent="0.55000000000000004">
      <c r="A372" t="s">
        <v>24</v>
      </c>
      <c r="B372" s="1" t="str">
        <f>[1]Afgrødefordeling!$C$8</f>
        <v>Roer</v>
      </c>
      <c r="C372">
        <v>2050</v>
      </c>
      <c r="D372" t="s">
        <v>7</v>
      </c>
      <c r="E372" s="172" t="str">
        <f t="shared" si="61"/>
        <v>OC6</v>
      </c>
      <c r="F372" t="str">
        <f t="shared" si="58"/>
        <v>Roer</v>
      </c>
      <c r="G372" s="76" cm="1">
        <f t="array" ref="G372">IF(A372="Vestdanmark",IF(D372="Konventionel",IF(C372=2019,SUMPRODUCT((B372='Landbrugsareal - resultat'!$B$5:$B$18)*(INDEX('Landbrugsareal - resultat'!$C$5:$E$18,,MATCH(E372,'Landbrugsareal - resultat'!$C$4:$E$4,0)))),IF(C372=2030,SUMPRODUCT((B372='Landbrugsareal - resultat'!$B$5:$B$18)*(INDEX('Landbrugsareal - resultat'!$F$5:$H$18,,MATCH(E372,'Landbrugsareal - resultat'!$F$4:$H$4,0)))),SUMPRODUCT((B372='Landbrugsareal - resultat'!$B$5:$B$18)*(INDEX('Landbrugsareal - resultat'!$I$5:$K$18,,MATCH(E372,'Landbrugsareal - resultat'!$I$4:$K$4,0)))))),IF(C372=2019,SUMPRODUCT((B372='Landbrugsareal - resultat'!$B$5:$B$18)*(INDEX('Landbrugsareal - resultat'!$L$5:$N$18,,MATCH(E372,'Landbrugsareal - resultat'!$L$4:$N$4,0)))),IF(C372=2030,SUMPRODUCT((B372='Landbrugsareal - resultat'!$B$5:$B$18)*(INDEX('Landbrugsareal - resultat'!$O$5:$Q$18,,MATCH(E372,'Landbrugsareal - resultat'!$O$4:$Q$4,0)))),SUMPRODUCT((B372='Landbrugsareal - resultat'!$B$5:$B$18)*(INDEX('Landbrugsareal - resultat'!$R$5:$T$18,,MATCH(E372,'Landbrugsareal - resultat'!$R$4:$T$4,0))))))),IF(D372="Konventionel",IF(C372=2019,SUMPRODUCT((B372='Landbrugsareal - resultat'!$B$32:$B$45)*(INDEX('Landbrugsareal - resultat'!$C$32:$E$45,,MATCH(E372,'Landbrugsareal - resultat'!$C$4:$E$4,0)))),IF(C372=2030,SUMPRODUCT((B372='Landbrugsareal - resultat'!$B$32:$B$45)*(INDEX('Landbrugsareal - resultat'!$F$32:$H$45,,MATCH(E372,'Landbrugsareal - resultat'!$F$4:$H$4,0)))),SUMPRODUCT((B372='Landbrugsareal - resultat'!$B$32:$B$45)*(INDEX('Landbrugsareal - resultat'!$I$32:$K$45,,MATCH(E372,'Landbrugsareal - resultat'!$I$4:$K$4,0)))))),IF(C372=2019,SUMPRODUCT((B372='Landbrugsareal - resultat'!$B$32:$B$45)*(INDEX('Landbrugsareal - resultat'!$L$32:$N$45,,MATCH(E372,'Landbrugsareal - resultat'!$L$4:$N$4,0)))),IF(C372=2030,SUMPRODUCT((B372='Landbrugsareal - resultat'!$B$32:$B$45)*(INDEX('Landbrugsareal - resultat'!$O$32:$Q$45,,MATCH(E372,'Landbrugsareal - resultat'!$O$4:$Q$4,0)))),SUMPRODUCT((B372='Landbrugsareal - resultat'!$B$32:$B$45)*(INDEX('Landbrugsareal - resultat'!$R$32:$T$45,,MATCH(E372,'Landbrugsareal - resultat'!$R$4:$T$4,0))))))))</f>
        <v>82.788212115314806</v>
      </c>
      <c r="H372" s="172">
        <f>G372*VLOOKUP(B372,[1]Afgrødedata!$A$5:$F$18,2,FALSE)*IF(D372="Økologisk",VLOOKUP(B372,[1]Afgrødedata!$A$5:$F$18,4,FALSE),1)*IF(E372&lt;&gt;Jordbund1,IF(E372=Organ6,VLOOKUP(B372,[1]Afgrødedata!$A$5:$F$18,5,FALSE),VLOOKUP(B372,[1]Afgrødedata!$A$5:$F$18,6,FALSE)),1)*0.1</f>
        <v>8072.2213747302758</v>
      </c>
      <c r="I372" s="172">
        <f>G372*VLOOKUP(B372,[1]Afgrødedata!$A$5:$F$18,3,FALSE)*IF(D372="Økologisk",VLOOKUP(B372,[1]Afgrødedata!$A$5:$F$18,4,FALSE),1)*IF(E372&lt;&gt;Jordbund1,IF(E372=Organ6,VLOOKUP(B372,[1]Afgrødedata!$A$5:$F$18,5,FALSE),VLOOKUP(B372,[1]Afgrødedata!$A$5:$F$18,6,FALSE)),1)*HLOOKUP(C372,Landbrug!$C$15:$E$17,2,FALSE)*HLOOKUP(C372,Landbrug!$C$15:$E$17,3,FALSE)*0.1</f>
        <v>0</v>
      </c>
      <c r="J372" s="76">
        <f t="shared" si="60"/>
        <v>8072.2213747302758</v>
      </c>
    </row>
    <row r="373" spans="1:10" x14ac:dyDescent="0.55000000000000004">
      <c r="A373" t="s">
        <v>24</v>
      </c>
      <c r="B373" s="1" t="str">
        <f>[1]Afgrødefordeling!$C$9</f>
        <v>Majs</v>
      </c>
      <c r="C373">
        <v>2050</v>
      </c>
      <c r="D373" t="s">
        <v>7</v>
      </c>
      <c r="E373" s="172" t="str">
        <f t="shared" si="61"/>
        <v>OC6</v>
      </c>
      <c r="F373" t="str">
        <f t="shared" si="58"/>
        <v>Majs</v>
      </c>
      <c r="G373" s="76" cm="1">
        <f t="array" ref="G373">IF(A373="Vestdanmark",IF(D373="Konventionel",IF(C373=2019,SUMPRODUCT((B373='Landbrugsareal - resultat'!$B$5:$B$18)*(INDEX('Landbrugsareal - resultat'!$C$5:$E$18,,MATCH(E373,'Landbrugsareal - resultat'!$C$4:$E$4,0)))),IF(C373=2030,SUMPRODUCT((B373='Landbrugsareal - resultat'!$B$5:$B$18)*(INDEX('Landbrugsareal - resultat'!$F$5:$H$18,,MATCH(E373,'Landbrugsareal - resultat'!$F$4:$H$4,0)))),SUMPRODUCT((B373='Landbrugsareal - resultat'!$B$5:$B$18)*(INDEX('Landbrugsareal - resultat'!$I$5:$K$18,,MATCH(E373,'Landbrugsareal - resultat'!$I$4:$K$4,0)))))),IF(C373=2019,SUMPRODUCT((B373='Landbrugsareal - resultat'!$B$5:$B$18)*(INDEX('Landbrugsareal - resultat'!$L$5:$N$18,,MATCH(E373,'Landbrugsareal - resultat'!$L$4:$N$4,0)))),IF(C373=2030,SUMPRODUCT((B373='Landbrugsareal - resultat'!$B$5:$B$18)*(INDEX('Landbrugsareal - resultat'!$O$5:$Q$18,,MATCH(E373,'Landbrugsareal - resultat'!$O$4:$Q$4,0)))),SUMPRODUCT((B373='Landbrugsareal - resultat'!$B$5:$B$18)*(INDEX('Landbrugsareal - resultat'!$R$5:$T$18,,MATCH(E373,'Landbrugsareal - resultat'!$R$4:$T$4,0))))))),IF(D373="Konventionel",IF(C373=2019,SUMPRODUCT((B373='Landbrugsareal - resultat'!$B$32:$B$45)*(INDEX('Landbrugsareal - resultat'!$C$32:$E$45,,MATCH(E373,'Landbrugsareal - resultat'!$C$4:$E$4,0)))),IF(C373=2030,SUMPRODUCT((B373='Landbrugsareal - resultat'!$B$32:$B$45)*(INDEX('Landbrugsareal - resultat'!$F$32:$H$45,,MATCH(E373,'Landbrugsareal - resultat'!$F$4:$H$4,0)))),SUMPRODUCT((B373='Landbrugsareal - resultat'!$B$32:$B$45)*(INDEX('Landbrugsareal - resultat'!$I$32:$K$45,,MATCH(E373,'Landbrugsareal - resultat'!$I$4:$K$4,0)))))),IF(C373=2019,SUMPRODUCT((B373='Landbrugsareal - resultat'!$B$32:$B$45)*(INDEX('Landbrugsareal - resultat'!$L$32:$N$45,,MATCH(E373,'Landbrugsareal - resultat'!$L$4:$N$4,0)))),IF(C373=2030,SUMPRODUCT((B373='Landbrugsareal - resultat'!$B$32:$B$45)*(INDEX('Landbrugsareal - resultat'!$O$32:$Q$45,,MATCH(E373,'Landbrugsareal - resultat'!$O$4:$Q$4,0)))),SUMPRODUCT((B373='Landbrugsareal - resultat'!$B$32:$B$45)*(INDEX('Landbrugsareal - resultat'!$R$32:$T$45,,MATCH(E373,'Landbrugsareal - resultat'!$R$4:$T$4,0))))))))</f>
        <v>88.265009747186056</v>
      </c>
      <c r="H373" s="172">
        <f>G373*VLOOKUP(B373,[1]Afgrødedata!$A$5:$F$18,2,FALSE)*IF(D373="Økologisk",VLOOKUP(B373,[1]Afgrødedata!$A$5:$F$18,4,FALSE),1)*IF(E373&lt;&gt;Jordbund1,IF(E373=Organ6,VLOOKUP(B373,[1]Afgrødedata!$A$5:$F$18,5,FALSE),VLOOKUP(B373,[1]Afgrødedata!$A$5:$F$18,6,FALSE)),1)*0.1</f>
        <v>4714.4107006167014</v>
      </c>
      <c r="I373" s="172">
        <f>G373*VLOOKUP(B373,[1]Afgrødedata!$A$5:$F$18,3,FALSE)*IF(D373="Økologisk",VLOOKUP(B373,[1]Afgrødedata!$A$5:$F$18,4,FALSE),1)*IF(E373&lt;&gt;Jordbund1,IF(E373=Organ6,VLOOKUP(B373,[1]Afgrødedata!$A$5:$F$18,5,FALSE),VLOOKUP(B373,[1]Afgrødedata!$A$5:$F$18,6,FALSE)),1)*HLOOKUP(C373,Landbrug!$C$15:$E$17,2,FALSE)*HLOOKUP(C373,Landbrug!$C$15:$E$17,3,FALSE)*0.1</f>
        <v>0</v>
      </c>
      <c r="J373" s="76">
        <f t="shared" si="60"/>
        <v>4714.4107006167014</v>
      </c>
    </row>
    <row r="374" spans="1:10" x14ac:dyDescent="0.55000000000000004">
      <c r="A374" t="s">
        <v>24</v>
      </c>
      <c r="B374" s="1" t="str">
        <f>[1]Afgrødefordeling!$C$10</f>
        <v>Frugt</v>
      </c>
      <c r="C374">
        <v>2050</v>
      </c>
      <c r="D374" t="s">
        <v>7</v>
      </c>
      <c r="E374" s="172" t="str">
        <f t="shared" si="61"/>
        <v>OC6</v>
      </c>
      <c r="F374" t="str">
        <f t="shared" si="58"/>
        <v>Frugt</v>
      </c>
      <c r="G374" s="76" cm="1">
        <f t="array" ref="G374">IF(A374="Vestdanmark",IF(D374="Konventionel",IF(C374=2019,SUMPRODUCT((B374='Landbrugsareal - resultat'!$B$5:$B$18)*(INDEX('Landbrugsareal - resultat'!$C$5:$E$18,,MATCH(E374,'Landbrugsareal - resultat'!$C$4:$E$4,0)))),IF(C374=2030,SUMPRODUCT((B374='Landbrugsareal - resultat'!$B$5:$B$18)*(INDEX('Landbrugsareal - resultat'!$F$5:$H$18,,MATCH(E374,'Landbrugsareal - resultat'!$F$4:$H$4,0)))),SUMPRODUCT((B374='Landbrugsareal - resultat'!$B$5:$B$18)*(INDEX('Landbrugsareal - resultat'!$I$5:$K$18,,MATCH(E374,'Landbrugsareal - resultat'!$I$4:$K$4,0)))))),IF(C374=2019,SUMPRODUCT((B374='Landbrugsareal - resultat'!$B$5:$B$18)*(INDEX('Landbrugsareal - resultat'!$L$5:$N$18,,MATCH(E374,'Landbrugsareal - resultat'!$L$4:$N$4,0)))),IF(C374=2030,SUMPRODUCT((B374='Landbrugsareal - resultat'!$B$5:$B$18)*(INDEX('Landbrugsareal - resultat'!$O$5:$Q$18,,MATCH(E374,'Landbrugsareal - resultat'!$O$4:$Q$4,0)))),SUMPRODUCT((B374='Landbrugsareal - resultat'!$B$5:$B$18)*(INDEX('Landbrugsareal - resultat'!$R$5:$T$18,,MATCH(E374,'Landbrugsareal - resultat'!$R$4:$T$4,0))))))),IF(D374="Konventionel",IF(C374=2019,SUMPRODUCT((B374='Landbrugsareal - resultat'!$B$32:$B$45)*(INDEX('Landbrugsareal - resultat'!$C$32:$E$45,,MATCH(E374,'Landbrugsareal - resultat'!$C$4:$E$4,0)))),IF(C374=2030,SUMPRODUCT((B374='Landbrugsareal - resultat'!$B$32:$B$45)*(INDEX('Landbrugsareal - resultat'!$F$32:$H$45,,MATCH(E374,'Landbrugsareal - resultat'!$F$4:$H$4,0)))),SUMPRODUCT((B374='Landbrugsareal - resultat'!$B$32:$B$45)*(INDEX('Landbrugsareal - resultat'!$I$32:$K$45,,MATCH(E374,'Landbrugsareal - resultat'!$I$4:$K$4,0)))))),IF(C374=2019,SUMPRODUCT((B374='Landbrugsareal - resultat'!$B$32:$B$45)*(INDEX('Landbrugsareal - resultat'!$L$32:$N$45,,MATCH(E374,'Landbrugsareal - resultat'!$L$4:$N$4,0)))),IF(C374=2030,SUMPRODUCT((B374='Landbrugsareal - resultat'!$B$32:$B$45)*(INDEX('Landbrugsareal - resultat'!$O$32:$Q$45,,MATCH(E374,'Landbrugsareal - resultat'!$O$4:$Q$4,0)))),SUMPRODUCT((B374='Landbrugsareal - resultat'!$B$32:$B$45)*(INDEX('Landbrugsareal - resultat'!$R$32:$T$45,,MATCH(E374,'Landbrugsareal - resultat'!$R$4:$T$4,0))))))))</f>
        <v>19.040577025374667</v>
      </c>
      <c r="H374" s="172">
        <f>G374*VLOOKUP(B374,[1]Afgrødedata!$A$5:$F$18,2,FALSE)*IF(D374="Økologisk",VLOOKUP(B374,[1]Afgrødedata!$A$5:$F$18,4,FALSE),1)*IF(E374&lt;&gt;Jordbund1,IF(E374=Organ6,VLOOKUP(B374,[1]Afgrødedata!$A$5:$F$18,5,FALSE),VLOOKUP(B374,[1]Afgrødedata!$A$5:$F$18,6,FALSE)),1)*0.1</f>
        <v>193.98539873451713</v>
      </c>
      <c r="I374" s="172">
        <f>G374*VLOOKUP(B374,[1]Afgrødedata!$A$5:$F$18,3,FALSE)*IF(D374="Økologisk",VLOOKUP(B374,[1]Afgrødedata!$A$5:$F$18,4,FALSE),1)*IF(E374&lt;&gt;Jordbund1,IF(E374=Organ6,VLOOKUP(B374,[1]Afgrødedata!$A$5:$F$18,5,FALSE),VLOOKUP(B374,[1]Afgrødedata!$A$5:$F$18,6,FALSE)),1)*HLOOKUP(C374,Landbrug!$C$15:$E$17,2,FALSE)*HLOOKUP(C374,Landbrug!$C$15:$E$17,3,FALSE)*0.1</f>
        <v>0</v>
      </c>
      <c r="J374" s="76">
        <f t="shared" si="60"/>
        <v>193.98539873451713</v>
      </c>
    </row>
    <row r="375" spans="1:10" x14ac:dyDescent="0.55000000000000004">
      <c r="A375" t="s">
        <v>24</v>
      </c>
      <c r="B375" s="1" t="str">
        <f>[1]Afgrødefordeling!$C$11</f>
        <v>Øvrige</v>
      </c>
      <c r="C375">
        <v>2050</v>
      </c>
      <c r="D375" t="s">
        <v>7</v>
      </c>
      <c r="E375" s="172" t="str">
        <f t="shared" si="61"/>
        <v>OC6</v>
      </c>
      <c r="F375" t="str">
        <f t="shared" si="58"/>
        <v>Øvrige</v>
      </c>
      <c r="G375" s="76" cm="1">
        <f t="array" ref="G375">IF(A375="Vestdanmark",IF(D375="Konventionel",IF(C375=2019,SUMPRODUCT((B375='Landbrugsareal - resultat'!$B$5:$B$18)*(INDEX('Landbrugsareal - resultat'!$C$5:$E$18,,MATCH(E375,'Landbrugsareal - resultat'!$C$4:$E$4,0)))),IF(C375=2030,SUMPRODUCT((B375='Landbrugsareal - resultat'!$B$5:$B$18)*(INDEX('Landbrugsareal - resultat'!$F$5:$H$18,,MATCH(E375,'Landbrugsareal - resultat'!$F$4:$H$4,0)))),SUMPRODUCT((B375='Landbrugsareal - resultat'!$B$5:$B$18)*(INDEX('Landbrugsareal - resultat'!$I$5:$K$18,,MATCH(E375,'Landbrugsareal - resultat'!$I$4:$K$4,0)))))),IF(C375=2019,SUMPRODUCT((B375='Landbrugsareal - resultat'!$B$5:$B$18)*(INDEX('Landbrugsareal - resultat'!$L$5:$N$18,,MATCH(E375,'Landbrugsareal - resultat'!$L$4:$N$4,0)))),IF(C375=2030,SUMPRODUCT((B375='Landbrugsareal - resultat'!$B$5:$B$18)*(INDEX('Landbrugsareal - resultat'!$O$5:$Q$18,,MATCH(E375,'Landbrugsareal - resultat'!$O$4:$Q$4,0)))),SUMPRODUCT((B375='Landbrugsareal - resultat'!$B$5:$B$18)*(INDEX('Landbrugsareal - resultat'!$R$5:$T$18,,MATCH(E375,'Landbrugsareal - resultat'!$R$4:$T$4,0))))))),IF(D375="Konventionel",IF(C375=2019,SUMPRODUCT((B375='Landbrugsareal - resultat'!$B$32:$B$45)*(INDEX('Landbrugsareal - resultat'!$C$32:$E$45,,MATCH(E375,'Landbrugsareal - resultat'!$C$4:$E$4,0)))),IF(C375=2030,SUMPRODUCT((B375='Landbrugsareal - resultat'!$B$32:$B$45)*(INDEX('Landbrugsareal - resultat'!$F$32:$H$45,,MATCH(E375,'Landbrugsareal - resultat'!$F$4:$H$4,0)))),SUMPRODUCT((B375='Landbrugsareal - resultat'!$B$32:$B$45)*(INDEX('Landbrugsareal - resultat'!$I$32:$K$45,,MATCH(E375,'Landbrugsareal - resultat'!$I$4:$K$4,0)))))),IF(C375=2019,SUMPRODUCT((B375='Landbrugsareal - resultat'!$B$32:$B$45)*(INDEX('Landbrugsareal - resultat'!$L$32:$N$45,,MATCH(E375,'Landbrugsareal - resultat'!$L$4:$N$4,0)))),IF(C375=2030,SUMPRODUCT((B375='Landbrugsareal - resultat'!$B$32:$B$45)*(INDEX('Landbrugsareal - resultat'!$O$32:$Q$45,,MATCH(E375,'Landbrugsareal - resultat'!$O$4:$Q$4,0)))),SUMPRODUCT((B375='Landbrugsareal - resultat'!$B$32:$B$45)*(INDEX('Landbrugsareal - resultat'!$R$32:$T$45,,MATCH(E375,'Landbrugsareal - resultat'!$R$4:$T$4,0))))))))</f>
        <v>135.9589548638036</v>
      </c>
      <c r="H375" s="172">
        <f>G375*VLOOKUP(B375,[1]Afgrødedata!$A$5:$F$18,2,FALSE)*IF(D375="Økologisk",VLOOKUP(B375,[1]Afgrødedata!$A$5:$F$18,4,FALSE),1)*IF(E375&lt;&gt;Jordbund1,IF(E375=Organ6,VLOOKUP(B375,[1]Afgrødedata!$A$5:$F$18,5,FALSE),VLOOKUP(B375,[1]Afgrødedata!$A$5:$F$18,6,FALSE)),1)*0.1</f>
        <v>4861.2304062647327</v>
      </c>
      <c r="I375" s="172">
        <f>G375*VLOOKUP(B375,[1]Afgrødedata!$A$5:$F$18,3,FALSE)*IF(D375="Økologisk",VLOOKUP(B375,[1]Afgrødedata!$A$5:$F$18,4,FALSE),1)*IF(E375&lt;&gt;Jordbund1,IF(E375=Organ6,VLOOKUP(B375,[1]Afgrødedata!$A$5:$F$18,5,FALSE),VLOOKUP(B375,[1]Afgrødedata!$A$5:$F$18,6,FALSE)),1)*HLOOKUP(C375,Landbrug!$C$15:$E$17,2,FALSE)*HLOOKUP(C375,Landbrug!$C$15:$E$17,3,FALSE)*0.1</f>
        <v>0</v>
      </c>
      <c r="J375" s="76">
        <f t="shared" si="60"/>
        <v>4861.2304062647327</v>
      </c>
    </row>
    <row r="376" spans="1:10" x14ac:dyDescent="0.55000000000000004">
      <c r="A376" t="s">
        <v>24</v>
      </c>
      <c r="B376" s="1" t="str">
        <f>[1]Afgrødefordeling!$C$12</f>
        <v>Frø</v>
      </c>
      <c r="C376">
        <v>2050</v>
      </c>
      <c r="D376" t="s">
        <v>7</v>
      </c>
      <c r="E376" s="172" t="str">
        <f t="shared" si="61"/>
        <v>OC6</v>
      </c>
      <c r="F376" t="str">
        <f t="shared" si="58"/>
        <v>Halm</v>
      </c>
      <c r="G376" s="76" cm="1">
        <f t="array" ref="G376">IF(A376="Vestdanmark",IF(D376="Konventionel",IF(C376=2019,SUMPRODUCT((B376='Landbrugsareal - resultat'!$B$5:$B$18)*(INDEX('Landbrugsareal - resultat'!$C$5:$E$18,,MATCH(E376,'Landbrugsareal - resultat'!$C$4:$E$4,0)))),IF(C376=2030,SUMPRODUCT((B376='Landbrugsareal - resultat'!$B$5:$B$18)*(INDEX('Landbrugsareal - resultat'!$F$5:$H$18,,MATCH(E376,'Landbrugsareal - resultat'!$F$4:$H$4,0)))),SUMPRODUCT((B376='Landbrugsareal - resultat'!$B$5:$B$18)*(INDEX('Landbrugsareal - resultat'!$I$5:$K$18,,MATCH(E376,'Landbrugsareal - resultat'!$I$4:$K$4,0)))))),IF(C376=2019,SUMPRODUCT((B376='Landbrugsareal - resultat'!$B$5:$B$18)*(INDEX('Landbrugsareal - resultat'!$L$5:$N$18,,MATCH(E376,'Landbrugsareal - resultat'!$L$4:$N$4,0)))),IF(C376=2030,SUMPRODUCT((B376='Landbrugsareal - resultat'!$B$5:$B$18)*(INDEX('Landbrugsareal - resultat'!$O$5:$Q$18,,MATCH(E376,'Landbrugsareal - resultat'!$O$4:$Q$4,0)))),SUMPRODUCT((B376='Landbrugsareal - resultat'!$B$5:$B$18)*(INDEX('Landbrugsareal - resultat'!$R$5:$T$18,,MATCH(E376,'Landbrugsareal - resultat'!$R$4:$T$4,0))))))),IF(D376="Konventionel",IF(C376=2019,SUMPRODUCT((B376='Landbrugsareal - resultat'!$B$32:$B$45)*(INDEX('Landbrugsareal - resultat'!$C$32:$E$45,,MATCH(E376,'Landbrugsareal - resultat'!$C$4:$E$4,0)))),IF(C376=2030,SUMPRODUCT((B376='Landbrugsareal - resultat'!$B$32:$B$45)*(INDEX('Landbrugsareal - resultat'!$F$32:$H$45,,MATCH(E376,'Landbrugsareal - resultat'!$F$4:$H$4,0)))),SUMPRODUCT((B376='Landbrugsareal - resultat'!$B$32:$B$45)*(INDEX('Landbrugsareal - resultat'!$I$32:$K$45,,MATCH(E376,'Landbrugsareal - resultat'!$I$4:$K$4,0)))))),IF(C376=2019,SUMPRODUCT((B376='Landbrugsareal - resultat'!$B$32:$B$45)*(INDEX('Landbrugsareal - resultat'!$L$32:$N$45,,MATCH(E376,'Landbrugsareal - resultat'!$L$4:$N$4,0)))),IF(C376=2030,SUMPRODUCT((B376='Landbrugsareal - resultat'!$B$32:$B$45)*(INDEX('Landbrugsareal - resultat'!$O$32:$Q$45,,MATCH(E376,'Landbrugsareal - resultat'!$O$4:$Q$4,0)))),SUMPRODUCT((B376='Landbrugsareal - resultat'!$B$32:$B$45)*(INDEX('Landbrugsareal - resultat'!$R$32:$T$45,,MATCH(E376,'Landbrugsareal - resultat'!$R$4:$T$4,0))))))))</f>
        <v>987.0555648996924</v>
      </c>
      <c r="H376" s="172">
        <f>G376*VLOOKUP(B376,[1]Afgrødedata!$A$5:$F$18,2,FALSE)*IF(D376="Økologisk",VLOOKUP(B376,[1]Afgrødedata!$A$5:$F$18,4,FALSE),1)*IF(E376&lt;&gt;Jordbund1,IF(E376=Organ6,VLOOKUP(B376,[1]Afgrødedata!$A$5:$F$18,5,FALSE),VLOOKUP(B376,[1]Afgrødedata!$A$5:$F$18,6,FALSE)),1)*0.1</f>
        <v>16924.679434482088</v>
      </c>
      <c r="I376" s="172">
        <f>G376*VLOOKUP(B376,[1]Afgrødedata!$A$5:$F$18,3,FALSE)*IF(D376="Økologisk",VLOOKUP(B376,[1]Afgrødedata!$A$5:$F$18,4,FALSE),1)*IF(E376&lt;&gt;Jordbund1,IF(E376=Organ6,VLOOKUP(B376,[1]Afgrødedata!$A$5:$F$18,5,FALSE),VLOOKUP(B376,[1]Afgrødedata!$A$5:$F$18,6,FALSE)),1)*HLOOKUP(C376,Landbrug!$C$15:$E$17,2,FALSE)*HLOOKUP(C376,Landbrug!$C$15:$E$17,3,FALSE)*0.1</f>
        <v>2795.3413597959288</v>
      </c>
      <c r="J376" s="76">
        <f t="shared" si="60"/>
        <v>2795.3413597959288</v>
      </c>
    </row>
    <row r="377" spans="1:10" x14ac:dyDescent="0.55000000000000004">
      <c r="A377" t="s">
        <v>24</v>
      </c>
      <c r="B377" s="1" t="str">
        <f>[1]Afgrødefordeling!$C$13</f>
        <v>Juletræer</v>
      </c>
      <c r="C377">
        <v>2050</v>
      </c>
      <c r="D377" t="s">
        <v>7</v>
      </c>
      <c r="E377" s="172" t="str">
        <f t="shared" si="61"/>
        <v>OC6</v>
      </c>
      <c r="F377" t="str">
        <f t="shared" si="58"/>
        <v>Juletræer</v>
      </c>
      <c r="G377" s="76" cm="1">
        <f t="array" ref="G377">IF(A377="Vestdanmark",IF(D377="Konventionel",IF(C377=2019,SUMPRODUCT((B377='Landbrugsareal - resultat'!$B$5:$B$18)*(INDEX('Landbrugsareal - resultat'!$C$5:$E$18,,MATCH(E377,'Landbrugsareal - resultat'!$C$4:$E$4,0)))),IF(C377=2030,SUMPRODUCT((B377='Landbrugsareal - resultat'!$B$5:$B$18)*(INDEX('Landbrugsareal - resultat'!$F$5:$H$18,,MATCH(E377,'Landbrugsareal - resultat'!$F$4:$H$4,0)))),SUMPRODUCT((B377='Landbrugsareal - resultat'!$B$5:$B$18)*(INDEX('Landbrugsareal - resultat'!$I$5:$K$18,,MATCH(E377,'Landbrugsareal - resultat'!$I$4:$K$4,0)))))),IF(C377=2019,SUMPRODUCT((B377='Landbrugsareal - resultat'!$B$5:$B$18)*(INDEX('Landbrugsareal - resultat'!$L$5:$N$18,,MATCH(E377,'Landbrugsareal - resultat'!$L$4:$N$4,0)))),IF(C377=2030,SUMPRODUCT((B377='Landbrugsareal - resultat'!$B$5:$B$18)*(INDEX('Landbrugsareal - resultat'!$O$5:$Q$18,,MATCH(E377,'Landbrugsareal - resultat'!$O$4:$Q$4,0)))),SUMPRODUCT((B377='Landbrugsareal - resultat'!$B$5:$B$18)*(INDEX('Landbrugsareal - resultat'!$R$5:$T$18,,MATCH(E377,'Landbrugsareal - resultat'!$R$4:$T$4,0))))))),IF(D377="Konventionel",IF(C377=2019,SUMPRODUCT((B377='Landbrugsareal - resultat'!$B$32:$B$45)*(INDEX('Landbrugsareal - resultat'!$C$32:$E$45,,MATCH(E377,'Landbrugsareal - resultat'!$C$4:$E$4,0)))),IF(C377=2030,SUMPRODUCT((B377='Landbrugsareal - resultat'!$B$32:$B$45)*(INDEX('Landbrugsareal - resultat'!$F$32:$H$45,,MATCH(E377,'Landbrugsareal - resultat'!$F$4:$H$4,0)))),SUMPRODUCT((B377='Landbrugsareal - resultat'!$B$32:$B$45)*(INDEX('Landbrugsareal - resultat'!$I$32:$K$45,,MATCH(E377,'Landbrugsareal - resultat'!$I$4:$K$4,0)))))),IF(C377=2019,SUMPRODUCT((B377='Landbrugsareal - resultat'!$B$32:$B$45)*(INDEX('Landbrugsareal - resultat'!$L$32:$N$45,,MATCH(E377,'Landbrugsareal - resultat'!$L$4:$N$4,0)))),IF(C377=2030,SUMPRODUCT((B377='Landbrugsareal - resultat'!$B$32:$B$45)*(INDEX('Landbrugsareal - resultat'!$O$32:$Q$45,,MATCH(E377,'Landbrugsareal - resultat'!$O$4:$Q$4,0)))),SUMPRODUCT((B377='Landbrugsareal - resultat'!$B$32:$B$45)*(INDEX('Landbrugsareal - resultat'!$R$32:$T$45,,MATCH(E377,'Landbrugsareal - resultat'!$R$4:$T$4,0))))))))</f>
        <v>29.836475845762994</v>
      </c>
      <c r="H377" s="172">
        <f>G377*VLOOKUP(B377,[1]Afgrødedata!$A$5:$F$18,2,FALSE)*IF(D377="Økologisk",VLOOKUP(B377,[1]Afgrødedata!$A$5:$F$18,4,FALSE),1)*IF(E377&lt;&gt;Jordbund1,IF(E377=Organ6,VLOOKUP(B377,[1]Afgrødedata!$A$5:$F$18,5,FALSE),VLOOKUP(B377,[1]Afgrødedata!$A$5:$F$18,6,FALSE)),1)*0.1</f>
        <v>1790.1885507457796</v>
      </c>
      <c r="I377" s="172">
        <f>G377*VLOOKUP(B377,[1]Afgrødedata!$A$5:$F$18,3,FALSE)*IF(D377="Økologisk",VLOOKUP(B377,[1]Afgrødedata!$A$5:$F$18,4,FALSE),1)*IF(E377&lt;&gt;Jordbund1,IF(E377=Organ6,VLOOKUP(B377,[1]Afgrødedata!$A$5:$F$18,5,FALSE),VLOOKUP(B377,[1]Afgrødedata!$A$5:$F$18,6,FALSE)),1)*HLOOKUP(C377,Landbrug!$C$15:$E$17,2,FALSE)*HLOOKUP(C377,Landbrug!$C$15:$E$17,3,FALSE)*0.1</f>
        <v>0</v>
      </c>
      <c r="J377" s="76">
        <f t="shared" si="60"/>
        <v>1790.1885507457796</v>
      </c>
    </row>
    <row r="378" spans="1:10" x14ac:dyDescent="0.55000000000000004">
      <c r="A378" t="s">
        <v>24</v>
      </c>
      <c r="B378" s="1" t="str">
        <f>[1]Afgrødefordeling!$C$14</f>
        <v>Pil &amp; poppel</v>
      </c>
      <c r="C378">
        <v>2050</v>
      </c>
      <c r="D378" t="s">
        <v>7</v>
      </c>
      <c r="E378" s="172" t="str">
        <f t="shared" si="61"/>
        <v>OC6</v>
      </c>
      <c r="F378" t="str">
        <f t="shared" si="58"/>
        <v>Pil &amp; poppel</v>
      </c>
      <c r="G378" s="76" cm="1">
        <f t="array" ref="G378">IF(A378="Vestdanmark",IF(D378="Konventionel",IF(C378=2019,SUMPRODUCT((B378='Landbrugsareal - resultat'!$B$5:$B$18)*(INDEX('Landbrugsareal - resultat'!$C$5:$E$18,,MATCH(E378,'Landbrugsareal - resultat'!$C$4:$E$4,0)))),IF(C378=2030,SUMPRODUCT((B378='Landbrugsareal - resultat'!$B$5:$B$18)*(INDEX('Landbrugsareal - resultat'!$F$5:$H$18,,MATCH(E378,'Landbrugsareal - resultat'!$F$4:$H$4,0)))),SUMPRODUCT((B378='Landbrugsareal - resultat'!$B$5:$B$18)*(INDEX('Landbrugsareal - resultat'!$I$5:$K$18,,MATCH(E378,'Landbrugsareal - resultat'!$I$4:$K$4,0)))))),IF(C378=2019,SUMPRODUCT((B378='Landbrugsareal - resultat'!$B$5:$B$18)*(INDEX('Landbrugsareal - resultat'!$L$5:$N$18,,MATCH(E378,'Landbrugsareal - resultat'!$L$4:$N$4,0)))),IF(C378=2030,SUMPRODUCT((B378='Landbrugsareal - resultat'!$B$5:$B$18)*(INDEX('Landbrugsareal - resultat'!$O$5:$Q$18,,MATCH(E378,'Landbrugsareal - resultat'!$O$4:$Q$4,0)))),SUMPRODUCT((B378='Landbrugsareal - resultat'!$B$5:$B$18)*(INDEX('Landbrugsareal - resultat'!$R$5:$T$18,,MATCH(E378,'Landbrugsareal - resultat'!$R$4:$T$4,0))))))),IF(D378="Konventionel",IF(C378=2019,SUMPRODUCT((B378='Landbrugsareal - resultat'!$B$32:$B$45)*(INDEX('Landbrugsareal - resultat'!$C$32:$E$45,,MATCH(E378,'Landbrugsareal - resultat'!$C$4:$E$4,0)))),IF(C378=2030,SUMPRODUCT((B378='Landbrugsareal - resultat'!$B$32:$B$45)*(INDEX('Landbrugsareal - resultat'!$F$32:$H$45,,MATCH(E378,'Landbrugsareal - resultat'!$F$4:$H$4,0)))),SUMPRODUCT((B378='Landbrugsareal - resultat'!$B$32:$B$45)*(INDEX('Landbrugsareal - resultat'!$I$32:$K$45,,MATCH(E378,'Landbrugsareal - resultat'!$I$4:$K$4,0)))))),IF(C378=2019,SUMPRODUCT((B378='Landbrugsareal - resultat'!$B$32:$B$45)*(INDEX('Landbrugsareal - resultat'!$L$32:$N$45,,MATCH(E378,'Landbrugsareal - resultat'!$L$4:$N$4,0)))),IF(C378=2030,SUMPRODUCT((B378='Landbrugsareal - resultat'!$B$32:$B$45)*(INDEX('Landbrugsareal - resultat'!$O$32:$Q$45,,MATCH(E378,'Landbrugsareal - resultat'!$O$4:$Q$4,0)))),SUMPRODUCT((B378='Landbrugsareal - resultat'!$B$32:$B$45)*(INDEX('Landbrugsareal - resultat'!$R$32:$T$45,,MATCH(E378,'Landbrugsareal - resultat'!$R$4:$T$4,0))))))))</f>
        <v>63.324145367128274</v>
      </c>
      <c r="H378" s="172">
        <f>G378*VLOOKUP(B378,[1]Afgrødedata!$A$5:$F$18,2,FALSE)*IF(D378="Økologisk",VLOOKUP(B378,[1]Afgrødedata!$A$5:$F$18,4,FALSE),1)*IF(E378&lt;&gt;Jordbund1,IF(E378=Organ6,VLOOKUP(B378,[1]Afgrødedata!$A$5:$F$18,5,FALSE),VLOOKUP(B378,[1]Afgrødedata!$A$5:$F$18,6,FALSE)),1)*0.1</f>
        <v>1853.3896205013152</v>
      </c>
      <c r="I378" s="172">
        <f>G378*VLOOKUP(B378,[1]Afgrødedata!$A$5:$F$18,3,FALSE)*IF(D378="Økologisk",VLOOKUP(B378,[1]Afgrødedata!$A$5:$F$18,4,FALSE),1)*IF(E378&lt;&gt;Jordbund1,IF(E378=Organ6,VLOOKUP(B378,[1]Afgrødedata!$A$5:$F$18,5,FALSE),VLOOKUP(B378,[1]Afgrødedata!$A$5:$F$18,6,FALSE)),1)*HLOOKUP(C378,Landbrug!$C$15:$E$17,2,FALSE)*HLOOKUP(C378,Landbrug!$C$15:$E$17,3,FALSE)*0.1</f>
        <v>0</v>
      </c>
      <c r="J378" s="76">
        <f t="shared" si="60"/>
        <v>1853.3896205013152</v>
      </c>
    </row>
    <row r="379" spans="1:10" x14ac:dyDescent="0.55000000000000004">
      <c r="A379" t="s">
        <v>24</v>
      </c>
      <c r="B379" s="1" t="str">
        <f>[1]Afgrødefordeling!$C$15</f>
        <v>Permanent græs</v>
      </c>
      <c r="C379">
        <v>2050</v>
      </c>
      <c r="D379" t="s">
        <v>7</v>
      </c>
      <c r="E379" s="172" t="str">
        <f t="shared" si="61"/>
        <v>OC6</v>
      </c>
      <c r="F379" t="str">
        <f t="shared" si="58"/>
        <v>Græs</v>
      </c>
      <c r="G379" s="76" cm="1">
        <f t="array" ref="G379">IF(A379="Vestdanmark",IF(D379="Konventionel",IF(C379=2019,SUMPRODUCT((B379='Landbrugsareal - resultat'!$B$5:$B$18)*(INDEX('Landbrugsareal - resultat'!$C$5:$E$18,,MATCH(E379,'Landbrugsareal - resultat'!$C$4:$E$4,0)))),IF(C379=2030,SUMPRODUCT((B379='Landbrugsareal - resultat'!$B$5:$B$18)*(INDEX('Landbrugsareal - resultat'!$F$5:$H$18,,MATCH(E379,'Landbrugsareal - resultat'!$F$4:$H$4,0)))),SUMPRODUCT((B379='Landbrugsareal - resultat'!$B$5:$B$18)*(INDEX('Landbrugsareal - resultat'!$I$5:$K$18,,MATCH(E379,'Landbrugsareal - resultat'!$I$4:$K$4,0)))))),IF(C379=2019,SUMPRODUCT((B379='Landbrugsareal - resultat'!$B$5:$B$18)*(INDEX('Landbrugsareal - resultat'!$L$5:$N$18,,MATCH(E379,'Landbrugsareal - resultat'!$L$4:$N$4,0)))),IF(C379=2030,SUMPRODUCT((B379='Landbrugsareal - resultat'!$B$5:$B$18)*(INDEX('Landbrugsareal - resultat'!$O$5:$Q$18,,MATCH(E379,'Landbrugsareal - resultat'!$O$4:$Q$4,0)))),SUMPRODUCT((B379='Landbrugsareal - resultat'!$B$5:$B$18)*(INDEX('Landbrugsareal - resultat'!$R$5:$T$18,,MATCH(E379,'Landbrugsareal - resultat'!$R$4:$T$4,0))))))),IF(D379="Konventionel",IF(C379=2019,SUMPRODUCT((B379='Landbrugsareal - resultat'!$B$32:$B$45)*(INDEX('Landbrugsareal - resultat'!$C$32:$E$45,,MATCH(E379,'Landbrugsareal - resultat'!$C$4:$E$4,0)))),IF(C379=2030,SUMPRODUCT((B379='Landbrugsareal - resultat'!$B$32:$B$45)*(INDEX('Landbrugsareal - resultat'!$F$32:$H$45,,MATCH(E379,'Landbrugsareal - resultat'!$F$4:$H$4,0)))),SUMPRODUCT((B379='Landbrugsareal - resultat'!$B$32:$B$45)*(INDEX('Landbrugsareal - resultat'!$I$32:$K$45,,MATCH(E379,'Landbrugsareal - resultat'!$I$4:$K$4,0)))))),IF(C379=2019,SUMPRODUCT((B379='Landbrugsareal - resultat'!$B$32:$B$45)*(INDEX('Landbrugsareal - resultat'!$L$32:$N$45,,MATCH(E379,'Landbrugsareal - resultat'!$L$4:$N$4,0)))),IF(C379=2030,SUMPRODUCT((B379='Landbrugsareal - resultat'!$B$32:$B$45)*(INDEX('Landbrugsareal - resultat'!$O$32:$Q$45,,MATCH(E379,'Landbrugsareal - resultat'!$O$4:$Q$4,0)))),SUMPRODUCT((B379='Landbrugsareal - resultat'!$B$32:$B$45)*(INDEX('Landbrugsareal - resultat'!$R$32:$T$45,,MATCH(E379,'Landbrugsareal - resultat'!$R$4:$T$4,0))))))))</f>
        <v>1835.2260780031424</v>
      </c>
      <c r="H379" s="172">
        <f>G379*VLOOKUP(B379,[1]Afgrødedata!$A$5:$F$18,2,FALSE)*IF(D379="Økologisk",VLOOKUP(B379,[1]Afgrødedata!$A$5:$F$18,4,FALSE),1)*IF(E379&lt;&gt;Jordbund1,IF(E379=Organ6,VLOOKUP(B379,[1]Afgrødedata!$A$5:$F$18,5,FALSE),VLOOKUP(B379,[1]Afgrødedata!$A$5:$F$18,6,FALSE)),1)*0.1</f>
        <v>30369.321138796004</v>
      </c>
      <c r="I379" s="172">
        <f>G379*VLOOKUP(B379,[1]Afgrødedata!$A$5:$F$18,3,FALSE)*IF(D379="Økologisk",VLOOKUP(B379,[1]Afgrødedata!$A$5:$F$18,4,FALSE),1)*IF(E379&lt;&gt;Jordbund1,IF(E379=Organ6,VLOOKUP(B379,[1]Afgrødedata!$A$5:$F$18,5,FALSE),VLOOKUP(B379,[1]Afgrødedata!$A$5:$F$18,6,FALSE)),1)*HLOOKUP(C379,Landbrug!$C$15:$E$17,2,FALSE)*HLOOKUP(C379,Landbrug!$C$15:$E$17,3,FALSE)*0.1</f>
        <v>0</v>
      </c>
      <c r="J379" s="76">
        <f t="shared" si="60"/>
        <v>30369.321138796004</v>
      </c>
    </row>
    <row r="380" spans="1:10" x14ac:dyDescent="0.55000000000000004">
      <c r="A380" t="s">
        <v>24</v>
      </c>
      <c r="B380" s="1" t="str">
        <f>[1]Afgrødefordeling!$C$2</f>
        <v>Korn</v>
      </c>
      <c r="C380">
        <v>2019</v>
      </c>
      <c r="D380" t="s">
        <v>8</v>
      </c>
      <c r="E380" s="172" t="str">
        <f t="shared" si="61"/>
        <v>OC6</v>
      </c>
      <c r="F380" t="str">
        <f t="shared" si="58"/>
        <v>Halm</v>
      </c>
      <c r="G380" s="76" cm="1">
        <f t="array" ref="G380">IF(A380="Vestdanmark",IF(D380="Konventionel",IF(C380=2019,SUMPRODUCT((B380='Landbrugsareal - resultat'!$B$5:$B$18)*(INDEX('Landbrugsareal - resultat'!$C$5:$E$18,,MATCH(E380,'Landbrugsareal - resultat'!$C$4:$E$4,0)))),IF(C380=2030,SUMPRODUCT((B380='Landbrugsareal - resultat'!$B$5:$B$18)*(INDEX('Landbrugsareal - resultat'!$F$5:$H$18,,MATCH(E380,'Landbrugsareal - resultat'!$F$4:$H$4,0)))),SUMPRODUCT((B380='Landbrugsareal - resultat'!$B$5:$B$18)*(INDEX('Landbrugsareal - resultat'!$I$5:$K$18,,MATCH(E380,'Landbrugsareal - resultat'!$I$4:$K$4,0)))))),IF(C380=2019,SUMPRODUCT((B380='Landbrugsareal - resultat'!$B$5:$B$18)*(INDEX('Landbrugsareal - resultat'!$L$5:$N$18,,MATCH(E380,'Landbrugsareal - resultat'!$L$4:$N$4,0)))),IF(C380=2030,SUMPRODUCT((B380='Landbrugsareal - resultat'!$B$5:$B$18)*(INDEX('Landbrugsareal - resultat'!$O$5:$Q$18,,MATCH(E380,'Landbrugsareal - resultat'!$O$4:$Q$4,0)))),SUMPRODUCT((B380='Landbrugsareal - resultat'!$B$5:$B$18)*(INDEX('Landbrugsareal - resultat'!$R$5:$T$18,,MATCH(E380,'Landbrugsareal - resultat'!$R$4:$T$4,0))))))),IF(D380="Konventionel",IF(C380=2019,SUMPRODUCT((B380='Landbrugsareal - resultat'!$B$32:$B$45)*(INDEX('Landbrugsareal - resultat'!$C$32:$E$45,,MATCH(E380,'Landbrugsareal - resultat'!$C$4:$E$4,0)))),IF(C380=2030,SUMPRODUCT((B380='Landbrugsareal - resultat'!$B$32:$B$45)*(INDEX('Landbrugsareal - resultat'!$F$32:$H$45,,MATCH(E380,'Landbrugsareal - resultat'!$F$4:$H$4,0)))),SUMPRODUCT((B380='Landbrugsareal - resultat'!$B$32:$B$45)*(INDEX('Landbrugsareal - resultat'!$I$32:$K$45,,MATCH(E380,'Landbrugsareal - resultat'!$I$4:$K$4,0)))))),IF(C380=2019,SUMPRODUCT((B380='Landbrugsareal - resultat'!$B$32:$B$45)*(INDEX('Landbrugsareal - resultat'!$L$32:$N$45,,MATCH(E380,'Landbrugsareal - resultat'!$L$4:$N$4,0)))),IF(C380=2030,SUMPRODUCT((B380='Landbrugsareal - resultat'!$B$32:$B$45)*(INDEX('Landbrugsareal - resultat'!$O$32:$Q$45,,MATCH(E380,'Landbrugsareal - resultat'!$O$4:$Q$4,0)))),SUMPRODUCT((B380='Landbrugsareal - resultat'!$B$32:$B$45)*(INDEX('Landbrugsareal - resultat'!$R$32:$T$45,,MATCH(E380,'Landbrugsareal - resultat'!$R$4:$T$4,0))))))))</f>
        <v>424.7131637222576</v>
      </c>
      <c r="H380" s="172">
        <f>G380*VLOOKUP(B380,[1]Afgrødedata!$A$5:$F$18,2,FALSE)*IF(D380="Økologisk",VLOOKUP(B380,[1]Afgrødedata!$A$5:$F$18,4,FALSE),1)*IF(E380&lt;&gt;Jordbund1,IF(E380=Organ6,VLOOKUP(B380,[1]Afgrødedata!$A$5:$F$18,5,FALSE),VLOOKUP(B380,[1]Afgrødedata!$A$5:$F$18,6,FALSE)),1)*0.1</f>
        <v>2393.7003792651931</v>
      </c>
      <c r="I380" s="172">
        <f>G380*VLOOKUP(B380,[1]Afgrødedata!$A$5:$F$18,3,FALSE)*IF(D380="Økologisk",VLOOKUP(B380,[1]Afgrødedata!$A$5:$F$18,4,FALSE),1)*IF(E380&lt;&gt;Jordbund1,IF(E380=Organ6,VLOOKUP(B380,[1]Afgrødedata!$A$5:$F$18,5,FALSE),VLOOKUP(B380,[1]Afgrødedata!$A$5:$F$18,6,FALSE)),1)*HLOOKUP(C380,Landbrug!$C$15:$E$17,2,FALSE)*HLOOKUP(C380,Landbrug!$C$15:$E$17,3,FALSE)*0.1</f>
        <v>781.29781954121086</v>
      </c>
      <c r="J380" s="76">
        <f t="shared" si="60"/>
        <v>781.29781954121086</v>
      </c>
    </row>
    <row r="381" spans="1:10" x14ac:dyDescent="0.55000000000000004">
      <c r="A381" t="s">
        <v>24</v>
      </c>
      <c r="B381" s="1" t="str">
        <f>[1]Afgrødefordeling!$C$3</f>
        <v>Bælgsæd</v>
      </c>
      <c r="C381">
        <v>2019</v>
      </c>
      <c r="D381" t="s">
        <v>8</v>
      </c>
      <c r="E381" s="172" t="str">
        <f t="shared" si="61"/>
        <v>OC6</v>
      </c>
      <c r="F381" t="str">
        <f t="shared" si="58"/>
        <v>Halm</v>
      </c>
      <c r="G381" s="76" cm="1">
        <f t="array" ref="G381">IF(A381="Vestdanmark",IF(D381="Konventionel",IF(C381=2019,SUMPRODUCT((B381='Landbrugsareal - resultat'!$B$5:$B$18)*(INDEX('Landbrugsareal - resultat'!$C$5:$E$18,,MATCH(E381,'Landbrugsareal - resultat'!$C$4:$E$4,0)))),IF(C381=2030,SUMPRODUCT((B381='Landbrugsareal - resultat'!$B$5:$B$18)*(INDEX('Landbrugsareal - resultat'!$F$5:$H$18,,MATCH(E381,'Landbrugsareal - resultat'!$F$4:$H$4,0)))),SUMPRODUCT((B381='Landbrugsareal - resultat'!$B$5:$B$18)*(INDEX('Landbrugsareal - resultat'!$I$5:$K$18,,MATCH(E381,'Landbrugsareal - resultat'!$I$4:$K$4,0)))))),IF(C381=2019,SUMPRODUCT((B381='Landbrugsareal - resultat'!$B$5:$B$18)*(INDEX('Landbrugsareal - resultat'!$L$5:$N$18,,MATCH(E381,'Landbrugsareal - resultat'!$L$4:$N$4,0)))),IF(C381=2030,SUMPRODUCT((B381='Landbrugsareal - resultat'!$B$5:$B$18)*(INDEX('Landbrugsareal - resultat'!$O$5:$Q$18,,MATCH(E381,'Landbrugsareal - resultat'!$O$4:$Q$4,0)))),SUMPRODUCT((B381='Landbrugsareal - resultat'!$B$5:$B$18)*(INDEX('Landbrugsareal - resultat'!$R$5:$T$18,,MATCH(E381,'Landbrugsareal - resultat'!$R$4:$T$4,0))))))),IF(D381="Konventionel",IF(C381=2019,SUMPRODUCT((B381='Landbrugsareal - resultat'!$B$32:$B$45)*(INDEX('Landbrugsareal - resultat'!$C$32:$E$45,,MATCH(E381,'Landbrugsareal - resultat'!$C$4:$E$4,0)))),IF(C381=2030,SUMPRODUCT((B381='Landbrugsareal - resultat'!$B$32:$B$45)*(INDEX('Landbrugsareal - resultat'!$F$32:$H$45,,MATCH(E381,'Landbrugsareal - resultat'!$F$4:$H$4,0)))),SUMPRODUCT((B381='Landbrugsareal - resultat'!$B$32:$B$45)*(INDEX('Landbrugsareal - resultat'!$I$32:$K$45,,MATCH(E381,'Landbrugsareal - resultat'!$I$4:$K$4,0)))))),IF(C381=2019,SUMPRODUCT((B381='Landbrugsareal - resultat'!$B$32:$B$45)*(INDEX('Landbrugsareal - resultat'!$L$32:$N$45,,MATCH(E381,'Landbrugsareal - resultat'!$L$4:$N$4,0)))),IF(C381=2030,SUMPRODUCT((B381='Landbrugsareal - resultat'!$B$32:$B$45)*(INDEX('Landbrugsareal - resultat'!$O$32:$Q$45,,MATCH(E381,'Landbrugsareal - resultat'!$O$4:$Q$4,0)))),SUMPRODUCT((B381='Landbrugsareal - resultat'!$B$32:$B$45)*(INDEX('Landbrugsareal - resultat'!$R$32:$T$45,,MATCH(E381,'Landbrugsareal - resultat'!$R$4:$T$4,0))))))))</f>
        <v>11.484922843296186</v>
      </c>
      <c r="H381" s="172">
        <f>G381*VLOOKUP(B381,[1]Afgrødedata!$A$5:$F$18,2,FALSE)*IF(D381="Økologisk",VLOOKUP(B381,[1]Afgrødedata!$A$5:$F$18,4,FALSE),1)*IF(E381&lt;&gt;Jordbund1,IF(E381=Organ6,VLOOKUP(B381,[1]Afgrødedata!$A$5:$F$18,5,FALSE),VLOOKUP(B381,[1]Afgrødedata!$A$5:$F$18,6,FALSE)),1)*0.1</f>
        <v>30.322952687784319</v>
      </c>
      <c r="I381" s="172">
        <f>G381*VLOOKUP(B381,[1]Afgrødedata!$A$5:$F$18,3,FALSE)*IF(D381="Økologisk",VLOOKUP(B381,[1]Afgrødedata!$A$5:$F$18,4,FALSE),1)*IF(E381&lt;&gt;Jordbund1,IF(E381=Organ6,VLOOKUP(B381,[1]Afgrødedata!$A$5:$F$18,5,FALSE),VLOOKUP(B381,[1]Afgrødedata!$A$5:$F$18,6,FALSE)),1)*HLOOKUP(C381,Landbrug!$C$15:$E$17,2,FALSE)*HLOOKUP(C381,Landbrug!$C$15:$E$17,3,FALSE)*0.1</f>
        <v>9.0022400938663694</v>
      </c>
      <c r="J381" s="76">
        <f t="shared" si="60"/>
        <v>9.0022400938663694</v>
      </c>
    </row>
    <row r="382" spans="1:10" x14ac:dyDescent="0.55000000000000004">
      <c r="A382" t="s">
        <v>24</v>
      </c>
      <c r="B382" s="1" t="str">
        <f>[1]Afgrødefordeling!$C$4</f>
        <v>Raps</v>
      </c>
      <c r="C382">
        <v>2019</v>
      </c>
      <c r="D382" t="s">
        <v>8</v>
      </c>
      <c r="E382" s="172" t="str">
        <f t="shared" si="61"/>
        <v>OC6</v>
      </c>
      <c r="F382" t="str">
        <f t="shared" si="58"/>
        <v>Halm</v>
      </c>
      <c r="G382" s="76" cm="1">
        <f t="array" ref="G382">IF(A382="Vestdanmark",IF(D382="Konventionel",IF(C382=2019,SUMPRODUCT((B382='Landbrugsareal - resultat'!$B$5:$B$18)*(INDEX('Landbrugsareal - resultat'!$C$5:$E$18,,MATCH(E382,'Landbrugsareal - resultat'!$C$4:$E$4,0)))),IF(C382=2030,SUMPRODUCT((B382='Landbrugsareal - resultat'!$B$5:$B$18)*(INDEX('Landbrugsareal - resultat'!$F$5:$H$18,,MATCH(E382,'Landbrugsareal - resultat'!$F$4:$H$4,0)))),SUMPRODUCT((B382='Landbrugsareal - resultat'!$B$5:$B$18)*(INDEX('Landbrugsareal - resultat'!$I$5:$K$18,,MATCH(E382,'Landbrugsareal - resultat'!$I$4:$K$4,0)))))),IF(C382=2019,SUMPRODUCT((B382='Landbrugsareal - resultat'!$B$5:$B$18)*(INDEX('Landbrugsareal - resultat'!$L$5:$N$18,,MATCH(E382,'Landbrugsareal - resultat'!$L$4:$N$4,0)))),IF(C382=2030,SUMPRODUCT((B382='Landbrugsareal - resultat'!$B$5:$B$18)*(INDEX('Landbrugsareal - resultat'!$O$5:$Q$18,,MATCH(E382,'Landbrugsareal - resultat'!$O$4:$Q$4,0)))),SUMPRODUCT((B382='Landbrugsareal - resultat'!$B$5:$B$18)*(INDEX('Landbrugsareal - resultat'!$R$5:$T$18,,MATCH(E382,'Landbrugsareal - resultat'!$R$4:$T$4,0))))))),IF(D382="Konventionel",IF(C382=2019,SUMPRODUCT((B382='Landbrugsareal - resultat'!$B$32:$B$45)*(INDEX('Landbrugsareal - resultat'!$C$32:$E$45,,MATCH(E382,'Landbrugsareal - resultat'!$C$4:$E$4,0)))),IF(C382=2030,SUMPRODUCT((B382='Landbrugsareal - resultat'!$B$32:$B$45)*(INDEX('Landbrugsareal - resultat'!$F$32:$H$45,,MATCH(E382,'Landbrugsareal - resultat'!$F$4:$H$4,0)))),SUMPRODUCT((B382='Landbrugsareal - resultat'!$B$32:$B$45)*(INDEX('Landbrugsareal - resultat'!$I$32:$K$45,,MATCH(E382,'Landbrugsareal - resultat'!$I$4:$K$4,0)))))),IF(C382=2019,SUMPRODUCT((B382='Landbrugsareal - resultat'!$B$32:$B$45)*(INDEX('Landbrugsareal - resultat'!$L$32:$N$45,,MATCH(E382,'Landbrugsareal - resultat'!$L$4:$N$4,0)))),IF(C382=2030,SUMPRODUCT((B382='Landbrugsareal - resultat'!$B$32:$B$45)*(INDEX('Landbrugsareal - resultat'!$O$32:$Q$45,,MATCH(E382,'Landbrugsareal - resultat'!$O$4:$Q$4,0)))),SUMPRODUCT((B382='Landbrugsareal - resultat'!$B$32:$B$45)*(INDEX('Landbrugsareal - resultat'!$R$32:$T$45,,MATCH(E382,'Landbrugsareal - resultat'!$R$4:$T$4,0))))))))</f>
        <v>46.389397462214085</v>
      </c>
      <c r="H382" s="172">
        <f>G382*VLOOKUP(B382,[1]Afgrødedata!$A$5:$F$18,2,FALSE)*IF(D382="Økologisk",VLOOKUP(B382,[1]Afgrødedata!$A$5:$F$18,4,FALSE),1)*IF(E382&lt;&gt;Jordbund1,IF(E382=Organ6,VLOOKUP(B382,[1]Afgrødedata!$A$5:$F$18,5,FALSE),VLOOKUP(B382,[1]Afgrødedata!$A$5:$F$18,6,FALSE)),1)*0.1</f>
        <v>134.71481023026973</v>
      </c>
      <c r="I382" s="172">
        <f>G382*VLOOKUP(B382,[1]Afgrødedata!$A$5:$F$18,3,FALSE)*IF(D382="Økologisk",VLOOKUP(B382,[1]Afgrødedata!$A$5:$F$18,4,FALSE),1)*IF(E382&lt;&gt;Jordbund1,IF(E382=Organ6,VLOOKUP(B382,[1]Afgrødedata!$A$5:$F$18,5,FALSE),VLOOKUP(B382,[1]Afgrødedata!$A$5:$F$18,6,FALSE)),1)*HLOOKUP(C382,Landbrug!$C$15:$E$17,2,FALSE)*HLOOKUP(C382,Landbrug!$C$15:$E$17,3,FALSE)*0.1</f>
        <v>71.951853718038222</v>
      </c>
      <c r="J382" s="76">
        <f t="shared" si="60"/>
        <v>71.951853718038222</v>
      </c>
    </row>
    <row r="383" spans="1:10" x14ac:dyDescent="0.55000000000000004">
      <c r="A383" t="s">
        <v>24</v>
      </c>
      <c r="B383" s="1" t="str">
        <f>[1]Afgrødefordeling!$C$5</f>
        <v>Græs</v>
      </c>
      <c r="C383">
        <v>2019</v>
      </c>
      <c r="D383" t="s">
        <v>8</v>
      </c>
      <c r="E383" s="172" t="str">
        <f t="shared" si="61"/>
        <v>OC6</v>
      </c>
      <c r="F383" t="str">
        <f t="shared" si="58"/>
        <v>Græs</v>
      </c>
      <c r="G383" s="76" cm="1">
        <f t="array" ref="G383">IF(A383="Vestdanmark",IF(D383="Konventionel",IF(C383=2019,SUMPRODUCT((B383='Landbrugsareal - resultat'!$B$5:$B$18)*(INDEX('Landbrugsareal - resultat'!$C$5:$E$18,,MATCH(E383,'Landbrugsareal - resultat'!$C$4:$E$4,0)))),IF(C383=2030,SUMPRODUCT((B383='Landbrugsareal - resultat'!$B$5:$B$18)*(INDEX('Landbrugsareal - resultat'!$F$5:$H$18,,MATCH(E383,'Landbrugsareal - resultat'!$F$4:$H$4,0)))),SUMPRODUCT((B383='Landbrugsareal - resultat'!$B$5:$B$18)*(INDEX('Landbrugsareal - resultat'!$I$5:$K$18,,MATCH(E383,'Landbrugsareal - resultat'!$I$4:$K$4,0)))))),IF(C383=2019,SUMPRODUCT((B383='Landbrugsareal - resultat'!$B$5:$B$18)*(INDEX('Landbrugsareal - resultat'!$L$5:$N$18,,MATCH(E383,'Landbrugsareal - resultat'!$L$4:$N$4,0)))),IF(C383=2030,SUMPRODUCT((B383='Landbrugsareal - resultat'!$B$5:$B$18)*(INDEX('Landbrugsareal - resultat'!$O$5:$Q$18,,MATCH(E383,'Landbrugsareal - resultat'!$O$4:$Q$4,0)))),SUMPRODUCT((B383='Landbrugsareal - resultat'!$B$5:$B$18)*(INDEX('Landbrugsareal - resultat'!$R$5:$T$18,,MATCH(E383,'Landbrugsareal - resultat'!$R$4:$T$4,0))))))),IF(D383="Konventionel",IF(C383=2019,SUMPRODUCT((B383='Landbrugsareal - resultat'!$B$32:$B$45)*(INDEX('Landbrugsareal - resultat'!$C$32:$E$45,,MATCH(E383,'Landbrugsareal - resultat'!$C$4:$E$4,0)))),IF(C383=2030,SUMPRODUCT((B383='Landbrugsareal - resultat'!$B$32:$B$45)*(INDEX('Landbrugsareal - resultat'!$F$32:$H$45,,MATCH(E383,'Landbrugsareal - resultat'!$F$4:$H$4,0)))),SUMPRODUCT((B383='Landbrugsareal - resultat'!$B$32:$B$45)*(INDEX('Landbrugsareal - resultat'!$I$32:$K$45,,MATCH(E383,'Landbrugsareal - resultat'!$I$4:$K$4,0)))))),IF(C383=2019,SUMPRODUCT((B383='Landbrugsareal - resultat'!$B$32:$B$45)*(INDEX('Landbrugsareal - resultat'!$L$32:$N$45,,MATCH(E383,'Landbrugsareal - resultat'!$L$4:$N$4,0)))),IF(C383=2030,SUMPRODUCT((B383='Landbrugsareal - resultat'!$B$32:$B$45)*(INDEX('Landbrugsareal - resultat'!$O$32:$Q$45,,MATCH(E383,'Landbrugsareal - resultat'!$O$4:$Q$4,0)))),SUMPRODUCT((B383='Landbrugsareal - resultat'!$B$32:$B$45)*(INDEX('Landbrugsareal - resultat'!$R$32:$T$45,,MATCH(E383,'Landbrugsareal - resultat'!$R$4:$T$4,0))))))))</f>
        <v>136.4042658599414</v>
      </c>
      <c r="H383" s="172">
        <f>G383*VLOOKUP(B383,[1]Afgrødedata!$A$5:$F$18,2,FALSE)*IF(D383="Økologisk",VLOOKUP(B383,[1]Afgrødedata!$A$5:$F$18,4,FALSE),1)*IF(E383&lt;&gt;Jordbund1,IF(E383=Organ6,VLOOKUP(B383,[1]Afgrødedata!$A$5:$F$18,5,FALSE),VLOOKUP(B383,[1]Afgrødedata!$A$5:$F$18,6,FALSE)),1)*0.1</f>
        <v>6335.2033729641935</v>
      </c>
      <c r="I383" s="172">
        <f>G383*VLOOKUP(B383,[1]Afgrødedata!$A$5:$F$18,3,FALSE)*IF(D383="Økologisk",VLOOKUP(B383,[1]Afgrødedata!$A$5:$F$18,4,FALSE),1)*IF(E383&lt;&gt;Jordbund1,IF(E383=Organ6,VLOOKUP(B383,[1]Afgrødedata!$A$5:$F$18,5,FALSE),VLOOKUP(B383,[1]Afgrødedata!$A$5:$F$18,6,FALSE)),1)*HLOOKUP(C383,Landbrug!$C$15:$E$17,2,FALSE)*HLOOKUP(C383,Landbrug!$C$15:$E$17,3,FALSE)*0.1</f>
        <v>0</v>
      </c>
      <c r="J383" s="76">
        <f t="shared" si="60"/>
        <v>6335.2033729641935</v>
      </c>
    </row>
    <row r="384" spans="1:10" x14ac:dyDescent="0.55000000000000004">
      <c r="A384" t="s">
        <v>24</v>
      </c>
      <c r="B384" s="1" t="str">
        <f>[1]Afgrødefordeling!$C$6</f>
        <v>Grøntsager</v>
      </c>
      <c r="C384">
        <v>2019</v>
      </c>
      <c r="D384" t="s">
        <v>8</v>
      </c>
      <c r="E384" s="172" t="str">
        <f t="shared" si="61"/>
        <v>OC6</v>
      </c>
      <c r="F384" t="str">
        <f t="shared" si="58"/>
        <v>Grøntsager</v>
      </c>
      <c r="G384" s="76" cm="1">
        <f t="array" ref="G384">IF(A384="Vestdanmark",IF(D384="Konventionel",IF(C384=2019,SUMPRODUCT((B384='Landbrugsareal - resultat'!$B$5:$B$18)*(INDEX('Landbrugsareal - resultat'!$C$5:$E$18,,MATCH(E384,'Landbrugsareal - resultat'!$C$4:$E$4,0)))),IF(C384=2030,SUMPRODUCT((B384='Landbrugsareal - resultat'!$B$5:$B$18)*(INDEX('Landbrugsareal - resultat'!$F$5:$H$18,,MATCH(E384,'Landbrugsareal - resultat'!$F$4:$H$4,0)))),SUMPRODUCT((B384='Landbrugsareal - resultat'!$B$5:$B$18)*(INDEX('Landbrugsareal - resultat'!$I$5:$K$18,,MATCH(E384,'Landbrugsareal - resultat'!$I$4:$K$4,0)))))),IF(C384=2019,SUMPRODUCT((B384='Landbrugsareal - resultat'!$B$5:$B$18)*(INDEX('Landbrugsareal - resultat'!$L$5:$N$18,,MATCH(E384,'Landbrugsareal - resultat'!$L$4:$N$4,0)))),IF(C384=2030,SUMPRODUCT((B384='Landbrugsareal - resultat'!$B$5:$B$18)*(INDEX('Landbrugsareal - resultat'!$O$5:$Q$18,,MATCH(E384,'Landbrugsareal - resultat'!$O$4:$Q$4,0)))),SUMPRODUCT((B384='Landbrugsareal - resultat'!$B$5:$B$18)*(INDEX('Landbrugsareal - resultat'!$R$5:$T$18,,MATCH(E384,'Landbrugsareal - resultat'!$R$4:$T$4,0))))))),IF(D384="Konventionel",IF(C384=2019,SUMPRODUCT((B384='Landbrugsareal - resultat'!$B$32:$B$45)*(INDEX('Landbrugsareal - resultat'!$C$32:$E$45,,MATCH(E384,'Landbrugsareal - resultat'!$C$4:$E$4,0)))),IF(C384=2030,SUMPRODUCT((B384='Landbrugsareal - resultat'!$B$32:$B$45)*(INDEX('Landbrugsareal - resultat'!$F$32:$H$45,,MATCH(E384,'Landbrugsareal - resultat'!$F$4:$H$4,0)))),SUMPRODUCT((B384='Landbrugsareal - resultat'!$B$32:$B$45)*(INDEX('Landbrugsareal - resultat'!$I$32:$K$45,,MATCH(E384,'Landbrugsareal - resultat'!$I$4:$K$4,0)))))),IF(C384=2019,SUMPRODUCT((B384='Landbrugsareal - resultat'!$B$32:$B$45)*(INDEX('Landbrugsareal - resultat'!$L$32:$N$45,,MATCH(E384,'Landbrugsareal - resultat'!$L$4:$N$4,0)))),IF(C384=2030,SUMPRODUCT((B384='Landbrugsareal - resultat'!$B$32:$B$45)*(INDEX('Landbrugsareal - resultat'!$O$32:$Q$45,,MATCH(E384,'Landbrugsareal - resultat'!$O$4:$Q$4,0)))),SUMPRODUCT((B384='Landbrugsareal - resultat'!$B$32:$B$45)*(INDEX('Landbrugsareal - resultat'!$R$32:$T$45,,MATCH(E384,'Landbrugsareal - resultat'!$R$4:$T$4,0))))))))</f>
        <v>2.5833490736869646</v>
      </c>
      <c r="H384" s="172">
        <f>G384*VLOOKUP(B384,[1]Afgrødedata!$A$5:$F$18,2,FALSE)*IF(D384="Økologisk",VLOOKUP(B384,[1]Afgrødedata!$A$5:$F$18,4,FALSE),1)*IF(E384&lt;&gt;Jordbund1,IF(E384=Organ6,VLOOKUP(B384,[1]Afgrødedata!$A$5:$F$18,5,FALSE),VLOOKUP(B384,[1]Afgrødedata!$A$5:$F$18,6,FALSE)),1)*0.1</f>
        <v>36.665473402839091</v>
      </c>
      <c r="I384" s="172">
        <f>G384*VLOOKUP(B384,[1]Afgrødedata!$A$5:$F$18,3,FALSE)*IF(D384="Økologisk",VLOOKUP(B384,[1]Afgrødedata!$A$5:$F$18,4,FALSE),1)*IF(E384&lt;&gt;Jordbund1,IF(E384=Organ6,VLOOKUP(B384,[1]Afgrødedata!$A$5:$F$18,5,FALSE),VLOOKUP(B384,[1]Afgrødedata!$A$5:$F$18,6,FALSE)),1)*HLOOKUP(C384,Landbrug!$C$15:$E$17,2,FALSE)*HLOOKUP(C384,Landbrug!$C$15:$E$17,3,FALSE)*0.1</f>
        <v>0</v>
      </c>
      <c r="J384" s="76">
        <f t="shared" si="60"/>
        <v>36.665473402839091</v>
      </c>
    </row>
    <row r="385" spans="1:10" x14ac:dyDescent="0.55000000000000004">
      <c r="A385" t="s">
        <v>24</v>
      </c>
      <c r="B385" s="1" t="str">
        <f>[1]Afgrødefordeling!$C$7</f>
        <v>Kartofler</v>
      </c>
      <c r="C385">
        <v>2019</v>
      </c>
      <c r="D385" t="s">
        <v>8</v>
      </c>
      <c r="E385" s="172" t="str">
        <f t="shared" si="61"/>
        <v>OC6</v>
      </c>
      <c r="F385" t="str">
        <f t="shared" si="58"/>
        <v>Kartofler</v>
      </c>
      <c r="G385" s="76" cm="1">
        <f t="array" ref="G385">IF(A385="Vestdanmark",IF(D385="Konventionel",IF(C385=2019,SUMPRODUCT((B385='Landbrugsareal - resultat'!$B$5:$B$18)*(INDEX('Landbrugsareal - resultat'!$C$5:$E$18,,MATCH(E385,'Landbrugsareal - resultat'!$C$4:$E$4,0)))),IF(C385=2030,SUMPRODUCT((B385='Landbrugsareal - resultat'!$B$5:$B$18)*(INDEX('Landbrugsareal - resultat'!$F$5:$H$18,,MATCH(E385,'Landbrugsareal - resultat'!$F$4:$H$4,0)))),SUMPRODUCT((B385='Landbrugsareal - resultat'!$B$5:$B$18)*(INDEX('Landbrugsareal - resultat'!$I$5:$K$18,,MATCH(E385,'Landbrugsareal - resultat'!$I$4:$K$4,0)))))),IF(C385=2019,SUMPRODUCT((B385='Landbrugsareal - resultat'!$B$5:$B$18)*(INDEX('Landbrugsareal - resultat'!$L$5:$N$18,,MATCH(E385,'Landbrugsareal - resultat'!$L$4:$N$4,0)))),IF(C385=2030,SUMPRODUCT((B385='Landbrugsareal - resultat'!$B$5:$B$18)*(INDEX('Landbrugsareal - resultat'!$O$5:$Q$18,,MATCH(E385,'Landbrugsareal - resultat'!$O$4:$Q$4,0)))),SUMPRODUCT((B385='Landbrugsareal - resultat'!$B$5:$B$18)*(INDEX('Landbrugsareal - resultat'!$R$5:$T$18,,MATCH(E385,'Landbrugsareal - resultat'!$R$4:$T$4,0))))))),IF(D385="Konventionel",IF(C385=2019,SUMPRODUCT((B385='Landbrugsareal - resultat'!$B$32:$B$45)*(INDEX('Landbrugsareal - resultat'!$C$32:$E$45,,MATCH(E385,'Landbrugsareal - resultat'!$C$4:$E$4,0)))),IF(C385=2030,SUMPRODUCT((B385='Landbrugsareal - resultat'!$B$32:$B$45)*(INDEX('Landbrugsareal - resultat'!$F$32:$H$45,,MATCH(E385,'Landbrugsareal - resultat'!$F$4:$H$4,0)))),SUMPRODUCT((B385='Landbrugsareal - resultat'!$B$32:$B$45)*(INDEX('Landbrugsareal - resultat'!$I$32:$K$45,,MATCH(E385,'Landbrugsareal - resultat'!$I$4:$K$4,0)))))),IF(C385=2019,SUMPRODUCT((B385='Landbrugsareal - resultat'!$B$32:$B$45)*(INDEX('Landbrugsareal - resultat'!$L$32:$N$45,,MATCH(E385,'Landbrugsareal - resultat'!$L$4:$N$4,0)))),IF(C385=2030,SUMPRODUCT((B385='Landbrugsareal - resultat'!$B$32:$B$45)*(INDEX('Landbrugsareal - resultat'!$O$32:$Q$45,,MATCH(E385,'Landbrugsareal - resultat'!$O$4:$Q$4,0)))),SUMPRODUCT((B385='Landbrugsareal - resultat'!$B$32:$B$45)*(INDEX('Landbrugsareal - resultat'!$R$32:$T$45,,MATCH(E385,'Landbrugsareal - resultat'!$R$4:$T$4,0))))))))</f>
        <v>4.3919298595914027</v>
      </c>
      <c r="H385" s="172">
        <f>G385*VLOOKUP(B385,[1]Afgrødedata!$A$5:$F$18,2,FALSE)*IF(D385="Økologisk",VLOOKUP(B385,[1]Afgrødedata!$A$5:$F$18,4,FALSE),1)*IF(E385&lt;&gt;Jordbund1,IF(E385=Organ6,VLOOKUP(B385,[1]Afgrødedata!$A$5:$F$18,5,FALSE),VLOOKUP(B385,[1]Afgrødedata!$A$5:$F$18,6,FALSE)),1)*0.1</f>
        <v>127.58598070016447</v>
      </c>
      <c r="I385" s="172">
        <f>G385*VLOOKUP(B385,[1]Afgrødedata!$A$5:$F$18,3,FALSE)*IF(D385="Økologisk",VLOOKUP(B385,[1]Afgrødedata!$A$5:$F$18,4,FALSE),1)*IF(E385&lt;&gt;Jordbund1,IF(E385=Organ6,VLOOKUP(B385,[1]Afgrødedata!$A$5:$F$18,5,FALSE),VLOOKUP(B385,[1]Afgrødedata!$A$5:$F$18,6,FALSE)),1)*HLOOKUP(C385,Landbrug!$C$15:$E$17,2,FALSE)*HLOOKUP(C385,Landbrug!$C$15:$E$17,3,FALSE)*0.1</f>
        <v>0</v>
      </c>
      <c r="J385" s="76">
        <f t="shared" si="60"/>
        <v>127.58598070016447</v>
      </c>
    </row>
    <row r="386" spans="1:10" x14ac:dyDescent="0.55000000000000004">
      <c r="A386" t="s">
        <v>24</v>
      </c>
      <c r="B386" s="1" t="str">
        <f>[1]Afgrødefordeling!$C$8</f>
        <v>Roer</v>
      </c>
      <c r="C386">
        <v>2019</v>
      </c>
      <c r="D386" t="s">
        <v>8</v>
      </c>
      <c r="E386" s="172" t="str">
        <f t="shared" si="61"/>
        <v>OC6</v>
      </c>
      <c r="F386" t="str">
        <f t="shared" si="58"/>
        <v>Roer</v>
      </c>
      <c r="G386" s="76" cm="1">
        <f t="array" ref="G386">IF(A386="Vestdanmark",IF(D386="Konventionel",IF(C386=2019,SUMPRODUCT((B386='Landbrugsareal - resultat'!$B$5:$B$18)*(INDEX('Landbrugsareal - resultat'!$C$5:$E$18,,MATCH(E386,'Landbrugsareal - resultat'!$C$4:$E$4,0)))),IF(C386=2030,SUMPRODUCT((B386='Landbrugsareal - resultat'!$B$5:$B$18)*(INDEX('Landbrugsareal - resultat'!$F$5:$H$18,,MATCH(E386,'Landbrugsareal - resultat'!$F$4:$H$4,0)))),SUMPRODUCT((B386='Landbrugsareal - resultat'!$B$5:$B$18)*(INDEX('Landbrugsareal - resultat'!$I$5:$K$18,,MATCH(E386,'Landbrugsareal - resultat'!$I$4:$K$4,0)))))),IF(C386=2019,SUMPRODUCT((B386='Landbrugsareal - resultat'!$B$5:$B$18)*(INDEX('Landbrugsareal - resultat'!$L$5:$N$18,,MATCH(E386,'Landbrugsareal - resultat'!$L$4:$N$4,0)))),IF(C386=2030,SUMPRODUCT((B386='Landbrugsareal - resultat'!$B$5:$B$18)*(INDEX('Landbrugsareal - resultat'!$O$5:$Q$18,,MATCH(E386,'Landbrugsareal - resultat'!$O$4:$Q$4,0)))),SUMPRODUCT((B386='Landbrugsareal - resultat'!$B$5:$B$18)*(INDEX('Landbrugsareal - resultat'!$R$5:$T$18,,MATCH(E386,'Landbrugsareal - resultat'!$R$4:$T$4,0))))))),IF(D386="Konventionel",IF(C386=2019,SUMPRODUCT((B386='Landbrugsareal - resultat'!$B$32:$B$45)*(INDEX('Landbrugsareal - resultat'!$C$32:$E$45,,MATCH(E386,'Landbrugsareal - resultat'!$C$4:$E$4,0)))),IF(C386=2030,SUMPRODUCT((B386='Landbrugsareal - resultat'!$B$32:$B$45)*(INDEX('Landbrugsareal - resultat'!$F$32:$H$45,,MATCH(E386,'Landbrugsareal - resultat'!$F$4:$H$4,0)))),SUMPRODUCT((B386='Landbrugsareal - resultat'!$B$32:$B$45)*(INDEX('Landbrugsareal - resultat'!$I$32:$K$45,,MATCH(E386,'Landbrugsareal - resultat'!$I$4:$K$4,0)))))),IF(C386=2019,SUMPRODUCT((B386='Landbrugsareal - resultat'!$B$32:$B$45)*(INDEX('Landbrugsareal - resultat'!$L$32:$N$45,,MATCH(E386,'Landbrugsareal - resultat'!$L$4:$N$4,0)))),IF(C386=2030,SUMPRODUCT((B386='Landbrugsareal - resultat'!$B$32:$B$45)*(INDEX('Landbrugsareal - resultat'!$O$32:$Q$45,,MATCH(E386,'Landbrugsareal - resultat'!$O$4:$Q$4,0)))),SUMPRODUCT((B386='Landbrugsareal - resultat'!$B$32:$B$45)*(INDEX('Landbrugsareal - resultat'!$R$32:$T$45,,MATCH(E386,'Landbrugsareal - resultat'!$R$4:$T$4,0))))))))</f>
        <v>12.270128011576354</v>
      </c>
      <c r="H386" s="172">
        <f>G386*VLOOKUP(B386,[1]Afgrødedata!$A$5:$F$18,2,FALSE)*IF(D386="Økologisk",VLOOKUP(B386,[1]Afgrødedata!$A$5:$F$18,4,FALSE),1)*IF(E386&lt;&gt;Jordbund1,IF(E386=Organ6,VLOOKUP(B386,[1]Afgrødedata!$A$5:$F$18,5,FALSE),VLOOKUP(B386,[1]Afgrødedata!$A$5:$F$18,6,FALSE)),1)*0.1</f>
        <v>681.94368054022107</v>
      </c>
      <c r="I386" s="172">
        <f>G386*VLOOKUP(B386,[1]Afgrødedata!$A$5:$F$18,3,FALSE)*IF(D386="Økologisk",VLOOKUP(B386,[1]Afgrødedata!$A$5:$F$18,4,FALSE),1)*IF(E386&lt;&gt;Jordbund1,IF(E386=Organ6,VLOOKUP(B386,[1]Afgrødedata!$A$5:$F$18,5,FALSE),VLOOKUP(B386,[1]Afgrødedata!$A$5:$F$18,6,FALSE)),1)*HLOOKUP(C386,Landbrug!$C$15:$E$17,2,FALSE)*HLOOKUP(C386,Landbrug!$C$15:$E$17,3,FALSE)*0.1</f>
        <v>0</v>
      </c>
      <c r="J386" s="76">
        <f t="shared" si="60"/>
        <v>681.94368054022107</v>
      </c>
    </row>
    <row r="387" spans="1:10" x14ac:dyDescent="0.55000000000000004">
      <c r="A387" t="s">
        <v>24</v>
      </c>
      <c r="B387" s="1" t="str">
        <f>[1]Afgrødefordeling!$C$9</f>
        <v>Majs</v>
      </c>
      <c r="C387">
        <v>2019</v>
      </c>
      <c r="D387" t="s">
        <v>8</v>
      </c>
      <c r="E387" s="172" t="str">
        <f t="shared" si="61"/>
        <v>OC6</v>
      </c>
      <c r="F387" t="str">
        <f t="shared" si="58"/>
        <v>Majs</v>
      </c>
      <c r="G387" s="76" cm="1">
        <f t="array" ref="G387">IF(A387="Vestdanmark",IF(D387="Konventionel",IF(C387=2019,SUMPRODUCT((B387='Landbrugsareal - resultat'!$B$5:$B$18)*(INDEX('Landbrugsareal - resultat'!$C$5:$E$18,,MATCH(E387,'Landbrugsareal - resultat'!$C$4:$E$4,0)))),IF(C387=2030,SUMPRODUCT((B387='Landbrugsareal - resultat'!$B$5:$B$18)*(INDEX('Landbrugsareal - resultat'!$F$5:$H$18,,MATCH(E387,'Landbrugsareal - resultat'!$F$4:$H$4,0)))),SUMPRODUCT((B387='Landbrugsareal - resultat'!$B$5:$B$18)*(INDEX('Landbrugsareal - resultat'!$I$5:$K$18,,MATCH(E387,'Landbrugsareal - resultat'!$I$4:$K$4,0)))))),IF(C387=2019,SUMPRODUCT((B387='Landbrugsareal - resultat'!$B$5:$B$18)*(INDEX('Landbrugsareal - resultat'!$L$5:$N$18,,MATCH(E387,'Landbrugsareal - resultat'!$L$4:$N$4,0)))),IF(C387=2030,SUMPRODUCT((B387='Landbrugsareal - resultat'!$B$5:$B$18)*(INDEX('Landbrugsareal - resultat'!$O$5:$Q$18,,MATCH(E387,'Landbrugsareal - resultat'!$O$4:$Q$4,0)))),SUMPRODUCT((B387='Landbrugsareal - resultat'!$B$5:$B$18)*(INDEX('Landbrugsareal - resultat'!$R$5:$T$18,,MATCH(E387,'Landbrugsareal - resultat'!$R$4:$T$4,0))))))),IF(D387="Konventionel",IF(C387=2019,SUMPRODUCT((B387='Landbrugsareal - resultat'!$B$32:$B$45)*(INDEX('Landbrugsareal - resultat'!$C$32:$E$45,,MATCH(E387,'Landbrugsareal - resultat'!$C$4:$E$4,0)))),IF(C387=2030,SUMPRODUCT((B387='Landbrugsareal - resultat'!$B$32:$B$45)*(INDEX('Landbrugsareal - resultat'!$F$32:$H$45,,MATCH(E387,'Landbrugsareal - resultat'!$F$4:$H$4,0)))),SUMPRODUCT((B387='Landbrugsareal - resultat'!$B$32:$B$45)*(INDEX('Landbrugsareal - resultat'!$I$32:$K$45,,MATCH(E387,'Landbrugsareal - resultat'!$I$4:$K$4,0)))))),IF(C387=2019,SUMPRODUCT((B387='Landbrugsareal - resultat'!$B$32:$B$45)*(INDEX('Landbrugsareal - resultat'!$L$32:$N$45,,MATCH(E387,'Landbrugsareal - resultat'!$L$4:$N$4,0)))),IF(C387=2030,SUMPRODUCT((B387='Landbrugsareal - resultat'!$B$32:$B$45)*(INDEX('Landbrugsareal - resultat'!$O$32:$Q$45,,MATCH(E387,'Landbrugsareal - resultat'!$O$4:$Q$4,0)))),SUMPRODUCT((B387='Landbrugsareal - resultat'!$B$32:$B$45)*(INDEX('Landbrugsareal - resultat'!$R$32:$T$45,,MATCH(E387,'Landbrugsareal - resultat'!$R$4:$T$4,0))))))))</f>
        <v>13.0818499502378</v>
      </c>
      <c r="H387" s="172">
        <f>G387*VLOOKUP(B387,[1]Afgrødedata!$A$5:$F$18,2,FALSE)*IF(D387="Økologisk",VLOOKUP(B387,[1]Afgrødedata!$A$5:$F$18,4,FALSE),1)*IF(E387&lt;&gt;Jordbund1,IF(E387=Organ6,VLOOKUP(B387,[1]Afgrødedata!$A$5:$F$18,5,FALSE),VLOOKUP(B387,[1]Afgrødedata!$A$5:$F$18,6,FALSE)),1)*0.1</f>
        <v>579.94404871994413</v>
      </c>
      <c r="I387" s="172">
        <f>G387*VLOOKUP(B387,[1]Afgrødedata!$A$5:$F$18,3,FALSE)*IF(D387="Økologisk",VLOOKUP(B387,[1]Afgrødedata!$A$5:$F$18,4,FALSE),1)*IF(E387&lt;&gt;Jordbund1,IF(E387=Organ6,VLOOKUP(B387,[1]Afgrødedata!$A$5:$F$18,5,FALSE),VLOOKUP(B387,[1]Afgrødedata!$A$5:$F$18,6,FALSE)),1)*HLOOKUP(C387,Landbrug!$C$15:$E$17,2,FALSE)*HLOOKUP(C387,Landbrug!$C$15:$E$17,3,FALSE)*0.1</f>
        <v>0</v>
      </c>
      <c r="J387" s="76">
        <f t="shared" si="60"/>
        <v>579.94404871994413</v>
      </c>
    </row>
    <row r="388" spans="1:10" x14ac:dyDescent="0.55000000000000004">
      <c r="A388" t="s">
        <v>24</v>
      </c>
      <c r="B388" s="1" t="str">
        <f>[1]Afgrødefordeling!$C$10</f>
        <v>Frugt</v>
      </c>
      <c r="C388">
        <v>2019</v>
      </c>
      <c r="D388" t="s">
        <v>8</v>
      </c>
      <c r="E388" s="172" t="str">
        <f t="shared" si="61"/>
        <v>OC6</v>
      </c>
      <c r="F388" t="str">
        <f t="shared" si="58"/>
        <v>Frugt</v>
      </c>
      <c r="G388" s="76" cm="1">
        <f t="array" ref="G388">IF(A388="Vestdanmark",IF(D388="Konventionel",IF(C388=2019,SUMPRODUCT((B388='Landbrugsareal - resultat'!$B$5:$B$18)*(INDEX('Landbrugsareal - resultat'!$C$5:$E$18,,MATCH(E388,'Landbrugsareal - resultat'!$C$4:$E$4,0)))),IF(C388=2030,SUMPRODUCT((B388='Landbrugsareal - resultat'!$B$5:$B$18)*(INDEX('Landbrugsareal - resultat'!$F$5:$H$18,,MATCH(E388,'Landbrugsareal - resultat'!$F$4:$H$4,0)))),SUMPRODUCT((B388='Landbrugsareal - resultat'!$B$5:$B$18)*(INDEX('Landbrugsareal - resultat'!$I$5:$K$18,,MATCH(E388,'Landbrugsareal - resultat'!$I$4:$K$4,0)))))),IF(C388=2019,SUMPRODUCT((B388='Landbrugsareal - resultat'!$B$5:$B$18)*(INDEX('Landbrugsareal - resultat'!$L$5:$N$18,,MATCH(E388,'Landbrugsareal - resultat'!$L$4:$N$4,0)))),IF(C388=2030,SUMPRODUCT((B388='Landbrugsareal - resultat'!$B$5:$B$18)*(INDEX('Landbrugsareal - resultat'!$O$5:$Q$18,,MATCH(E388,'Landbrugsareal - resultat'!$O$4:$Q$4,0)))),SUMPRODUCT((B388='Landbrugsareal - resultat'!$B$5:$B$18)*(INDEX('Landbrugsareal - resultat'!$R$5:$T$18,,MATCH(E388,'Landbrugsareal - resultat'!$R$4:$T$4,0))))))),IF(D388="Konventionel",IF(C388=2019,SUMPRODUCT((B388='Landbrugsareal - resultat'!$B$32:$B$45)*(INDEX('Landbrugsareal - resultat'!$C$32:$E$45,,MATCH(E388,'Landbrugsareal - resultat'!$C$4:$E$4,0)))),IF(C388=2030,SUMPRODUCT((B388='Landbrugsareal - resultat'!$B$32:$B$45)*(INDEX('Landbrugsareal - resultat'!$F$32:$H$45,,MATCH(E388,'Landbrugsareal - resultat'!$F$4:$H$4,0)))),SUMPRODUCT((B388='Landbrugsareal - resultat'!$B$32:$B$45)*(INDEX('Landbrugsareal - resultat'!$I$32:$K$45,,MATCH(E388,'Landbrugsareal - resultat'!$I$4:$K$4,0)))))),IF(C388=2019,SUMPRODUCT((B388='Landbrugsareal - resultat'!$B$32:$B$45)*(INDEX('Landbrugsareal - resultat'!$L$32:$N$45,,MATCH(E388,'Landbrugsareal - resultat'!$L$4:$N$4,0)))),IF(C388=2030,SUMPRODUCT((B388='Landbrugsareal - resultat'!$B$32:$B$45)*(INDEX('Landbrugsareal - resultat'!$O$32:$Q$45,,MATCH(E388,'Landbrugsareal - resultat'!$O$4:$Q$4,0)))),SUMPRODUCT((B388='Landbrugsareal - resultat'!$B$32:$B$45)*(INDEX('Landbrugsareal - resultat'!$R$32:$T$45,,MATCH(E388,'Landbrugsareal - resultat'!$R$4:$T$4,0))))))))</f>
        <v>2.8220239517940748</v>
      </c>
      <c r="H388" s="172">
        <f>G388*VLOOKUP(B388,[1]Afgrødedata!$A$5:$F$18,2,FALSE)*IF(D388="Økologisk",VLOOKUP(B388,[1]Afgrødedata!$A$5:$F$18,4,FALSE),1)*IF(E388&lt;&gt;Jordbund1,IF(E388=Organ6,VLOOKUP(B388,[1]Afgrødedata!$A$5:$F$18,5,FALSE),VLOOKUP(B388,[1]Afgrødedata!$A$5:$F$18,6,FALSE)),1)*0.1</f>
        <v>16.38794461190048</v>
      </c>
      <c r="I388" s="172">
        <f>G388*VLOOKUP(B388,[1]Afgrødedata!$A$5:$F$18,3,FALSE)*IF(D388="Økologisk",VLOOKUP(B388,[1]Afgrødedata!$A$5:$F$18,4,FALSE),1)*IF(E388&lt;&gt;Jordbund1,IF(E388=Organ6,VLOOKUP(B388,[1]Afgrødedata!$A$5:$F$18,5,FALSE),VLOOKUP(B388,[1]Afgrødedata!$A$5:$F$18,6,FALSE)),1)*HLOOKUP(C388,Landbrug!$C$15:$E$17,2,FALSE)*HLOOKUP(C388,Landbrug!$C$15:$E$17,3,FALSE)*0.1</f>
        <v>0</v>
      </c>
      <c r="J388" s="76">
        <f t="shared" si="60"/>
        <v>16.38794461190048</v>
      </c>
    </row>
    <row r="389" spans="1:10" x14ac:dyDescent="0.55000000000000004">
      <c r="A389" t="s">
        <v>24</v>
      </c>
      <c r="B389" s="1" t="str">
        <f>[1]Afgrødefordeling!$C$11</f>
        <v>Øvrige</v>
      </c>
      <c r="C389">
        <v>2019</v>
      </c>
      <c r="D389" t="s">
        <v>8</v>
      </c>
      <c r="E389" s="172" t="str">
        <f t="shared" si="61"/>
        <v>OC6</v>
      </c>
      <c r="F389" t="str">
        <f t="shared" si="58"/>
        <v>Øvrige</v>
      </c>
      <c r="G389" s="76" cm="1">
        <f t="array" ref="G389">IF(A389="Vestdanmark",IF(D389="Konventionel",IF(C389=2019,SUMPRODUCT((B389='Landbrugsareal - resultat'!$B$5:$B$18)*(INDEX('Landbrugsareal - resultat'!$C$5:$E$18,,MATCH(E389,'Landbrugsareal - resultat'!$C$4:$E$4,0)))),IF(C389=2030,SUMPRODUCT((B389='Landbrugsareal - resultat'!$B$5:$B$18)*(INDEX('Landbrugsareal - resultat'!$F$5:$H$18,,MATCH(E389,'Landbrugsareal - resultat'!$F$4:$H$4,0)))),SUMPRODUCT((B389='Landbrugsareal - resultat'!$B$5:$B$18)*(INDEX('Landbrugsareal - resultat'!$I$5:$K$18,,MATCH(E389,'Landbrugsareal - resultat'!$I$4:$K$4,0)))))),IF(C389=2019,SUMPRODUCT((B389='Landbrugsareal - resultat'!$B$5:$B$18)*(INDEX('Landbrugsareal - resultat'!$L$5:$N$18,,MATCH(E389,'Landbrugsareal - resultat'!$L$4:$N$4,0)))),IF(C389=2030,SUMPRODUCT((B389='Landbrugsareal - resultat'!$B$5:$B$18)*(INDEX('Landbrugsareal - resultat'!$O$5:$Q$18,,MATCH(E389,'Landbrugsareal - resultat'!$O$4:$Q$4,0)))),SUMPRODUCT((B389='Landbrugsareal - resultat'!$B$5:$B$18)*(INDEX('Landbrugsareal - resultat'!$R$5:$T$18,,MATCH(E389,'Landbrugsareal - resultat'!$R$4:$T$4,0))))))),IF(D389="Konventionel",IF(C389=2019,SUMPRODUCT((B389='Landbrugsareal - resultat'!$B$32:$B$45)*(INDEX('Landbrugsareal - resultat'!$C$32:$E$45,,MATCH(E389,'Landbrugsareal - resultat'!$C$4:$E$4,0)))),IF(C389=2030,SUMPRODUCT((B389='Landbrugsareal - resultat'!$B$32:$B$45)*(INDEX('Landbrugsareal - resultat'!$F$32:$H$45,,MATCH(E389,'Landbrugsareal - resultat'!$F$4:$H$4,0)))),SUMPRODUCT((B389='Landbrugsareal - resultat'!$B$32:$B$45)*(INDEX('Landbrugsareal - resultat'!$I$32:$K$45,,MATCH(E389,'Landbrugsareal - resultat'!$I$4:$K$4,0)))))),IF(C389=2019,SUMPRODUCT((B389='Landbrugsareal - resultat'!$B$32:$B$45)*(INDEX('Landbrugsareal - resultat'!$L$32:$N$45,,MATCH(E389,'Landbrugsareal - resultat'!$L$4:$N$4,0)))),IF(C389=2030,SUMPRODUCT((B389='Landbrugsareal - resultat'!$B$32:$B$45)*(INDEX('Landbrugsareal - resultat'!$O$32:$Q$45,,MATCH(E389,'Landbrugsareal - resultat'!$O$4:$Q$4,0)))),SUMPRODUCT((B389='Landbrugsareal - resultat'!$B$32:$B$45)*(INDEX('Landbrugsareal - resultat'!$R$32:$T$45,,MATCH(E389,'Landbrugsareal - resultat'!$R$4:$T$4,0))))))))</f>
        <v>20.15061973044347</v>
      </c>
      <c r="H389" s="172">
        <f>G389*VLOOKUP(B389,[1]Afgrødedata!$A$5:$F$18,2,FALSE)*IF(D389="Økologisk",VLOOKUP(B389,[1]Afgrødedata!$A$5:$F$18,4,FALSE),1)*IF(E389&lt;&gt;Jordbund1,IF(E389=Organ6,VLOOKUP(B389,[1]Afgrødedata!$A$5:$F$18,5,FALSE),VLOOKUP(B389,[1]Afgrødedata!$A$5:$F$18,6,FALSE)),1)*0.1</f>
        <v>410.6782013659747</v>
      </c>
      <c r="I389" s="172">
        <f>G389*VLOOKUP(B389,[1]Afgrødedata!$A$5:$F$18,3,FALSE)*IF(D389="Økologisk",VLOOKUP(B389,[1]Afgrødedata!$A$5:$F$18,4,FALSE),1)*IF(E389&lt;&gt;Jordbund1,IF(E389=Organ6,VLOOKUP(B389,[1]Afgrødedata!$A$5:$F$18,5,FALSE),VLOOKUP(B389,[1]Afgrødedata!$A$5:$F$18,6,FALSE)),1)*HLOOKUP(C389,Landbrug!$C$15:$E$17,2,FALSE)*HLOOKUP(C389,Landbrug!$C$15:$E$17,3,FALSE)*0.1</f>
        <v>0</v>
      </c>
      <c r="J389" s="76">
        <f t="shared" si="60"/>
        <v>410.6782013659747</v>
      </c>
    </row>
    <row r="390" spans="1:10" x14ac:dyDescent="0.55000000000000004">
      <c r="A390" t="s">
        <v>24</v>
      </c>
      <c r="B390" s="1" t="str">
        <f>[1]Afgrødefordeling!$C$12</f>
        <v>Frø</v>
      </c>
      <c r="C390">
        <v>2019</v>
      </c>
      <c r="D390" t="s">
        <v>8</v>
      </c>
      <c r="E390" s="172" t="str">
        <f t="shared" si="61"/>
        <v>OC6</v>
      </c>
      <c r="F390" t="str">
        <f t="shared" si="58"/>
        <v>Halm</v>
      </c>
      <c r="G390" s="76" cm="1">
        <f t="array" ref="G390">IF(A390="Vestdanmark",IF(D390="Konventionel",IF(C390=2019,SUMPRODUCT((B390='Landbrugsareal - resultat'!$B$5:$B$18)*(INDEX('Landbrugsareal - resultat'!$C$5:$E$18,,MATCH(E390,'Landbrugsareal - resultat'!$C$4:$E$4,0)))),IF(C390=2030,SUMPRODUCT((B390='Landbrugsareal - resultat'!$B$5:$B$18)*(INDEX('Landbrugsareal - resultat'!$F$5:$H$18,,MATCH(E390,'Landbrugsareal - resultat'!$F$4:$H$4,0)))),SUMPRODUCT((B390='Landbrugsareal - resultat'!$B$5:$B$18)*(INDEX('Landbrugsareal - resultat'!$I$5:$K$18,,MATCH(E390,'Landbrugsareal - resultat'!$I$4:$K$4,0)))))),IF(C390=2019,SUMPRODUCT((B390='Landbrugsareal - resultat'!$B$5:$B$18)*(INDEX('Landbrugsareal - resultat'!$L$5:$N$18,,MATCH(E390,'Landbrugsareal - resultat'!$L$4:$N$4,0)))),IF(C390=2030,SUMPRODUCT((B390='Landbrugsareal - resultat'!$B$5:$B$18)*(INDEX('Landbrugsareal - resultat'!$O$5:$Q$18,,MATCH(E390,'Landbrugsareal - resultat'!$O$4:$Q$4,0)))),SUMPRODUCT((B390='Landbrugsareal - resultat'!$B$5:$B$18)*(INDEX('Landbrugsareal - resultat'!$R$5:$T$18,,MATCH(E390,'Landbrugsareal - resultat'!$R$4:$T$4,0))))))),IF(D390="Konventionel",IF(C390=2019,SUMPRODUCT((B390='Landbrugsareal - resultat'!$B$32:$B$45)*(INDEX('Landbrugsareal - resultat'!$C$32:$E$45,,MATCH(E390,'Landbrugsareal - resultat'!$C$4:$E$4,0)))),IF(C390=2030,SUMPRODUCT((B390='Landbrugsareal - resultat'!$B$32:$B$45)*(INDEX('Landbrugsareal - resultat'!$F$32:$H$45,,MATCH(E390,'Landbrugsareal - resultat'!$F$4:$H$4,0)))),SUMPRODUCT((B390='Landbrugsareal - resultat'!$B$32:$B$45)*(INDEX('Landbrugsareal - resultat'!$I$32:$K$45,,MATCH(E390,'Landbrugsareal - resultat'!$I$4:$K$4,0)))))),IF(C390=2019,SUMPRODUCT((B390='Landbrugsareal - resultat'!$B$32:$B$45)*(INDEX('Landbrugsareal - resultat'!$L$32:$N$45,,MATCH(E390,'Landbrugsareal - resultat'!$L$4:$N$4,0)))),IF(C390=2030,SUMPRODUCT((B390='Landbrugsareal - resultat'!$B$32:$B$45)*(INDEX('Landbrugsareal - resultat'!$O$32:$Q$45,,MATCH(E390,'Landbrugsareal - resultat'!$O$4:$Q$4,0)))),SUMPRODUCT((B390='Landbrugsareal - resultat'!$B$32:$B$45)*(INDEX('Landbrugsareal - resultat'!$R$32:$T$45,,MATCH(E390,'Landbrugsareal - resultat'!$R$4:$T$4,0))))))))</f>
        <v>146.29254366537521</v>
      </c>
      <c r="H390" s="172">
        <f>G390*VLOOKUP(B390,[1]Afgrødedata!$A$5:$F$18,2,FALSE)*IF(D390="Økologisk",VLOOKUP(B390,[1]Afgrødedata!$A$5:$F$18,4,FALSE),1)*IF(E390&lt;&gt;Jordbund1,IF(E390=Organ6,VLOOKUP(B390,[1]Afgrødedata!$A$5:$F$18,5,FALSE),VLOOKUP(B390,[1]Afgrødedata!$A$5:$F$18,6,FALSE)),1)*0.1</f>
        <v>1429.8019900252987</v>
      </c>
      <c r="I390" s="172">
        <f>G390*VLOOKUP(B390,[1]Afgrødedata!$A$5:$F$18,3,FALSE)*IF(D390="Økologisk",VLOOKUP(B390,[1]Afgrødedata!$A$5:$F$18,4,FALSE),1)*IF(E390&lt;&gt;Jordbund1,IF(E390=Organ6,VLOOKUP(B390,[1]Afgrødedata!$A$5:$F$18,5,FALSE),VLOOKUP(B390,[1]Afgrødedata!$A$5:$F$18,6,FALSE)),1)*HLOOKUP(C390,Landbrug!$C$15:$E$17,2,FALSE)*HLOOKUP(C390,Landbrug!$C$15:$E$17,3,FALSE)*0.1</f>
        <v>237.5321602645615</v>
      </c>
      <c r="J390" s="76">
        <f t="shared" si="60"/>
        <v>237.5321602645615</v>
      </c>
    </row>
    <row r="391" spans="1:10" x14ac:dyDescent="0.55000000000000004">
      <c r="A391" t="s">
        <v>24</v>
      </c>
      <c r="B391" s="1" t="str">
        <f>[1]Afgrødefordeling!$C$13</f>
        <v>Juletræer</v>
      </c>
      <c r="C391">
        <v>2019</v>
      </c>
      <c r="D391" t="s">
        <v>8</v>
      </c>
      <c r="E391" s="172" t="str">
        <f t="shared" si="61"/>
        <v>OC6</v>
      </c>
      <c r="F391" t="str">
        <f t="shared" si="58"/>
        <v>Juletræer</v>
      </c>
      <c r="G391" s="76" cm="1">
        <f t="array" ref="G391">IF(A391="Vestdanmark",IF(D391="Konventionel",IF(C391=2019,SUMPRODUCT((B391='Landbrugsareal - resultat'!$B$5:$B$18)*(INDEX('Landbrugsareal - resultat'!$C$5:$E$18,,MATCH(E391,'Landbrugsareal - resultat'!$C$4:$E$4,0)))),IF(C391=2030,SUMPRODUCT((B391='Landbrugsareal - resultat'!$B$5:$B$18)*(INDEX('Landbrugsareal - resultat'!$F$5:$H$18,,MATCH(E391,'Landbrugsareal - resultat'!$F$4:$H$4,0)))),SUMPRODUCT((B391='Landbrugsareal - resultat'!$B$5:$B$18)*(INDEX('Landbrugsareal - resultat'!$I$5:$K$18,,MATCH(E391,'Landbrugsareal - resultat'!$I$4:$K$4,0)))))),IF(C391=2019,SUMPRODUCT((B391='Landbrugsareal - resultat'!$B$5:$B$18)*(INDEX('Landbrugsareal - resultat'!$L$5:$N$18,,MATCH(E391,'Landbrugsareal - resultat'!$L$4:$N$4,0)))),IF(C391=2030,SUMPRODUCT((B391='Landbrugsareal - resultat'!$B$5:$B$18)*(INDEX('Landbrugsareal - resultat'!$O$5:$Q$18,,MATCH(E391,'Landbrugsareal - resultat'!$O$4:$Q$4,0)))),SUMPRODUCT((B391='Landbrugsareal - resultat'!$B$5:$B$18)*(INDEX('Landbrugsareal - resultat'!$R$5:$T$18,,MATCH(E391,'Landbrugsareal - resultat'!$R$4:$T$4,0))))))),IF(D391="Konventionel",IF(C391=2019,SUMPRODUCT((B391='Landbrugsareal - resultat'!$B$32:$B$45)*(INDEX('Landbrugsareal - resultat'!$C$32:$E$45,,MATCH(E391,'Landbrugsareal - resultat'!$C$4:$E$4,0)))),IF(C391=2030,SUMPRODUCT((B391='Landbrugsareal - resultat'!$B$32:$B$45)*(INDEX('Landbrugsareal - resultat'!$F$32:$H$45,,MATCH(E391,'Landbrugsareal - resultat'!$F$4:$H$4,0)))),SUMPRODUCT((B391='Landbrugsareal - resultat'!$B$32:$B$45)*(INDEX('Landbrugsareal - resultat'!$I$32:$K$45,,MATCH(E391,'Landbrugsareal - resultat'!$I$4:$K$4,0)))))),IF(C391=2019,SUMPRODUCT((B391='Landbrugsareal - resultat'!$B$32:$B$45)*(INDEX('Landbrugsareal - resultat'!$L$32:$N$45,,MATCH(E391,'Landbrugsareal - resultat'!$L$4:$N$4,0)))),IF(C391=2030,SUMPRODUCT((B391='Landbrugsareal - resultat'!$B$32:$B$45)*(INDEX('Landbrugsareal - resultat'!$O$32:$Q$45,,MATCH(E391,'Landbrugsareal - resultat'!$O$4:$Q$4,0)))),SUMPRODUCT((B391='Landbrugsareal - resultat'!$B$32:$B$45)*(INDEX('Landbrugsareal - resultat'!$R$32:$T$45,,MATCH(E391,'Landbrugsareal - resultat'!$R$4:$T$4,0))))))))</f>
        <v>4.4220954733493292</v>
      </c>
      <c r="H391" s="172">
        <f>G391*VLOOKUP(B391,[1]Afgrødedata!$A$5:$F$18,2,FALSE)*IF(D391="Økologisk",VLOOKUP(B391,[1]Afgrødedata!$A$5:$F$18,4,FALSE),1)*IF(E391&lt;&gt;Jordbund1,IF(E391=Organ6,VLOOKUP(B391,[1]Afgrødedata!$A$5:$F$18,5,FALSE),VLOOKUP(B391,[1]Afgrødedata!$A$5:$F$18,6,FALSE)),1)*0.1</f>
        <v>151.23566518854705</v>
      </c>
      <c r="I391" s="172">
        <f>G391*VLOOKUP(B391,[1]Afgrødedata!$A$5:$F$18,3,FALSE)*IF(D391="Økologisk",VLOOKUP(B391,[1]Afgrødedata!$A$5:$F$18,4,FALSE),1)*IF(E391&lt;&gt;Jordbund1,IF(E391=Organ6,VLOOKUP(B391,[1]Afgrødedata!$A$5:$F$18,5,FALSE),VLOOKUP(B391,[1]Afgrødedata!$A$5:$F$18,6,FALSE)),1)*HLOOKUP(C391,Landbrug!$C$15:$E$17,2,FALSE)*HLOOKUP(C391,Landbrug!$C$15:$E$17,3,FALSE)*0.1</f>
        <v>0</v>
      </c>
      <c r="J391" s="76">
        <f t="shared" si="60"/>
        <v>151.23566518854705</v>
      </c>
    </row>
    <row r="392" spans="1:10" x14ac:dyDescent="0.55000000000000004">
      <c r="A392" t="s">
        <v>24</v>
      </c>
      <c r="B392" s="1" t="str">
        <f>[1]Afgrødefordeling!$C$14</f>
        <v>Pil &amp; poppel</v>
      </c>
      <c r="C392">
        <v>2019</v>
      </c>
      <c r="D392" t="s">
        <v>8</v>
      </c>
      <c r="E392" s="172" t="str">
        <f t="shared" si="61"/>
        <v>OC6</v>
      </c>
      <c r="F392" t="str">
        <f t="shared" si="58"/>
        <v>Pil &amp; poppel</v>
      </c>
      <c r="G392" s="76" cm="1">
        <f t="array" ref="G392">IF(A392="Vestdanmark",IF(D392="Konventionel",IF(C392=2019,SUMPRODUCT((B392='Landbrugsareal - resultat'!$B$5:$B$18)*(INDEX('Landbrugsareal - resultat'!$C$5:$E$18,,MATCH(E392,'Landbrugsareal - resultat'!$C$4:$E$4,0)))),IF(C392=2030,SUMPRODUCT((B392='Landbrugsareal - resultat'!$B$5:$B$18)*(INDEX('Landbrugsareal - resultat'!$F$5:$H$18,,MATCH(E392,'Landbrugsareal - resultat'!$F$4:$H$4,0)))),SUMPRODUCT((B392='Landbrugsareal - resultat'!$B$5:$B$18)*(INDEX('Landbrugsareal - resultat'!$I$5:$K$18,,MATCH(E392,'Landbrugsareal - resultat'!$I$4:$K$4,0)))))),IF(C392=2019,SUMPRODUCT((B392='Landbrugsareal - resultat'!$B$5:$B$18)*(INDEX('Landbrugsareal - resultat'!$L$5:$N$18,,MATCH(E392,'Landbrugsareal - resultat'!$L$4:$N$4,0)))),IF(C392=2030,SUMPRODUCT((B392='Landbrugsareal - resultat'!$B$5:$B$18)*(INDEX('Landbrugsareal - resultat'!$O$5:$Q$18,,MATCH(E392,'Landbrugsareal - resultat'!$O$4:$Q$4,0)))),SUMPRODUCT((B392='Landbrugsareal - resultat'!$B$5:$B$18)*(INDEX('Landbrugsareal - resultat'!$R$5:$T$18,,MATCH(E392,'Landbrugsareal - resultat'!$R$4:$T$4,0))))))),IF(D392="Konventionel",IF(C392=2019,SUMPRODUCT((B392='Landbrugsareal - resultat'!$B$32:$B$45)*(INDEX('Landbrugsareal - resultat'!$C$32:$E$45,,MATCH(E392,'Landbrugsareal - resultat'!$C$4:$E$4,0)))),IF(C392=2030,SUMPRODUCT((B392='Landbrugsareal - resultat'!$B$32:$B$45)*(INDEX('Landbrugsareal - resultat'!$F$32:$H$45,,MATCH(E392,'Landbrugsareal - resultat'!$F$4:$H$4,0)))),SUMPRODUCT((B392='Landbrugsareal - resultat'!$B$32:$B$45)*(INDEX('Landbrugsareal - resultat'!$I$32:$K$45,,MATCH(E392,'Landbrugsareal - resultat'!$I$4:$K$4,0)))))),IF(C392=2019,SUMPRODUCT((B392='Landbrugsareal - resultat'!$B$32:$B$45)*(INDEX('Landbrugsareal - resultat'!$L$32:$N$45,,MATCH(E392,'Landbrugsareal - resultat'!$L$4:$N$4,0)))),IF(C392=2030,SUMPRODUCT((B392='Landbrugsareal - resultat'!$B$32:$B$45)*(INDEX('Landbrugsareal - resultat'!$O$32:$Q$45,,MATCH(E392,'Landbrugsareal - resultat'!$O$4:$Q$4,0)))),SUMPRODUCT((B392='Landbrugsareal - resultat'!$B$32:$B$45)*(INDEX('Landbrugsareal - resultat'!$R$32:$T$45,,MATCH(E392,'Landbrugsareal - resultat'!$R$4:$T$4,0))))))))</f>
        <v>9.3853382024492209</v>
      </c>
      <c r="H392" s="172">
        <f>G392*VLOOKUP(B392,[1]Afgrødedata!$A$5:$F$18,2,FALSE)*IF(D392="Økologisk",VLOOKUP(B392,[1]Afgrødedata!$A$5:$F$18,4,FALSE),1)*IF(E392&lt;&gt;Jordbund1,IF(E392=Organ6,VLOOKUP(B392,[1]Afgrødedata!$A$5:$F$18,5,FALSE),VLOOKUP(B392,[1]Afgrødedata!$A$5:$F$18,6,FALSE)),1)*0.1</f>
        <v>156.57491049939676</v>
      </c>
      <c r="I392" s="172">
        <f>G392*VLOOKUP(B392,[1]Afgrødedata!$A$5:$F$18,3,FALSE)*IF(D392="Økologisk",VLOOKUP(B392,[1]Afgrødedata!$A$5:$F$18,4,FALSE),1)*IF(E392&lt;&gt;Jordbund1,IF(E392=Organ6,VLOOKUP(B392,[1]Afgrødedata!$A$5:$F$18,5,FALSE),VLOOKUP(B392,[1]Afgrødedata!$A$5:$F$18,6,FALSE)),1)*HLOOKUP(C392,Landbrug!$C$15:$E$17,2,FALSE)*HLOOKUP(C392,Landbrug!$C$15:$E$17,3,FALSE)*0.1</f>
        <v>0</v>
      </c>
      <c r="J392" s="76">
        <f t="shared" si="60"/>
        <v>156.57491049939676</v>
      </c>
    </row>
    <row r="393" spans="1:10" x14ac:dyDescent="0.55000000000000004">
      <c r="A393" t="s">
        <v>24</v>
      </c>
      <c r="B393" s="1" t="str">
        <f>[1]Afgrødefordeling!$C$15</f>
        <v>Permanent græs</v>
      </c>
      <c r="C393">
        <v>2019</v>
      </c>
      <c r="D393" t="s">
        <v>8</v>
      </c>
      <c r="E393" s="172" t="str">
        <f t="shared" si="61"/>
        <v>OC6</v>
      </c>
      <c r="F393" t="str">
        <f t="shared" si="58"/>
        <v>Græs</v>
      </c>
      <c r="G393" s="76" cm="1">
        <f t="array" ref="G393">IF(A393="Vestdanmark",IF(D393="Konventionel",IF(C393=2019,SUMPRODUCT((B393='Landbrugsareal - resultat'!$B$5:$B$18)*(INDEX('Landbrugsareal - resultat'!$C$5:$E$18,,MATCH(E393,'Landbrugsareal - resultat'!$C$4:$E$4,0)))),IF(C393=2030,SUMPRODUCT((B393='Landbrugsareal - resultat'!$B$5:$B$18)*(INDEX('Landbrugsareal - resultat'!$F$5:$H$18,,MATCH(E393,'Landbrugsareal - resultat'!$F$4:$H$4,0)))),SUMPRODUCT((B393='Landbrugsareal - resultat'!$B$5:$B$18)*(INDEX('Landbrugsareal - resultat'!$I$5:$K$18,,MATCH(E393,'Landbrugsareal - resultat'!$I$4:$K$4,0)))))),IF(C393=2019,SUMPRODUCT((B393='Landbrugsareal - resultat'!$B$5:$B$18)*(INDEX('Landbrugsareal - resultat'!$L$5:$N$18,,MATCH(E393,'Landbrugsareal - resultat'!$L$4:$N$4,0)))),IF(C393=2030,SUMPRODUCT((B393='Landbrugsareal - resultat'!$B$5:$B$18)*(INDEX('Landbrugsareal - resultat'!$O$5:$Q$18,,MATCH(E393,'Landbrugsareal - resultat'!$O$4:$Q$4,0)))),SUMPRODUCT((B393='Landbrugsareal - resultat'!$B$5:$B$18)*(INDEX('Landbrugsareal - resultat'!$R$5:$T$18,,MATCH(E393,'Landbrugsareal - resultat'!$R$4:$T$4,0))))))),IF(D393="Konventionel",IF(C393=2019,SUMPRODUCT((B393='Landbrugsareal - resultat'!$B$32:$B$45)*(INDEX('Landbrugsareal - resultat'!$C$32:$E$45,,MATCH(E393,'Landbrugsareal - resultat'!$C$4:$E$4,0)))),IF(C393=2030,SUMPRODUCT((B393='Landbrugsareal - resultat'!$B$32:$B$45)*(INDEX('Landbrugsareal - resultat'!$F$32:$H$45,,MATCH(E393,'Landbrugsareal - resultat'!$F$4:$H$4,0)))),SUMPRODUCT((B393='Landbrugsareal - resultat'!$B$32:$B$45)*(INDEX('Landbrugsareal - resultat'!$I$32:$K$45,,MATCH(E393,'Landbrugsareal - resultat'!$I$4:$K$4,0)))))),IF(C393=2019,SUMPRODUCT((B393='Landbrugsareal - resultat'!$B$32:$B$45)*(INDEX('Landbrugsareal - resultat'!$L$32:$N$45,,MATCH(E393,'Landbrugsareal - resultat'!$L$4:$N$4,0)))),IF(C393=2030,SUMPRODUCT((B393='Landbrugsareal - resultat'!$B$32:$B$45)*(INDEX('Landbrugsareal - resultat'!$O$32:$Q$45,,MATCH(E393,'Landbrugsareal - resultat'!$O$4:$Q$4,0)))),SUMPRODUCT((B393='Landbrugsareal - resultat'!$B$32:$B$45)*(INDEX('Landbrugsareal - resultat'!$R$32:$T$45,,MATCH(E393,'Landbrugsareal - resultat'!$R$4:$T$4,0))))))))</f>
        <v>274.12224772100956</v>
      </c>
      <c r="H393" s="172">
        <f>G393*VLOOKUP(B393,[1]Afgrødedata!$A$5:$F$18,2,FALSE)*IF(D393="Økologisk",VLOOKUP(B393,[1]Afgrødedata!$A$5:$F$18,4,FALSE),1)*IF(E393&lt;&gt;Jordbund1,IF(E393=Organ6,VLOOKUP(B393,[1]Afgrødedata!$A$5:$F$18,5,FALSE),VLOOKUP(B393,[1]Afgrødedata!$A$5:$F$18,6,FALSE)),1)*0.1</f>
        <v>4536.1749552872661</v>
      </c>
      <c r="I393" s="172">
        <f>G393*VLOOKUP(B393,[1]Afgrødedata!$A$5:$F$18,3,FALSE)*IF(D393="Økologisk",VLOOKUP(B393,[1]Afgrødedata!$A$5:$F$18,4,FALSE),1)*IF(E393&lt;&gt;Jordbund1,IF(E393=Organ6,VLOOKUP(B393,[1]Afgrødedata!$A$5:$F$18,5,FALSE),VLOOKUP(B393,[1]Afgrødedata!$A$5:$F$18,6,FALSE)),1)*HLOOKUP(C393,Landbrug!$C$15:$E$17,2,FALSE)*HLOOKUP(C393,Landbrug!$C$15:$E$17,3,FALSE)*0.1</f>
        <v>0</v>
      </c>
      <c r="J393" s="76">
        <f t="shared" si="60"/>
        <v>4536.1749552872661</v>
      </c>
    </row>
    <row r="394" spans="1:10" x14ac:dyDescent="0.55000000000000004">
      <c r="A394" t="s">
        <v>24</v>
      </c>
      <c r="B394" s="1" t="str">
        <f>[1]Afgrødefordeling!$C$2</f>
        <v>Korn</v>
      </c>
      <c r="C394">
        <v>2030</v>
      </c>
      <c r="D394" t="s">
        <v>8</v>
      </c>
      <c r="E394" s="172" t="str">
        <f t="shared" si="61"/>
        <v>OC6</v>
      </c>
      <c r="F394" t="str">
        <f t="shared" si="58"/>
        <v>Halm</v>
      </c>
      <c r="G394" s="76" cm="1">
        <f t="array" ref="G394">IF(A394="Vestdanmark",IF(D394="Konventionel",IF(C394=2019,SUMPRODUCT((B394='Landbrugsareal - resultat'!$B$5:$B$18)*(INDEX('Landbrugsareal - resultat'!$C$5:$E$18,,MATCH(E394,'Landbrugsareal - resultat'!$C$4:$E$4,0)))),IF(C394=2030,SUMPRODUCT((B394='Landbrugsareal - resultat'!$B$5:$B$18)*(INDEX('Landbrugsareal - resultat'!$F$5:$H$18,,MATCH(E394,'Landbrugsareal - resultat'!$F$4:$H$4,0)))),SUMPRODUCT((B394='Landbrugsareal - resultat'!$B$5:$B$18)*(INDEX('Landbrugsareal - resultat'!$I$5:$K$18,,MATCH(E394,'Landbrugsareal - resultat'!$I$4:$K$4,0)))))),IF(C394=2019,SUMPRODUCT((B394='Landbrugsareal - resultat'!$B$5:$B$18)*(INDEX('Landbrugsareal - resultat'!$L$5:$N$18,,MATCH(E394,'Landbrugsareal - resultat'!$L$4:$N$4,0)))),IF(C394=2030,SUMPRODUCT((B394='Landbrugsareal - resultat'!$B$5:$B$18)*(INDEX('Landbrugsareal - resultat'!$O$5:$Q$18,,MATCH(E394,'Landbrugsareal - resultat'!$O$4:$Q$4,0)))),SUMPRODUCT((B394='Landbrugsareal - resultat'!$B$5:$B$18)*(INDEX('Landbrugsareal - resultat'!$R$5:$T$18,,MATCH(E394,'Landbrugsareal - resultat'!$R$4:$T$4,0))))))),IF(D394="Konventionel",IF(C394=2019,SUMPRODUCT((B394='Landbrugsareal - resultat'!$B$32:$B$45)*(INDEX('Landbrugsareal - resultat'!$C$32:$E$45,,MATCH(E394,'Landbrugsareal - resultat'!$C$4:$E$4,0)))),IF(C394=2030,SUMPRODUCT((B394='Landbrugsareal - resultat'!$B$32:$B$45)*(INDEX('Landbrugsareal - resultat'!$F$32:$H$45,,MATCH(E394,'Landbrugsareal - resultat'!$F$4:$H$4,0)))),SUMPRODUCT((B394='Landbrugsareal - resultat'!$B$32:$B$45)*(INDEX('Landbrugsareal - resultat'!$I$32:$K$45,,MATCH(E394,'Landbrugsareal - resultat'!$I$4:$K$4,0)))))),IF(C394=2019,SUMPRODUCT((B394='Landbrugsareal - resultat'!$B$32:$B$45)*(INDEX('Landbrugsareal - resultat'!$L$32:$N$45,,MATCH(E394,'Landbrugsareal - resultat'!$L$4:$N$4,0)))),IF(C394=2030,SUMPRODUCT((B394='Landbrugsareal - resultat'!$B$32:$B$45)*(INDEX('Landbrugsareal - resultat'!$O$32:$Q$45,,MATCH(E394,'Landbrugsareal - resultat'!$O$4:$Q$4,0)))),SUMPRODUCT((B394='Landbrugsareal - resultat'!$B$32:$B$45)*(INDEX('Landbrugsareal - resultat'!$R$32:$T$45,,MATCH(E394,'Landbrugsareal - resultat'!$R$4:$T$4,0))))))))</f>
        <v>468.91589228895612</v>
      </c>
      <c r="H394" s="172">
        <f>G394*VLOOKUP(B394,[1]Afgrødedata!$A$5:$F$18,2,FALSE)*IF(D394="Økologisk",VLOOKUP(B394,[1]Afgrødedata!$A$5:$F$18,4,FALSE),1)*IF(E394&lt;&gt;Jordbund1,IF(E394=Organ6,VLOOKUP(B394,[1]Afgrødedata!$A$5:$F$18,5,FALSE),VLOOKUP(B394,[1]Afgrødedata!$A$5:$F$18,6,FALSE)),1)*0.1</f>
        <v>2642.828725576248</v>
      </c>
      <c r="I394" s="172">
        <f>G394*VLOOKUP(B394,[1]Afgrødedata!$A$5:$F$18,3,FALSE)*IF(D394="Økologisk",VLOOKUP(B394,[1]Afgrødedata!$A$5:$F$18,4,FALSE),1)*IF(E394&lt;&gt;Jordbund1,IF(E394=Organ6,VLOOKUP(B394,[1]Afgrødedata!$A$5:$F$18,5,FALSE),VLOOKUP(B394,[1]Afgrødedata!$A$5:$F$18,6,FALSE)),1)*HLOOKUP(C394,Landbrug!$C$15:$E$17,2,FALSE)*HLOOKUP(C394,Landbrug!$C$15:$E$17,3,FALSE)*0.1</f>
        <v>857.59792144949267</v>
      </c>
      <c r="J394" s="76">
        <f t="shared" si="60"/>
        <v>857.59792144949267</v>
      </c>
    </row>
    <row r="395" spans="1:10" x14ac:dyDescent="0.55000000000000004">
      <c r="A395" t="s">
        <v>24</v>
      </c>
      <c r="B395" s="1" t="str">
        <f>[1]Afgrødefordeling!$C$3</f>
        <v>Bælgsæd</v>
      </c>
      <c r="C395">
        <v>2030</v>
      </c>
      <c r="D395" t="s">
        <v>8</v>
      </c>
      <c r="E395" s="172" t="str">
        <f t="shared" si="61"/>
        <v>OC6</v>
      </c>
      <c r="F395" t="str">
        <f t="shared" si="58"/>
        <v>Halm</v>
      </c>
      <c r="G395" s="76" cm="1">
        <f t="array" ref="G395">IF(A395="Vestdanmark",IF(D395="Konventionel",IF(C395=2019,SUMPRODUCT((B395='Landbrugsareal - resultat'!$B$5:$B$18)*(INDEX('Landbrugsareal - resultat'!$C$5:$E$18,,MATCH(E395,'Landbrugsareal - resultat'!$C$4:$E$4,0)))),IF(C395=2030,SUMPRODUCT((B395='Landbrugsareal - resultat'!$B$5:$B$18)*(INDEX('Landbrugsareal - resultat'!$F$5:$H$18,,MATCH(E395,'Landbrugsareal - resultat'!$F$4:$H$4,0)))),SUMPRODUCT((B395='Landbrugsareal - resultat'!$B$5:$B$18)*(INDEX('Landbrugsareal - resultat'!$I$5:$K$18,,MATCH(E395,'Landbrugsareal - resultat'!$I$4:$K$4,0)))))),IF(C395=2019,SUMPRODUCT((B395='Landbrugsareal - resultat'!$B$5:$B$18)*(INDEX('Landbrugsareal - resultat'!$L$5:$N$18,,MATCH(E395,'Landbrugsareal - resultat'!$L$4:$N$4,0)))),IF(C395=2030,SUMPRODUCT((B395='Landbrugsareal - resultat'!$B$5:$B$18)*(INDEX('Landbrugsareal - resultat'!$O$5:$Q$18,,MATCH(E395,'Landbrugsareal - resultat'!$O$4:$Q$4,0)))),SUMPRODUCT((B395='Landbrugsareal - resultat'!$B$5:$B$18)*(INDEX('Landbrugsareal - resultat'!$R$5:$T$18,,MATCH(E395,'Landbrugsareal - resultat'!$R$4:$T$4,0))))))),IF(D395="Konventionel",IF(C395=2019,SUMPRODUCT((B395='Landbrugsareal - resultat'!$B$32:$B$45)*(INDEX('Landbrugsareal - resultat'!$C$32:$E$45,,MATCH(E395,'Landbrugsareal - resultat'!$C$4:$E$4,0)))),IF(C395=2030,SUMPRODUCT((B395='Landbrugsareal - resultat'!$B$32:$B$45)*(INDEX('Landbrugsareal - resultat'!$F$32:$H$45,,MATCH(E395,'Landbrugsareal - resultat'!$F$4:$H$4,0)))),SUMPRODUCT((B395='Landbrugsareal - resultat'!$B$32:$B$45)*(INDEX('Landbrugsareal - resultat'!$I$32:$K$45,,MATCH(E395,'Landbrugsareal - resultat'!$I$4:$K$4,0)))))),IF(C395=2019,SUMPRODUCT((B395='Landbrugsareal - resultat'!$B$32:$B$45)*(INDEX('Landbrugsareal - resultat'!$L$32:$N$45,,MATCH(E395,'Landbrugsareal - resultat'!$L$4:$N$4,0)))),IF(C395=2030,SUMPRODUCT((B395='Landbrugsareal - resultat'!$B$32:$B$45)*(INDEX('Landbrugsareal - resultat'!$O$32:$Q$45,,MATCH(E395,'Landbrugsareal - resultat'!$O$4:$Q$4,0)))),SUMPRODUCT((B395='Landbrugsareal - resultat'!$B$32:$B$45)*(INDEX('Landbrugsareal - resultat'!$R$32:$T$45,,MATCH(E395,'Landbrugsareal - resultat'!$R$4:$T$4,0))))))))</f>
        <v>12.680235280995165</v>
      </c>
      <c r="H395" s="172">
        <f>G395*VLOOKUP(B395,[1]Afgrødedata!$A$5:$F$18,2,FALSE)*IF(D395="Økologisk",VLOOKUP(B395,[1]Afgrødedata!$A$5:$F$18,4,FALSE),1)*IF(E395&lt;&gt;Jordbund1,IF(E395=Organ6,VLOOKUP(B395,[1]Afgrødedata!$A$5:$F$18,5,FALSE),VLOOKUP(B395,[1]Afgrødedata!$A$5:$F$18,6,FALSE)),1)*0.1</f>
        <v>33.478864398294675</v>
      </c>
      <c r="I395" s="172">
        <f>G395*VLOOKUP(B395,[1]Afgrødedata!$A$5:$F$18,3,FALSE)*IF(D395="Økologisk",VLOOKUP(B395,[1]Afgrødedata!$A$5:$F$18,4,FALSE),1)*IF(E395&lt;&gt;Jordbund1,IF(E395=Organ6,VLOOKUP(B395,[1]Afgrødedata!$A$5:$F$18,5,FALSE),VLOOKUP(B395,[1]Afgrødedata!$A$5:$F$18,6,FALSE)),1)*HLOOKUP(C395,Landbrug!$C$15:$E$17,2,FALSE)*HLOOKUP(C395,Landbrug!$C$15:$E$17,3,FALSE)*0.1</f>
        <v>9.8813822332469243</v>
      </c>
      <c r="J395" s="76">
        <f t="shared" si="60"/>
        <v>9.8813822332469243</v>
      </c>
    </row>
    <row r="396" spans="1:10" x14ac:dyDescent="0.55000000000000004">
      <c r="A396" t="s">
        <v>24</v>
      </c>
      <c r="B396" s="1" t="str">
        <f>[1]Afgrødefordeling!$C$4</f>
        <v>Raps</v>
      </c>
      <c r="C396">
        <v>2030</v>
      </c>
      <c r="D396" t="s">
        <v>8</v>
      </c>
      <c r="E396" s="172" t="str">
        <f t="shared" si="61"/>
        <v>OC6</v>
      </c>
      <c r="F396" t="str">
        <f t="shared" si="58"/>
        <v>Halm</v>
      </c>
      <c r="G396" s="76" cm="1">
        <f t="array" ref="G396">IF(A396="Vestdanmark",IF(D396="Konventionel",IF(C396=2019,SUMPRODUCT((B396='Landbrugsareal - resultat'!$B$5:$B$18)*(INDEX('Landbrugsareal - resultat'!$C$5:$E$18,,MATCH(E396,'Landbrugsareal - resultat'!$C$4:$E$4,0)))),IF(C396=2030,SUMPRODUCT((B396='Landbrugsareal - resultat'!$B$5:$B$18)*(INDEX('Landbrugsareal - resultat'!$F$5:$H$18,,MATCH(E396,'Landbrugsareal - resultat'!$F$4:$H$4,0)))),SUMPRODUCT((B396='Landbrugsareal - resultat'!$B$5:$B$18)*(INDEX('Landbrugsareal - resultat'!$I$5:$K$18,,MATCH(E396,'Landbrugsareal - resultat'!$I$4:$K$4,0)))))),IF(C396=2019,SUMPRODUCT((B396='Landbrugsareal - resultat'!$B$5:$B$18)*(INDEX('Landbrugsareal - resultat'!$L$5:$N$18,,MATCH(E396,'Landbrugsareal - resultat'!$L$4:$N$4,0)))),IF(C396=2030,SUMPRODUCT((B396='Landbrugsareal - resultat'!$B$5:$B$18)*(INDEX('Landbrugsareal - resultat'!$O$5:$Q$18,,MATCH(E396,'Landbrugsareal - resultat'!$O$4:$Q$4,0)))),SUMPRODUCT((B396='Landbrugsareal - resultat'!$B$5:$B$18)*(INDEX('Landbrugsareal - resultat'!$R$5:$T$18,,MATCH(E396,'Landbrugsareal - resultat'!$R$4:$T$4,0))))))),IF(D396="Konventionel",IF(C396=2019,SUMPRODUCT((B396='Landbrugsareal - resultat'!$B$32:$B$45)*(INDEX('Landbrugsareal - resultat'!$C$32:$E$45,,MATCH(E396,'Landbrugsareal - resultat'!$C$4:$E$4,0)))),IF(C396=2030,SUMPRODUCT((B396='Landbrugsareal - resultat'!$B$32:$B$45)*(INDEX('Landbrugsareal - resultat'!$F$32:$H$45,,MATCH(E396,'Landbrugsareal - resultat'!$F$4:$H$4,0)))),SUMPRODUCT((B396='Landbrugsareal - resultat'!$B$32:$B$45)*(INDEX('Landbrugsareal - resultat'!$I$32:$K$45,,MATCH(E396,'Landbrugsareal - resultat'!$I$4:$K$4,0)))))),IF(C396=2019,SUMPRODUCT((B396='Landbrugsareal - resultat'!$B$32:$B$45)*(INDEX('Landbrugsareal - resultat'!$L$32:$N$45,,MATCH(E396,'Landbrugsareal - resultat'!$L$4:$N$4,0)))),IF(C396=2030,SUMPRODUCT((B396='Landbrugsareal - resultat'!$B$32:$B$45)*(INDEX('Landbrugsareal - resultat'!$O$32:$Q$45,,MATCH(E396,'Landbrugsareal - resultat'!$O$4:$Q$4,0)))),SUMPRODUCT((B396='Landbrugsareal - resultat'!$B$32:$B$45)*(INDEX('Landbrugsareal - resultat'!$R$32:$T$45,,MATCH(E396,'Landbrugsareal - resultat'!$R$4:$T$4,0))))))))</f>
        <v>51.217451121826805</v>
      </c>
      <c r="H396" s="172">
        <f>G396*VLOOKUP(B396,[1]Afgrødedata!$A$5:$F$18,2,FALSE)*IF(D396="Økologisk",VLOOKUP(B396,[1]Afgrødedata!$A$5:$F$18,4,FALSE),1)*IF(E396&lt;&gt;Jordbund1,IF(E396=Organ6,VLOOKUP(B396,[1]Afgrødedata!$A$5:$F$18,5,FALSE),VLOOKUP(B396,[1]Afgrødedata!$A$5:$F$18,6,FALSE)),1)*0.1</f>
        <v>148.73547805778509</v>
      </c>
      <c r="I396" s="172">
        <f>G396*VLOOKUP(B396,[1]Afgrødedata!$A$5:$F$18,3,FALSE)*IF(D396="Økologisk",VLOOKUP(B396,[1]Afgrødedata!$A$5:$F$18,4,FALSE),1)*IF(E396&lt;&gt;Jordbund1,IF(E396=Organ6,VLOOKUP(B396,[1]Afgrødedata!$A$5:$F$18,5,FALSE),VLOOKUP(B396,[1]Afgrødedata!$A$5:$F$18,6,FALSE)),1)*HLOOKUP(C396,Landbrug!$C$15:$E$17,2,FALSE)*HLOOKUP(C396,Landbrug!$C$15:$E$17,3,FALSE)*0.1</f>
        <v>78.978538848683883</v>
      </c>
      <c r="J396" s="76">
        <f t="shared" si="60"/>
        <v>78.978538848683883</v>
      </c>
    </row>
    <row r="397" spans="1:10" x14ac:dyDescent="0.55000000000000004">
      <c r="A397" t="s">
        <v>24</v>
      </c>
      <c r="B397" s="1" t="str">
        <f>[1]Afgrødefordeling!$C$5</f>
        <v>Græs</v>
      </c>
      <c r="C397">
        <v>2030</v>
      </c>
      <c r="D397" t="s">
        <v>8</v>
      </c>
      <c r="E397" s="172" t="str">
        <f t="shared" si="61"/>
        <v>OC6</v>
      </c>
      <c r="F397" t="str">
        <f t="shared" si="58"/>
        <v>Græs</v>
      </c>
      <c r="G397" s="76" cm="1">
        <f t="array" ref="G397">IF(A397="Vestdanmark",IF(D397="Konventionel",IF(C397=2019,SUMPRODUCT((B397='Landbrugsareal - resultat'!$B$5:$B$18)*(INDEX('Landbrugsareal - resultat'!$C$5:$E$18,,MATCH(E397,'Landbrugsareal - resultat'!$C$4:$E$4,0)))),IF(C397=2030,SUMPRODUCT((B397='Landbrugsareal - resultat'!$B$5:$B$18)*(INDEX('Landbrugsareal - resultat'!$F$5:$H$18,,MATCH(E397,'Landbrugsareal - resultat'!$F$4:$H$4,0)))),SUMPRODUCT((B397='Landbrugsareal - resultat'!$B$5:$B$18)*(INDEX('Landbrugsareal - resultat'!$I$5:$K$18,,MATCH(E397,'Landbrugsareal - resultat'!$I$4:$K$4,0)))))),IF(C397=2019,SUMPRODUCT((B397='Landbrugsareal - resultat'!$B$5:$B$18)*(INDEX('Landbrugsareal - resultat'!$L$5:$N$18,,MATCH(E397,'Landbrugsareal - resultat'!$L$4:$N$4,0)))),IF(C397=2030,SUMPRODUCT((B397='Landbrugsareal - resultat'!$B$5:$B$18)*(INDEX('Landbrugsareal - resultat'!$O$5:$Q$18,,MATCH(E397,'Landbrugsareal - resultat'!$O$4:$Q$4,0)))),SUMPRODUCT((B397='Landbrugsareal - resultat'!$B$5:$B$18)*(INDEX('Landbrugsareal - resultat'!$R$5:$T$18,,MATCH(E397,'Landbrugsareal - resultat'!$R$4:$T$4,0))))))),IF(D397="Konventionel",IF(C397=2019,SUMPRODUCT((B397='Landbrugsareal - resultat'!$B$32:$B$45)*(INDEX('Landbrugsareal - resultat'!$C$32:$E$45,,MATCH(E397,'Landbrugsareal - resultat'!$C$4:$E$4,0)))),IF(C397=2030,SUMPRODUCT((B397='Landbrugsareal - resultat'!$B$32:$B$45)*(INDEX('Landbrugsareal - resultat'!$F$32:$H$45,,MATCH(E397,'Landbrugsareal - resultat'!$F$4:$H$4,0)))),SUMPRODUCT((B397='Landbrugsareal - resultat'!$B$32:$B$45)*(INDEX('Landbrugsareal - resultat'!$I$32:$K$45,,MATCH(E397,'Landbrugsareal - resultat'!$I$4:$K$4,0)))))),IF(C397=2019,SUMPRODUCT((B397='Landbrugsareal - resultat'!$B$32:$B$45)*(INDEX('Landbrugsareal - resultat'!$L$32:$N$45,,MATCH(E397,'Landbrugsareal - resultat'!$L$4:$N$4,0)))),IF(C397=2030,SUMPRODUCT((B397='Landbrugsareal - resultat'!$B$32:$B$45)*(INDEX('Landbrugsareal - resultat'!$O$32:$Q$45,,MATCH(E397,'Landbrugsareal - resultat'!$O$4:$Q$4,0)))),SUMPRODUCT((B397='Landbrugsareal - resultat'!$B$32:$B$45)*(INDEX('Landbrugsareal - resultat'!$R$32:$T$45,,MATCH(E397,'Landbrugsareal - resultat'!$R$4:$T$4,0))))))))</f>
        <v>150.60076659070219</v>
      </c>
      <c r="H397" s="172">
        <f>G397*VLOOKUP(B397,[1]Afgrødedata!$A$5:$F$18,2,FALSE)*IF(D397="Økologisk",VLOOKUP(B397,[1]Afgrødedata!$A$5:$F$18,4,FALSE),1)*IF(E397&lt;&gt;Jordbund1,IF(E397=Organ6,VLOOKUP(B397,[1]Afgrødedata!$A$5:$F$18,5,FALSE),VLOOKUP(B397,[1]Afgrødedata!$A$5:$F$18,6,FALSE)),1)*0.1</f>
        <v>6994.5501957838824</v>
      </c>
      <c r="I397" s="172">
        <f>G397*VLOOKUP(B397,[1]Afgrødedata!$A$5:$F$18,3,FALSE)*IF(D397="Økologisk",VLOOKUP(B397,[1]Afgrødedata!$A$5:$F$18,4,FALSE),1)*IF(E397&lt;&gt;Jordbund1,IF(E397=Organ6,VLOOKUP(B397,[1]Afgrødedata!$A$5:$F$18,5,FALSE),VLOOKUP(B397,[1]Afgrødedata!$A$5:$F$18,6,FALSE)),1)*HLOOKUP(C397,Landbrug!$C$15:$E$17,2,FALSE)*HLOOKUP(C397,Landbrug!$C$15:$E$17,3,FALSE)*0.1</f>
        <v>0</v>
      </c>
      <c r="J397" s="76">
        <f t="shared" si="60"/>
        <v>6994.5501957838824</v>
      </c>
    </row>
    <row r="398" spans="1:10" x14ac:dyDescent="0.55000000000000004">
      <c r="A398" t="s">
        <v>24</v>
      </c>
      <c r="B398" s="1" t="str">
        <f>[1]Afgrødefordeling!$C$6</f>
        <v>Grøntsager</v>
      </c>
      <c r="C398">
        <v>2030</v>
      </c>
      <c r="D398" t="s">
        <v>8</v>
      </c>
      <c r="E398" s="172" t="str">
        <f t="shared" si="61"/>
        <v>OC6</v>
      </c>
      <c r="F398" t="str">
        <f t="shared" si="58"/>
        <v>Grøntsager</v>
      </c>
      <c r="G398" s="76" cm="1">
        <f t="array" ref="G398">IF(A398="Vestdanmark",IF(D398="Konventionel",IF(C398=2019,SUMPRODUCT((B398='Landbrugsareal - resultat'!$B$5:$B$18)*(INDEX('Landbrugsareal - resultat'!$C$5:$E$18,,MATCH(E398,'Landbrugsareal - resultat'!$C$4:$E$4,0)))),IF(C398=2030,SUMPRODUCT((B398='Landbrugsareal - resultat'!$B$5:$B$18)*(INDEX('Landbrugsareal - resultat'!$F$5:$H$18,,MATCH(E398,'Landbrugsareal - resultat'!$F$4:$H$4,0)))),SUMPRODUCT((B398='Landbrugsareal - resultat'!$B$5:$B$18)*(INDEX('Landbrugsareal - resultat'!$I$5:$K$18,,MATCH(E398,'Landbrugsareal - resultat'!$I$4:$K$4,0)))))),IF(C398=2019,SUMPRODUCT((B398='Landbrugsareal - resultat'!$B$5:$B$18)*(INDEX('Landbrugsareal - resultat'!$L$5:$N$18,,MATCH(E398,'Landbrugsareal - resultat'!$L$4:$N$4,0)))),IF(C398=2030,SUMPRODUCT((B398='Landbrugsareal - resultat'!$B$5:$B$18)*(INDEX('Landbrugsareal - resultat'!$O$5:$Q$18,,MATCH(E398,'Landbrugsareal - resultat'!$O$4:$Q$4,0)))),SUMPRODUCT((B398='Landbrugsareal - resultat'!$B$5:$B$18)*(INDEX('Landbrugsareal - resultat'!$R$5:$T$18,,MATCH(E398,'Landbrugsareal - resultat'!$R$4:$T$4,0))))))),IF(D398="Konventionel",IF(C398=2019,SUMPRODUCT((B398='Landbrugsareal - resultat'!$B$32:$B$45)*(INDEX('Landbrugsareal - resultat'!$C$32:$E$45,,MATCH(E398,'Landbrugsareal - resultat'!$C$4:$E$4,0)))),IF(C398=2030,SUMPRODUCT((B398='Landbrugsareal - resultat'!$B$32:$B$45)*(INDEX('Landbrugsareal - resultat'!$F$32:$H$45,,MATCH(E398,'Landbrugsareal - resultat'!$F$4:$H$4,0)))),SUMPRODUCT((B398='Landbrugsareal - resultat'!$B$32:$B$45)*(INDEX('Landbrugsareal - resultat'!$I$32:$K$45,,MATCH(E398,'Landbrugsareal - resultat'!$I$4:$K$4,0)))))),IF(C398=2019,SUMPRODUCT((B398='Landbrugsareal - resultat'!$B$32:$B$45)*(INDEX('Landbrugsareal - resultat'!$L$32:$N$45,,MATCH(E398,'Landbrugsareal - resultat'!$L$4:$N$4,0)))),IF(C398=2030,SUMPRODUCT((B398='Landbrugsareal - resultat'!$B$32:$B$45)*(INDEX('Landbrugsareal - resultat'!$O$32:$Q$45,,MATCH(E398,'Landbrugsareal - resultat'!$O$4:$Q$4,0)))),SUMPRODUCT((B398='Landbrugsareal - resultat'!$B$32:$B$45)*(INDEX('Landbrugsareal - resultat'!$R$32:$T$45,,MATCH(E398,'Landbrugsareal - resultat'!$R$4:$T$4,0))))))))</f>
        <v>2.8522154231460375</v>
      </c>
      <c r="H398" s="172">
        <f>G398*VLOOKUP(B398,[1]Afgrødedata!$A$5:$F$18,2,FALSE)*IF(D398="Økologisk",VLOOKUP(B398,[1]Afgrødedata!$A$5:$F$18,4,FALSE),1)*IF(E398&lt;&gt;Jordbund1,IF(E398=Organ6,VLOOKUP(B398,[1]Afgrødedata!$A$5:$F$18,5,FALSE),VLOOKUP(B398,[1]Afgrødedata!$A$5:$F$18,6,FALSE)),1)*0.1</f>
        <v>40.481493500711707</v>
      </c>
      <c r="I398" s="172">
        <f>G398*VLOOKUP(B398,[1]Afgrødedata!$A$5:$F$18,3,FALSE)*IF(D398="Økologisk",VLOOKUP(B398,[1]Afgrødedata!$A$5:$F$18,4,FALSE),1)*IF(E398&lt;&gt;Jordbund1,IF(E398=Organ6,VLOOKUP(B398,[1]Afgrødedata!$A$5:$F$18,5,FALSE),VLOOKUP(B398,[1]Afgrødedata!$A$5:$F$18,6,FALSE)),1)*HLOOKUP(C398,Landbrug!$C$15:$E$17,2,FALSE)*HLOOKUP(C398,Landbrug!$C$15:$E$17,3,FALSE)*0.1</f>
        <v>0</v>
      </c>
      <c r="J398" s="76">
        <f t="shared" si="60"/>
        <v>40.481493500711707</v>
      </c>
    </row>
    <row r="399" spans="1:10" x14ac:dyDescent="0.55000000000000004">
      <c r="A399" t="s">
        <v>24</v>
      </c>
      <c r="B399" s="1" t="str">
        <f>[1]Afgrødefordeling!$C$7</f>
        <v>Kartofler</v>
      </c>
      <c r="C399">
        <v>2030</v>
      </c>
      <c r="D399" t="s">
        <v>8</v>
      </c>
      <c r="E399" s="172" t="str">
        <f t="shared" si="61"/>
        <v>OC6</v>
      </c>
      <c r="F399" t="str">
        <f t="shared" si="58"/>
        <v>Kartofler</v>
      </c>
      <c r="G399" s="76" cm="1">
        <f t="array" ref="G399">IF(A399="Vestdanmark",IF(D399="Konventionel",IF(C399=2019,SUMPRODUCT((B399='Landbrugsareal - resultat'!$B$5:$B$18)*(INDEX('Landbrugsareal - resultat'!$C$5:$E$18,,MATCH(E399,'Landbrugsareal - resultat'!$C$4:$E$4,0)))),IF(C399=2030,SUMPRODUCT((B399='Landbrugsareal - resultat'!$B$5:$B$18)*(INDEX('Landbrugsareal - resultat'!$F$5:$H$18,,MATCH(E399,'Landbrugsareal - resultat'!$F$4:$H$4,0)))),SUMPRODUCT((B399='Landbrugsareal - resultat'!$B$5:$B$18)*(INDEX('Landbrugsareal - resultat'!$I$5:$K$18,,MATCH(E399,'Landbrugsareal - resultat'!$I$4:$K$4,0)))))),IF(C399=2019,SUMPRODUCT((B399='Landbrugsareal - resultat'!$B$5:$B$18)*(INDEX('Landbrugsareal - resultat'!$L$5:$N$18,,MATCH(E399,'Landbrugsareal - resultat'!$L$4:$N$4,0)))),IF(C399=2030,SUMPRODUCT((B399='Landbrugsareal - resultat'!$B$5:$B$18)*(INDEX('Landbrugsareal - resultat'!$O$5:$Q$18,,MATCH(E399,'Landbrugsareal - resultat'!$O$4:$Q$4,0)))),SUMPRODUCT((B399='Landbrugsareal - resultat'!$B$5:$B$18)*(INDEX('Landbrugsareal - resultat'!$R$5:$T$18,,MATCH(E399,'Landbrugsareal - resultat'!$R$4:$T$4,0))))))),IF(D399="Konventionel",IF(C399=2019,SUMPRODUCT((B399='Landbrugsareal - resultat'!$B$32:$B$45)*(INDEX('Landbrugsareal - resultat'!$C$32:$E$45,,MATCH(E399,'Landbrugsareal - resultat'!$C$4:$E$4,0)))),IF(C399=2030,SUMPRODUCT((B399='Landbrugsareal - resultat'!$B$32:$B$45)*(INDEX('Landbrugsareal - resultat'!$F$32:$H$45,,MATCH(E399,'Landbrugsareal - resultat'!$F$4:$H$4,0)))),SUMPRODUCT((B399='Landbrugsareal - resultat'!$B$32:$B$45)*(INDEX('Landbrugsareal - resultat'!$I$32:$K$45,,MATCH(E399,'Landbrugsareal - resultat'!$I$4:$K$4,0)))))),IF(C399=2019,SUMPRODUCT((B399='Landbrugsareal - resultat'!$B$32:$B$45)*(INDEX('Landbrugsareal - resultat'!$L$32:$N$45,,MATCH(E399,'Landbrugsareal - resultat'!$L$4:$N$4,0)))),IF(C399=2030,SUMPRODUCT((B399='Landbrugsareal - resultat'!$B$32:$B$45)*(INDEX('Landbrugsareal - resultat'!$O$32:$Q$45,,MATCH(E399,'Landbrugsareal - resultat'!$O$4:$Q$4,0)))),SUMPRODUCT((B399='Landbrugsareal - resultat'!$B$32:$B$45)*(INDEX('Landbrugsareal - resultat'!$R$32:$T$45,,MATCH(E399,'Landbrugsareal - resultat'!$R$4:$T$4,0))))))))</f>
        <v>4.8490272609671052</v>
      </c>
      <c r="H399" s="172">
        <f>G399*VLOOKUP(B399,[1]Afgrødedata!$A$5:$F$18,2,FALSE)*IF(D399="Økologisk",VLOOKUP(B399,[1]Afgrødedata!$A$5:$F$18,4,FALSE),1)*IF(E399&lt;&gt;Jordbund1,IF(E399=Organ6,VLOOKUP(B399,[1]Afgrødedata!$A$5:$F$18,5,FALSE),VLOOKUP(B399,[1]Afgrødedata!$A$5:$F$18,6,FALSE)),1)*0.1</f>
        <v>140.86470374321448</v>
      </c>
      <c r="I399" s="172">
        <f>G399*VLOOKUP(B399,[1]Afgrødedata!$A$5:$F$18,3,FALSE)*IF(D399="Økologisk",VLOOKUP(B399,[1]Afgrødedata!$A$5:$F$18,4,FALSE),1)*IF(E399&lt;&gt;Jordbund1,IF(E399=Organ6,VLOOKUP(B399,[1]Afgrødedata!$A$5:$F$18,5,FALSE),VLOOKUP(B399,[1]Afgrødedata!$A$5:$F$18,6,FALSE)),1)*HLOOKUP(C399,Landbrug!$C$15:$E$17,2,FALSE)*HLOOKUP(C399,Landbrug!$C$15:$E$17,3,FALSE)*0.1</f>
        <v>0</v>
      </c>
      <c r="J399" s="76">
        <f t="shared" si="60"/>
        <v>140.86470374321448</v>
      </c>
    </row>
    <row r="400" spans="1:10" x14ac:dyDescent="0.55000000000000004">
      <c r="A400" t="s">
        <v>24</v>
      </c>
      <c r="B400" s="1" t="str">
        <f>[1]Afgrødefordeling!$C$8</f>
        <v>Roer</v>
      </c>
      <c r="C400">
        <v>2030</v>
      </c>
      <c r="D400" t="s">
        <v>8</v>
      </c>
      <c r="E400" s="172" t="str">
        <f t="shared" si="61"/>
        <v>OC6</v>
      </c>
      <c r="F400" t="str">
        <f t="shared" ref="F400:F467" si="62">IF(I400&lt;&gt;0,"Halm",IF(B400&lt;&gt;"Permanent græs",B400,"Græs"))</f>
        <v>Roer</v>
      </c>
      <c r="G400" s="76" cm="1">
        <f t="array" ref="G400">IF(A400="Vestdanmark",IF(D400="Konventionel",IF(C400=2019,SUMPRODUCT((B400='Landbrugsareal - resultat'!$B$5:$B$18)*(INDEX('Landbrugsareal - resultat'!$C$5:$E$18,,MATCH(E400,'Landbrugsareal - resultat'!$C$4:$E$4,0)))),IF(C400=2030,SUMPRODUCT((B400='Landbrugsareal - resultat'!$B$5:$B$18)*(INDEX('Landbrugsareal - resultat'!$F$5:$H$18,,MATCH(E400,'Landbrugsareal - resultat'!$F$4:$H$4,0)))),SUMPRODUCT((B400='Landbrugsareal - resultat'!$B$5:$B$18)*(INDEX('Landbrugsareal - resultat'!$I$5:$K$18,,MATCH(E400,'Landbrugsareal - resultat'!$I$4:$K$4,0)))))),IF(C400=2019,SUMPRODUCT((B400='Landbrugsareal - resultat'!$B$5:$B$18)*(INDEX('Landbrugsareal - resultat'!$L$5:$N$18,,MATCH(E400,'Landbrugsareal - resultat'!$L$4:$N$4,0)))),IF(C400=2030,SUMPRODUCT((B400='Landbrugsareal - resultat'!$B$5:$B$18)*(INDEX('Landbrugsareal - resultat'!$O$5:$Q$18,,MATCH(E400,'Landbrugsareal - resultat'!$O$4:$Q$4,0)))),SUMPRODUCT((B400='Landbrugsareal - resultat'!$B$5:$B$18)*(INDEX('Landbrugsareal - resultat'!$R$5:$T$18,,MATCH(E400,'Landbrugsareal - resultat'!$R$4:$T$4,0))))))),IF(D400="Konventionel",IF(C400=2019,SUMPRODUCT((B400='Landbrugsareal - resultat'!$B$32:$B$45)*(INDEX('Landbrugsareal - resultat'!$C$32:$E$45,,MATCH(E400,'Landbrugsareal - resultat'!$C$4:$E$4,0)))),IF(C400=2030,SUMPRODUCT((B400='Landbrugsareal - resultat'!$B$32:$B$45)*(INDEX('Landbrugsareal - resultat'!$F$32:$H$45,,MATCH(E400,'Landbrugsareal - resultat'!$F$4:$H$4,0)))),SUMPRODUCT((B400='Landbrugsareal - resultat'!$B$32:$B$45)*(INDEX('Landbrugsareal - resultat'!$I$32:$K$45,,MATCH(E400,'Landbrugsareal - resultat'!$I$4:$K$4,0)))))),IF(C400=2019,SUMPRODUCT((B400='Landbrugsareal - resultat'!$B$32:$B$45)*(INDEX('Landbrugsareal - resultat'!$L$32:$N$45,,MATCH(E400,'Landbrugsareal - resultat'!$L$4:$N$4,0)))),IF(C400=2030,SUMPRODUCT((B400='Landbrugsareal - resultat'!$B$32:$B$45)*(INDEX('Landbrugsareal - resultat'!$O$32:$Q$45,,MATCH(E400,'Landbrugsareal - resultat'!$O$4:$Q$4,0)))),SUMPRODUCT((B400='Landbrugsareal - resultat'!$B$32:$B$45)*(INDEX('Landbrugsareal - resultat'!$R$32:$T$45,,MATCH(E400,'Landbrugsareal - resultat'!$R$4:$T$4,0))))))))</f>
        <v>13.547161982506061</v>
      </c>
      <c r="H400" s="172">
        <f>G400*VLOOKUP(B400,[1]Afgrødedata!$A$5:$F$18,2,FALSE)*IF(D400="Økologisk",VLOOKUP(B400,[1]Afgrødedata!$A$5:$F$18,4,FALSE),1)*IF(E400&lt;&gt;Jordbund1,IF(E400=Organ6,VLOOKUP(B400,[1]Afgrødedata!$A$5:$F$18,5,FALSE),VLOOKUP(B400,[1]Afgrødedata!$A$5:$F$18,6,FALSE)),1)*0.1</f>
        <v>752.91810277029674</v>
      </c>
      <c r="I400" s="172">
        <f>G400*VLOOKUP(B400,[1]Afgrødedata!$A$5:$F$18,3,FALSE)*IF(D400="Økologisk",VLOOKUP(B400,[1]Afgrødedata!$A$5:$F$18,4,FALSE),1)*IF(E400&lt;&gt;Jordbund1,IF(E400=Organ6,VLOOKUP(B400,[1]Afgrødedata!$A$5:$F$18,5,FALSE),VLOOKUP(B400,[1]Afgrødedata!$A$5:$F$18,6,FALSE)),1)*HLOOKUP(C400,Landbrug!$C$15:$E$17,2,FALSE)*HLOOKUP(C400,Landbrug!$C$15:$E$17,3,FALSE)*0.1</f>
        <v>0</v>
      </c>
      <c r="J400" s="76">
        <f t="shared" si="60"/>
        <v>752.91810277029674</v>
      </c>
    </row>
    <row r="401" spans="1:10" x14ac:dyDescent="0.55000000000000004">
      <c r="A401" t="s">
        <v>24</v>
      </c>
      <c r="B401" s="1" t="str">
        <f>[1]Afgrødefordeling!$C$9</f>
        <v>Majs</v>
      </c>
      <c r="C401">
        <v>2030</v>
      </c>
      <c r="D401" t="s">
        <v>8</v>
      </c>
      <c r="E401" s="172" t="str">
        <f t="shared" si="61"/>
        <v>OC6</v>
      </c>
      <c r="F401" t="str">
        <f t="shared" si="62"/>
        <v>Majs</v>
      </c>
      <c r="G401" s="76" cm="1">
        <f t="array" ref="G401">IF(A401="Vestdanmark",IF(D401="Konventionel",IF(C401=2019,SUMPRODUCT((B401='Landbrugsareal - resultat'!$B$5:$B$18)*(INDEX('Landbrugsareal - resultat'!$C$5:$E$18,,MATCH(E401,'Landbrugsareal - resultat'!$C$4:$E$4,0)))),IF(C401=2030,SUMPRODUCT((B401='Landbrugsareal - resultat'!$B$5:$B$18)*(INDEX('Landbrugsareal - resultat'!$F$5:$H$18,,MATCH(E401,'Landbrugsareal - resultat'!$F$4:$H$4,0)))),SUMPRODUCT((B401='Landbrugsareal - resultat'!$B$5:$B$18)*(INDEX('Landbrugsareal - resultat'!$I$5:$K$18,,MATCH(E401,'Landbrugsareal - resultat'!$I$4:$K$4,0)))))),IF(C401=2019,SUMPRODUCT((B401='Landbrugsareal - resultat'!$B$5:$B$18)*(INDEX('Landbrugsareal - resultat'!$L$5:$N$18,,MATCH(E401,'Landbrugsareal - resultat'!$L$4:$N$4,0)))),IF(C401=2030,SUMPRODUCT((B401='Landbrugsareal - resultat'!$B$5:$B$18)*(INDEX('Landbrugsareal - resultat'!$O$5:$Q$18,,MATCH(E401,'Landbrugsareal - resultat'!$O$4:$Q$4,0)))),SUMPRODUCT((B401='Landbrugsareal - resultat'!$B$5:$B$18)*(INDEX('Landbrugsareal - resultat'!$R$5:$T$18,,MATCH(E401,'Landbrugsareal - resultat'!$R$4:$T$4,0))))))),IF(D401="Konventionel",IF(C401=2019,SUMPRODUCT((B401='Landbrugsareal - resultat'!$B$32:$B$45)*(INDEX('Landbrugsareal - resultat'!$C$32:$E$45,,MATCH(E401,'Landbrugsareal - resultat'!$C$4:$E$4,0)))),IF(C401=2030,SUMPRODUCT((B401='Landbrugsareal - resultat'!$B$32:$B$45)*(INDEX('Landbrugsareal - resultat'!$F$32:$H$45,,MATCH(E401,'Landbrugsareal - resultat'!$F$4:$H$4,0)))),SUMPRODUCT((B401='Landbrugsareal - resultat'!$B$32:$B$45)*(INDEX('Landbrugsareal - resultat'!$I$32:$K$45,,MATCH(E401,'Landbrugsareal - resultat'!$I$4:$K$4,0)))))),IF(C401=2019,SUMPRODUCT((B401='Landbrugsareal - resultat'!$B$32:$B$45)*(INDEX('Landbrugsareal - resultat'!$L$32:$N$45,,MATCH(E401,'Landbrugsareal - resultat'!$L$4:$N$4,0)))),IF(C401=2030,SUMPRODUCT((B401='Landbrugsareal - resultat'!$B$32:$B$45)*(INDEX('Landbrugsareal - resultat'!$O$32:$Q$45,,MATCH(E401,'Landbrugsareal - resultat'!$O$4:$Q$4,0)))),SUMPRODUCT((B401='Landbrugsareal - resultat'!$B$32:$B$45)*(INDEX('Landbrugsareal - resultat'!$R$32:$T$45,,MATCH(E401,'Landbrugsareal - resultat'!$R$4:$T$4,0))))))))</f>
        <v>14.443365231357719</v>
      </c>
      <c r="H401" s="172">
        <f>G401*VLOOKUP(B401,[1]Afgrødedata!$A$5:$F$18,2,FALSE)*IF(D401="Økologisk",VLOOKUP(B401,[1]Afgrødedata!$A$5:$F$18,4,FALSE),1)*IF(E401&lt;&gt;Jordbund1,IF(E401=Organ6,VLOOKUP(B401,[1]Afgrødedata!$A$5:$F$18,5,FALSE),VLOOKUP(B401,[1]Afgrødedata!$A$5:$F$18,6,FALSE)),1)*0.1</f>
        <v>640.30268970194118</v>
      </c>
      <c r="I401" s="172">
        <f>G401*VLOOKUP(B401,[1]Afgrødedata!$A$5:$F$18,3,FALSE)*IF(D401="Økologisk",VLOOKUP(B401,[1]Afgrødedata!$A$5:$F$18,4,FALSE),1)*IF(E401&lt;&gt;Jordbund1,IF(E401=Organ6,VLOOKUP(B401,[1]Afgrødedata!$A$5:$F$18,5,FALSE),VLOOKUP(B401,[1]Afgrødedata!$A$5:$F$18,6,FALSE)),1)*HLOOKUP(C401,Landbrug!$C$15:$E$17,2,FALSE)*HLOOKUP(C401,Landbrug!$C$15:$E$17,3,FALSE)*0.1</f>
        <v>0</v>
      </c>
      <c r="J401" s="76">
        <f t="shared" si="60"/>
        <v>640.30268970194118</v>
      </c>
    </row>
    <row r="402" spans="1:10" x14ac:dyDescent="0.55000000000000004">
      <c r="A402" t="s">
        <v>24</v>
      </c>
      <c r="B402" s="1" t="str">
        <f>[1]Afgrødefordeling!$C$10</f>
        <v>Frugt</v>
      </c>
      <c r="C402">
        <v>2030</v>
      </c>
      <c r="D402" t="s">
        <v>8</v>
      </c>
      <c r="E402" s="172" t="str">
        <f t="shared" ref="E402:E421" si="63">Organ6</f>
        <v>OC6</v>
      </c>
      <c r="F402" t="str">
        <f t="shared" si="62"/>
        <v>Frugt</v>
      </c>
      <c r="G402" s="76" cm="1">
        <f t="array" ref="G402">IF(A402="Vestdanmark",IF(D402="Konventionel",IF(C402=2019,SUMPRODUCT((B402='Landbrugsareal - resultat'!$B$5:$B$18)*(INDEX('Landbrugsareal - resultat'!$C$5:$E$18,,MATCH(E402,'Landbrugsareal - resultat'!$C$4:$E$4,0)))),IF(C402=2030,SUMPRODUCT((B402='Landbrugsareal - resultat'!$B$5:$B$18)*(INDEX('Landbrugsareal - resultat'!$F$5:$H$18,,MATCH(E402,'Landbrugsareal - resultat'!$F$4:$H$4,0)))),SUMPRODUCT((B402='Landbrugsareal - resultat'!$B$5:$B$18)*(INDEX('Landbrugsareal - resultat'!$I$5:$K$18,,MATCH(E402,'Landbrugsareal - resultat'!$I$4:$K$4,0)))))),IF(C402=2019,SUMPRODUCT((B402='Landbrugsareal - resultat'!$B$5:$B$18)*(INDEX('Landbrugsareal - resultat'!$L$5:$N$18,,MATCH(E402,'Landbrugsareal - resultat'!$L$4:$N$4,0)))),IF(C402=2030,SUMPRODUCT((B402='Landbrugsareal - resultat'!$B$5:$B$18)*(INDEX('Landbrugsareal - resultat'!$O$5:$Q$18,,MATCH(E402,'Landbrugsareal - resultat'!$O$4:$Q$4,0)))),SUMPRODUCT((B402='Landbrugsareal - resultat'!$B$5:$B$18)*(INDEX('Landbrugsareal - resultat'!$R$5:$T$18,,MATCH(E402,'Landbrugsareal - resultat'!$R$4:$T$4,0))))))),IF(D402="Konventionel",IF(C402=2019,SUMPRODUCT((B402='Landbrugsareal - resultat'!$B$32:$B$45)*(INDEX('Landbrugsareal - resultat'!$C$32:$E$45,,MATCH(E402,'Landbrugsareal - resultat'!$C$4:$E$4,0)))),IF(C402=2030,SUMPRODUCT((B402='Landbrugsareal - resultat'!$B$32:$B$45)*(INDEX('Landbrugsareal - resultat'!$F$32:$H$45,,MATCH(E402,'Landbrugsareal - resultat'!$F$4:$H$4,0)))),SUMPRODUCT((B402='Landbrugsareal - resultat'!$B$32:$B$45)*(INDEX('Landbrugsareal - resultat'!$I$32:$K$45,,MATCH(E402,'Landbrugsareal - resultat'!$I$4:$K$4,0)))))),IF(C402=2019,SUMPRODUCT((B402='Landbrugsareal - resultat'!$B$32:$B$45)*(INDEX('Landbrugsareal - resultat'!$L$32:$N$45,,MATCH(E402,'Landbrugsareal - resultat'!$L$4:$N$4,0)))),IF(C402=2030,SUMPRODUCT((B402='Landbrugsareal - resultat'!$B$32:$B$45)*(INDEX('Landbrugsareal - resultat'!$O$32:$Q$45,,MATCH(E402,'Landbrugsareal - resultat'!$O$4:$Q$4,0)))),SUMPRODUCT((B402='Landbrugsareal - resultat'!$B$32:$B$45)*(INDEX('Landbrugsareal - resultat'!$R$32:$T$45,,MATCH(E402,'Landbrugsareal - resultat'!$R$4:$T$4,0))))))))</f>
        <v>3.1157307859704</v>
      </c>
      <c r="H402" s="172">
        <f>G402*VLOOKUP(B402,[1]Afgrødedata!$A$5:$F$18,2,FALSE)*IF(D402="Økologisk",VLOOKUP(B402,[1]Afgrødedata!$A$5:$F$18,4,FALSE),1)*IF(E402&lt;&gt;Jordbund1,IF(E402=Organ6,VLOOKUP(B402,[1]Afgrødedata!$A$5:$F$18,5,FALSE),VLOOKUP(B402,[1]Afgrødedata!$A$5:$F$18,6,FALSE)),1)*0.1</f>
        <v>18.093547191055869</v>
      </c>
      <c r="I402" s="172">
        <f>G402*VLOOKUP(B402,[1]Afgrødedata!$A$5:$F$18,3,FALSE)*IF(D402="Økologisk",VLOOKUP(B402,[1]Afgrødedata!$A$5:$F$18,4,FALSE),1)*IF(E402&lt;&gt;Jordbund1,IF(E402=Organ6,VLOOKUP(B402,[1]Afgrødedata!$A$5:$F$18,5,FALSE),VLOOKUP(B402,[1]Afgrødedata!$A$5:$F$18,6,FALSE)),1)*HLOOKUP(C402,Landbrug!$C$15:$E$17,2,FALSE)*HLOOKUP(C402,Landbrug!$C$15:$E$17,3,FALSE)*0.1</f>
        <v>0</v>
      </c>
      <c r="J402" s="76">
        <f t="shared" si="60"/>
        <v>18.093547191055869</v>
      </c>
    </row>
    <row r="403" spans="1:10" x14ac:dyDescent="0.55000000000000004">
      <c r="A403" t="s">
        <v>24</v>
      </c>
      <c r="B403" s="1" t="str">
        <f>[1]Afgrødefordeling!$C$11</f>
        <v>Øvrige</v>
      </c>
      <c r="C403">
        <v>2030</v>
      </c>
      <c r="D403" t="s">
        <v>8</v>
      </c>
      <c r="E403" s="172" t="str">
        <f t="shared" si="63"/>
        <v>OC6</v>
      </c>
      <c r="F403" t="str">
        <f t="shared" si="62"/>
        <v>Øvrige</v>
      </c>
      <c r="G403" s="76" cm="1">
        <f t="array" ref="G403">IF(A403="Vestdanmark",IF(D403="Konventionel",IF(C403=2019,SUMPRODUCT((B403='Landbrugsareal - resultat'!$B$5:$B$18)*(INDEX('Landbrugsareal - resultat'!$C$5:$E$18,,MATCH(E403,'Landbrugsareal - resultat'!$C$4:$E$4,0)))),IF(C403=2030,SUMPRODUCT((B403='Landbrugsareal - resultat'!$B$5:$B$18)*(INDEX('Landbrugsareal - resultat'!$F$5:$H$18,,MATCH(E403,'Landbrugsareal - resultat'!$F$4:$H$4,0)))),SUMPRODUCT((B403='Landbrugsareal - resultat'!$B$5:$B$18)*(INDEX('Landbrugsareal - resultat'!$I$5:$K$18,,MATCH(E403,'Landbrugsareal - resultat'!$I$4:$K$4,0)))))),IF(C403=2019,SUMPRODUCT((B403='Landbrugsareal - resultat'!$B$5:$B$18)*(INDEX('Landbrugsareal - resultat'!$L$5:$N$18,,MATCH(E403,'Landbrugsareal - resultat'!$L$4:$N$4,0)))),IF(C403=2030,SUMPRODUCT((B403='Landbrugsareal - resultat'!$B$5:$B$18)*(INDEX('Landbrugsareal - resultat'!$O$5:$Q$18,,MATCH(E403,'Landbrugsareal - resultat'!$O$4:$Q$4,0)))),SUMPRODUCT((B403='Landbrugsareal - resultat'!$B$5:$B$18)*(INDEX('Landbrugsareal - resultat'!$R$5:$T$18,,MATCH(E403,'Landbrugsareal - resultat'!$R$4:$T$4,0))))))),IF(D403="Konventionel",IF(C403=2019,SUMPRODUCT((B403='Landbrugsareal - resultat'!$B$32:$B$45)*(INDEX('Landbrugsareal - resultat'!$C$32:$E$45,,MATCH(E403,'Landbrugsareal - resultat'!$C$4:$E$4,0)))),IF(C403=2030,SUMPRODUCT((B403='Landbrugsareal - resultat'!$B$32:$B$45)*(INDEX('Landbrugsareal - resultat'!$F$32:$H$45,,MATCH(E403,'Landbrugsareal - resultat'!$F$4:$H$4,0)))),SUMPRODUCT((B403='Landbrugsareal - resultat'!$B$32:$B$45)*(INDEX('Landbrugsareal - resultat'!$I$32:$K$45,,MATCH(E403,'Landbrugsareal - resultat'!$I$4:$K$4,0)))))),IF(C403=2019,SUMPRODUCT((B403='Landbrugsareal - resultat'!$B$32:$B$45)*(INDEX('Landbrugsareal - resultat'!$L$32:$N$45,,MATCH(E403,'Landbrugsareal - resultat'!$L$4:$N$4,0)))),IF(C403=2030,SUMPRODUCT((B403='Landbrugsareal - resultat'!$B$32:$B$45)*(INDEX('Landbrugsareal - resultat'!$O$32:$Q$45,,MATCH(E403,'Landbrugsareal - resultat'!$O$4:$Q$4,0)))),SUMPRODUCT((B403='Landbrugsareal - resultat'!$B$32:$B$45)*(INDEX('Landbrugsareal - resultat'!$R$32:$T$45,,MATCH(E403,'Landbrugsareal - resultat'!$R$4:$T$4,0))))))))</f>
        <v>22.247828977713322</v>
      </c>
      <c r="H403" s="172">
        <f>G403*VLOOKUP(B403,[1]Afgrødedata!$A$5:$F$18,2,FALSE)*IF(D403="Økologisk",VLOOKUP(B403,[1]Afgrødedata!$A$5:$F$18,4,FALSE),1)*IF(E403&lt;&gt;Jordbund1,IF(E403=Organ6,VLOOKUP(B403,[1]Afgrødedata!$A$5:$F$18,5,FALSE),VLOOKUP(B403,[1]Afgrødedata!$A$5:$F$18,6,FALSE)),1)*0.1</f>
        <v>453.42021789341965</v>
      </c>
      <c r="I403" s="172">
        <f>G403*VLOOKUP(B403,[1]Afgrødedata!$A$5:$F$18,3,FALSE)*IF(D403="Økologisk",VLOOKUP(B403,[1]Afgrødedata!$A$5:$F$18,4,FALSE),1)*IF(E403&lt;&gt;Jordbund1,IF(E403=Organ6,VLOOKUP(B403,[1]Afgrødedata!$A$5:$F$18,5,FALSE),VLOOKUP(B403,[1]Afgrødedata!$A$5:$F$18,6,FALSE)),1)*HLOOKUP(C403,Landbrug!$C$15:$E$17,2,FALSE)*HLOOKUP(C403,Landbrug!$C$15:$E$17,3,FALSE)*0.1</f>
        <v>0</v>
      </c>
      <c r="J403" s="76">
        <f t="shared" si="60"/>
        <v>453.42021789341965</v>
      </c>
    </row>
    <row r="404" spans="1:10" x14ac:dyDescent="0.55000000000000004">
      <c r="A404" t="s">
        <v>24</v>
      </c>
      <c r="B404" s="1" t="str">
        <f>[1]Afgrødefordeling!$C$12</f>
        <v>Frø</v>
      </c>
      <c r="C404">
        <v>2030</v>
      </c>
      <c r="D404" t="s">
        <v>8</v>
      </c>
      <c r="E404" s="172" t="str">
        <f t="shared" si="63"/>
        <v>OC6</v>
      </c>
      <c r="F404" t="str">
        <f t="shared" si="62"/>
        <v>Halm</v>
      </c>
      <c r="G404" s="76" cm="1">
        <f t="array" ref="G404">IF(A404="Vestdanmark",IF(D404="Konventionel",IF(C404=2019,SUMPRODUCT((B404='Landbrugsareal - resultat'!$B$5:$B$18)*(INDEX('Landbrugsareal - resultat'!$C$5:$E$18,,MATCH(E404,'Landbrugsareal - resultat'!$C$4:$E$4,0)))),IF(C404=2030,SUMPRODUCT((B404='Landbrugsareal - resultat'!$B$5:$B$18)*(INDEX('Landbrugsareal - resultat'!$F$5:$H$18,,MATCH(E404,'Landbrugsareal - resultat'!$F$4:$H$4,0)))),SUMPRODUCT((B404='Landbrugsareal - resultat'!$B$5:$B$18)*(INDEX('Landbrugsareal - resultat'!$I$5:$K$18,,MATCH(E404,'Landbrugsareal - resultat'!$I$4:$K$4,0)))))),IF(C404=2019,SUMPRODUCT((B404='Landbrugsareal - resultat'!$B$5:$B$18)*(INDEX('Landbrugsareal - resultat'!$L$5:$N$18,,MATCH(E404,'Landbrugsareal - resultat'!$L$4:$N$4,0)))),IF(C404=2030,SUMPRODUCT((B404='Landbrugsareal - resultat'!$B$5:$B$18)*(INDEX('Landbrugsareal - resultat'!$O$5:$Q$18,,MATCH(E404,'Landbrugsareal - resultat'!$O$4:$Q$4,0)))),SUMPRODUCT((B404='Landbrugsareal - resultat'!$B$5:$B$18)*(INDEX('Landbrugsareal - resultat'!$R$5:$T$18,,MATCH(E404,'Landbrugsareal - resultat'!$R$4:$T$4,0))))))),IF(D404="Konventionel",IF(C404=2019,SUMPRODUCT((B404='Landbrugsareal - resultat'!$B$32:$B$45)*(INDEX('Landbrugsareal - resultat'!$C$32:$E$45,,MATCH(E404,'Landbrugsareal - resultat'!$C$4:$E$4,0)))),IF(C404=2030,SUMPRODUCT((B404='Landbrugsareal - resultat'!$B$32:$B$45)*(INDEX('Landbrugsareal - resultat'!$F$32:$H$45,,MATCH(E404,'Landbrugsareal - resultat'!$F$4:$H$4,0)))),SUMPRODUCT((B404='Landbrugsareal - resultat'!$B$32:$B$45)*(INDEX('Landbrugsareal - resultat'!$I$32:$K$45,,MATCH(E404,'Landbrugsareal - resultat'!$I$4:$K$4,0)))))),IF(C404=2019,SUMPRODUCT((B404='Landbrugsareal - resultat'!$B$32:$B$45)*(INDEX('Landbrugsareal - resultat'!$L$32:$N$45,,MATCH(E404,'Landbrugsareal - resultat'!$L$4:$N$4,0)))),IF(C404=2030,SUMPRODUCT((B404='Landbrugsareal - resultat'!$B$32:$B$45)*(INDEX('Landbrugsareal - resultat'!$O$32:$Q$45,,MATCH(E404,'Landbrugsareal - resultat'!$O$4:$Q$4,0)))),SUMPRODUCT((B404='Landbrugsareal - resultat'!$B$32:$B$45)*(INDEX('Landbrugsareal - resultat'!$R$32:$T$45,,MATCH(E404,'Landbrugsareal - resultat'!$R$4:$T$4,0))))))))</f>
        <v>161.51818334722239</v>
      </c>
      <c r="H404" s="172">
        <f>G404*VLOOKUP(B404,[1]Afgrødedata!$A$5:$F$18,2,FALSE)*IF(D404="Økologisk",VLOOKUP(B404,[1]Afgrødedata!$A$5:$F$18,4,FALSE),1)*IF(E404&lt;&gt;Jordbund1,IF(E404=Organ6,VLOOKUP(B404,[1]Afgrødedata!$A$5:$F$18,5,FALSE),VLOOKUP(B404,[1]Afgrødedata!$A$5:$F$18,6,FALSE)),1)*0.1</f>
        <v>1578.6110090707834</v>
      </c>
      <c r="I404" s="172">
        <f>G404*VLOOKUP(B404,[1]Afgrødedata!$A$5:$F$18,3,FALSE)*IF(D404="Økologisk",VLOOKUP(B404,[1]Afgrødedata!$A$5:$F$18,4,FALSE),1)*IF(E404&lt;&gt;Jordbund1,IF(E404=Organ6,VLOOKUP(B404,[1]Afgrødedata!$A$5:$F$18,5,FALSE),VLOOKUP(B404,[1]Afgrødedata!$A$5:$F$18,6,FALSE)),1)*HLOOKUP(C404,Landbrug!$C$15:$E$17,2,FALSE)*HLOOKUP(C404,Landbrug!$C$15:$E$17,3,FALSE)*0.1</f>
        <v>260.72911228642022</v>
      </c>
      <c r="J404" s="76">
        <f t="shared" si="60"/>
        <v>260.72911228642022</v>
      </c>
    </row>
    <row r="405" spans="1:10" x14ac:dyDescent="0.55000000000000004">
      <c r="A405" t="s">
        <v>24</v>
      </c>
      <c r="B405" s="1" t="str">
        <f>[1]Afgrødefordeling!$C$13</f>
        <v>Juletræer</v>
      </c>
      <c r="C405">
        <v>2030</v>
      </c>
      <c r="D405" t="s">
        <v>8</v>
      </c>
      <c r="E405" s="172" t="str">
        <f t="shared" si="63"/>
        <v>OC6</v>
      </c>
      <c r="F405" t="str">
        <f t="shared" si="62"/>
        <v>Juletræer</v>
      </c>
      <c r="G405" s="76" cm="1">
        <f t="array" ref="G405">IF(A405="Vestdanmark",IF(D405="Konventionel",IF(C405=2019,SUMPRODUCT((B405='Landbrugsareal - resultat'!$B$5:$B$18)*(INDEX('Landbrugsareal - resultat'!$C$5:$E$18,,MATCH(E405,'Landbrugsareal - resultat'!$C$4:$E$4,0)))),IF(C405=2030,SUMPRODUCT((B405='Landbrugsareal - resultat'!$B$5:$B$18)*(INDEX('Landbrugsareal - resultat'!$F$5:$H$18,,MATCH(E405,'Landbrugsareal - resultat'!$F$4:$H$4,0)))),SUMPRODUCT((B405='Landbrugsareal - resultat'!$B$5:$B$18)*(INDEX('Landbrugsareal - resultat'!$I$5:$K$18,,MATCH(E405,'Landbrugsareal - resultat'!$I$4:$K$4,0)))))),IF(C405=2019,SUMPRODUCT((B405='Landbrugsareal - resultat'!$B$5:$B$18)*(INDEX('Landbrugsareal - resultat'!$L$5:$N$18,,MATCH(E405,'Landbrugsareal - resultat'!$L$4:$N$4,0)))),IF(C405=2030,SUMPRODUCT((B405='Landbrugsareal - resultat'!$B$5:$B$18)*(INDEX('Landbrugsareal - resultat'!$O$5:$Q$18,,MATCH(E405,'Landbrugsareal - resultat'!$O$4:$Q$4,0)))),SUMPRODUCT((B405='Landbrugsareal - resultat'!$B$5:$B$18)*(INDEX('Landbrugsareal - resultat'!$R$5:$T$18,,MATCH(E405,'Landbrugsareal - resultat'!$R$4:$T$4,0))))))),IF(D405="Konventionel",IF(C405=2019,SUMPRODUCT((B405='Landbrugsareal - resultat'!$B$32:$B$45)*(INDEX('Landbrugsareal - resultat'!$C$32:$E$45,,MATCH(E405,'Landbrugsareal - resultat'!$C$4:$E$4,0)))),IF(C405=2030,SUMPRODUCT((B405='Landbrugsareal - resultat'!$B$32:$B$45)*(INDEX('Landbrugsareal - resultat'!$F$32:$H$45,,MATCH(E405,'Landbrugsareal - resultat'!$F$4:$H$4,0)))),SUMPRODUCT((B405='Landbrugsareal - resultat'!$B$32:$B$45)*(INDEX('Landbrugsareal - resultat'!$I$32:$K$45,,MATCH(E405,'Landbrugsareal - resultat'!$I$4:$K$4,0)))))),IF(C405=2019,SUMPRODUCT((B405='Landbrugsareal - resultat'!$B$32:$B$45)*(INDEX('Landbrugsareal - resultat'!$L$32:$N$45,,MATCH(E405,'Landbrugsareal - resultat'!$L$4:$N$4,0)))),IF(C405=2030,SUMPRODUCT((B405='Landbrugsareal - resultat'!$B$32:$B$45)*(INDEX('Landbrugsareal - resultat'!$O$32:$Q$45,,MATCH(E405,'Landbrugsareal - resultat'!$O$4:$Q$4,0)))),SUMPRODUCT((B405='Landbrugsareal - resultat'!$B$32:$B$45)*(INDEX('Landbrugsareal - resultat'!$R$32:$T$45,,MATCH(E405,'Landbrugsareal - resultat'!$R$4:$T$4,0))))))))</f>
        <v>4.8823324111248541</v>
      </c>
      <c r="H405" s="172">
        <f>G405*VLOOKUP(B405,[1]Afgrødedata!$A$5:$F$18,2,FALSE)*IF(D405="Økologisk",VLOOKUP(B405,[1]Afgrødedata!$A$5:$F$18,4,FALSE),1)*IF(E405&lt;&gt;Jordbund1,IF(E405=Organ6,VLOOKUP(B405,[1]Afgrødedata!$A$5:$F$18,5,FALSE),VLOOKUP(B405,[1]Afgrødedata!$A$5:$F$18,6,FALSE)),1)*0.1</f>
        <v>166.97576846046999</v>
      </c>
      <c r="I405" s="172">
        <f>G405*VLOOKUP(B405,[1]Afgrødedata!$A$5:$F$18,3,FALSE)*IF(D405="Økologisk",VLOOKUP(B405,[1]Afgrødedata!$A$5:$F$18,4,FALSE),1)*IF(E405&lt;&gt;Jordbund1,IF(E405=Organ6,VLOOKUP(B405,[1]Afgrødedata!$A$5:$F$18,5,FALSE),VLOOKUP(B405,[1]Afgrødedata!$A$5:$F$18,6,FALSE)),1)*HLOOKUP(C405,Landbrug!$C$15:$E$17,2,FALSE)*HLOOKUP(C405,Landbrug!$C$15:$E$17,3,FALSE)*0.1</f>
        <v>0</v>
      </c>
      <c r="J405" s="76">
        <f t="shared" ref="J405:J468" si="64">IF(I405&lt;&gt;0,I405,H405)</f>
        <v>166.97576846046999</v>
      </c>
    </row>
    <row r="406" spans="1:10" x14ac:dyDescent="0.55000000000000004">
      <c r="A406" t="s">
        <v>24</v>
      </c>
      <c r="B406" s="1" t="str">
        <f>[1]Afgrødefordeling!$C$14</f>
        <v>Pil &amp; poppel</v>
      </c>
      <c r="C406">
        <v>2030</v>
      </c>
      <c r="D406" t="s">
        <v>8</v>
      </c>
      <c r="E406" s="172" t="str">
        <f t="shared" si="63"/>
        <v>OC6</v>
      </c>
      <c r="F406" t="str">
        <f t="shared" si="62"/>
        <v>Pil &amp; poppel</v>
      </c>
      <c r="G406" s="76" cm="1">
        <f t="array" ref="G406">IF(A406="Vestdanmark",IF(D406="Konventionel",IF(C406=2019,SUMPRODUCT((B406='Landbrugsareal - resultat'!$B$5:$B$18)*(INDEX('Landbrugsareal - resultat'!$C$5:$E$18,,MATCH(E406,'Landbrugsareal - resultat'!$C$4:$E$4,0)))),IF(C406=2030,SUMPRODUCT((B406='Landbrugsareal - resultat'!$B$5:$B$18)*(INDEX('Landbrugsareal - resultat'!$F$5:$H$18,,MATCH(E406,'Landbrugsareal - resultat'!$F$4:$H$4,0)))),SUMPRODUCT((B406='Landbrugsareal - resultat'!$B$5:$B$18)*(INDEX('Landbrugsareal - resultat'!$I$5:$K$18,,MATCH(E406,'Landbrugsareal - resultat'!$I$4:$K$4,0)))))),IF(C406=2019,SUMPRODUCT((B406='Landbrugsareal - resultat'!$B$5:$B$18)*(INDEX('Landbrugsareal - resultat'!$L$5:$N$18,,MATCH(E406,'Landbrugsareal - resultat'!$L$4:$N$4,0)))),IF(C406=2030,SUMPRODUCT((B406='Landbrugsareal - resultat'!$B$5:$B$18)*(INDEX('Landbrugsareal - resultat'!$O$5:$Q$18,,MATCH(E406,'Landbrugsareal - resultat'!$O$4:$Q$4,0)))),SUMPRODUCT((B406='Landbrugsareal - resultat'!$B$5:$B$18)*(INDEX('Landbrugsareal - resultat'!$R$5:$T$18,,MATCH(E406,'Landbrugsareal - resultat'!$R$4:$T$4,0))))))),IF(D406="Konventionel",IF(C406=2019,SUMPRODUCT((B406='Landbrugsareal - resultat'!$B$32:$B$45)*(INDEX('Landbrugsareal - resultat'!$C$32:$E$45,,MATCH(E406,'Landbrugsareal - resultat'!$C$4:$E$4,0)))),IF(C406=2030,SUMPRODUCT((B406='Landbrugsareal - resultat'!$B$32:$B$45)*(INDEX('Landbrugsareal - resultat'!$F$32:$H$45,,MATCH(E406,'Landbrugsareal - resultat'!$F$4:$H$4,0)))),SUMPRODUCT((B406='Landbrugsareal - resultat'!$B$32:$B$45)*(INDEX('Landbrugsareal - resultat'!$I$32:$K$45,,MATCH(E406,'Landbrugsareal - resultat'!$I$4:$K$4,0)))))),IF(C406=2019,SUMPRODUCT((B406='Landbrugsareal - resultat'!$B$32:$B$45)*(INDEX('Landbrugsareal - resultat'!$L$32:$N$45,,MATCH(E406,'Landbrugsareal - resultat'!$L$4:$N$4,0)))),IF(C406=2030,SUMPRODUCT((B406='Landbrugsareal - resultat'!$B$32:$B$45)*(INDEX('Landbrugsareal - resultat'!$O$32:$Q$45,,MATCH(E406,'Landbrugsareal - resultat'!$O$4:$Q$4,0)))),SUMPRODUCT((B406='Landbrugsareal - resultat'!$B$32:$B$45)*(INDEX('Landbrugsareal - resultat'!$R$32:$T$45,,MATCH(E406,'Landbrugsareal - resultat'!$R$4:$T$4,0))))))))</f>
        <v>10.362132878257356</v>
      </c>
      <c r="H406" s="172">
        <f>G406*VLOOKUP(B406,[1]Afgrødedata!$A$5:$F$18,2,FALSE)*IF(D406="Økologisk",VLOOKUP(B406,[1]Afgrødedata!$A$5:$F$18,4,FALSE),1)*IF(E406&lt;&gt;Jordbund1,IF(E406=Organ6,VLOOKUP(B406,[1]Afgrødedata!$A$5:$F$18,5,FALSE),VLOOKUP(B406,[1]Afgrødedata!$A$5:$F$18,6,FALSE)),1)*0.1</f>
        <v>172.87070460312273</v>
      </c>
      <c r="I406" s="172">
        <f>G406*VLOOKUP(B406,[1]Afgrødedata!$A$5:$F$18,3,FALSE)*IF(D406="Økologisk",VLOOKUP(B406,[1]Afgrødedata!$A$5:$F$18,4,FALSE),1)*IF(E406&lt;&gt;Jordbund1,IF(E406=Organ6,VLOOKUP(B406,[1]Afgrødedata!$A$5:$F$18,5,FALSE),VLOOKUP(B406,[1]Afgrødedata!$A$5:$F$18,6,FALSE)),1)*HLOOKUP(C406,Landbrug!$C$15:$E$17,2,FALSE)*HLOOKUP(C406,Landbrug!$C$15:$E$17,3,FALSE)*0.1</f>
        <v>0</v>
      </c>
      <c r="J406" s="76">
        <f t="shared" si="64"/>
        <v>172.87070460312273</v>
      </c>
    </row>
    <row r="407" spans="1:10" x14ac:dyDescent="0.55000000000000004">
      <c r="A407" t="s">
        <v>24</v>
      </c>
      <c r="B407" s="1" t="str">
        <f>[1]Afgrødefordeling!$C$15</f>
        <v>Permanent græs</v>
      </c>
      <c r="C407">
        <v>2030</v>
      </c>
      <c r="D407" t="s">
        <v>8</v>
      </c>
      <c r="E407" s="172" t="str">
        <f t="shared" si="63"/>
        <v>OC6</v>
      </c>
      <c r="F407" t="str">
        <f t="shared" si="62"/>
        <v>Græs</v>
      </c>
      <c r="G407" s="76" cm="1">
        <f t="array" ref="G407">IF(A407="Vestdanmark",IF(D407="Konventionel",IF(C407=2019,SUMPRODUCT((B407='Landbrugsareal - resultat'!$B$5:$B$18)*(INDEX('Landbrugsareal - resultat'!$C$5:$E$18,,MATCH(E407,'Landbrugsareal - resultat'!$C$4:$E$4,0)))),IF(C407=2030,SUMPRODUCT((B407='Landbrugsareal - resultat'!$B$5:$B$18)*(INDEX('Landbrugsareal - resultat'!$F$5:$H$18,,MATCH(E407,'Landbrugsareal - resultat'!$F$4:$H$4,0)))),SUMPRODUCT((B407='Landbrugsareal - resultat'!$B$5:$B$18)*(INDEX('Landbrugsareal - resultat'!$I$5:$K$18,,MATCH(E407,'Landbrugsareal - resultat'!$I$4:$K$4,0)))))),IF(C407=2019,SUMPRODUCT((B407='Landbrugsareal - resultat'!$B$5:$B$18)*(INDEX('Landbrugsareal - resultat'!$L$5:$N$18,,MATCH(E407,'Landbrugsareal - resultat'!$L$4:$N$4,0)))),IF(C407=2030,SUMPRODUCT((B407='Landbrugsareal - resultat'!$B$5:$B$18)*(INDEX('Landbrugsareal - resultat'!$O$5:$Q$18,,MATCH(E407,'Landbrugsareal - resultat'!$O$4:$Q$4,0)))),SUMPRODUCT((B407='Landbrugsareal - resultat'!$B$5:$B$18)*(INDEX('Landbrugsareal - resultat'!$R$5:$T$18,,MATCH(E407,'Landbrugsareal - resultat'!$R$4:$T$4,0))))))),IF(D407="Konventionel",IF(C407=2019,SUMPRODUCT((B407='Landbrugsareal - resultat'!$B$32:$B$45)*(INDEX('Landbrugsareal - resultat'!$C$32:$E$45,,MATCH(E407,'Landbrugsareal - resultat'!$C$4:$E$4,0)))),IF(C407=2030,SUMPRODUCT((B407='Landbrugsareal - resultat'!$B$32:$B$45)*(INDEX('Landbrugsareal - resultat'!$F$32:$H$45,,MATCH(E407,'Landbrugsareal - resultat'!$F$4:$H$4,0)))),SUMPRODUCT((B407='Landbrugsareal - resultat'!$B$32:$B$45)*(INDEX('Landbrugsareal - resultat'!$I$32:$K$45,,MATCH(E407,'Landbrugsareal - resultat'!$I$4:$K$4,0)))))),IF(C407=2019,SUMPRODUCT((B407='Landbrugsareal - resultat'!$B$32:$B$45)*(INDEX('Landbrugsareal - resultat'!$L$32:$N$45,,MATCH(E407,'Landbrugsareal - resultat'!$L$4:$N$4,0)))),IF(C407=2030,SUMPRODUCT((B407='Landbrugsareal - resultat'!$B$32:$B$45)*(INDEX('Landbrugsareal - resultat'!$O$32:$Q$45,,MATCH(E407,'Landbrugsareal - resultat'!$O$4:$Q$4,0)))),SUMPRODUCT((B407='Landbrugsareal - resultat'!$B$32:$B$45)*(INDEX('Landbrugsareal - resultat'!$R$32:$T$45,,MATCH(E407,'Landbrugsareal - resultat'!$R$4:$T$4,0))))))))</f>
        <v>300.30972185505971</v>
      </c>
      <c r="H407" s="172">
        <f>G407*VLOOKUP(B407,[1]Afgrødedata!$A$5:$F$18,2,FALSE)*IF(D407="Økologisk",VLOOKUP(B407,[1]Afgrødedata!$A$5:$F$18,4,FALSE),1)*IF(E407&lt;&gt;Jordbund1,IF(E407=Organ6,VLOOKUP(B407,[1]Afgrødedata!$A$5:$F$18,5,FALSE),VLOOKUP(B407,[1]Afgrødedata!$A$5:$F$18,6,FALSE)),1)*0.1</f>
        <v>4969.5252772575286</v>
      </c>
      <c r="I407" s="172">
        <f>G407*VLOOKUP(B407,[1]Afgrødedata!$A$5:$F$18,3,FALSE)*IF(D407="Økologisk",VLOOKUP(B407,[1]Afgrødedata!$A$5:$F$18,4,FALSE),1)*IF(E407&lt;&gt;Jordbund1,IF(E407=Organ6,VLOOKUP(B407,[1]Afgrødedata!$A$5:$F$18,5,FALSE),VLOOKUP(B407,[1]Afgrødedata!$A$5:$F$18,6,FALSE)),1)*HLOOKUP(C407,Landbrug!$C$15:$E$17,2,FALSE)*HLOOKUP(C407,Landbrug!$C$15:$E$17,3,FALSE)*0.1</f>
        <v>0</v>
      </c>
      <c r="J407" s="76">
        <f t="shared" si="64"/>
        <v>4969.5252772575286</v>
      </c>
    </row>
    <row r="408" spans="1:10" x14ac:dyDescent="0.55000000000000004">
      <c r="A408" t="s">
        <v>24</v>
      </c>
      <c r="B408" s="1" t="str">
        <f>[1]Afgrødefordeling!$C$2</f>
        <v>Korn</v>
      </c>
      <c r="C408">
        <v>2050</v>
      </c>
      <c r="D408" t="s">
        <v>8</v>
      </c>
      <c r="E408" s="172" t="str">
        <f t="shared" si="63"/>
        <v>OC6</v>
      </c>
      <c r="F408" t="str">
        <f t="shared" si="62"/>
        <v>Halm</v>
      </c>
      <c r="G408" s="76" cm="1">
        <f t="array" ref="G408">IF(A408="Vestdanmark",IF(D408="Konventionel",IF(C408=2019,SUMPRODUCT((B408='Landbrugsareal - resultat'!$B$5:$B$18)*(INDEX('Landbrugsareal - resultat'!$C$5:$E$18,,MATCH(E408,'Landbrugsareal - resultat'!$C$4:$E$4,0)))),IF(C408=2030,SUMPRODUCT((B408='Landbrugsareal - resultat'!$B$5:$B$18)*(INDEX('Landbrugsareal - resultat'!$F$5:$H$18,,MATCH(E408,'Landbrugsareal - resultat'!$F$4:$H$4,0)))),SUMPRODUCT((B408='Landbrugsareal - resultat'!$B$5:$B$18)*(INDEX('Landbrugsareal - resultat'!$I$5:$K$18,,MATCH(E408,'Landbrugsareal - resultat'!$I$4:$K$4,0)))))),IF(C408=2019,SUMPRODUCT((B408='Landbrugsareal - resultat'!$B$5:$B$18)*(INDEX('Landbrugsareal - resultat'!$L$5:$N$18,,MATCH(E408,'Landbrugsareal - resultat'!$L$4:$N$4,0)))),IF(C408=2030,SUMPRODUCT((B408='Landbrugsareal - resultat'!$B$5:$B$18)*(INDEX('Landbrugsareal - resultat'!$O$5:$Q$18,,MATCH(E408,'Landbrugsareal - resultat'!$O$4:$Q$4,0)))),SUMPRODUCT((B408='Landbrugsareal - resultat'!$B$5:$B$18)*(INDEX('Landbrugsareal - resultat'!$R$5:$T$18,,MATCH(E408,'Landbrugsareal - resultat'!$R$4:$T$4,0))))))),IF(D408="Konventionel",IF(C408=2019,SUMPRODUCT((B408='Landbrugsareal - resultat'!$B$32:$B$45)*(INDEX('Landbrugsareal - resultat'!$C$32:$E$45,,MATCH(E408,'Landbrugsareal - resultat'!$C$4:$E$4,0)))),IF(C408=2030,SUMPRODUCT((B408='Landbrugsareal - resultat'!$B$32:$B$45)*(INDEX('Landbrugsareal - resultat'!$F$32:$H$45,,MATCH(E408,'Landbrugsareal - resultat'!$F$4:$H$4,0)))),SUMPRODUCT((B408='Landbrugsareal - resultat'!$B$32:$B$45)*(INDEX('Landbrugsareal - resultat'!$I$32:$K$45,,MATCH(E408,'Landbrugsareal - resultat'!$I$4:$K$4,0)))))),IF(C408=2019,SUMPRODUCT((B408='Landbrugsareal - resultat'!$B$32:$B$45)*(INDEX('Landbrugsareal - resultat'!$L$32:$N$45,,MATCH(E408,'Landbrugsareal - resultat'!$L$4:$N$4,0)))),IF(C408=2030,SUMPRODUCT((B408='Landbrugsareal - resultat'!$B$32:$B$45)*(INDEX('Landbrugsareal - resultat'!$O$32:$Q$45,,MATCH(E408,'Landbrugsareal - resultat'!$O$4:$Q$4,0)))),SUMPRODUCT((B408='Landbrugsareal - resultat'!$B$32:$B$45)*(INDEX('Landbrugsareal - resultat'!$R$32:$T$45,,MATCH(E408,'Landbrugsareal - resultat'!$R$4:$T$4,0))))))))</f>
        <v>607.85393444864678</v>
      </c>
      <c r="H408" s="172">
        <f>G408*VLOOKUP(B408,[1]Afgrødedata!$A$5:$F$18,2,FALSE)*IF(D408="Økologisk",VLOOKUP(B408,[1]Afgrødedata!$A$5:$F$18,4,FALSE),1)*IF(E408&lt;&gt;Jordbund1,IF(E408=Organ6,VLOOKUP(B408,[1]Afgrødedata!$A$5:$F$18,5,FALSE),VLOOKUP(B408,[1]Afgrødedata!$A$5:$F$18,6,FALSE)),1)*0.1</f>
        <v>3425.8890887099515</v>
      </c>
      <c r="I408" s="172">
        <f>G408*VLOOKUP(B408,[1]Afgrødedata!$A$5:$F$18,3,FALSE)*IF(D408="Økologisk",VLOOKUP(B408,[1]Afgrødedata!$A$5:$F$18,4,FALSE),1)*IF(E408&lt;&gt;Jordbund1,IF(E408=Organ6,VLOOKUP(B408,[1]Afgrødedata!$A$5:$F$18,5,FALSE),VLOOKUP(B408,[1]Afgrødedata!$A$5:$F$18,6,FALSE)),1)*HLOOKUP(C408,Landbrug!$C$15:$E$17,2,FALSE)*HLOOKUP(C408,Landbrug!$C$15:$E$17,3,FALSE)*0.1</f>
        <v>1111.7010092863791</v>
      </c>
      <c r="J408" s="76">
        <f t="shared" si="64"/>
        <v>1111.7010092863791</v>
      </c>
    </row>
    <row r="409" spans="1:10" x14ac:dyDescent="0.55000000000000004">
      <c r="A409" t="s">
        <v>24</v>
      </c>
      <c r="B409" s="1" t="str">
        <f>[1]Afgrødefordeling!$C$3</f>
        <v>Bælgsæd</v>
      </c>
      <c r="C409">
        <v>2050</v>
      </c>
      <c r="D409" t="s">
        <v>8</v>
      </c>
      <c r="E409" s="172" t="str">
        <f t="shared" si="63"/>
        <v>OC6</v>
      </c>
      <c r="F409" t="str">
        <f t="shared" si="62"/>
        <v>Halm</v>
      </c>
      <c r="G409" s="76" cm="1">
        <f t="array" ref="G409">IF(A409="Vestdanmark",IF(D409="Konventionel",IF(C409=2019,SUMPRODUCT((B409='Landbrugsareal - resultat'!$B$5:$B$18)*(INDEX('Landbrugsareal - resultat'!$C$5:$E$18,,MATCH(E409,'Landbrugsareal - resultat'!$C$4:$E$4,0)))),IF(C409=2030,SUMPRODUCT((B409='Landbrugsareal - resultat'!$B$5:$B$18)*(INDEX('Landbrugsareal - resultat'!$F$5:$H$18,,MATCH(E409,'Landbrugsareal - resultat'!$F$4:$H$4,0)))),SUMPRODUCT((B409='Landbrugsareal - resultat'!$B$5:$B$18)*(INDEX('Landbrugsareal - resultat'!$I$5:$K$18,,MATCH(E409,'Landbrugsareal - resultat'!$I$4:$K$4,0)))))),IF(C409=2019,SUMPRODUCT((B409='Landbrugsareal - resultat'!$B$5:$B$18)*(INDEX('Landbrugsareal - resultat'!$L$5:$N$18,,MATCH(E409,'Landbrugsareal - resultat'!$L$4:$N$4,0)))),IF(C409=2030,SUMPRODUCT((B409='Landbrugsareal - resultat'!$B$5:$B$18)*(INDEX('Landbrugsareal - resultat'!$O$5:$Q$18,,MATCH(E409,'Landbrugsareal - resultat'!$O$4:$Q$4,0)))),SUMPRODUCT((B409='Landbrugsareal - resultat'!$B$5:$B$18)*(INDEX('Landbrugsareal - resultat'!$R$5:$T$18,,MATCH(E409,'Landbrugsareal - resultat'!$R$4:$T$4,0))))))),IF(D409="Konventionel",IF(C409=2019,SUMPRODUCT((B409='Landbrugsareal - resultat'!$B$32:$B$45)*(INDEX('Landbrugsareal - resultat'!$C$32:$E$45,,MATCH(E409,'Landbrugsareal - resultat'!$C$4:$E$4,0)))),IF(C409=2030,SUMPRODUCT((B409='Landbrugsareal - resultat'!$B$32:$B$45)*(INDEX('Landbrugsareal - resultat'!$F$32:$H$45,,MATCH(E409,'Landbrugsareal - resultat'!$F$4:$H$4,0)))),SUMPRODUCT((B409='Landbrugsareal - resultat'!$B$32:$B$45)*(INDEX('Landbrugsareal - resultat'!$I$32:$K$45,,MATCH(E409,'Landbrugsareal - resultat'!$I$4:$K$4,0)))))),IF(C409=2019,SUMPRODUCT((B409='Landbrugsareal - resultat'!$B$32:$B$45)*(INDEX('Landbrugsareal - resultat'!$L$32:$N$45,,MATCH(E409,'Landbrugsareal - resultat'!$L$4:$N$4,0)))),IF(C409=2030,SUMPRODUCT((B409='Landbrugsareal - resultat'!$B$32:$B$45)*(INDEX('Landbrugsareal - resultat'!$O$32:$Q$45,,MATCH(E409,'Landbrugsareal - resultat'!$O$4:$Q$4,0)))),SUMPRODUCT((B409='Landbrugsareal - resultat'!$B$32:$B$45)*(INDEX('Landbrugsareal - resultat'!$R$32:$T$45,,MATCH(E409,'Landbrugsareal - resultat'!$R$4:$T$4,0))))))))</f>
        <v>16.437342030919655</v>
      </c>
      <c r="H409" s="172">
        <f>G409*VLOOKUP(B409,[1]Afgrødedata!$A$5:$F$18,2,FALSE)*IF(D409="Økologisk",VLOOKUP(B409,[1]Afgrødedata!$A$5:$F$18,4,FALSE),1)*IF(E409&lt;&gt;Jordbund1,IF(E409=Organ6,VLOOKUP(B409,[1]Afgrødedata!$A$5:$F$18,5,FALSE),VLOOKUP(B409,[1]Afgrødedata!$A$5:$F$18,6,FALSE)),1)*0.1</f>
        <v>43.398527923715307</v>
      </c>
      <c r="I409" s="172">
        <f>G409*VLOOKUP(B409,[1]Afgrødedata!$A$5:$F$18,3,FALSE)*IF(D409="Økologisk",VLOOKUP(B409,[1]Afgrødedata!$A$5:$F$18,4,FALSE),1)*IF(E409&lt;&gt;Jordbund1,IF(E409=Organ6,VLOOKUP(B409,[1]Afgrødedata!$A$5:$F$18,5,FALSE),VLOOKUP(B409,[1]Afgrødedata!$A$5:$F$18,6,FALSE)),1)*HLOOKUP(C409,Landbrug!$C$15:$E$17,2,FALSE)*HLOOKUP(C409,Landbrug!$C$15:$E$17,3,FALSE)*0.1</f>
        <v>12.809199191246012</v>
      </c>
      <c r="J409" s="76">
        <f t="shared" si="64"/>
        <v>12.809199191246012</v>
      </c>
    </row>
    <row r="410" spans="1:10" x14ac:dyDescent="0.55000000000000004">
      <c r="A410" t="s">
        <v>24</v>
      </c>
      <c r="B410" s="1" t="str">
        <f>[1]Afgrødefordeling!$C$4</f>
        <v>Raps</v>
      </c>
      <c r="C410">
        <v>2050</v>
      </c>
      <c r="D410" t="s">
        <v>8</v>
      </c>
      <c r="E410" s="172" t="str">
        <f t="shared" si="63"/>
        <v>OC6</v>
      </c>
      <c r="F410" t="str">
        <f t="shared" si="62"/>
        <v>Halm</v>
      </c>
      <c r="G410" s="76" cm="1">
        <f t="array" ref="G410">IF(A410="Vestdanmark",IF(D410="Konventionel",IF(C410=2019,SUMPRODUCT((B410='Landbrugsareal - resultat'!$B$5:$B$18)*(INDEX('Landbrugsareal - resultat'!$C$5:$E$18,,MATCH(E410,'Landbrugsareal - resultat'!$C$4:$E$4,0)))),IF(C410=2030,SUMPRODUCT((B410='Landbrugsareal - resultat'!$B$5:$B$18)*(INDEX('Landbrugsareal - resultat'!$F$5:$H$18,,MATCH(E410,'Landbrugsareal - resultat'!$F$4:$H$4,0)))),SUMPRODUCT((B410='Landbrugsareal - resultat'!$B$5:$B$18)*(INDEX('Landbrugsareal - resultat'!$I$5:$K$18,,MATCH(E410,'Landbrugsareal - resultat'!$I$4:$K$4,0)))))),IF(C410=2019,SUMPRODUCT((B410='Landbrugsareal - resultat'!$B$5:$B$18)*(INDEX('Landbrugsareal - resultat'!$L$5:$N$18,,MATCH(E410,'Landbrugsareal - resultat'!$L$4:$N$4,0)))),IF(C410=2030,SUMPRODUCT((B410='Landbrugsareal - resultat'!$B$5:$B$18)*(INDEX('Landbrugsareal - resultat'!$O$5:$Q$18,,MATCH(E410,'Landbrugsareal - resultat'!$O$4:$Q$4,0)))),SUMPRODUCT((B410='Landbrugsareal - resultat'!$B$5:$B$18)*(INDEX('Landbrugsareal - resultat'!$R$5:$T$18,,MATCH(E410,'Landbrugsareal - resultat'!$R$4:$T$4,0))))))),IF(D410="Konventionel",IF(C410=2019,SUMPRODUCT((B410='Landbrugsareal - resultat'!$B$32:$B$45)*(INDEX('Landbrugsareal - resultat'!$C$32:$E$45,,MATCH(E410,'Landbrugsareal - resultat'!$C$4:$E$4,0)))),IF(C410=2030,SUMPRODUCT((B410='Landbrugsareal - resultat'!$B$32:$B$45)*(INDEX('Landbrugsareal - resultat'!$F$32:$H$45,,MATCH(E410,'Landbrugsareal - resultat'!$F$4:$H$4,0)))),SUMPRODUCT((B410='Landbrugsareal - resultat'!$B$32:$B$45)*(INDEX('Landbrugsareal - resultat'!$I$32:$K$45,,MATCH(E410,'Landbrugsareal - resultat'!$I$4:$K$4,0)))))),IF(C410=2019,SUMPRODUCT((B410='Landbrugsareal - resultat'!$B$32:$B$45)*(INDEX('Landbrugsareal - resultat'!$L$32:$N$45,,MATCH(E410,'Landbrugsareal - resultat'!$L$4:$N$4,0)))),IF(C410=2030,SUMPRODUCT((B410='Landbrugsareal - resultat'!$B$32:$B$45)*(INDEX('Landbrugsareal - resultat'!$O$32:$Q$45,,MATCH(E410,'Landbrugsareal - resultat'!$O$4:$Q$4,0)))),SUMPRODUCT((B410='Landbrugsareal - resultat'!$B$32:$B$45)*(INDEX('Landbrugsareal - resultat'!$R$32:$T$45,,MATCH(E410,'Landbrugsareal - resultat'!$R$4:$T$4,0))))))))</f>
        <v>66.392992194960655</v>
      </c>
      <c r="H410" s="172">
        <f>G410*VLOOKUP(B410,[1]Afgrødedata!$A$5:$F$18,2,FALSE)*IF(D410="Økologisk",VLOOKUP(B410,[1]Afgrødedata!$A$5:$F$18,4,FALSE),1)*IF(E410&lt;&gt;Jordbund1,IF(E410=Organ6,VLOOKUP(B410,[1]Afgrødedata!$A$5:$F$18,5,FALSE),VLOOKUP(B410,[1]Afgrødedata!$A$5:$F$18,6,FALSE)),1)*0.1</f>
        <v>192.80524933416578</v>
      </c>
      <c r="I410" s="172">
        <f>G410*VLOOKUP(B410,[1]Afgrødedata!$A$5:$F$18,3,FALSE)*IF(D410="Økologisk",VLOOKUP(B410,[1]Afgrødedata!$A$5:$F$18,4,FALSE),1)*IF(E410&lt;&gt;Jordbund1,IF(E410=Organ6,VLOOKUP(B410,[1]Afgrødedata!$A$5:$F$18,5,FALSE),VLOOKUP(B410,[1]Afgrødedata!$A$5:$F$18,6,FALSE)),1)*HLOOKUP(C410,Landbrug!$C$15:$E$17,2,FALSE)*HLOOKUP(C410,Landbrug!$C$15:$E$17,3,FALSE)*0.1</f>
        <v>102.37958739644202</v>
      </c>
      <c r="J410" s="76">
        <f t="shared" si="64"/>
        <v>102.37958739644202</v>
      </c>
    </row>
    <row r="411" spans="1:10" x14ac:dyDescent="0.55000000000000004">
      <c r="A411" t="s">
        <v>24</v>
      </c>
      <c r="B411" s="1" t="str">
        <f>[1]Afgrødefordeling!$C$5</f>
        <v>Græs</v>
      </c>
      <c r="C411">
        <v>2050</v>
      </c>
      <c r="D411" t="s">
        <v>8</v>
      </c>
      <c r="E411" s="172" t="str">
        <f t="shared" si="63"/>
        <v>OC6</v>
      </c>
      <c r="F411" t="str">
        <f t="shared" si="62"/>
        <v>Græs</v>
      </c>
      <c r="G411" s="76" cm="1">
        <f t="array" ref="G411">IF(A411="Vestdanmark",IF(D411="Konventionel",IF(C411=2019,SUMPRODUCT((B411='Landbrugsareal - resultat'!$B$5:$B$18)*(INDEX('Landbrugsareal - resultat'!$C$5:$E$18,,MATCH(E411,'Landbrugsareal - resultat'!$C$4:$E$4,0)))),IF(C411=2030,SUMPRODUCT((B411='Landbrugsareal - resultat'!$B$5:$B$18)*(INDEX('Landbrugsareal - resultat'!$F$5:$H$18,,MATCH(E411,'Landbrugsareal - resultat'!$F$4:$H$4,0)))),SUMPRODUCT((B411='Landbrugsareal - resultat'!$B$5:$B$18)*(INDEX('Landbrugsareal - resultat'!$I$5:$K$18,,MATCH(E411,'Landbrugsareal - resultat'!$I$4:$K$4,0)))))),IF(C411=2019,SUMPRODUCT((B411='Landbrugsareal - resultat'!$B$5:$B$18)*(INDEX('Landbrugsareal - resultat'!$L$5:$N$18,,MATCH(E411,'Landbrugsareal - resultat'!$L$4:$N$4,0)))),IF(C411=2030,SUMPRODUCT((B411='Landbrugsareal - resultat'!$B$5:$B$18)*(INDEX('Landbrugsareal - resultat'!$O$5:$Q$18,,MATCH(E411,'Landbrugsareal - resultat'!$O$4:$Q$4,0)))),SUMPRODUCT((B411='Landbrugsareal - resultat'!$B$5:$B$18)*(INDEX('Landbrugsareal - resultat'!$R$5:$T$18,,MATCH(E411,'Landbrugsareal - resultat'!$R$4:$T$4,0))))))),IF(D411="Konventionel",IF(C411=2019,SUMPRODUCT((B411='Landbrugsareal - resultat'!$B$32:$B$45)*(INDEX('Landbrugsareal - resultat'!$C$32:$E$45,,MATCH(E411,'Landbrugsareal - resultat'!$C$4:$E$4,0)))),IF(C411=2030,SUMPRODUCT((B411='Landbrugsareal - resultat'!$B$32:$B$45)*(INDEX('Landbrugsareal - resultat'!$F$32:$H$45,,MATCH(E411,'Landbrugsareal - resultat'!$F$4:$H$4,0)))),SUMPRODUCT((B411='Landbrugsareal - resultat'!$B$32:$B$45)*(INDEX('Landbrugsareal - resultat'!$I$32:$K$45,,MATCH(E411,'Landbrugsareal - resultat'!$I$4:$K$4,0)))))),IF(C411=2019,SUMPRODUCT((B411='Landbrugsareal - resultat'!$B$32:$B$45)*(INDEX('Landbrugsareal - resultat'!$L$32:$N$45,,MATCH(E411,'Landbrugsareal - resultat'!$L$4:$N$4,0)))),IF(C411=2030,SUMPRODUCT((B411='Landbrugsareal - resultat'!$B$32:$B$45)*(INDEX('Landbrugsareal - resultat'!$O$32:$Q$45,,MATCH(E411,'Landbrugsareal - resultat'!$O$4:$Q$4,0)))),SUMPRODUCT((B411='Landbrugsareal - resultat'!$B$32:$B$45)*(INDEX('Landbrugsareal - resultat'!$R$32:$T$45,,MATCH(E411,'Landbrugsareal - resultat'!$R$4:$T$4,0))))))))</f>
        <v>195.22321595091026</v>
      </c>
      <c r="H411" s="172">
        <f>G411*VLOOKUP(B411,[1]Afgrødedata!$A$5:$F$18,2,FALSE)*IF(D411="Økologisk",VLOOKUP(B411,[1]Afgrødedata!$A$5:$F$18,4,FALSE),1)*IF(E411&lt;&gt;Jordbund1,IF(E411=Organ6,VLOOKUP(B411,[1]Afgrødedata!$A$5:$F$18,5,FALSE),VLOOKUP(B411,[1]Afgrødedata!$A$5:$F$18,6,FALSE)),1)*0.1</f>
        <v>9067.0095130531809</v>
      </c>
      <c r="I411" s="172">
        <f>G411*VLOOKUP(B411,[1]Afgrødedata!$A$5:$F$18,3,FALSE)*IF(D411="Økologisk",VLOOKUP(B411,[1]Afgrødedata!$A$5:$F$18,4,FALSE),1)*IF(E411&lt;&gt;Jordbund1,IF(E411=Organ6,VLOOKUP(B411,[1]Afgrødedata!$A$5:$F$18,5,FALSE),VLOOKUP(B411,[1]Afgrødedata!$A$5:$F$18,6,FALSE)),1)*HLOOKUP(C411,Landbrug!$C$15:$E$17,2,FALSE)*HLOOKUP(C411,Landbrug!$C$15:$E$17,3,FALSE)*0.1</f>
        <v>0</v>
      </c>
      <c r="J411" s="76">
        <f t="shared" si="64"/>
        <v>9067.0095130531809</v>
      </c>
    </row>
    <row r="412" spans="1:10" x14ac:dyDescent="0.55000000000000004">
      <c r="A412" t="s">
        <v>24</v>
      </c>
      <c r="B412" s="1" t="str">
        <f>[1]Afgrødefordeling!$C$6</f>
        <v>Grøntsager</v>
      </c>
      <c r="C412">
        <v>2050</v>
      </c>
      <c r="D412" t="s">
        <v>8</v>
      </c>
      <c r="E412" s="172" t="str">
        <f t="shared" si="63"/>
        <v>OC6</v>
      </c>
      <c r="F412" t="str">
        <f t="shared" si="62"/>
        <v>Grøntsager</v>
      </c>
      <c r="G412" s="76" cm="1">
        <f t="array" ref="G412">IF(A412="Vestdanmark",IF(D412="Konventionel",IF(C412=2019,SUMPRODUCT((B412='Landbrugsareal - resultat'!$B$5:$B$18)*(INDEX('Landbrugsareal - resultat'!$C$5:$E$18,,MATCH(E412,'Landbrugsareal - resultat'!$C$4:$E$4,0)))),IF(C412=2030,SUMPRODUCT((B412='Landbrugsareal - resultat'!$B$5:$B$18)*(INDEX('Landbrugsareal - resultat'!$F$5:$H$18,,MATCH(E412,'Landbrugsareal - resultat'!$F$4:$H$4,0)))),SUMPRODUCT((B412='Landbrugsareal - resultat'!$B$5:$B$18)*(INDEX('Landbrugsareal - resultat'!$I$5:$K$18,,MATCH(E412,'Landbrugsareal - resultat'!$I$4:$K$4,0)))))),IF(C412=2019,SUMPRODUCT((B412='Landbrugsareal - resultat'!$B$5:$B$18)*(INDEX('Landbrugsareal - resultat'!$L$5:$N$18,,MATCH(E412,'Landbrugsareal - resultat'!$L$4:$N$4,0)))),IF(C412=2030,SUMPRODUCT((B412='Landbrugsareal - resultat'!$B$5:$B$18)*(INDEX('Landbrugsareal - resultat'!$O$5:$Q$18,,MATCH(E412,'Landbrugsareal - resultat'!$O$4:$Q$4,0)))),SUMPRODUCT((B412='Landbrugsareal - resultat'!$B$5:$B$18)*(INDEX('Landbrugsareal - resultat'!$R$5:$T$18,,MATCH(E412,'Landbrugsareal - resultat'!$R$4:$T$4,0))))))),IF(D412="Konventionel",IF(C412=2019,SUMPRODUCT((B412='Landbrugsareal - resultat'!$B$32:$B$45)*(INDEX('Landbrugsareal - resultat'!$C$32:$E$45,,MATCH(E412,'Landbrugsareal - resultat'!$C$4:$E$4,0)))),IF(C412=2030,SUMPRODUCT((B412='Landbrugsareal - resultat'!$B$32:$B$45)*(INDEX('Landbrugsareal - resultat'!$F$32:$H$45,,MATCH(E412,'Landbrugsareal - resultat'!$F$4:$H$4,0)))),SUMPRODUCT((B412='Landbrugsareal - resultat'!$B$32:$B$45)*(INDEX('Landbrugsareal - resultat'!$I$32:$K$45,,MATCH(E412,'Landbrugsareal - resultat'!$I$4:$K$4,0)))))),IF(C412=2019,SUMPRODUCT((B412='Landbrugsareal - resultat'!$B$32:$B$45)*(INDEX('Landbrugsareal - resultat'!$L$32:$N$45,,MATCH(E412,'Landbrugsareal - resultat'!$L$4:$N$4,0)))),IF(C412=2030,SUMPRODUCT((B412='Landbrugsareal - resultat'!$B$32:$B$45)*(INDEX('Landbrugsareal - resultat'!$O$32:$Q$45,,MATCH(E412,'Landbrugsareal - resultat'!$O$4:$Q$4,0)))),SUMPRODUCT((B412='Landbrugsareal - resultat'!$B$32:$B$45)*(INDEX('Landbrugsareal - resultat'!$R$32:$T$45,,MATCH(E412,'Landbrugsareal - resultat'!$R$4:$T$4,0))))))))</f>
        <v>3.697316289263382</v>
      </c>
      <c r="H412" s="172">
        <f>G412*VLOOKUP(B412,[1]Afgrødedata!$A$5:$F$18,2,FALSE)*IF(D412="Økologisk",VLOOKUP(B412,[1]Afgrødedata!$A$5:$F$18,4,FALSE),1)*IF(E412&lt;&gt;Jordbund1,IF(E412=Organ6,VLOOKUP(B412,[1]Afgrødedata!$A$5:$F$18,5,FALSE),VLOOKUP(B412,[1]Afgrødedata!$A$5:$F$18,6,FALSE)),1)*0.1</f>
        <v>52.476010093515178</v>
      </c>
      <c r="I412" s="172">
        <f>G412*VLOOKUP(B412,[1]Afgrødedata!$A$5:$F$18,3,FALSE)*IF(D412="Økologisk",VLOOKUP(B412,[1]Afgrødedata!$A$5:$F$18,4,FALSE),1)*IF(E412&lt;&gt;Jordbund1,IF(E412=Organ6,VLOOKUP(B412,[1]Afgrødedata!$A$5:$F$18,5,FALSE),VLOOKUP(B412,[1]Afgrødedata!$A$5:$F$18,6,FALSE)),1)*HLOOKUP(C412,Landbrug!$C$15:$E$17,2,FALSE)*HLOOKUP(C412,Landbrug!$C$15:$E$17,3,FALSE)*0.1</f>
        <v>0</v>
      </c>
      <c r="J412" s="76">
        <f t="shared" si="64"/>
        <v>52.476010093515178</v>
      </c>
    </row>
    <row r="413" spans="1:10" x14ac:dyDescent="0.55000000000000004">
      <c r="A413" t="s">
        <v>24</v>
      </c>
      <c r="B413" s="1" t="str">
        <f>[1]Afgrødefordeling!$C$7</f>
        <v>Kartofler</v>
      </c>
      <c r="C413">
        <v>2050</v>
      </c>
      <c r="D413" t="s">
        <v>8</v>
      </c>
      <c r="E413" s="172" t="str">
        <f t="shared" si="63"/>
        <v>OC6</v>
      </c>
      <c r="F413" t="str">
        <f t="shared" si="62"/>
        <v>Kartofler</v>
      </c>
      <c r="G413" s="76" cm="1">
        <f t="array" ref="G413">IF(A413="Vestdanmark",IF(D413="Konventionel",IF(C413=2019,SUMPRODUCT((B413='Landbrugsareal - resultat'!$B$5:$B$18)*(INDEX('Landbrugsareal - resultat'!$C$5:$E$18,,MATCH(E413,'Landbrugsareal - resultat'!$C$4:$E$4,0)))),IF(C413=2030,SUMPRODUCT((B413='Landbrugsareal - resultat'!$B$5:$B$18)*(INDEX('Landbrugsareal - resultat'!$F$5:$H$18,,MATCH(E413,'Landbrugsareal - resultat'!$F$4:$H$4,0)))),SUMPRODUCT((B413='Landbrugsareal - resultat'!$B$5:$B$18)*(INDEX('Landbrugsareal - resultat'!$I$5:$K$18,,MATCH(E413,'Landbrugsareal - resultat'!$I$4:$K$4,0)))))),IF(C413=2019,SUMPRODUCT((B413='Landbrugsareal - resultat'!$B$5:$B$18)*(INDEX('Landbrugsareal - resultat'!$L$5:$N$18,,MATCH(E413,'Landbrugsareal - resultat'!$L$4:$N$4,0)))),IF(C413=2030,SUMPRODUCT((B413='Landbrugsareal - resultat'!$B$5:$B$18)*(INDEX('Landbrugsareal - resultat'!$O$5:$Q$18,,MATCH(E413,'Landbrugsareal - resultat'!$O$4:$Q$4,0)))),SUMPRODUCT((B413='Landbrugsareal - resultat'!$B$5:$B$18)*(INDEX('Landbrugsareal - resultat'!$R$5:$T$18,,MATCH(E413,'Landbrugsareal - resultat'!$R$4:$T$4,0))))))),IF(D413="Konventionel",IF(C413=2019,SUMPRODUCT((B413='Landbrugsareal - resultat'!$B$32:$B$45)*(INDEX('Landbrugsareal - resultat'!$C$32:$E$45,,MATCH(E413,'Landbrugsareal - resultat'!$C$4:$E$4,0)))),IF(C413=2030,SUMPRODUCT((B413='Landbrugsareal - resultat'!$B$32:$B$45)*(INDEX('Landbrugsareal - resultat'!$F$32:$H$45,,MATCH(E413,'Landbrugsareal - resultat'!$F$4:$H$4,0)))),SUMPRODUCT((B413='Landbrugsareal - resultat'!$B$32:$B$45)*(INDEX('Landbrugsareal - resultat'!$I$32:$K$45,,MATCH(E413,'Landbrugsareal - resultat'!$I$4:$K$4,0)))))),IF(C413=2019,SUMPRODUCT((B413='Landbrugsareal - resultat'!$B$32:$B$45)*(INDEX('Landbrugsareal - resultat'!$L$32:$N$45,,MATCH(E413,'Landbrugsareal - resultat'!$L$4:$N$4,0)))),IF(C413=2030,SUMPRODUCT((B413='Landbrugsareal - resultat'!$B$32:$B$45)*(INDEX('Landbrugsareal - resultat'!$O$32:$Q$45,,MATCH(E413,'Landbrugsareal - resultat'!$O$4:$Q$4,0)))),SUMPRODUCT((B413='Landbrugsareal - resultat'!$B$32:$B$45)*(INDEX('Landbrugsareal - resultat'!$R$32:$T$45,,MATCH(E413,'Landbrugsareal - resultat'!$R$4:$T$4,0))))))))</f>
        <v>6.2857760790314314</v>
      </c>
      <c r="H413" s="172">
        <f>G413*VLOOKUP(B413,[1]Afgrødedata!$A$5:$F$18,2,FALSE)*IF(D413="Økologisk",VLOOKUP(B413,[1]Afgrødedata!$A$5:$F$18,4,FALSE),1)*IF(E413&lt;&gt;Jordbund1,IF(E413=Organ6,VLOOKUP(B413,[1]Afgrødedata!$A$5:$F$18,5,FALSE),VLOOKUP(B413,[1]Afgrødedata!$A$5:$F$18,6,FALSE)),1)*0.1</f>
        <v>182.60239374120394</v>
      </c>
      <c r="I413" s="172">
        <f>G413*VLOOKUP(B413,[1]Afgrødedata!$A$5:$F$18,3,FALSE)*IF(D413="Økologisk",VLOOKUP(B413,[1]Afgrødedata!$A$5:$F$18,4,FALSE),1)*IF(E413&lt;&gt;Jordbund1,IF(E413=Organ6,VLOOKUP(B413,[1]Afgrødedata!$A$5:$F$18,5,FALSE),VLOOKUP(B413,[1]Afgrødedata!$A$5:$F$18,6,FALSE)),1)*HLOOKUP(C413,Landbrug!$C$15:$E$17,2,FALSE)*HLOOKUP(C413,Landbrug!$C$15:$E$17,3,FALSE)*0.1</f>
        <v>0</v>
      </c>
      <c r="J413" s="76">
        <f t="shared" si="64"/>
        <v>182.60239374120394</v>
      </c>
    </row>
    <row r="414" spans="1:10" x14ac:dyDescent="0.55000000000000004">
      <c r="A414" t="s">
        <v>24</v>
      </c>
      <c r="B414" s="1" t="str">
        <f>[1]Afgrødefordeling!$C$8</f>
        <v>Roer</v>
      </c>
      <c r="C414">
        <v>2050</v>
      </c>
      <c r="D414" t="s">
        <v>8</v>
      </c>
      <c r="E414" s="172" t="str">
        <f t="shared" si="63"/>
        <v>OC6</v>
      </c>
      <c r="F414" t="str">
        <f t="shared" si="62"/>
        <v>Roer</v>
      </c>
      <c r="G414" s="76" cm="1">
        <f t="array" ref="G414">IF(A414="Vestdanmark",IF(D414="Konventionel",IF(C414=2019,SUMPRODUCT((B414='Landbrugsareal - resultat'!$B$5:$B$18)*(INDEX('Landbrugsareal - resultat'!$C$5:$E$18,,MATCH(E414,'Landbrugsareal - resultat'!$C$4:$E$4,0)))),IF(C414=2030,SUMPRODUCT((B414='Landbrugsareal - resultat'!$B$5:$B$18)*(INDEX('Landbrugsareal - resultat'!$F$5:$H$18,,MATCH(E414,'Landbrugsareal - resultat'!$F$4:$H$4,0)))),SUMPRODUCT((B414='Landbrugsareal - resultat'!$B$5:$B$18)*(INDEX('Landbrugsareal - resultat'!$I$5:$K$18,,MATCH(E414,'Landbrugsareal - resultat'!$I$4:$K$4,0)))))),IF(C414=2019,SUMPRODUCT((B414='Landbrugsareal - resultat'!$B$5:$B$18)*(INDEX('Landbrugsareal - resultat'!$L$5:$N$18,,MATCH(E414,'Landbrugsareal - resultat'!$L$4:$N$4,0)))),IF(C414=2030,SUMPRODUCT((B414='Landbrugsareal - resultat'!$B$5:$B$18)*(INDEX('Landbrugsareal - resultat'!$O$5:$Q$18,,MATCH(E414,'Landbrugsareal - resultat'!$O$4:$Q$4,0)))),SUMPRODUCT((B414='Landbrugsareal - resultat'!$B$5:$B$18)*(INDEX('Landbrugsareal - resultat'!$R$5:$T$18,,MATCH(E414,'Landbrugsareal - resultat'!$R$4:$T$4,0))))))),IF(D414="Konventionel",IF(C414=2019,SUMPRODUCT((B414='Landbrugsareal - resultat'!$B$32:$B$45)*(INDEX('Landbrugsareal - resultat'!$C$32:$E$45,,MATCH(E414,'Landbrugsareal - resultat'!$C$4:$E$4,0)))),IF(C414=2030,SUMPRODUCT((B414='Landbrugsareal - resultat'!$B$32:$B$45)*(INDEX('Landbrugsareal - resultat'!$F$32:$H$45,,MATCH(E414,'Landbrugsareal - resultat'!$F$4:$H$4,0)))),SUMPRODUCT((B414='Landbrugsareal - resultat'!$B$32:$B$45)*(INDEX('Landbrugsareal - resultat'!$I$32:$K$45,,MATCH(E414,'Landbrugsareal - resultat'!$I$4:$K$4,0)))))),IF(C414=2019,SUMPRODUCT((B414='Landbrugsareal - resultat'!$B$32:$B$45)*(INDEX('Landbrugsareal - resultat'!$L$32:$N$45,,MATCH(E414,'Landbrugsareal - resultat'!$L$4:$N$4,0)))),IF(C414=2030,SUMPRODUCT((B414='Landbrugsareal - resultat'!$B$32:$B$45)*(INDEX('Landbrugsareal - resultat'!$O$32:$Q$45,,MATCH(E414,'Landbrugsareal - resultat'!$O$4:$Q$4,0)))),SUMPRODUCT((B414='Landbrugsareal - resultat'!$B$32:$B$45)*(INDEX('Landbrugsareal - resultat'!$R$32:$T$45,,MATCH(E414,'Landbrugsareal - resultat'!$R$4:$T$4,0))))))))</f>
        <v>17.561135903248598</v>
      </c>
      <c r="H414" s="172">
        <f>G414*VLOOKUP(B414,[1]Afgrødedata!$A$5:$F$18,2,FALSE)*IF(D414="Økologisk",VLOOKUP(B414,[1]Afgrødedata!$A$5:$F$18,4,FALSE),1)*IF(E414&lt;&gt;Jordbund1,IF(E414=Organ6,VLOOKUP(B414,[1]Afgrødedata!$A$5:$F$18,5,FALSE),VLOOKUP(B414,[1]Afgrødedata!$A$5:$F$18,6,FALSE)),1)*0.1</f>
        <v>976.00494803557001</v>
      </c>
      <c r="I414" s="172">
        <f>G414*VLOOKUP(B414,[1]Afgrødedata!$A$5:$F$18,3,FALSE)*IF(D414="Økologisk",VLOOKUP(B414,[1]Afgrødedata!$A$5:$F$18,4,FALSE),1)*IF(E414&lt;&gt;Jordbund1,IF(E414=Organ6,VLOOKUP(B414,[1]Afgrødedata!$A$5:$F$18,5,FALSE),VLOOKUP(B414,[1]Afgrødedata!$A$5:$F$18,6,FALSE)),1)*HLOOKUP(C414,Landbrug!$C$15:$E$17,2,FALSE)*HLOOKUP(C414,Landbrug!$C$15:$E$17,3,FALSE)*0.1</f>
        <v>0</v>
      </c>
      <c r="J414" s="76">
        <f t="shared" si="64"/>
        <v>976.00494803557001</v>
      </c>
    </row>
    <row r="415" spans="1:10" x14ac:dyDescent="0.55000000000000004">
      <c r="A415" t="s">
        <v>24</v>
      </c>
      <c r="B415" s="1" t="str">
        <f>[1]Afgrødefordeling!$C$9</f>
        <v>Majs</v>
      </c>
      <c r="C415">
        <v>2050</v>
      </c>
      <c r="D415" t="s">
        <v>8</v>
      </c>
      <c r="E415" s="172" t="str">
        <f t="shared" si="63"/>
        <v>OC6</v>
      </c>
      <c r="F415" t="str">
        <f t="shared" si="62"/>
        <v>Majs</v>
      </c>
      <c r="G415" s="76" cm="1">
        <f t="array" ref="G415">IF(A415="Vestdanmark",IF(D415="Konventionel",IF(C415=2019,SUMPRODUCT((B415='Landbrugsareal - resultat'!$B$5:$B$18)*(INDEX('Landbrugsareal - resultat'!$C$5:$E$18,,MATCH(E415,'Landbrugsareal - resultat'!$C$4:$E$4,0)))),IF(C415=2030,SUMPRODUCT((B415='Landbrugsareal - resultat'!$B$5:$B$18)*(INDEX('Landbrugsareal - resultat'!$F$5:$H$18,,MATCH(E415,'Landbrugsareal - resultat'!$F$4:$H$4,0)))),SUMPRODUCT((B415='Landbrugsareal - resultat'!$B$5:$B$18)*(INDEX('Landbrugsareal - resultat'!$I$5:$K$18,,MATCH(E415,'Landbrugsareal - resultat'!$I$4:$K$4,0)))))),IF(C415=2019,SUMPRODUCT((B415='Landbrugsareal - resultat'!$B$5:$B$18)*(INDEX('Landbrugsareal - resultat'!$L$5:$N$18,,MATCH(E415,'Landbrugsareal - resultat'!$L$4:$N$4,0)))),IF(C415=2030,SUMPRODUCT((B415='Landbrugsareal - resultat'!$B$5:$B$18)*(INDEX('Landbrugsareal - resultat'!$O$5:$Q$18,,MATCH(E415,'Landbrugsareal - resultat'!$O$4:$Q$4,0)))),SUMPRODUCT((B415='Landbrugsareal - resultat'!$B$5:$B$18)*(INDEX('Landbrugsareal - resultat'!$R$5:$T$18,,MATCH(E415,'Landbrugsareal - resultat'!$R$4:$T$4,0))))))),IF(D415="Konventionel",IF(C415=2019,SUMPRODUCT((B415='Landbrugsareal - resultat'!$B$32:$B$45)*(INDEX('Landbrugsareal - resultat'!$C$32:$E$45,,MATCH(E415,'Landbrugsareal - resultat'!$C$4:$E$4,0)))),IF(C415=2030,SUMPRODUCT((B415='Landbrugsareal - resultat'!$B$32:$B$45)*(INDEX('Landbrugsareal - resultat'!$F$32:$H$45,,MATCH(E415,'Landbrugsareal - resultat'!$F$4:$H$4,0)))),SUMPRODUCT((B415='Landbrugsareal - resultat'!$B$32:$B$45)*(INDEX('Landbrugsareal - resultat'!$I$32:$K$45,,MATCH(E415,'Landbrugsareal - resultat'!$I$4:$K$4,0)))))),IF(C415=2019,SUMPRODUCT((B415='Landbrugsareal - resultat'!$B$32:$B$45)*(INDEX('Landbrugsareal - resultat'!$L$32:$N$45,,MATCH(E415,'Landbrugsareal - resultat'!$L$4:$N$4,0)))),IF(C415=2030,SUMPRODUCT((B415='Landbrugsareal - resultat'!$B$32:$B$45)*(INDEX('Landbrugsareal - resultat'!$O$32:$Q$45,,MATCH(E415,'Landbrugsareal - resultat'!$O$4:$Q$4,0)))),SUMPRODUCT((B415='Landbrugsareal - resultat'!$B$32:$B$45)*(INDEX('Landbrugsareal - resultat'!$R$32:$T$45,,MATCH(E415,'Landbrugsareal - resultat'!$R$4:$T$4,0))))))))</f>
        <v>18.722880855463707</v>
      </c>
      <c r="H415" s="172">
        <f>G415*VLOOKUP(B415,[1]Afgrødedata!$A$5:$F$18,2,FALSE)*IF(D415="Økologisk",VLOOKUP(B415,[1]Afgrødedata!$A$5:$F$18,4,FALSE),1)*IF(E415&lt;&gt;Jordbund1,IF(E415=Organ6,VLOOKUP(B415,[1]Afgrødedata!$A$5:$F$18,5,FALSE),VLOOKUP(B415,[1]Afgrødedata!$A$5:$F$18,6,FALSE)),1)*0.1</f>
        <v>830.02200516918299</v>
      </c>
      <c r="I415" s="172">
        <f>G415*VLOOKUP(B415,[1]Afgrødedata!$A$5:$F$18,3,FALSE)*IF(D415="Økologisk",VLOOKUP(B415,[1]Afgrødedata!$A$5:$F$18,4,FALSE),1)*IF(E415&lt;&gt;Jordbund1,IF(E415=Organ6,VLOOKUP(B415,[1]Afgrødedata!$A$5:$F$18,5,FALSE),VLOOKUP(B415,[1]Afgrødedata!$A$5:$F$18,6,FALSE)),1)*HLOOKUP(C415,Landbrug!$C$15:$E$17,2,FALSE)*HLOOKUP(C415,Landbrug!$C$15:$E$17,3,FALSE)*0.1</f>
        <v>0</v>
      </c>
      <c r="J415" s="76">
        <f t="shared" si="64"/>
        <v>830.02200516918299</v>
      </c>
    </row>
    <row r="416" spans="1:10" x14ac:dyDescent="0.55000000000000004">
      <c r="A416" t="s">
        <v>24</v>
      </c>
      <c r="B416" s="1" t="str">
        <f>[1]Afgrødefordeling!$C$10</f>
        <v>Frugt</v>
      </c>
      <c r="C416">
        <v>2050</v>
      </c>
      <c r="D416" t="s">
        <v>8</v>
      </c>
      <c r="E416" s="172" t="str">
        <f t="shared" si="63"/>
        <v>OC6</v>
      </c>
      <c r="F416" t="str">
        <f t="shared" si="62"/>
        <v>Frugt</v>
      </c>
      <c r="G416" s="76" cm="1">
        <f t="array" ref="G416">IF(A416="Vestdanmark",IF(D416="Konventionel",IF(C416=2019,SUMPRODUCT((B416='Landbrugsareal - resultat'!$B$5:$B$18)*(INDEX('Landbrugsareal - resultat'!$C$5:$E$18,,MATCH(E416,'Landbrugsareal - resultat'!$C$4:$E$4,0)))),IF(C416=2030,SUMPRODUCT((B416='Landbrugsareal - resultat'!$B$5:$B$18)*(INDEX('Landbrugsareal - resultat'!$F$5:$H$18,,MATCH(E416,'Landbrugsareal - resultat'!$F$4:$H$4,0)))),SUMPRODUCT((B416='Landbrugsareal - resultat'!$B$5:$B$18)*(INDEX('Landbrugsareal - resultat'!$I$5:$K$18,,MATCH(E416,'Landbrugsareal - resultat'!$I$4:$K$4,0)))))),IF(C416=2019,SUMPRODUCT((B416='Landbrugsareal - resultat'!$B$5:$B$18)*(INDEX('Landbrugsareal - resultat'!$L$5:$N$18,,MATCH(E416,'Landbrugsareal - resultat'!$L$4:$N$4,0)))),IF(C416=2030,SUMPRODUCT((B416='Landbrugsareal - resultat'!$B$5:$B$18)*(INDEX('Landbrugsareal - resultat'!$O$5:$Q$18,,MATCH(E416,'Landbrugsareal - resultat'!$O$4:$Q$4,0)))),SUMPRODUCT((B416='Landbrugsareal - resultat'!$B$5:$B$18)*(INDEX('Landbrugsareal - resultat'!$R$5:$T$18,,MATCH(E416,'Landbrugsareal - resultat'!$R$4:$T$4,0))))))),IF(D416="Konventionel",IF(C416=2019,SUMPRODUCT((B416='Landbrugsareal - resultat'!$B$32:$B$45)*(INDEX('Landbrugsareal - resultat'!$C$32:$E$45,,MATCH(E416,'Landbrugsareal - resultat'!$C$4:$E$4,0)))),IF(C416=2030,SUMPRODUCT((B416='Landbrugsareal - resultat'!$B$32:$B$45)*(INDEX('Landbrugsareal - resultat'!$F$32:$H$45,,MATCH(E416,'Landbrugsareal - resultat'!$F$4:$H$4,0)))),SUMPRODUCT((B416='Landbrugsareal - resultat'!$B$32:$B$45)*(INDEX('Landbrugsareal - resultat'!$I$32:$K$45,,MATCH(E416,'Landbrugsareal - resultat'!$I$4:$K$4,0)))))),IF(C416=2019,SUMPRODUCT((B416='Landbrugsareal - resultat'!$B$32:$B$45)*(INDEX('Landbrugsareal - resultat'!$L$32:$N$45,,MATCH(E416,'Landbrugsareal - resultat'!$L$4:$N$4,0)))),IF(C416=2030,SUMPRODUCT((B416='Landbrugsareal - resultat'!$B$32:$B$45)*(INDEX('Landbrugsareal - resultat'!$O$32:$Q$45,,MATCH(E416,'Landbrugsareal - resultat'!$O$4:$Q$4,0)))),SUMPRODUCT((B416='Landbrugsareal - resultat'!$B$32:$B$45)*(INDEX('Landbrugsareal - resultat'!$R$32:$T$45,,MATCH(E416,'Landbrugsareal - resultat'!$R$4:$T$4,0))))))))</f>
        <v>4.0389102781097774</v>
      </c>
      <c r="H416" s="172">
        <f>G416*VLOOKUP(B416,[1]Afgrødedata!$A$5:$F$18,2,FALSE)*IF(D416="Økologisk",VLOOKUP(B416,[1]Afgrødedata!$A$5:$F$18,4,FALSE),1)*IF(E416&lt;&gt;Jordbund1,IF(E416=Organ6,VLOOKUP(B416,[1]Afgrødedata!$A$5:$F$18,5,FALSE),VLOOKUP(B416,[1]Afgrødedata!$A$5:$F$18,6,FALSE)),1)*0.1</f>
        <v>23.454598210627974</v>
      </c>
      <c r="I416" s="172">
        <f>G416*VLOOKUP(B416,[1]Afgrødedata!$A$5:$F$18,3,FALSE)*IF(D416="Økologisk",VLOOKUP(B416,[1]Afgrødedata!$A$5:$F$18,4,FALSE),1)*IF(E416&lt;&gt;Jordbund1,IF(E416=Organ6,VLOOKUP(B416,[1]Afgrødedata!$A$5:$F$18,5,FALSE),VLOOKUP(B416,[1]Afgrødedata!$A$5:$F$18,6,FALSE)),1)*HLOOKUP(C416,Landbrug!$C$15:$E$17,2,FALSE)*HLOOKUP(C416,Landbrug!$C$15:$E$17,3,FALSE)*0.1</f>
        <v>0</v>
      </c>
      <c r="J416" s="76">
        <f t="shared" si="64"/>
        <v>23.454598210627974</v>
      </c>
    </row>
    <row r="417" spans="1:10" x14ac:dyDescent="0.55000000000000004">
      <c r="A417" t="s">
        <v>24</v>
      </c>
      <c r="B417" s="1" t="str">
        <f>[1]Afgrødefordeling!$C$11</f>
        <v>Øvrige</v>
      </c>
      <c r="C417">
        <v>2050</v>
      </c>
      <c r="D417" t="s">
        <v>8</v>
      </c>
      <c r="E417" s="172" t="str">
        <f t="shared" si="63"/>
        <v>OC6</v>
      </c>
      <c r="F417" t="str">
        <f t="shared" si="62"/>
        <v>Øvrige</v>
      </c>
      <c r="G417" s="76" cm="1">
        <f t="array" ref="G417">IF(A417="Vestdanmark",IF(D417="Konventionel",IF(C417=2019,SUMPRODUCT((B417='Landbrugsareal - resultat'!$B$5:$B$18)*(INDEX('Landbrugsareal - resultat'!$C$5:$E$18,,MATCH(E417,'Landbrugsareal - resultat'!$C$4:$E$4,0)))),IF(C417=2030,SUMPRODUCT((B417='Landbrugsareal - resultat'!$B$5:$B$18)*(INDEX('Landbrugsareal - resultat'!$F$5:$H$18,,MATCH(E417,'Landbrugsareal - resultat'!$F$4:$H$4,0)))),SUMPRODUCT((B417='Landbrugsareal - resultat'!$B$5:$B$18)*(INDEX('Landbrugsareal - resultat'!$I$5:$K$18,,MATCH(E417,'Landbrugsareal - resultat'!$I$4:$K$4,0)))))),IF(C417=2019,SUMPRODUCT((B417='Landbrugsareal - resultat'!$B$5:$B$18)*(INDEX('Landbrugsareal - resultat'!$L$5:$N$18,,MATCH(E417,'Landbrugsareal - resultat'!$L$4:$N$4,0)))),IF(C417=2030,SUMPRODUCT((B417='Landbrugsareal - resultat'!$B$5:$B$18)*(INDEX('Landbrugsareal - resultat'!$O$5:$Q$18,,MATCH(E417,'Landbrugsareal - resultat'!$O$4:$Q$4,0)))),SUMPRODUCT((B417='Landbrugsareal - resultat'!$B$5:$B$18)*(INDEX('Landbrugsareal - resultat'!$R$5:$T$18,,MATCH(E417,'Landbrugsareal - resultat'!$R$4:$T$4,0))))))),IF(D417="Konventionel",IF(C417=2019,SUMPRODUCT((B417='Landbrugsareal - resultat'!$B$32:$B$45)*(INDEX('Landbrugsareal - resultat'!$C$32:$E$45,,MATCH(E417,'Landbrugsareal - resultat'!$C$4:$E$4,0)))),IF(C417=2030,SUMPRODUCT((B417='Landbrugsareal - resultat'!$B$32:$B$45)*(INDEX('Landbrugsareal - resultat'!$F$32:$H$45,,MATCH(E417,'Landbrugsareal - resultat'!$F$4:$H$4,0)))),SUMPRODUCT((B417='Landbrugsareal - resultat'!$B$32:$B$45)*(INDEX('Landbrugsareal - resultat'!$I$32:$K$45,,MATCH(E417,'Landbrugsareal - resultat'!$I$4:$K$4,0)))))),IF(C417=2019,SUMPRODUCT((B417='Landbrugsareal - resultat'!$B$32:$B$45)*(INDEX('Landbrugsareal - resultat'!$L$32:$N$45,,MATCH(E417,'Landbrugsareal - resultat'!$L$4:$N$4,0)))),IF(C417=2030,SUMPRODUCT((B417='Landbrugsareal - resultat'!$B$32:$B$45)*(INDEX('Landbrugsareal - resultat'!$O$32:$Q$45,,MATCH(E417,'Landbrugsareal - resultat'!$O$4:$Q$4,0)))),SUMPRODUCT((B417='Landbrugsareal - resultat'!$B$32:$B$45)*(INDEX('Landbrugsareal - resultat'!$R$32:$T$45,,MATCH(E417,'Landbrugsareal - resultat'!$R$4:$T$4,0))))))))</f>
        <v>28.839778304443193</v>
      </c>
      <c r="H417" s="172">
        <f>G417*VLOOKUP(B417,[1]Afgrødedata!$A$5:$F$18,2,FALSE)*IF(D417="Økologisk",VLOOKUP(B417,[1]Afgrødedata!$A$5:$F$18,4,FALSE),1)*IF(E417&lt;&gt;Jordbund1,IF(E417=Organ6,VLOOKUP(B417,[1]Afgrødedata!$A$5:$F$18,5,FALSE),VLOOKUP(B417,[1]Afgrødedata!$A$5:$F$18,6,FALSE)),1)*0.1</f>
        <v>587.76694912109951</v>
      </c>
      <c r="I417" s="172">
        <f>G417*VLOOKUP(B417,[1]Afgrødedata!$A$5:$F$18,3,FALSE)*IF(D417="Økologisk",VLOOKUP(B417,[1]Afgrødedata!$A$5:$F$18,4,FALSE),1)*IF(E417&lt;&gt;Jordbund1,IF(E417=Organ6,VLOOKUP(B417,[1]Afgrødedata!$A$5:$F$18,5,FALSE),VLOOKUP(B417,[1]Afgrødedata!$A$5:$F$18,6,FALSE)),1)*HLOOKUP(C417,Landbrug!$C$15:$E$17,2,FALSE)*HLOOKUP(C417,Landbrug!$C$15:$E$17,3,FALSE)*0.1</f>
        <v>0</v>
      </c>
      <c r="J417" s="76">
        <f t="shared" si="64"/>
        <v>587.76694912109951</v>
      </c>
    </row>
    <row r="418" spans="1:10" x14ac:dyDescent="0.55000000000000004">
      <c r="A418" t="s">
        <v>24</v>
      </c>
      <c r="B418" s="1" t="str">
        <f>[1]Afgrødefordeling!$C$12</f>
        <v>Frø</v>
      </c>
      <c r="C418">
        <v>2050</v>
      </c>
      <c r="D418" t="s">
        <v>8</v>
      </c>
      <c r="E418" s="172" t="str">
        <f t="shared" si="63"/>
        <v>OC6</v>
      </c>
      <c r="F418" t="str">
        <f t="shared" si="62"/>
        <v>Halm</v>
      </c>
      <c r="G418" s="76" cm="1">
        <f t="array" ref="G418">IF(A418="Vestdanmark",IF(D418="Konventionel",IF(C418=2019,SUMPRODUCT((B418='Landbrugsareal - resultat'!$B$5:$B$18)*(INDEX('Landbrugsareal - resultat'!$C$5:$E$18,,MATCH(E418,'Landbrugsareal - resultat'!$C$4:$E$4,0)))),IF(C418=2030,SUMPRODUCT((B418='Landbrugsareal - resultat'!$B$5:$B$18)*(INDEX('Landbrugsareal - resultat'!$F$5:$H$18,,MATCH(E418,'Landbrugsareal - resultat'!$F$4:$H$4,0)))),SUMPRODUCT((B418='Landbrugsareal - resultat'!$B$5:$B$18)*(INDEX('Landbrugsareal - resultat'!$I$5:$K$18,,MATCH(E418,'Landbrugsareal - resultat'!$I$4:$K$4,0)))))),IF(C418=2019,SUMPRODUCT((B418='Landbrugsareal - resultat'!$B$5:$B$18)*(INDEX('Landbrugsareal - resultat'!$L$5:$N$18,,MATCH(E418,'Landbrugsareal - resultat'!$L$4:$N$4,0)))),IF(C418=2030,SUMPRODUCT((B418='Landbrugsareal - resultat'!$B$5:$B$18)*(INDEX('Landbrugsareal - resultat'!$O$5:$Q$18,,MATCH(E418,'Landbrugsareal - resultat'!$O$4:$Q$4,0)))),SUMPRODUCT((B418='Landbrugsareal - resultat'!$B$5:$B$18)*(INDEX('Landbrugsareal - resultat'!$R$5:$T$18,,MATCH(E418,'Landbrugsareal - resultat'!$R$4:$T$4,0))))))),IF(D418="Konventionel",IF(C418=2019,SUMPRODUCT((B418='Landbrugsareal - resultat'!$B$32:$B$45)*(INDEX('Landbrugsareal - resultat'!$C$32:$E$45,,MATCH(E418,'Landbrugsareal - resultat'!$C$4:$E$4,0)))),IF(C418=2030,SUMPRODUCT((B418='Landbrugsareal - resultat'!$B$32:$B$45)*(INDEX('Landbrugsareal - resultat'!$F$32:$H$45,,MATCH(E418,'Landbrugsareal - resultat'!$F$4:$H$4,0)))),SUMPRODUCT((B418='Landbrugsareal - resultat'!$B$32:$B$45)*(INDEX('Landbrugsareal - resultat'!$I$32:$K$45,,MATCH(E418,'Landbrugsareal - resultat'!$I$4:$K$4,0)))))),IF(C418=2019,SUMPRODUCT((B418='Landbrugsareal - resultat'!$B$32:$B$45)*(INDEX('Landbrugsareal - resultat'!$L$32:$N$45,,MATCH(E418,'Landbrugsareal - resultat'!$L$4:$N$4,0)))),IF(C418=2030,SUMPRODUCT((B418='Landbrugsareal - resultat'!$B$32:$B$45)*(INDEX('Landbrugsareal - resultat'!$O$32:$Q$45,,MATCH(E418,'Landbrugsareal - resultat'!$O$4:$Q$4,0)))),SUMPRODUCT((B418='Landbrugsareal - resultat'!$B$32:$B$45)*(INDEX('Landbrugsareal - resultat'!$R$32:$T$45,,MATCH(E418,'Landbrugsareal - resultat'!$R$4:$T$4,0))))))))</f>
        <v>209.3754228575105</v>
      </c>
      <c r="H418" s="172">
        <f>G418*VLOOKUP(B418,[1]Afgrødedata!$A$5:$F$18,2,FALSE)*IF(D418="Økologisk",VLOOKUP(B418,[1]Afgrødedata!$A$5:$F$18,4,FALSE),1)*IF(E418&lt;&gt;Jordbund1,IF(E418=Organ6,VLOOKUP(B418,[1]Afgrødedata!$A$5:$F$18,5,FALSE),VLOOKUP(B418,[1]Afgrødedata!$A$5:$F$18,6,FALSE)),1)*0.1</f>
        <v>2046.3476043510154</v>
      </c>
      <c r="I418" s="172">
        <f>G418*VLOOKUP(B418,[1]Afgrødedata!$A$5:$F$18,3,FALSE)*IF(D418="Økologisk",VLOOKUP(B418,[1]Afgrødedata!$A$5:$F$18,4,FALSE),1)*IF(E418&lt;&gt;Jordbund1,IF(E418=Organ6,VLOOKUP(B418,[1]Afgrødedata!$A$5:$F$18,5,FALSE),VLOOKUP(B418,[1]Afgrødedata!$A$5:$F$18,6,FALSE)),1)*HLOOKUP(C418,Landbrug!$C$15:$E$17,2,FALSE)*HLOOKUP(C418,Landbrug!$C$15:$E$17,3,FALSE)*0.1</f>
        <v>337.98218259350773</v>
      </c>
      <c r="J418" s="76">
        <f t="shared" si="64"/>
        <v>337.98218259350773</v>
      </c>
    </row>
    <row r="419" spans="1:10" x14ac:dyDescent="0.55000000000000004">
      <c r="A419" t="s">
        <v>24</v>
      </c>
      <c r="B419" s="1" t="str">
        <f>[1]Afgrødefordeling!$C$13</f>
        <v>Juletræer</v>
      </c>
      <c r="C419">
        <v>2050</v>
      </c>
      <c r="D419" t="s">
        <v>8</v>
      </c>
      <c r="E419" s="172" t="str">
        <f t="shared" si="63"/>
        <v>OC6</v>
      </c>
      <c r="F419" t="str">
        <f t="shared" si="62"/>
        <v>Juletræer</v>
      </c>
      <c r="G419" s="76" cm="1">
        <f t="array" ref="G419">IF(A419="Vestdanmark",IF(D419="Konventionel",IF(C419=2019,SUMPRODUCT((B419='Landbrugsareal - resultat'!$B$5:$B$18)*(INDEX('Landbrugsareal - resultat'!$C$5:$E$18,,MATCH(E419,'Landbrugsareal - resultat'!$C$4:$E$4,0)))),IF(C419=2030,SUMPRODUCT((B419='Landbrugsareal - resultat'!$B$5:$B$18)*(INDEX('Landbrugsareal - resultat'!$F$5:$H$18,,MATCH(E419,'Landbrugsareal - resultat'!$F$4:$H$4,0)))),SUMPRODUCT((B419='Landbrugsareal - resultat'!$B$5:$B$18)*(INDEX('Landbrugsareal - resultat'!$I$5:$K$18,,MATCH(E419,'Landbrugsareal - resultat'!$I$4:$K$4,0)))))),IF(C419=2019,SUMPRODUCT((B419='Landbrugsareal - resultat'!$B$5:$B$18)*(INDEX('Landbrugsareal - resultat'!$L$5:$N$18,,MATCH(E419,'Landbrugsareal - resultat'!$L$4:$N$4,0)))),IF(C419=2030,SUMPRODUCT((B419='Landbrugsareal - resultat'!$B$5:$B$18)*(INDEX('Landbrugsareal - resultat'!$O$5:$Q$18,,MATCH(E419,'Landbrugsareal - resultat'!$O$4:$Q$4,0)))),SUMPRODUCT((B419='Landbrugsareal - resultat'!$B$5:$B$18)*(INDEX('Landbrugsareal - resultat'!$R$5:$T$18,,MATCH(E419,'Landbrugsareal - resultat'!$R$4:$T$4,0))))))),IF(D419="Konventionel",IF(C419=2019,SUMPRODUCT((B419='Landbrugsareal - resultat'!$B$32:$B$45)*(INDEX('Landbrugsareal - resultat'!$C$32:$E$45,,MATCH(E419,'Landbrugsareal - resultat'!$C$4:$E$4,0)))),IF(C419=2030,SUMPRODUCT((B419='Landbrugsareal - resultat'!$B$32:$B$45)*(INDEX('Landbrugsareal - resultat'!$F$32:$H$45,,MATCH(E419,'Landbrugsareal - resultat'!$F$4:$H$4,0)))),SUMPRODUCT((B419='Landbrugsareal - resultat'!$B$32:$B$45)*(INDEX('Landbrugsareal - resultat'!$I$32:$K$45,,MATCH(E419,'Landbrugsareal - resultat'!$I$4:$K$4,0)))))),IF(C419=2019,SUMPRODUCT((B419='Landbrugsareal - resultat'!$B$32:$B$45)*(INDEX('Landbrugsareal - resultat'!$L$32:$N$45,,MATCH(E419,'Landbrugsareal - resultat'!$L$4:$N$4,0)))),IF(C419=2030,SUMPRODUCT((B419='Landbrugsareal - resultat'!$B$32:$B$45)*(INDEX('Landbrugsareal - resultat'!$O$32:$Q$45,,MATCH(E419,'Landbrugsareal - resultat'!$O$4:$Q$4,0)))),SUMPRODUCT((B419='Landbrugsareal - resultat'!$B$32:$B$45)*(INDEX('Landbrugsareal - resultat'!$R$32:$T$45,,MATCH(E419,'Landbrugsareal - resultat'!$R$4:$T$4,0))))))))</f>
        <v>6.3289494218285141</v>
      </c>
      <c r="H419" s="172">
        <f>G419*VLOOKUP(B419,[1]Afgrødedata!$A$5:$F$18,2,FALSE)*IF(D419="Økologisk",VLOOKUP(B419,[1]Afgrødedata!$A$5:$F$18,4,FALSE),1)*IF(E419&lt;&gt;Jordbund1,IF(E419=Organ6,VLOOKUP(B419,[1]Afgrødedata!$A$5:$F$18,5,FALSE),VLOOKUP(B419,[1]Afgrødedata!$A$5:$F$18,6,FALSE)),1)*0.1</f>
        <v>216.45007022653519</v>
      </c>
      <c r="I419" s="172">
        <f>G419*VLOOKUP(B419,[1]Afgrødedata!$A$5:$F$18,3,FALSE)*IF(D419="Økologisk",VLOOKUP(B419,[1]Afgrødedata!$A$5:$F$18,4,FALSE),1)*IF(E419&lt;&gt;Jordbund1,IF(E419=Organ6,VLOOKUP(B419,[1]Afgrødedata!$A$5:$F$18,5,FALSE),VLOOKUP(B419,[1]Afgrødedata!$A$5:$F$18,6,FALSE)),1)*HLOOKUP(C419,Landbrug!$C$15:$E$17,2,FALSE)*HLOOKUP(C419,Landbrug!$C$15:$E$17,3,FALSE)*0.1</f>
        <v>0</v>
      </c>
      <c r="J419" s="76">
        <f t="shared" si="64"/>
        <v>216.45007022653519</v>
      </c>
    </row>
    <row r="420" spans="1:10" x14ac:dyDescent="0.55000000000000004">
      <c r="A420" t="s">
        <v>24</v>
      </c>
      <c r="B420" s="1" t="str">
        <f>[1]Afgrødefordeling!$C$14</f>
        <v>Pil &amp; poppel</v>
      </c>
      <c r="C420">
        <v>2050</v>
      </c>
      <c r="D420" t="s">
        <v>8</v>
      </c>
      <c r="E420" s="172" t="str">
        <f t="shared" si="63"/>
        <v>OC6</v>
      </c>
      <c r="F420" t="str">
        <f t="shared" si="62"/>
        <v>Pil &amp; poppel</v>
      </c>
      <c r="G420" s="76" cm="1">
        <f t="array" ref="G420">IF(A420="Vestdanmark",IF(D420="Konventionel",IF(C420=2019,SUMPRODUCT((B420='Landbrugsareal - resultat'!$B$5:$B$18)*(INDEX('Landbrugsareal - resultat'!$C$5:$E$18,,MATCH(E420,'Landbrugsareal - resultat'!$C$4:$E$4,0)))),IF(C420=2030,SUMPRODUCT((B420='Landbrugsareal - resultat'!$B$5:$B$18)*(INDEX('Landbrugsareal - resultat'!$F$5:$H$18,,MATCH(E420,'Landbrugsareal - resultat'!$F$4:$H$4,0)))),SUMPRODUCT((B420='Landbrugsareal - resultat'!$B$5:$B$18)*(INDEX('Landbrugsareal - resultat'!$I$5:$K$18,,MATCH(E420,'Landbrugsareal - resultat'!$I$4:$K$4,0)))))),IF(C420=2019,SUMPRODUCT((B420='Landbrugsareal - resultat'!$B$5:$B$18)*(INDEX('Landbrugsareal - resultat'!$L$5:$N$18,,MATCH(E420,'Landbrugsareal - resultat'!$L$4:$N$4,0)))),IF(C420=2030,SUMPRODUCT((B420='Landbrugsareal - resultat'!$B$5:$B$18)*(INDEX('Landbrugsareal - resultat'!$O$5:$Q$18,,MATCH(E420,'Landbrugsareal - resultat'!$O$4:$Q$4,0)))),SUMPRODUCT((B420='Landbrugsareal - resultat'!$B$5:$B$18)*(INDEX('Landbrugsareal - resultat'!$R$5:$T$18,,MATCH(E420,'Landbrugsareal - resultat'!$R$4:$T$4,0))))))),IF(D420="Konventionel",IF(C420=2019,SUMPRODUCT((B420='Landbrugsareal - resultat'!$B$32:$B$45)*(INDEX('Landbrugsareal - resultat'!$C$32:$E$45,,MATCH(E420,'Landbrugsareal - resultat'!$C$4:$E$4,0)))),IF(C420=2030,SUMPRODUCT((B420='Landbrugsareal - resultat'!$B$32:$B$45)*(INDEX('Landbrugsareal - resultat'!$F$32:$H$45,,MATCH(E420,'Landbrugsareal - resultat'!$F$4:$H$4,0)))),SUMPRODUCT((B420='Landbrugsareal - resultat'!$B$32:$B$45)*(INDEX('Landbrugsareal - resultat'!$I$32:$K$45,,MATCH(E420,'Landbrugsareal - resultat'!$I$4:$K$4,0)))))),IF(C420=2019,SUMPRODUCT((B420='Landbrugsareal - resultat'!$B$32:$B$45)*(INDEX('Landbrugsareal - resultat'!$L$32:$N$45,,MATCH(E420,'Landbrugsareal - resultat'!$L$4:$N$4,0)))),IF(C420=2030,SUMPRODUCT((B420='Landbrugsareal - resultat'!$B$32:$B$45)*(INDEX('Landbrugsareal - resultat'!$O$32:$Q$45,,MATCH(E420,'Landbrugsareal - resultat'!$O$4:$Q$4,0)))),SUMPRODUCT((B420='Landbrugsareal - resultat'!$B$32:$B$45)*(INDEX('Landbrugsareal - resultat'!$R$32:$T$45,,MATCH(E420,'Landbrugsareal - resultat'!$R$4:$T$4,0))))))))</f>
        <v>13.432394471815089</v>
      </c>
      <c r="H420" s="172">
        <f>G420*VLOOKUP(B420,[1]Afgrødedata!$A$5:$F$18,2,FALSE)*IF(D420="Økologisk",VLOOKUP(B420,[1]Afgrødedata!$A$5:$F$18,4,FALSE),1)*IF(E420&lt;&gt;Jordbund1,IF(E420=Organ6,VLOOKUP(B420,[1]Afgrødedata!$A$5:$F$18,5,FALSE),VLOOKUP(B420,[1]Afgrødedata!$A$5:$F$18,6,FALSE)),1)*0.1</f>
        <v>224.09165411515903</v>
      </c>
      <c r="I420" s="172">
        <f>G420*VLOOKUP(B420,[1]Afgrødedata!$A$5:$F$18,3,FALSE)*IF(D420="Økologisk",VLOOKUP(B420,[1]Afgrødedata!$A$5:$F$18,4,FALSE),1)*IF(E420&lt;&gt;Jordbund1,IF(E420=Organ6,VLOOKUP(B420,[1]Afgrødedata!$A$5:$F$18,5,FALSE),VLOOKUP(B420,[1]Afgrødedata!$A$5:$F$18,6,FALSE)),1)*HLOOKUP(C420,Landbrug!$C$15:$E$17,2,FALSE)*HLOOKUP(C420,Landbrug!$C$15:$E$17,3,FALSE)*0.1</f>
        <v>0</v>
      </c>
      <c r="J420" s="76">
        <f t="shared" si="64"/>
        <v>224.09165411515903</v>
      </c>
    </row>
    <row r="421" spans="1:10" x14ac:dyDescent="0.55000000000000004">
      <c r="A421" t="s">
        <v>24</v>
      </c>
      <c r="B421" s="1" t="str">
        <f>[1]Afgrødefordeling!$C$15</f>
        <v>Permanent græs</v>
      </c>
      <c r="C421">
        <v>2050</v>
      </c>
      <c r="D421" t="s">
        <v>8</v>
      </c>
      <c r="E421" s="172" t="str">
        <f t="shared" si="63"/>
        <v>OC6</v>
      </c>
      <c r="F421" t="str">
        <f t="shared" si="62"/>
        <v>Græs</v>
      </c>
      <c r="G421" s="76" cm="1">
        <f t="array" ref="G421">IF(A421="Vestdanmark",IF(D421="Konventionel",IF(C421=2019,SUMPRODUCT((B421='Landbrugsareal - resultat'!$B$5:$B$18)*(INDEX('Landbrugsareal - resultat'!$C$5:$E$18,,MATCH(E421,'Landbrugsareal - resultat'!$C$4:$E$4,0)))),IF(C421=2030,SUMPRODUCT((B421='Landbrugsareal - resultat'!$B$5:$B$18)*(INDEX('Landbrugsareal - resultat'!$F$5:$H$18,,MATCH(E421,'Landbrugsareal - resultat'!$F$4:$H$4,0)))),SUMPRODUCT((B421='Landbrugsareal - resultat'!$B$5:$B$18)*(INDEX('Landbrugsareal - resultat'!$I$5:$K$18,,MATCH(E421,'Landbrugsareal - resultat'!$I$4:$K$4,0)))))),IF(C421=2019,SUMPRODUCT((B421='Landbrugsareal - resultat'!$B$5:$B$18)*(INDEX('Landbrugsareal - resultat'!$L$5:$N$18,,MATCH(E421,'Landbrugsareal - resultat'!$L$4:$N$4,0)))),IF(C421=2030,SUMPRODUCT((B421='Landbrugsareal - resultat'!$B$5:$B$18)*(INDEX('Landbrugsareal - resultat'!$O$5:$Q$18,,MATCH(E421,'Landbrugsareal - resultat'!$O$4:$Q$4,0)))),SUMPRODUCT((B421='Landbrugsareal - resultat'!$B$5:$B$18)*(INDEX('Landbrugsareal - resultat'!$R$5:$T$18,,MATCH(E421,'Landbrugsareal - resultat'!$R$4:$T$4,0))))))),IF(D421="Konventionel",IF(C421=2019,SUMPRODUCT((B421='Landbrugsareal - resultat'!$B$32:$B$45)*(INDEX('Landbrugsareal - resultat'!$C$32:$E$45,,MATCH(E421,'Landbrugsareal - resultat'!$C$4:$E$4,0)))),IF(C421=2030,SUMPRODUCT((B421='Landbrugsareal - resultat'!$B$32:$B$45)*(INDEX('Landbrugsareal - resultat'!$F$32:$H$45,,MATCH(E421,'Landbrugsareal - resultat'!$F$4:$H$4,0)))),SUMPRODUCT((B421='Landbrugsareal - resultat'!$B$32:$B$45)*(INDEX('Landbrugsareal - resultat'!$I$32:$K$45,,MATCH(E421,'Landbrugsareal - resultat'!$I$4:$K$4,0)))))),IF(C421=2019,SUMPRODUCT((B421='Landbrugsareal - resultat'!$B$32:$B$45)*(INDEX('Landbrugsareal - resultat'!$L$32:$N$45,,MATCH(E421,'Landbrugsareal - resultat'!$L$4:$N$4,0)))),IF(C421=2030,SUMPRODUCT((B421='Landbrugsareal - resultat'!$B$32:$B$45)*(INDEX('Landbrugsareal - resultat'!$O$32:$Q$45,,MATCH(E421,'Landbrugsareal - resultat'!$O$4:$Q$4,0)))),SUMPRODUCT((B421='Landbrugsareal - resultat'!$B$32:$B$45)*(INDEX('Landbrugsareal - resultat'!$R$32:$T$45,,MATCH(E421,'Landbrugsareal - resultat'!$R$4:$T$4,0))))))))</f>
        <v>389.29038018248474</v>
      </c>
      <c r="H421" s="172">
        <f>G421*VLOOKUP(B421,[1]Afgrødedata!$A$5:$F$18,2,FALSE)*IF(D421="Økologisk",VLOOKUP(B421,[1]Afgrødedata!$A$5:$F$18,4,FALSE),1)*IF(E421&lt;&gt;Jordbund1,IF(E421=Organ6,VLOOKUP(B421,[1]Afgrødedata!$A$5:$F$18,5,FALSE),VLOOKUP(B421,[1]Afgrødedata!$A$5:$F$18,6,FALSE)),1)*0.1</f>
        <v>6441.9772112597584</v>
      </c>
      <c r="I421" s="172">
        <f>G421*VLOOKUP(B421,[1]Afgrødedata!$A$5:$F$18,3,FALSE)*IF(D421="Økologisk",VLOOKUP(B421,[1]Afgrødedata!$A$5:$F$18,4,FALSE),1)*IF(E421&lt;&gt;Jordbund1,IF(E421=Organ6,VLOOKUP(B421,[1]Afgrødedata!$A$5:$F$18,5,FALSE),VLOOKUP(B421,[1]Afgrødedata!$A$5:$F$18,6,FALSE)),1)*HLOOKUP(C421,Landbrug!$C$15:$E$17,2,FALSE)*HLOOKUP(C421,Landbrug!$C$15:$E$17,3,FALSE)*0.1</f>
        <v>0</v>
      </c>
      <c r="J421" s="76">
        <f t="shared" si="64"/>
        <v>6441.9772112597584</v>
      </c>
    </row>
    <row r="422" spans="1:10" x14ac:dyDescent="0.55000000000000004">
      <c r="A422" t="s">
        <v>24</v>
      </c>
      <c r="B422" s="1" t="str">
        <f>[1]Afgrødefordeling!$C$2</f>
        <v>Korn</v>
      </c>
      <c r="C422">
        <v>2019</v>
      </c>
      <c r="D422" t="s">
        <v>7</v>
      </c>
      <c r="E422" s="172" t="str">
        <f t="shared" ref="E422:E453" si="65">Organ12</f>
        <v>OC12</v>
      </c>
      <c r="F422" t="str">
        <f t="shared" si="62"/>
        <v>Halm</v>
      </c>
      <c r="G422" s="76" cm="1">
        <f t="array" ref="G422">IF(A422="Vestdanmark",IF(D422="Konventionel",IF(C422=2019,SUMPRODUCT((B422='Landbrugsareal - resultat'!$B$5:$B$18)*(INDEX('Landbrugsareal - resultat'!$C$5:$E$18,,MATCH(E422,'Landbrugsareal - resultat'!$C$4:$E$4,0)))),IF(C422=2030,SUMPRODUCT((B422='Landbrugsareal - resultat'!$B$5:$B$18)*(INDEX('Landbrugsareal - resultat'!$F$5:$H$18,,MATCH(E422,'Landbrugsareal - resultat'!$F$4:$H$4,0)))),SUMPRODUCT((B422='Landbrugsareal - resultat'!$B$5:$B$18)*(INDEX('Landbrugsareal - resultat'!$I$5:$K$18,,MATCH(E422,'Landbrugsareal - resultat'!$I$4:$K$4,0)))))),IF(C422=2019,SUMPRODUCT((B422='Landbrugsareal - resultat'!$B$5:$B$18)*(INDEX('Landbrugsareal - resultat'!$L$5:$N$18,,MATCH(E422,'Landbrugsareal - resultat'!$L$4:$N$4,0)))),IF(C422=2030,SUMPRODUCT((B422='Landbrugsareal - resultat'!$B$5:$B$18)*(INDEX('Landbrugsareal - resultat'!$O$5:$Q$18,,MATCH(E422,'Landbrugsareal - resultat'!$O$4:$Q$4,0)))),SUMPRODUCT((B422='Landbrugsareal - resultat'!$B$5:$B$18)*(INDEX('Landbrugsareal - resultat'!$R$5:$T$18,,MATCH(E422,'Landbrugsareal - resultat'!$R$4:$T$4,0))))))),IF(D422="Konventionel",IF(C422=2019,SUMPRODUCT((B422='Landbrugsareal - resultat'!$B$32:$B$45)*(INDEX('Landbrugsareal - resultat'!$C$32:$E$45,,MATCH(E422,'Landbrugsareal - resultat'!$C$4:$E$4,0)))),IF(C422=2030,SUMPRODUCT((B422='Landbrugsareal - resultat'!$B$32:$B$45)*(INDEX('Landbrugsareal - resultat'!$F$32:$H$45,,MATCH(E422,'Landbrugsareal - resultat'!$F$4:$H$4,0)))),SUMPRODUCT((B422='Landbrugsareal - resultat'!$B$32:$B$45)*(INDEX('Landbrugsareal - resultat'!$I$32:$K$45,,MATCH(E422,'Landbrugsareal - resultat'!$I$4:$K$4,0)))))),IF(C422=2019,SUMPRODUCT((B422='Landbrugsareal - resultat'!$B$32:$B$45)*(INDEX('Landbrugsareal - resultat'!$L$32:$N$45,,MATCH(E422,'Landbrugsareal - resultat'!$L$4:$N$4,0)))),IF(C422=2030,SUMPRODUCT((B422='Landbrugsareal - resultat'!$B$32:$B$45)*(INDEX('Landbrugsareal - resultat'!$O$32:$Q$45,,MATCH(E422,'Landbrugsareal - resultat'!$O$4:$Q$4,0)))),SUMPRODUCT((B422='Landbrugsareal - resultat'!$B$32:$B$45)*(INDEX('Landbrugsareal - resultat'!$R$32:$T$45,,MATCH(E422,'Landbrugsareal - resultat'!$R$4:$T$4,0))))))))</f>
        <v>1774.9136894308049</v>
      </c>
      <c r="H422" s="172">
        <f>G422*VLOOKUP(B422,[1]Afgrødedata!$A$5:$F$18,2,FALSE)*IF(D422="Økologisk",VLOOKUP(B422,[1]Afgrødedata!$A$5:$F$18,4,FALSE),1)*IF(E422&lt;&gt;Jordbund1,IF(E422=Organ6,VLOOKUP(B422,[1]Afgrødedata!$A$5:$F$18,5,FALSE),VLOOKUP(B422,[1]Afgrødedata!$A$5:$F$18,6,FALSE)),1)*0.1</f>
        <v>17419.002948073918</v>
      </c>
      <c r="I422" s="172">
        <f>G422*VLOOKUP(B422,[1]Afgrødedata!$A$5:$F$18,3,FALSE)*IF(D422="Økologisk",VLOOKUP(B422,[1]Afgrødedata!$A$5:$F$18,4,FALSE),1)*IF(E422&lt;&gt;Jordbund1,IF(E422=Organ6,VLOOKUP(B422,[1]Afgrødedata!$A$5:$F$18,5,FALSE),VLOOKUP(B422,[1]Afgrødedata!$A$5:$F$18,6,FALSE)),1)*HLOOKUP(C422,Landbrug!$C$15:$E$17,2,FALSE)*HLOOKUP(C422,Landbrug!$C$15:$E$17,3,FALSE)*0.1</f>
        <v>5685.5190147439571</v>
      </c>
      <c r="J422" s="76">
        <f t="shared" si="64"/>
        <v>5685.5190147439571</v>
      </c>
    </row>
    <row r="423" spans="1:10" x14ac:dyDescent="0.55000000000000004">
      <c r="A423" t="s">
        <v>24</v>
      </c>
      <c r="B423" s="1" t="str">
        <f>[1]Afgrødefordeling!$C$3</f>
        <v>Bælgsæd</v>
      </c>
      <c r="C423">
        <v>2019</v>
      </c>
      <c r="D423" t="s">
        <v>7</v>
      </c>
      <c r="E423" s="172" t="str">
        <f t="shared" si="65"/>
        <v>OC12</v>
      </c>
      <c r="F423" t="str">
        <f t="shared" si="62"/>
        <v>Halm</v>
      </c>
      <c r="G423" s="76" cm="1">
        <f t="array" ref="G423">IF(A423="Vestdanmark",IF(D423="Konventionel",IF(C423=2019,SUMPRODUCT((B423='Landbrugsareal - resultat'!$B$5:$B$18)*(INDEX('Landbrugsareal - resultat'!$C$5:$E$18,,MATCH(E423,'Landbrugsareal - resultat'!$C$4:$E$4,0)))),IF(C423=2030,SUMPRODUCT((B423='Landbrugsareal - resultat'!$B$5:$B$18)*(INDEX('Landbrugsareal - resultat'!$F$5:$H$18,,MATCH(E423,'Landbrugsareal - resultat'!$F$4:$H$4,0)))),SUMPRODUCT((B423='Landbrugsareal - resultat'!$B$5:$B$18)*(INDEX('Landbrugsareal - resultat'!$I$5:$K$18,,MATCH(E423,'Landbrugsareal - resultat'!$I$4:$K$4,0)))))),IF(C423=2019,SUMPRODUCT((B423='Landbrugsareal - resultat'!$B$5:$B$18)*(INDEX('Landbrugsareal - resultat'!$L$5:$N$18,,MATCH(E423,'Landbrugsareal - resultat'!$L$4:$N$4,0)))),IF(C423=2030,SUMPRODUCT((B423='Landbrugsareal - resultat'!$B$5:$B$18)*(INDEX('Landbrugsareal - resultat'!$O$5:$Q$18,,MATCH(E423,'Landbrugsareal - resultat'!$O$4:$Q$4,0)))),SUMPRODUCT((B423='Landbrugsareal - resultat'!$B$5:$B$18)*(INDEX('Landbrugsareal - resultat'!$R$5:$T$18,,MATCH(E423,'Landbrugsareal - resultat'!$R$4:$T$4,0))))))),IF(D423="Konventionel",IF(C423=2019,SUMPRODUCT((B423='Landbrugsareal - resultat'!$B$32:$B$45)*(INDEX('Landbrugsareal - resultat'!$C$32:$E$45,,MATCH(E423,'Landbrugsareal - resultat'!$C$4:$E$4,0)))),IF(C423=2030,SUMPRODUCT((B423='Landbrugsareal - resultat'!$B$32:$B$45)*(INDEX('Landbrugsareal - resultat'!$F$32:$H$45,,MATCH(E423,'Landbrugsareal - resultat'!$F$4:$H$4,0)))),SUMPRODUCT((B423='Landbrugsareal - resultat'!$B$32:$B$45)*(INDEX('Landbrugsareal - resultat'!$I$32:$K$45,,MATCH(E423,'Landbrugsareal - resultat'!$I$4:$K$4,0)))))),IF(C423=2019,SUMPRODUCT((B423='Landbrugsareal - resultat'!$B$32:$B$45)*(INDEX('Landbrugsareal - resultat'!$L$32:$N$45,,MATCH(E423,'Landbrugsareal - resultat'!$L$4:$N$4,0)))),IF(C423=2030,SUMPRODUCT((B423='Landbrugsareal - resultat'!$B$32:$B$45)*(INDEX('Landbrugsareal - resultat'!$O$32:$Q$45,,MATCH(E423,'Landbrugsareal - resultat'!$O$4:$Q$4,0)))),SUMPRODUCT((B423='Landbrugsareal - resultat'!$B$32:$B$45)*(INDEX('Landbrugsareal - resultat'!$R$32:$T$45,,MATCH(E423,'Landbrugsareal - resultat'!$R$4:$T$4,0))))))))</f>
        <v>32.238285550267712</v>
      </c>
      <c r="H423" s="172">
        <f>G423*VLOOKUP(B423,[1]Afgrødedata!$A$5:$F$18,2,FALSE)*IF(D423="Økologisk",VLOOKUP(B423,[1]Afgrødedata!$A$5:$F$18,4,FALSE),1)*IF(E423&lt;&gt;Jordbund1,IF(E423=Organ6,VLOOKUP(B423,[1]Afgrødedata!$A$5:$F$18,5,FALSE),VLOOKUP(B423,[1]Afgrødedata!$A$5:$F$18,6,FALSE)),1)*0.1</f>
        <v>174.21569511364672</v>
      </c>
      <c r="I423" s="172">
        <f>G423*VLOOKUP(B423,[1]Afgrødedata!$A$5:$F$18,3,FALSE)*IF(D423="Økologisk",VLOOKUP(B423,[1]Afgrødedata!$A$5:$F$18,4,FALSE),1)*IF(E423&lt;&gt;Jordbund1,IF(E423=Organ6,VLOOKUP(B423,[1]Afgrødedata!$A$5:$F$18,5,FALSE),VLOOKUP(B423,[1]Afgrødedata!$A$5:$F$18,6,FALSE)),1)*HLOOKUP(C423,Landbrug!$C$15:$E$17,2,FALSE)*HLOOKUP(C423,Landbrug!$C$15:$E$17,3,FALSE)*0.1</f>
        <v>51.720936667380549</v>
      </c>
      <c r="J423" s="76">
        <f t="shared" si="64"/>
        <v>51.720936667380549</v>
      </c>
    </row>
    <row r="424" spans="1:10" x14ac:dyDescent="0.55000000000000004">
      <c r="A424" t="s">
        <v>24</v>
      </c>
      <c r="B424" s="1" t="str">
        <f>[1]Afgrødefordeling!$C$4</f>
        <v>Raps</v>
      </c>
      <c r="C424">
        <v>2019</v>
      </c>
      <c r="D424" t="s">
        <v>7</v>
      </c>
      <c r="E424" s="172" t="str">
        <f t="shared" si="65"/>
        <v>OC12</v>
      </c>
      <c r="F424" t="str">
        <f t="shared" si="62"/>
        <v>Halm</v>
      </c>
      <c r="G424" s="76" cm="1">
        <f t="array" ref="G424">IF(A424="Vestdanmark",IF(D424="Konventionel",IF(C424=2019,SUMPRODUCT((B424='Landbrugsareal - resultat'!$B$5:$B$18)*(INDEX('Landbrugsareal - resultat'!$C$5:$E$18,,MATCH(E424,'Landbrugsareal - resultat'!$C$4:$E$4,0)))),IF(C424=2030,SUMPRODUCT((B424='Landbrugsareal - resultat'!$B$5:$B$18)*(INDEX('Landbrugsareal - resultat'!$F$5:$H$18,,MATCH(E424,'Landbrugsareal - resultat'!$F$4:$H$4,0)))),SUMPRODUCT((B424='Landbrugsareal - resultat'!$B$5:$B$18)*(INDEX('Landbrugsareal - resultat'!$I$5:$K$18,,MATCH(E424,'Landbrugsareal - resultat'!$I$4:$K$4,0)))))),IF(C424=2019,SUMPRODUCT((B424='Landbrugsareal - resultat'!$B$5:$B$18)*(INDEX('Landbrugsareal - resultat'!$L$5:$N$18,,MATCH(E424,'Landbrugsareal - resultat'!$L$4:$N$4,0)))),IF(C424=2030,SUMPRODUCT((B424='Landbrugsareal - resultat'!$B$5:$B$18)*(INDEX('Landbrugsareal - resultat'!$O$5:$Q$18,,MATCH(E424,'Landbrugsareal - resultat'!$O$4:$Q$4,0)))),SUMPRODUCT((B424='Landbrugsareal - resultat'!$B$5:$B$18)*(INDEX('Landbrugsareal - resultat'!$R$5:$T$18,,MATCH(E424,'Landbrugsareal - resultat'!$R$4:$T$4,0))))))),IF(D424="Konventionel",IF(C424=2019,SUMPRODUCT((B424='Landbrugsareal - resultat'!$B$32:$B$45)*(INDEX('Landbrugsareal - resultat'!$C$32:$E$45,,MATCH(E424,'Landbrugsareal - resultat'!$C$4:$E$4,0)))),IF(C424=2030,SUMPRODUCT((B424='Landbrugsareal - resultat'!$B$32:$B$45)*(INDEX('Landbrugsareal - resultat'!$F$32:$H$45,,MATCH(E424,'Landbrugsareal - resultat'!$F$4:$H$4,0)))),SUMPRODUCT((B424='Landbrugsareal - resultat'!$B$32:$B$45)*(INDEX('Landbrugsareal - resultat'!$I$32:$K$45,,MATCH(E424,'Landbrugsareal - resultat'!$I$4:$K$4,0)))))),IF(C424=2019,SUMPRODUCT((B424='Landbrugsareal - resultat'!$B$32:$B$45)*(INDEX('Landbrugsareal - resultat'!$L$32:$N$45,,MATCH(E424,'Landbrugsareal - resultat'!$L$4:$N$4,0)))),IF(C424=2030,SUMPRODUCT((B424='Landbrugsareal - resultat'!$B$32:$B$45)*(INDEX('Landbrugsareal - resultat'!$O$32:$Q$45,,MATCH(E424,'Landbrugsareal - resultat'!$O$4:$Q$4,0)))),SUMPRODUCT((B424='Landbrugsareal - resultat'!$B$32:$B$45)*(INDEX('Landbrugsareal - resultat'!$R$32:$T$45,,MATCH(E424,'Landbrugsareal - resultat'!$R$4:$T$4,0))))))))</f>
        <v>157.47648143468331</v>
      </c>
      <c r="H424" s="172">
        <f>G424*VLOOKUP(B424,[1]Afgrødedata!$A$5:$F$18,2,FALSE)*IF(D424="Økologisk",VLOOKUP(B424,[1]Afgrødedata!$A$5:$F$18,4,FALSE),1)*IF(E424&lt;&gt;Jordbund1,IF(E424=Organ6,VLOOKUP(B424,[1]Afgrødedata!$A$5:$F$18,5,FALSE),VLOOKUP(B424,[1]Afgrødedata!$A$5:$F$18,6,FALSE)),1)*0.1</f>
        <v>970.05512563764921</v>
      </c>
      <c r="I424" s="172">
        <f>G424*VLOOKUP(B424,[1]Afgrødedata!$A$5:$F$18,3,FALSE)*IF(D424="Økologisk",VLOOKUP(B424,[1]Afgrødedata!$A$5:$F$18,4,FALSE),1)*IF(E424&lt;&gt;Jordbund1,IF(E424=Organ6,VLOOKUP(B424,[1]Afgrødedata!$A$5:$F$18,5,FALSE),VLOOKUP(B424,[1]Afgrødedata!$A$5:$F$18,6,FALSE)),1)*HLOOKUP(C424,Landbrug!$C$15:$E$17,2,FALSE)*HLOOKUP(C424,Landbrug!$C$15:$E$17,3,FALSE)*0.1</f>
        <v>518.11129287869664</v>
      </c>
      <c r="J424" s="76">
        <f t="shared" si="64"/>
        <v>518.11129287869664</v>
      </c>
    </row>
    <row r="425" spans="1:10" x14ac:dyDescent="0.55000000000000004">
      <c r="A425" t="s">
        <v>24</v>
      </c>
      <c r="B425" s="1" t="str">
        <f>[1]Afgrødefordeling!$C$5</f>
        <v>Græs</v>
      </c>
      <c r="C425">
        <v>2019</v>
      </c>
      <c r="D425" t="s">
        <v>7</v>
      </c>
      <c r="E425" s="172" t="str">
        <f t="shared" si="65"/>
        <v>OC12</v>
      </c>
      <c r="F425" t="str">
        <f t="shared" si="62"/>
        <v>Græs</v>
      </c>
      <c r="G425" s="76" cm="1">
        <f t="array" ref="G425">IF(A425="Vestdanmark",IF(D425="Konventionel",IF(C425=2019,SUMPRODUCT((B425='Landbrugsareal - resultat'!$B$5:$B$18)*(INDEX('Landbrugsareal - resultat'!$C$5:$E$18,,MATCH(E425,'Landbrugsareal - resultat'!$C$4:$E$4,0)))),IF(C425=2030,SUMPRODUCT((B425='Landbrugsareal - resultat'!$B$5:$B$18)*(INDEX('Landbrugsareal - resultat'!$F$5:$H$18,,MATCH(E425,'Landbrugsareal - resultat'!$F$4:$H$4,0)))),SUMPRODUCT((B425='Landbrugsareal - resultat'!$B$5:$B$18)*(INDEX('Landbrugsareal - resultat'!$I$5:$K$18,,MATCH(E425,'Landbrugsareal - resultat'!$I$4:$K$4,0)))))),IF(C425=2019,SUMPRODUCT((B425='Landbrugsareal - resultat'!$B$5:$B$18)*(INDEX('Landbrugsareal - resultat'!$L$5:$N$18,,MATCH(E425,'Landbrugsareal - resultat'!$L$4:$N$4,0)))),IF(C425=2030,SUMPRODUCT((B425='Landbrugsareal - resultat'!$B$5:$B$18)*(INDEX('Landbrugsareal - resultat'!$O$5:$Q$18,,MATCH(E425,'Landbrugsareal - resultat'!$O$4:$Q$4,0)))),SUMPRODUCT((B425='Landbrugsareal - resultat'!$B$5:$B$18)*(INDEX('Landbrugsareal - resultat'!$R$5:$T$18,,MATCH(E425,'Landbrugsareal - resultat'!$R$4:$T$4,0))))))),IF(D425="Konventionel",IF(C425=2019,SUMPRODUCT((B425='Landbrugsareal - resultat'!$B$32:$B$45)*(INDEX('Landbrugsareal - resultat'!$C$32:$E$45,,MATCH(E425,'Landbrugsareal - resultat'!$C$4:$E$4,0)))),IF(C425=2030,SUMPRODUCT((B425='Landbrugsareal - resultat'!$B$32:$B$45)*(INDEX('Landbrugsareal - resultat'!$F$32:$H$45,,MATCH(E425,'Landbrugsareal - resultat'!$F$4:$H$4,0)))),SUMPRODUCT((B425='Landbrugsareal - resultat'!$B$32:$B$45)*(INDEX('Landbrugsareal - resultat'!$I$32:$K$45,,MATCH(E425,'Landbrugsareal - resultat'!$I$4:$K$4,0)))))),IF(C425=2019,SUMPRODUCT((B425='Landbrugsareal - resultat'!$B$32:$B$45)*(INDEX('Landbrugsareal - resultat'!$L$32:$N$45,,MATCH(E425,'Landbrugsareal - resultat'!$L$4:$N$4,0)))),IF(C425=2030,SUMPRODUCT((B425='Landbrugsareal - resultat'!$B$32:$B$45)*(INDEX('Landbrugsareal - resultat'!$O$32:$Q$45,,MATCH(E425,'Landbrugsareal - resultat'!$O$4:$Q$4,0)))),SUMPRODUCT((B425='Landbrugsareal - resultat'!$B$32:$B$45)*(INDEX('Landbrugsareal - resultat'!$R$32:$T$45,,MATCH(E425,'Landbrugsareal - resultat'!$R$4:$T$4,0))))))))</f>
        <v>1157.2294466868368</v>
      </c>
      <c r="H425" s="172">
        <f>G425*VLOOKUP(B425,[1]Afgrødedata!$A$5:$F$18,2,FALSE)*IF(D425="Økologisk",VLOOKUP(B425,[1]Afgrødedata!$A$5:$F$18,4,FALSE),1)*IF(E425&lt;&gt;Jordbund1,IF(E425=Organ6,VLOOKUP(B425,[1]Afgrødedata!$A$5:$F$18,5,FALSE),VLOOKUP(B425,[1]Afgrødedata!$A$5:$F$18,6,FALSE)),1)*0.1</f>
        <v>80390.415202441189</v>
      </c>
      <c r="I425" s="172">
        <f>G425*VLOOKUP(B425,[1]Afgrødedata!$A$5:$F$18,3,FALSE)*IF(D425="Økologisk",VLOOKUP(B425,[1]Afgrødedata!$A$5:$F$18,4,FALSE),1)*IF(E425&lt;&gt;Jordbund1,IF(E425=Organ6,VLOOKUP(B425,[1]Afgrødedata!$A$5:$F$18,5,FALSE),VLOOKUP(B425,[1]Afgrødedata!$A$5:$F$18,6,FALSE)),1)*HLOOKUP(C425,Landbrug!$C$15:$E$17,2,FALSE)*HLOOKUP(C425,Landbrug!$C$15:$E$17,3,FALSE)*0.1</f>
        <v>0</v>
      </c>
      <c r="J425" s="76">
        <f t="shared" si="64"/>
        <v>80390.415202441189</v>
      </c>
    </row>
    <row r="426" spans="1:10" x14ac:dyDescent="0.55000000000000004">
      <c r="A426" t="s">
        <v>24</v>
      </c>
      <c r="B426" s="1" t="str">
        <f>[1]Afgrødefordeling!$C$6</f>
        <v>Grøntsager</v>
      </c>
      <c r="C426">
        <v>2019</v>
      </c>
      <c r="D426" t="s">
        <v>7</v>
      </c>
      <c r="E426" s="172" t="str">
        <f t="shared" si="65"/>
        <v>OC12</v>
      </c>
      <c r="F426" t="str">
        <f t="shared" si="62"/>
        <v>Grøntsager</v>
      </c>
      <c r="G426" s="76" cm="1">
        <f t="array" ref="G426">IF(A426="Vestdanmark",IF(D426="Konventionel",IF(C426=2019,SUMPRODUCT((B426='Landbrugsareal - resultat'!$B$5:$B$18)*(INDEX('Landbrugsareal - resultat'!$C$5:$E$18,,MATCH(E426,'Landbrugsareal - resultat'!$C$4:$E$4,0)))),IF(C426=2030,SUMPRODUCT((B426='Landbrugsareal - resultat'!$B$5:$B$18)*(INDEX('Landbrugsareal - resultat'!$F$5:$H$18,,MATCH(E426,'Landbrugsareal - resultat'!$F$4:$H$4,0)))),SUMPRODUCT((B426='Landbrugsareal - resultat'!$B$5:$B$18)*(INDEX('Landbrugsareal - resultat'!$I$5:$K$18,,MATCH(E426,'Landbrugsareal - resultat'!$I$4:$K$4,0)))))),IF(C426=2019,SUMPRODUCT((B426='Landbrugsareal - resultat'!$B$5:$B$18)*(INDEX('Landbrugsareal - resultat'!$L$5:$N$18,,MATCH(E426,'Landbrugsareal - resultat'!$L$4:$N$4,0)))),IF(C426=2030,SUMPRODUCT((B426='Landbrugsareal - resultat'!$B$5:$B$18)*(INDEX('Landbrugsareal - resultat'!$O$5:$Q$18,,MATCH(E426,'Landbrugsareal - resultat'!$O$4:$Q$4,0)))),SUMPRODUCT((B426='Landbrugsareal - resultat'!$B$5:$B$18)*(INDEX('Landbrugsareal - resultat'!$R$5:$T$18,,MATCH(E426,'Landbrugsareal - resultat'!$R$4:$T$4,0))))))),IF(D426="Konventionel",IF(C426=2019,SUMPRODUCT((B426='Landbrugsareal - resultat'!$B$32:$B$45)*(INDEX('Landbrugsareal - resultat'!$C$32:$E$45,,MATCH(E426,'Landbrugsareal - resultat'!$C$4:$E$4,0)))),IF(C426=2030,SUMPRODUCT((B426='Landbrugsareal - resultat'!$B$32:$B$45)*(INDEX('Landbrugsareal - resultat'!$F$32:$H$45,,MATCH(E426,'Landbrugsareal - resultat'!$F$4:$H$4,0)))),SUMPRODUCT((B426='Landbrugsareal - resultat'!$B$32:$B$45)*(INDEX('Landbrugsareal - resultat'!$I$32:$K$45,,MATCH(E426,'Landbrugsareal - resultat'!$I$4:$K$4,0)))))),IF(C426=2019,SUMPRODUCT((B426='Landbrugsareal - resultat'!$B$32:$B$45)*(INDEX('Landbrugsareal - resultat'!$L$32:$N$45,,MATCH(E426,'Landbrugsareal - resultat'!$L$4:$N$4,0)))),IF(C426=2030,SUMPRODUCT((B426='Landbrugsareal - resultat'!$B$32:$B$45)*(INDEX('Landbrugsareal - resultat'!$O$32:$Q$45,,MATCH(E426,'Landbrugsareal - resultat'!$O$4:$Q$4,0)))),SUMPRODUCT((B426='Landbrugsareal - resultat'!$B$32:$B$45)*(INDEX('Landbrugsareal - resultat'!$R$32:$T$45,,MATCH(E426,'Landbrugsareal - resultat'!$R$4:$T$4,0))))))))</f>
        <v>5.4466148542378683</v>
      </c>
      <c r="H426" s="172">
        <f>G426*VLOOKUP(B426,[1]Afgrødedata!$A$5:$F$18,2,FALSE)*IF(D426="Økologisk",VLOOKUP(B426,[1]Afgrødedata!$A$5:$F$18,4,FALSE),1)*IF(E426&lt;&gt;Jordbund1,IF(E426=Organ6,VLOOKUP(B426,[1]Afgrødedata!$A$5:$F$18,5,FALSE),VLOOKUP(B426,[1]Afgrødedata!$A$5:$F$18,6,FALSE)),1)*0.1</f>
        <v>158.22416151561006</v>
      </c>
      <c r="I426" s="172">
        <f>G426*VLOOKUP(B426,[1]Afgrødedata!$A$5:$F$18,3,FALSE)*IF(D426="Økologisk",VLOOKUP(B426,[1]Afgrødedata!$A$5:$F$18,4,FALSE),1)*IF(E426&lt;&gt;Jordbund1,IF(E426=Organ6,VLOOKUP(B426,[1]Afgrødedata!$A$5:$F$18,5,FALSE),VLOOKUP(B426,[1]Afgrødedata!$A$5:$F$18,6,FALSE)),1)*HLOOKUP(C426,Landbrug!$C$15:$E$17,2,FALSE)*HLOOKUP(C426,Landbrug!$C$15:$E$17,3,FALSE)*0.1</f>
        <v>0</v>
      </c>
      <c r="J426" s="76">
        <f t="shared" si="64"/>
        <v>158.22416151561006</v>
      </c>
    </row>
    <row r="427" spans="1:10" x14ac:dyDescent="0.55000000000000004">
      <c r="A427" t="s">
        <v>24</v>
      </c>
      <c r="B427" s="1" t="str">
        <f>[1]Afgrødefordeling!$C$7</f>
        <v>Kartofler</v>
      </c>
      <c r="C427">
        <v>2019</v>
      </c>
      <c r="D427" t="s">
        <v>7</v>
      </c>
      <c r="E427" s="172" t="str">
        <f t="shared" si="65"/>
        <v>OC12</v>
      </c>
      <c r="F427" t="str">
        <f t="shared" si="62"/>
        <v>Kartofler</v>
      </c>
      <c r="G427" s="76" cm="1">
        <f t="array" ref="G427">IF(A427="Vestdanmark",IF(D427="Konventionel",IF(C427=2019,SUMPRODUCT((B427='Landbrugsareal - resultat'!$B$5:$B$18)*(INDEX('Landbrugsareal - resultat'!$C$5:$E$18,,MATCH(E427,'Landbrugsareal - resultat'!$C$4:$E$4,0)))),IF(C427=2030,SUMPRODUCT((B427='Landbrugsareal - resultat'!$B$5:$B$18)*(INDEX('Landbrugsareal - resultat'!$F$5:$H$18,,MATCH(E427,'Landbrugsareal - resultat'!$F$4:$H$4,0)))),SUMPRODUCT((B427='Landbrugsareal - resultat'!$B$5:$B$18)*(INDEX('Landbrugsareal - resultat'!$I$5:$K$18,,MATCH(E427,'Landbrugsareal - resultat'!$I$4:$K$4,0)))))),IF(C427=2019,SUMPRODUCT((B427='Landbrugsareal - resultat'!$B$5:$B$18)*(INDEX('Landbrugsareal - resultat'!$L$5:$N$18,,MATCH(E427,'Landbrugsareal - resultat'!$L$4:$N$4,0)))),IF(C427=2030,SUMPRODUCT((B427='Landbrugsareal - resultat'!$B$5:$B$18)*(INDEX('Landbrugsareal - resultat'!$O$5:$Q$18,,MATCH(E427,'Landbrugsareal - resultat'!$O$4:$Q$4,0)))),SUMPRODUCT((B427='Landbrugsareal - resultat'!$B$5:$B$18)*(INDEX('Landbrugsareal - resultat'!$R$5:$T$18,,MATCH(E427,'Landbrugsareal - resultat'!$R$4:$T$4,0))))))),IF(D427="Konventionel",IF(C427=2019,SUMPRODUCT((B427='Landbrugsareal - resultat'!$B$32:$B$45)*(INDEX('Landbrugsareal - resultat'!$C$32:$E$45,,MATCH(E427,'Landbrugsareal - resultat'!$C$4:$E$4,0)))),IF(C427=2030,SUMPRODUCT((B427='Landbrugsareal - resultat'!$B$32:$B$45)*(INDEX('Landbrugsareal - resultat'!$F$32:$H$45,,MATCH(E427,'Landbrugsareal - resultat'!$F$4:$H$4,0)))),SUMPRODUCT((B427='Landbrugsareal - resultat'!$B$32:$B$45)*(INDEX('Landbrugsareal - resultat'!$I$32:$K$45,,MATCH(E427,'Landbrugsareal - resultat'!$I$4:$K$4,0)))))),IF(C427=2019,SUMPRODUCT((B427='Landbrugsareal - resultat'!$B$32:$B$45)*(INDEX('Landbrugsareal - resultat'!$L$32:$N$45,,MATCH(E427,'Landbrugsareal - resultat'!$L$4:$N$4,0)))),IF(C427=2030,SUMPRODUCT((B427='Landbrugsareal - resultat'!$B$32:$B$45)*(INDEX('Landbrugsareal - resultat'!$O$32:$Q$45,,MATCH(E427,'Landbrugsareal - resultat'!$O$4:$Q$4,0)))),SUMPRODUCT((B427='Landbrugsareal - resultat'!$B$32:$B$45)*(INDEX('Landbrugsareal - resultat'!$R$32:$T$45,,MATCH(E427,'Landbrugsareal - resultat'!$R$4:$T$4,0))))))))</f>
        <v>31.045054930295858</v>
      </c>
      <c r="H427" s="172">
        <f>G427*VLOOKUP(B427,[1]Afgrødedata!$A$5:$F$18,2,FALSE)*IF(D427="Økologisk",VLOOKUP(B427,[1]Afgrødedata!$A$5:$F$18,4,FALSE),1)*IF(E427&lt;&gt;Jordbund1,IF(E427=Organ6,VLOOKUP(B427,[1]Afgrødedata!$A$5:$F$18,5,FALSE),VLOOKUP(B427,[1]Afgrødedata!$A$5:$F$18,6,FALSE)),1)*0.1</f>
        <v>1845.915969818406</v>
      </c>
      <c r="I427" s="172">
        <f>G427*VLOOKUP(B427,[1]Afgrødedata!$A$5:$F$18,3,FALSE)*IF(D427="Økologisk",VLOOKUP(B427,[1]Afgrødedata!$A$5:$F$18,4,FALSE),1)*IF(E427&lt;&gt;Jordbund1,IF(E427=Organ6,VLOOKUP(B427,[1]Afgrødedata!$A$5:$F$18,5,FALSE),VLOOKUP(B427,[1]Afgrødedata!$A$5:$F$18,6,FALSE)),1)*HLOOKUP(C427,Landbrug!$C$15:$E$17,2,FALSE)*HLOOKUP(C427,Landbrug!$C$15:$E$17,3,FALSE)*0.1</f>
        <v>0</v>
      </c>
      <c r="J427" s="76">
        <f t="shared" si="64"/>
        <v>1845.915969818406</v>
      </c>
    </row>
    <row r="428" spans="1:10" x14ac:dyDescent="0.55000000000000004">
      <c r="A428" t="s">
        <v>24</v>
      </c>
      <c r="B428" s="1" t="str">
        <f>[1]Afgrødefordeling!$C$8</f>
        <v>Roer</v>
      </c>
      <c r="C428">
        <v>2019</v>
      </c>
      <c r="D428" t="s">
        <v>7</v>
      </c>
      <c r="E428" s="172" t="str">
        <f t="shared" si="65"/>
        <v>OC12</v>
      </c>
      <c r="F428" t="str">
        <f t="shared" si="62"/>
        <v>Roer</v>
      </c>
      <c r="G428" s="76" cm="1">
        <f t="array" ref="G428">IF(A428="Vestdanmark",IF(D428="Konventionel",IF(C428=2019,SUMPRODUCT((B428='Landbrugsareal - resultat'!$B$5:$B$18)*(INDEX('Landbrugsareal - resultat'!$C$5:$E$18,,MATCH(E428,'Landbrugsareal - resultat'!$C$4:$E$4,0)))),IF(C428=2030,SUMPRODUCT((B428='Landbrugsareal - resultat'!$B$5:$B$18)*(INDEX('Landbrugsareal - resultat'!$F$5:$H$18,,MATCH(E428,'Landbrugsareal - resultat'!$F$4:$H$4,0)))),SUMPRODUCT((B428='Landbrugsareal - resultat'!$B$5:$B$18)*(INDEX('Landbrugsareal - resultat'!$I$5:$K$18,,MATCH(E428,'Landbrugsareal - resultat'!$I$4:$K$4,0)))))),IF(C428=2019,SUMPRODUCT((B428='Landbrugsareal - resultat'!$B$5:$B$18)*(INDEX('Landbrugsareal - resultat'!$L$5:$N$18,,MATCH(E428,'Landbrugsareal - resultat'!$L$4:$N$4,0)))),IF(C428=2030,SUMPRODUCT((B428='Landbrugsareal - resultat'!$B$5:$B$18)*(INDEX('Landbrugsareal - resultat'!$O$5:$Q$18,,MATCH(E428,'Landbrugsareal - resultat'!$O$4:$Q$4,0)))),SUMPRODUCT((B428='Landbrugsareal - resultat'!$B$5:$B$18)*(INDEX('Landbrugsareal - resultat'!$R$5:$T$18,,MATCH(E428,'Landbrugsareal - resultat'!$R$4:$T$4,0))))))),IF(D428="Konventionel",IF(C428=2019,SUMPRODUCT((B428='Landbrugsareal - resultat'!$B$32:$B$45)*(INDEX('Landbrugsareal - resultat'!$C$32:$E$45,,MATCH(E428,'Landbrugsareal - resultat'!$C$4:$E$4,0)))),IF(C428=2030,SUMPRODUCT((B428='Landbrugsareal - resultat'!$B$32:$B$45)*(INDEX('Landbrugsareal - resultat'!$F$32:$H$45,,MATCH(E428,'Landbrugsareal - resultat'!$F$4:$H$4,0)))),SUMPRODUCT((B428='Landbrugsareal - resultat'!$B$32:$B$45)*(INDEX('Landbrugsareal - resultat'!$I$32:$K$45,,MATCH(E428,'Landbrugsareal - resultat'!$I$4:$K$4,0)))))),IF(C428=2019,SUMPRODUCT((B428='Landbrugsareal - resultat'!$B$32:$B$45)*(INDEX('Landbrugsareal - resultat'!$L$32:$N$45,,MATCH(E428,'Landbrugsareal - resultat'!$L$4:$N$4,0)))),IF(C428=2030,SUMPRODUCT((B428='Landbrugsareal - resultat'!$B$32:$B$45)*(INDEX('Landbrugsareal - resultat'!$O$32:$Q$45,,MATCH(E428,'Landbrugsareal - resultat'!$O$4:$Q$4,0)))),SUMPRODUCT((B428='Landbrugsareal - resultat'!$B$32:$B$45)*(INDEX('Landbrugsareal - resultat'!$R$32:$T$45,,MATCH(E428,'Landbrugsareal - resultat'!$R$4:$T$4,0))))))))</f>
        <v>35.751038145066026</v>
      </c>
      <c r="H428" s="172">
        <f>G428*VLOOKUP(B428,[1]Afgrødedata!$A$5:$F$18,2,FALSE)*IF(D428="Økologisk",VLOOKUP(B428,[1]Afgrødedata!$A$5:$F$18,4,FALSE),1)*IF(E428&lt;&gt;Jordbund1,IF(E428=Organ6,VLOOKUP(B428,[1]Afgrødedata!$A$5:$F$18,5,FALSE),VLOOKUP(B428,[1]Afgrødedata!$A$5:$F$18,6,FALSE)),1)*0.1</f>
        <v>4066.8673481557489</v>
      </c>
      <c r="I428" s="172">
        <f>G428*VLOOKUP(B428,[1]Afgrødedata!$A$5:$F$18,3,FALSE)*IF(D428="Økologisk",VLOOKUP(B428,[1]Afgrødedata!$A$5:$F$18,4,FALSE),1)*IF(E428&lt;&gt;Jordbund1,IF(E428=Organ6,VLOOKUP(B428,[1]Afgrødedata!$A$5:$F$18,5,FALSE),VLOOKUP(B428,[1]Afgrødedata!$A$5:$F$18,6,FALSE)),1)*HLOOKUP(C428,Landbrug!$C$15:$E$17,2,FALSE)*HLOOKUP(C428,Landbrug!$C$15:$E$17,3,FALSE)*0.1</f>
        <v>0</v>
      </c>
      <c r="J428" s="76">
        <f t="shared" si="64"/>
        <v>4066.8673481557489</v>
      </c>
    </row>
    <row r="429" spans="1:10" x14ac:dyDescent="0.55000000000000004">
      <c r="A429" t="s">
        <v>24</v>
      </c>
      <c r="B429" s="1" t="str">
        <f>[1]Afgrødefordeling!$C$9</f>
        <v>Majs</v>
      </c>
      <c r="C429">
        <v>2019</v>
      </c>
      <c r="D429" t="s">
        <v>7</v>
      </c>
      <c r="E429" s="172" t="str">
        <f t="shared" si="65"/>
        <v>OC12</v>
      </c>
      <c r="F429" t="str">
        <f t="shared" si="62"/>
        <v>Majs</v>
      </c>
      <c r="G429" s="76" cm="1">
        <f t="array" ref="G429">IF(A429="Vestdanmark",IF(D429="Konventionel",IF(C429=2019,SUMPRODUCT((B429='Landbrugsareal - resultat'!$B$5:$B$18)*(INDEX('Landbrugsareal - resultat'!$C$5:$E$18,,MATCH(E429,'Landbrugsareal - resultat'!$C$4:$E$4,0)))),IF(C429=2030,SUMPRODUCT((B429='Landbrugsareal - resultat'!$B$5:$B$18)*(INDEX('Landbrugsareal - resultat'!$F$5:$H$18,,MATCH(E429,'Landbrugsareal - resultat'!$F$4:$H$4,0)))),SUMPRODUCT((B429='Landbrugsareal - resultat'!$B$5:$B$18)*(INDEX('Landbrugsareal - resultat'!$I$5:$K$18,,MATCH(E429,'Landbrugsareal - resultat'!$I$4:$K$4,0)))))),IF(C429=2019,SUMPRODUCT((B429='Landbrugsareal - resultat'!$B$5:$B$18)*(INDEX('Landbrugsareal - resultat'!$L$5:$N$18,,MATCH(E429,'Landbrugsareal - resultat'!$L$4:$N$4,0)))),IF(C429=2030,SUMPRODUCT((B429='Landbrugsareal - resultat'!$B$5:$B$18)*(INDEX('Landbrugsareal - resultat'!$O$5:$Q$18,,MATCH(E429,'Landbrugsareal - resultat'!$O$4:$Q$4,0)))),SUMPRODUCT((B429='Landbrugsareal - resultat'!$B$5:$B$18)*(INDEX('Landbrugsareal - resultat'!$R$5:$T$18,,MATCH(E429,'Landbrugsareal - resultat'!$R$4:$T$4,0))))))),IF(D429="Konventionel",IF(C429=2019,SUMPRODUCT((B429='Landbrugsareal - resultat'!$B$32:$B$45)*(INDEX('Landbrugsareal - resultat'!$C$32:$E$45,,MATCH(E429,'Landbrugsareal - resultat'!$C$4:$E$4,0)))),IF(C429=2030,SUMPRODUCT((B429='Landbrugsareal - resultat'!$B$32:$B$45)*(INDEX('Landbrugsareal - resultat'!$F$32:$H$45,,MATCH(E429,'Landbrugsareal - resultat'!$F$4:$H$4,0)))),SUMPRODUCT((B429='Landbrugsareal - resultat'!$B$32:$B$45)*(INDEX('Landbrugsareal - resultat'!$I$32:$K$45,,MATCH(E429,'Landbrugsareal - resultat'!$I$4:$K$4,0)))))),IF(C429=2019,SUMPRODUCT((B429='Landbrugsareal - resultat'!$B$32:$B$45)*(INDEX('Landbrugsareal - resultat'!$L$32:$N$45,,MATCH(E429,'Landbrugsareal - resultat'!$L$4:$N$4,0)))),IF(C429=2030,SUMPRODUCT((B429='Landbrugsareal - resultat'!$B$32:$B$45)*(INDEX('Landbrugsareal - resultat'!$O$32:$Q$45,,MATCH(E429,'Landbrugsareal - resultat'!$O$4:$Q$4,0)))),SUMPRODUCT((B429='Landbrugsareal - resultat'!$B$32:$B$45)*(INDEX('Landbrugsareal - resultat'!$R$32:$T$45,,MATCH(E429,'Landbrugsareal - resultat'!$R$4:$T$4,0))))))))</f>
        <v>36.720874835279488</v>
      </c>
      <c r="H429" s="172">
        <f>G429*VLOOKUP(B429,[1]Afgrødedata!$A$5:$F$18,2,FALSE)*IF(D429="Økologisk",VLOOKUP(B429,[1]Afgrødedata!$A$5:$F$18,4,FALSE),1)*IF(E429&lt;&gt;Jordbund1,IF(E429=Organ6,VLOOKUP(B429,[1]Afgrødedata!$A$5:$F$18,5,FALSE),VLOOKUP(B429,[1]Afgrødedata!$A$5:$F$18,6,FALSE)),1)*0.1</f>
        <v>2288.2245944856063</v>
      </c>
      <c r="I429" s="172">
        <f>G429*VLOOKUP(B429,[1]Afgrødedata!$A$5:$F$18,3,FALSE)*IF(D429="Økologisk",VLOOKUP(B429,[1]Afgrødedata!$A$5:$F$18,4,FALSE),1)*IF(E429&lt;&gt;Jordbund1,IF(E429=Organ6,VLOOKUP(B429,[1]Afgrødedata!$A$5:$F$18,5,FALSE),VLOOKUP(B429,[1]Afgrødedata!$A$5:$F$18,6,FALSE)),1)*HLOOKUP(C429,Landbrug!$C$15:$E$17,2,FALSE)*HLOOKUP(C429,Landbrug!$C$15:$E$17,3,FALSE)*0.1</f>
        <v>0</v>
      </c>
      <c r="J429" s="76">
        <f t="shared" si="64"/>
        <v>2288.2245944856063</v>
      </c>
    </row>
    <row r="430" spans="1:10" x14ac:dyDescent="0.55000000000000004">
      <c r="A430" t="s">
        <v>24</v>
      </c>
      <c r="B430" s="1" t="str">
        <f>[1]Afgrødefordeling!$C$10</f>
        <v>Frugt</v>
      </c>
      <c r="C430">
        <v>2019</v>
      </c>
      <c r="D430" t="s">
        <v>7</v>
      </c>
      <c r="E430" s="172" t="str">
        <f t="shared" si="65"/>
        <v>OC12</v>
      </c>
      <c r="F430" t="str">
        <f t="shared" si="62"/>
        <v>Frugt</v>
      </c>
      <c r="G430" s="76" cm="1">
        <f t="array" ref="G430">IF(A430="Vestdanmark",IF(D430="Konventionel",IF(C430=2019,SUMPRODUCT((B430='Landbrugsareal - resultat'!$B$5:$B$18)*(INDEX('Landbrugsareal - resultat'!$C$5:$E$18,,MATCH(E430,'Landbrugsareal - resultat'!$C$4:$E$4,0)))),IF(C430=2030,SUMPRODUCT((B430='Landbrugsareal - resultat'!$B$5:$B$18)*(INDEX('Landbrugsareal - resultat'!$F$5:$H$18,,MATCH(E430,'Landbrugsareal - resultat'!$F$4:$H$4,0)))),SUMPRODUCT((B430='Landbrugsareal - resultat'!$B$5:$B$18)*(INDEX('Landbrugsareal - resultat'!$I$5:$K$18,,MATCH(E430,'Landbrugsareal - resultat'!$I$4:$K$4,0)))))),IF(C430=2019,SUMPRODUCT((B430='Landbrugsareal - resultat'!$B$5:$B$18)*(INDEX('Landbrugsareal - resultat'!$L$5:$N$18,,MATCH(E430,'Landbrugsareal - resultat'!$L$4:$N$4,0)))),IF(C430=2030,SUMPRODUCT((B430='Landbrugsareal - resultat'!$B$5:$B$18)*(INDEX('Landbrugsareal - resultat'!$O$5:$Q$18,,MATCH(E430,'Landbrugsareal - resultat'!$O$4:$Q$4,0)))),SUMPRODUCT((B430='Landbrugsareal - resultat'!$B$5:$B$18)*(INDEX('Landbrugsareal - resultat'!$R$5:$T$18,,MATCH(E430,'Landbrugsareal - resultat'!$R$4:$T$4,0))))))),IF(D430="Konventionel",IF(C430=2019,SUMPRODUCT((B430='Landbrugsareal - resultat'!$B$32:$B$45)*(INDEX('Landbrugsareal - resultat'!$C$32:$E$45,,MATCH(E430,'Landbrugsareal - resultat'!$C$4:$E$4,0)))),IF(C430=2030,SUMPRODUCT((B430='Landbrugsareal - resultat'!$B$32:$B$45)*(INDEX('Landbrugsareal - resultat'!$F$32:$H$45,,MATCH(E430,'Landbrugsareal - resultat'!$F$4:$H$4,0)))),SUMPRODUCT((B430='Landbrugsareal - resultat'!$B$32:$B$45)*(INDEX('Landbrugsareal - resultat'!$I$32:$K$45,,MATCH(E430,'Landbrugsareal - resultat'!$I$4:$K$4,0)))))),IF(C430=2019,SUMPRODUCT((B430='Landbrugsareal - resultat'!$B$32:$B$45)*(INDEX('Landbrugsareal - resultat'!$L$32:$N$45,,MATCH(E430,'Landbrugsareal - resultat'!$L$4:$N$4,0)))),IF(C430=2030,SUMPRODUCT((B430='Landbrugsareal - resultat'!$B$32:$B$45)*(INDEX('Landbrugsareal - resultat'!$O$32:$Q$45,,MATCH(E430,'Landbrugsareal - resultat'!$O$4:$Q$4,0)))),SUMPRODUCT((B430='Landbrugsareal - resultat'!$B$32:$B$45)*(INDEX('Landbrugsareal - resultat'!$R$32:$T$45,,MATCH(E430,'Landbrugsareal - resultat'!$R$4:$T$4,0))))))))</f>
        <v>13.325104800010324</v>
      </c>
      <c r="H430" s="172">
        <f>G430*VLOOKUP(B430,[1]Afgrødedata!$A$5:$F$18,2,FALSE)*IF(D430="Økologisk",VLOOKUP(B430,[1]Afgrødedata!$A$5:$F$18,4,FALSE),1)*IF(E430&lt;&gt;Jordbund1,IF(E430=Organ6,VLOOKUP(B430,[1]Afgrødedata!$A$5:$F$18,5,FALSE),VLOOKUP(B430,[1]Afgrødedata!$A$5:$F$18,6,FALSE)),1)*0.1</f>
        <v>158.38219565292275</v>
      </c>
      <c r="I430" s="172">
        <f>G430*VLOOKUP(B430,[1]Afgrødedata!$A$5:$F$18,3,FALSE)*IF(D430="Økologisk",VLOOKUP(B430,[1]Afgrødedata!$A$5:$F$18,4,FALSE),1)*IF(E430&lt;&gt;Jordbund1,IF(E430=Organ6,VLOOKUP(B430,[1]Afgrødedata!$A$5:$F$18,5,FALSE),VLOOKUP(B430,[1]Afgrødedata!$A$5:$F$18,6,FALSE)),1)*HLOOKUP(C430,Landbrug!$C$15:$E$17,2,FALSE)*HLOOKUP(C430,Landbrug!$C$15:$E$17,3,FALSE)*0.1</f>
        <v>0</v>
      </c>
      <c r="J430" s="76">
        <f t="shared" si="64"/>
        <v>158.38219565292275</v>
      </c>
    </row>
    <row r="431" spans="1:10" x14ac:dyDescent="0.55000000000000004">
      <c r="A431" t="s">
        <v>24</v>
      </c>
      <c r="B431" s="1" t="str">
        <f>[1]Afgrødefordeling!$C$11</f>
        <v>Øvrige</v>
      </c>
      <c r="C431">
        <v>2019</v>
      </c>
      <c r="D431" t="s">
        <v>7</v>
      </c>
      <c r="E431" s="172" t="str">
        <f t="shared" si="65"/>
        <v>OC12</v>
      </c>
      <c r="F431" t="str">
        <f t="shared" si="62"/>
        <v>Øvrige</v>
      </c>
      <c r="G431" s="76" cm="1">
        <f t="array" ref="G431">IF(A431="Vestdanmark",IF(D431="Konventionel",IF(C431=2019,SUMPRODUCT((B431='Landbrugsareal - resultat'!$B$5:$B$18)*(INDEX('Landbrugsareal - resultat'!$C$5:$E$18,,MATCH(E431,'Landbrugsareal - resultat'!$C$4:$E$4,0)))),IF(C431=2030,SUMPRODUCT((B431='Landbrugsareal - resultat'!$B$5:$B$18)*(INDEX('Landbrugsareal - resultat'!$F$5:$H$18,,MATCH(E431,'Landbrugsareal - resultat'!$F$4:$H$4,0)))),SUMPRODUCT((B431='Landbrugsareal - resultat'!$B$5:$B$18)*(INDEX('Landbrugsareal - resultat'!$I$5:$K$18,,MATCH(E431,'Landbrugsareal - resultat'!$I$4:$K$4,0)))))),IF(C431=2019,SUMPRODUCT((B431='Landbrugsareal - resultat'!$B$5:$B$18)*(INDEX('Landbrugsareal - resultat'!$L$5:$N$18,,MATCH(E431,'Landbrugsareal - resultat'!$L$4:$N$4,0)))),IF(C431=2030,SUMPRODUCT((B431='Landbrugsareal - resultat'!$B$5:$B$18)*(INDEX('Landbrugsareal - resultat'!$O$5:$Q$18,,MATCH(E431,'Landbrugsareal - resultat'!$O$4:$Q$4,0)))),SUMPRODUCT((B431='Landbrugsareal - resultat'!$B$5:$B$18)*(INDEX('Landbrugsareal - resultat'!$R$5:$T$18,,MATCH(E431,'Landbrugsareal - resultat'!$R$4:$T$4,0))))))),IF(D431="Konventionel",IF(C431=2019,SUMPRODUCT((B431='Landbrugsareal - resultat'!$B$32:$B$45)*(INDEX('Landbrugsareal - resultat'!$C$32:$E$45,,MATCH(E431,'Landbrugsareal - resultat'!$C$4:$E$4,0)))),IF(C431=2030,SUMPRODUCT((B431='Landbrugsareal - resultat'!$B$32:$B$45)*(INDEX('Landbrugsareal - resultat'!$F$32:$H$45,,MATCH(E431,'Landbrugsareal - resultat'!$F$4:$H$4,0)))),SUMPRODUCT((B431='Landbrugsareal - resultat'!$B$32:$B$45)*(INDEX('Landbrugsareal - resultat'!$I$32:$K$45,,MATCH(E431,'Landbrugsareal - resultat'!$I$4:$K$4,0)))))),IF(C431=2019,SUMPRODUCT((B431='Landbrugsareal - resultat'!$B$32:$B$45)*(INDEX('Landbrugsareal - resultat'!$L$32:$N$45,,MATCH(E431,'Landbrugsareal - resultat'!$L$4:$N$4,0)))),IF(C431=2030,SUMPRODUCT((B431='Landbrugsareal - resultat'!$B$32:$B$45)*(INDEX('Landbrugsareal - resultat'!$O$32:$Q$45,,MATCH(E431,'Landbrugsareal - resultat'!$O$4:$Q$4,0)))),SUMPRODUCT((B431='Landbrugsareal - resultat'!$B$32:$B$45)*(INDEX('Landbrugsareal - resultat'!$R$32:$T$45,,MATCH(E431,'Landbrugsareal - resultat'!$R$4:$T$4,0))))))))</f>
        <v>95.147711103802934</v>
      </c>
      <c r="H431" s="172">
        <f>G431*VLOOKUP(B431,[1]Afgrødedata!$A$5:$F$18,2,FALSE)*IF(D431="Økologisk",VLOOKUP(B431,[1]Afgrødedata!$A$5:$F$18,4,FALSE),1)*IF(E431&lt;&gt;Jordbund1,IF(E431=Organ6,VLOOKUP(B431,[1]Afgrødedata!$A$5:$F$18,5,FALSE),VLOOKUP(B431,[1]Afgrødedata!$A$5:$F$18,6,FALSE)),1)*0.1</f>
        <v>3969.0221549750004</v>
      </c>
      <c r="I431" s="172">
        <f>G431*VLOOKUP(B431,[1]Afgrødedata!$A$5:$F$18,3,FALSE)*IF(D431="Økologisk",VLOOKUP(B431,[1]Afgrødedata!$A$5:$F$18,4,FALSE),1)*IF(E431&lt;&gt;Jordbund1,IF(E431=Organ6,VLOOKUP(B431,[1]Afgrødedata!$A$5:$F$18,5,FALSE),VLOOKUP(B431,[1]Afgrødedata!$A$5:$F$18,6,FALSE)),1)*HLOOKUP(C431,Landbrug!$C$15:$E$17,2,FALSE)*HLOOKUP(C431,Landbrug!$C$15:$E$17,3,FALSE)*0.1</f>
        <v>0</v>
      </c>
      <c r="J431" s="76">
        <f t="shared" si="64"/>
        <v>3969.0221549750004</v>
      </c>
    </row>
    <row r="432" spans="1:10" x14ac:dyDescent="0.55000000000000004">
      <c r="A432" t="s">
        <v>24</v>
      </c>
      <c r="B432" s="1" t="str">
        <f>[1]Afgrødefordeling!$C$12</f>
        <v>Frø</v>
      </c>
      <c r="C432">
        <v>2019</v>
      </c>
      <c r="D432" t="s">
        <v>7</v>
      </c>
      <c r="E432" s="172" t="str">
        <f t="shared" si="65"/>
        <v>OC12</v>
      </c>
      <c r="F432" t="str">
        <f t="shared" si="62"/>
        <v>Halm</v>
      </c>
      <c r="G432" s="76" cm="1">
        <f t="array" ref="G432">IF(A432="Vestdanmark",IF(D432="Konventionel",IF(C432=2019,SUMPRODUCT((B432='Landbrugsareal - resultat'!$B$5:$B$18)*(INDEX('Landbrugsareal - resultat'!$C$5:$E$18,,MATCH(E432,'Landbrugsareal - resultat'!$C$4:$E$4,0)))),IF(C432=2030,SUMPRODUCT((B432='Landbrugsareal - resultat'!$B$5:$B$18)*(INDEX('Landbrugsareal - resultat'!$F$5:$H$18,,MATCH(E432,'Landbrugsareal - resultat'!$F$4:$H$4,0)))),SUMPRODUCT((B432='Landbrugsareal - resultat'!$B$5:$B$18)*(INDEX('Landbrugsareal - resultat'!$I$5:$K$18,,MATCH(E432,'Landbrugsareal - resultat'!$I$4:$K$4,0)))))),IF(C432=2019,SUMPRODUCT((B432='Landbrugsareal - resultat'!$B$5:$B$18)*(INDEX('Landbrugsareal - resultat'!$L$5:$N$18,,MATCH(E432,'Landbrugsareal - resultat'!$L$4:$N$4,0)))),IF(C432=2030,SUMPRODUCT((B432='Landbrugsareal - resultat'!$B$5:$B$18)*(INDEX('Landbrugsareal - resultat'!$O$5:$Q$18,,MATCH(E432,'Landbrugsareal - resultat'!$O$4:$Q$4,0)))),SUMPRODUCT((B432='Landbrugsareal - resultat'!$B$5:$B$18)*(INDEX('Landbrugsareal - resultat'!$R$5:$T$18,,MATCH(E432,'Landbrugsareal - resultat'!$R$4:$T$4,0))))))),IF(D432="Konventionel",IF(C432=2019,SUMPRODUCT((B432='Landbrugsareal - resultat'!$B$32:$B$45)*(INDEX('Landbrugsareal - resultat'!$C$32:$E$45,,MATCH(E432,'Landbrugsareal - resultat'!$C$4:$E$4,0)))),IF(C432=2030,SUMPRODUCT((B432='Landbrugsareal - resultat'!$B$32:$B$45)*(INDEX('Landbrugsareal - resultat'!$F$32:$H$45,,MATCH(E432,'Landbrugsareal - resultat'!$F$4:$H$4,0)))),SUMPRODUCT((B432='Landbrugsareal - resultat'!$B$32:$B$45)*(INDEX('Landbrugsareal - resultat'!$I$32:$K$45,,MATCH(E432,'Landbrugsareal - resultat'!$I$4:$K$4,0)))))),IF(C432=2019,SUMPRODUCT((B432='Landbrugsareal - resultat'!$B$32:$B$45)*(INDEX('Landbrugsareal - resultat'!$L$32:$N$45,,MATCH(E432,'Landbrugsareal - resultat'!$L$4:$N$4,0)))),IF(C432=2030,SUMPRODUCT((B432='Landbrugsareal - resultat'!$B$32:$B$45)*(INDEX('Landbrugsareal - resultat'!$O$32:$Q$45,,MATCH(E432,'Landbrugsareal - resultat'!$O$4:$Q$4,0)))),SUMPRODUCT((B432='Landbrugsareal - resultat'!$B$32:$B$45)*(INDEX('Landbrugsareal - resultat'!$R$32:$T$45,,MATCH(E432,'Landbrugsareal - resultat'!$R$4:$T$4,0))))))))</f>
        <v>890.40917113569958</v>
      </c>
      <c r="H432" s="172">
        <f>G432*VLOOKUP(B432,[1]Afgrødedata!$A$5:$F$18,2,FALSE)*IF(D432="Økologisk",VLOOKUP(B432,[1]Afgrødedata!$A$5:$F$18,4,FALSE),1)*IF(E432&lt;&gt;Jordbund1,IF(E432=Organ6,VLOOKUP(B432,[1]Afgrødedata!$A$5:$F$18,5,FALSE),VLOOKUP(B432,[1]Afgrødedata!$A$5:$F$18,6,FALSE)),1)*0.1</f>
        <v>17812.105731467855</v>
      </c>
      <c r="I432" s="172">
        <f>G432*VLOOKUP(B432,[1]Afgrødedata!$A$5:$F$18,3,FALSE)*IF(D432="Økologisk",VLOOKUP(B432,[1]Afgrødedata!$A$5:$F$18,4,FALSE),1)*IF(E432&lt;&gt;Jordbund1,IF(E432=Organ6,VLOOKUP(B432,[1]Afgrødedata!$A$5:$F$18,5,FALSE),VLOOKUP(B432,[1]Afgrødedata!$A$5:$F$18,6,FALSE)),1)*HLOOKUP(C432,Landbrug!$C$15:$E$17,2,FALSE)*HLOOKUP(C432,Landbrug!$C$15:$E$17,3,FALSE)*0.1</f>
        <v>2959.1146066186934</v>
      </c>
      <c r="J432" s="76">
        <f t="shared" si="64"/>
        <v>2959.1146066186934</v>
      </c>
    </row>
    <row r="433" spans="1:10" x14ac:dyDescent="0.55000000000000004">
      <c r="A433" t="s">
        <v>24</v>
      </c>
      <c r="B433" s="1" t="str">
        <f>[1]Afgrødefordeling!$C$13</f>
        <v>Juletræer</v>
      </c>
      <c r="C433">
        <v>2019</v>
      </c>
      <c r="D433" t="s">
        <v>7</v>
      </c>
      <c r="E433" s="172" t="str">
        <f t="shared" si="65"/>
        <v>OC12</v>
      </c>
      <c r="F433" t="str">
        <f t="shared" si="62"/>
        <v>Juletræer</v>
      </c>
      <c r="G433" s="76" cm="1">
        <f t="array" ref="G433">IF(A433="Vestdanmark",IF(D433="Konventionel",IF(C433=2019,SUMPRODUCT((B433='Landbrugsareal - resultat'!$B$5:$B$18)*(INDEX('Landbrugsareal - resultat'!$C$5:$E$18,,MATCH(E433,'Landbrugsareal - resultat'!$C$4:$E$4,0)))),IF(C433=2030,SUMPRODUCT((B433='Landbrugsareal - resultat'!$B$5:$B$18)*(INDEX('Landbrugsareal - resultat'!$F$5:$H$18,,MATCH(E433,'Landbrugsareal - resultat'!$F$4:$H$4,0)))),SUMPRODUCT((B433='Landbrugsareal - resultat'!$B$5:$B$18)*(INDEX('Landbrugsareal - resultat'!$I$5:$K$18,,MATCH(E433,'Landbrugsareal - resultat'!$I$4:$K$4,0)))))),IF(C433=2019,SUMPRODUCT((B433='Landbrugsareal - resultat'!$B$5:$B$18)*(INDEX('Landbrugsareal - resultat'!$L$5:$N$18,,MATCH(E433,'Landbrugsareal - resultat'!$L$4:$N$4,0)))),IF(C433=2030,SUMPRODUCT((B433='Landbrugsareal - resultat'!$B$5:$B$18)*(INDEX('Landbrugsareal - resultat'!$O$5:$Q$18,,MATCH(E433,'Landbrugsareal - resultat'!$O$4:$Q$4,0)))),SUMPRODUCT((B433='Landbrugsareal - resultat'!$B$5:$B$18)*(INDEX('Landbrugsareal - resultat'!$R$5:$T$18,,MATCH(E433,'Landbrugsareal - resultat'!$R$4:$T$4,0))))))),IF(D433="Konventionel",IF(C433=2019,SUMPRODUCT((B433='Landbrugsareal - resultat'!$B$32:$B$45)*(INDEX('Landbrugsareal - resultat'!$C$32:$E$45,,MATCH(E433,'Landbrugsareal - resultat'!$C$4:$E$4,0)))),IF(C433=2030,SUMPRODUCT((B433='Landbrugsareal - resultat'!$B$32:$B$45)*(INDEX('Landbrugsareal - resultat'!$F$32:$H$45,,MATCH(E433,'Landbrugsareal - resultat'!$F$4:$H$4,0)))),SUMPRODUCT((B433='Landbrugsareal - resultat'!$B$32:$B$45)*(INDEX('Landbrugsareal - resultat'!$I$32:$K$45,,MATCH(E433,'Landbrugsareal - resultat'!$I$4:$K$4,0)))))),IF(C433=2019,SUMPRODUCT((B433='Landbrugsareal - resultat'!$B$32:$B$45)*(INDEX('Landbrugsareal - resultat'!$L$32:$N$45,,MATCH(E433,'Landbrugsareal - resultat'!$L$4:$N$4,0)))),IF(C433=2030,SUMPRODUCT((B433='Landbrugsareal - resultat'!$B$32:$B$45)*(INDEX('Landbrugsareal - resultat'!$O$32:$Q$45,,MATCH(E433,'Landbrugsareal - resultat'!$O$4:$Q$4,0)))),SUMPRODUCT((B433='Landbrugsareal - resultat'!$B$32:$B$45)*(INDEX('Landbrugsareal - resultat'!$R$32:$T$45,,MATCH(E433,'Landbrugsareal - resultat'!$R$4:$T$4,0))))))))</f>
        <v>20.880363393290878</v>
      </c>
      <c r="H433" s="172">
        <f>G433*VLOOKUP(B433,[1]Afgrødedata!$A$5:$F$18,2,FALSE)*IF(D433="Økologisk",VLOOKUP(B433,[1]Afgrødedata!$A$5:$F$18,4,FALSE),1)*IF(E433&lt;&gt;Jordbund1,IF(E433=Organ6,VLOOKUP(B433,[1]Afgrødedata!$A$5:$F$18,5,FALSE),VLOOKUP(B433,[1]Afgrødedata!$A$5:$F$18,6,FALSE)),1)*0.1</f>
        <v>1461.6254375303615</v>
      </c>
      <c r="I433" s="172">
        <f>G433*VLOOKUP(B433,[1]Afgrødedata!$A$5:$F$18,3,FALSE)*IF(D433="Økologisk",VLOOKUP(B433,[1]Afgrødedata!$A$5:$F$18,4,FALSE),1)*IF(E433&lt;&gt;Jordbund1,IF(E433=Organ6,VLOOKUP(B433,[1]Afgrødedata!$A$5:$F$18,5,FALSE),VLOOKUP(B433,[1]Afgrødedata!$A$5:$F$18,6,FALSE)),1)*HLOOKUP(C433,Landbrug!$C$15:$E$17,2,FALSE)*HLOOKUP(C433,Landbrug!$C$15:$E$17,3,FALSE)*0.1</f>
        <v>0</v>
      </c>
      <c r="J433" s="76">
        <f t="shared" si="64"/>
        <v>1461.6254375303615</v>
      </c>
    </row>
    <row r="434" spans="1:10" x14ac:dyDescent="0.55000000000000004">
      <c r="A434" t="s">
        <v>24</v>
      </c>
      <c r="B434" s="1" t="str">
        <f>[1]Afgrødefordeling!$C$14</f>
        <v>Pil &amp; poppel</v>
      </c>
      <c r="C434">
        <v>2019</v>
      </c>
      <c r="D434" t="s">
        <v>7</v>
      </c>
      <c r="E434" s="172" t="str">
        <f t="shared" si="65"/>
        <v>OC12</v>
      </c>
      <c r="F434" t="str">
        <f t="shared" si="62"/>
        <v>Pil &amp; poppel</v>
      </c>
      <c r="G434" s="76" cm="1">
        <f t="array" ref="G434">IF(A434="Vestdanmark",IF(D434="Konventionel",IF(C434=2019,SUMPRODUCT((B434='Landbrugsareal - resultat'!$B$5:$B$18)*(INDEX('Landbrugsareal - resultat'!$C$5:$E$18,,MATCH(E434,'Landbrugsareal - resultat'!$C$4:$E$4,0)))),IF(C434=2030,SUMPRODUCT((B434='Landbrugsareal - resultat'!$B$5:$B$18)*(INDEX('Landbrugsareal - resultat'!$F$5:$H$18,,MATCH(E434,'Landbrugsareal - resultat'!$F$4:$H$4,0)))),SUMPRODUCT((B434='Landbrugsareal - resultat'!$B$5:$B$18)*(INDEX('Landbrugsareal - resultat'!$I$5:$K$18,,MATCH(E434,'Landbrugsareal - resultat'!$I$4:$K$4,0)))))),IF(C434=2019,SUMPRODUCT((B434='Landbrugsareal - resultat'!$B$5:$B$18)*(INDEX('Landbrugsareal - resultat'!$L$5:$N$18,,MATCH(E434,'Landbrugsareal - resultat'!$L$4:$N$4,0)))),IF(C434=2030,SUMPRODUCT((B434='Landbrugsareal - resultat'!$B$5:$B$18)*(INDEX('Landbrugsareal - resultat'!$O$5:$Q$18,,MATCH(E434,'Landbrugsareal - resultat'!$O$4:$Q$4,0)))),SUMPRODUCT((B434='Landbrugsareal - resultat'!$B$5:$B$18)*(INDEX('Landbrugsareal - resultat'!$R$5:$T$18,,MATCH(E434,'Landbrugsareal - resultat'!$R$4:$T$4,0))))))),IF(D434="Konventionel",IF(C434=2019,SUMPRODUCT((B434='Landbrugsareal - resultat'!$B$32:$B$45)*(INDEX('Landbrugsareal - resultat'!$C$32:$E$45,,MATCH(E434,'Landbrugsareal - resultat'!$C$4:$E$4,0)))),IF(C434=2030,SUMPRODUCT((B434='Landbrugsareal - resultat'!$B$32:$B$45)*(INDEX('Landbrugsareal - resultat'!$F$32:$H$45,,MATCH(E434,'Landbrugsareal - resultat'!$F$4:$H$4,0)))),SUMPRODUCT((B434='Landbrugsareal - resultat'!$B$32:$B$45)*(INDEX('Landbrugsareal - resultat'!$I$32:$K$45,,MATCH(E434,'Landbrugsareal - resultat'!$I$4:$K$4,0)))))),IF(C434=2019,SUMPRODUCT((B434='Landbrugsareal - resultat'!$B$32:$B$45)*(INDEX('Landbrugsareal - resultat'!$L$32:$N$45,,MATCH(E434,'Landbrugsareal - resultat'!$L$4:$N$4,0)))),IF(C434=2030,SUMPRODUCT((B434='Landbrugsareal - resultat'!$B$32:$B$45)*(INDEX('Landbrugsareal - resultat'!$O$32:$Q$45,,MATCH(E434,'Landbrugsareal - resultat'!$O$4:$Q$4,0)))),SUMPRODUCT((B434='Landbrugsareal - resultat'!$B$32:$B$45)*(INDEX('Landbrugsareal - resultat'!$R$32:$T$45,,MATCH(E434,'Landbrugsareal - resultat'!$R$4:$T$4,0))))))))</f>
        <v>63.693862522419288</v>
      </c>
      <c r="H434" s="172">
        <f>G434*VLOOKUP(B434,[1]Afgrødedata!$A$5:$F$18,2,FALSE)*IF(D434="Økologisk",VLOOKUP(B434,[1]Afgrødedata!$A$5:$F$18,4,FALSE),1)*IF(E434&lt;&gt;Jordbund1,IF(E434=Organ6,VLOOKUP(B434,[1]Afgrødedata!$A$5:$F$18,5,FALSE),VLOOKUP(B434,[1]Afgrødedata!$A$5:$F$18,6,FALSE)),1)*0.1</f>
        <v>2174.912378814317</v>
      </c>
      <c r="I434" s="172">
        <f>G434*VLOOKUP(B434,[1]Afgrødedata!$A$5:$F$18,3,FALSE)*IF(D434="Økologisk",VLOOKUP(B434,[1]Afgrødedata!$A$5:$F$18,4,FALSE),1)*IF(E434&lt;&gt;Jordbund1,IF(E434=Organ6,VLOOKUP(B434,[1]Afgrødedata!$A$5:$F$18,5,FALSE),VLOOKUP(B434,[1]Afgrødedata!$A$5:$F$18,6,FALSE)),1)*HLOOKUP(C434,Landbrug!$C$15:$E$17,2,FALSE)*HLOOKUP(C434,Landbrug!$C$15:$E$17,3,FALSE)*0.1</f>
        <v>0</v>
      </c>
      <c r="J434" s="76">
        <f t="shared" si="64"/>
        <v>2174.912378814317</v>
      </c>
    </row>
    <row r="435" spans="1:10" x14ac:dyDescent="0.55000000000000004">
      <c r="A435" t="s">
        <v>24</v>
      </c>
      <c r="B435" s="1" t="str">
        <f>[1]Afgrødefordeling!$C$15</f>
        <v>Permanent græs</v>
      </c>
      <c r="C435">
        <v>2019</v>
      </c>
      <c r="D435" t="s">
        <v>7</v>
      </c>
      <c r="E435" s="172" t="str">
        <f t="shared" si="65"/>
        <v>OC12</v>
      </c>
      <c r="F435" t="str">
        <f t="shared" si="62"/>
        <v>Græs</v>
      </c>
      <c r="G435" s="76" cm="1">
        <f t="array" ref="G435">IF(A435="Vestdanmark",IF(D435="Konventionel",IF(C435=2019,SUMPRODUCT((B435='Landbrugsareal - resultat'!$B$5:$B$18)*(INDEX('Landbrugsareal - resultat'!$C$5:$E$18,,MATCH(E435,'Landbrugsareal - resultat'!$C$4:$E$4,0)))),IF(C435=2030,SUMPRODUCT((B435='Landbrugsareal - resultat'!$B$5:$B$18)*(INDEX('Landbrugsareal - resultat'!$F$5:$H$18,,MATCH(E435,'Landbrugsareal - resultat'!$F$4:$H$4,0)))),SUMPRODUCT((B435='Landbrugsareal - resultat'!$B$5:$B$18)*(INDEX('Landbrugsareal - resultat'!$I$5:$K$18,,MATCH(E435,'Landbrugsareal - resultat'!$I$4:$K$4,0)))))),IF(C435=2019,SUMPRODUCT((B435='Landbrugsareal - resultat'!$B$5:$B$18)*(INDEX('Landbrugsareal - resultat'!$L$5:$N$18,,MATCH(E435,'Landbrugsareal - resultat'!$L$4:$N$4,0)))),IF(C435=2030,SUMPRODUCT((B435='Landbrugsareal - resultat'!$B$5:$B$18)*(INDEX('Landbrugsareal - resultat'!$O$5:$Q$18,,MATCH(E435,'Landbrugsareal - resultat'!$O$4:$Q$4,0)))),SUMPRODUCT((B435='Landbrugsareal - resultat'!$B$5:$B$18)*(INDEX('Landbrugsareal - resultat'!$R$5:$T$18,,MATCH(E435,'Landbrugsareal - resultat'!$R$4:$T$4,0))))))),IF(D435="Konventionel",IF(C435=2019,SUMPRODUCT((B435='Landbrugsareal - resultat'!$B$32:$B$45)*(INDEX('Landbrugsareal - resultat'!$C$32:$E$45,,MATCH(E435,'Landbrugsareal - resultat'!$C$4:$E$4,0)))),IF(C435=2030,SUMPRODUCT((B435='Landbrugsareal - resultat'!$B$32:$B$45)*(INDEX('Landbrugsareal - resultat'!$F$32:$H$45,,MATCH(E435,'Landbrugsareal - resultat'!$F$4:$H$4,0)))),SUMPRODUCT((B435='Landbrugsareal - resultat'!$B$32:$B$45)*(INDEX('Landbrugsareal - resultat'!$I$32:$K$45,,MATCH(E435,'Landbrugsareal - resultat'!$I$4:$K$4,0)))))),IF(C435=2019,SUMPRODUCT((B435='Landbrugsareal - resultat'!$B$32:$B$45)*(INDEX('Landbrugsareal - resultat'!$L$32:$N$45,,MATCH(E435,'Landbrugsareal - resultat'!$L$4:$N$4,0)))),IF(C435=2030,SUMPRODUCT((B435='Landbrugsareal - resultat'!$B$32:$B$45)*(INDEX('Landbrugsareal - resultat'!$O$32:$Q$45,,MATCH(E435,'Landbrugsareal - resultat'!$O$4:$Q$4,0)))),SUMPRODUCT((B435='Landbrugsareal - resultat'!$B$32:$B$45)*(INDEX('Landbrugsareal - resultat'!$R$32:$T$45,,MATCH(E435,'Landbrugsareal - resultat'!$R$4:$T$4,0))))))))</f>
        <v>2434.2808314981853</v>
      </c>
      <c r="H435" s="172">
        <f>G435*VLOOKUP(B435,[1]Afgrødedata!$A$5:$F$18,2,FALSE)*IF(D435="Økologisk",VLOOKUP(B435,[1]Afgrødedata!$A$5:$F$18,4,FALSE),1)*IF(E435&lt;&gt;Jordbund1,IF(E435=Organ6,VLOOKUP(B435,[1]Afgrødedata!$A$5:$F$18,5,FALSE),VLOOKUP(B435,[1]Afgrødedata!$A$5:$F$18,6,FALSE)),1)*0.1</f>
        <v>46996.225732903964</v>
      </c>
      <c r="I435" s="172">
        <f>G435*VLOOKUP(B435,[1]Afgrødedata!$A$5:$F$18,3,FALSE)*IF(D435="Økologisk",VLOOKUP(B435,[1]Afgrødedata!$A$5:$F$18,4,FALSE),1)*IF(E435&lt;&gt;Jordbund1,IF(E435=Organ6,VLOOKUP(B435,[1]Afgrødedata!$A$5:$F$18,5,FALSE),VLOOKUP(B435,[1]Afgrødedata!$A$5:$F$18,6,FALSE)),1)*HLOOKUP(C435,Landbrug!$C$15:$E$17,2,FALSE)*HLOOKUP(C435,Landbrug!$C$15:$E$17,3,FALSE)*0.1</f>
        <v>0</v>
      </c>
      <c r="J435" s="76">
        <f t="shared" si="64"/>
        <v>46996.225732903964</v>
      </c>
    </row>
    <row r="436" spans="1:10" x14ac:dyDescent="0.55000000000000004">
      <c r="A436" t="s">
        <v>24</v>
      </c>
      <c r="B436" s="1" t="str">
        <f>[1]Afgrødefordeling!$C$2</f>
        <v>Korn</v>
      </c>
      <c r="C436">
        <v>2030</v>
      </c>
      <c r="D436" t="s">
        <v>7</v>
      </c>
      <c r="E436" s="172" t="str">
        <f t="shared" si="65"/>
        <v>OC12</v>
      </c>
      <c r="F436" t="str">
        <f t="shared" si="62"/>
        <v>Halm</v>
      </c>
      <c r="G436" s="76" cm="1">
        <f t="array" ref="G436">IF(A436="Vestdanmark",IF(D436="Konventionel",IF(C436=2019,SUMPRODUCT((B436='Landbrugsareal - resultat'!$B$5:$B$18)*(INDEX('Landbrugsareal - resultat'!$C$5:$E$18,,MATCH(E436,'Landbrugsareal - resultat'!$C$4:$E$4,0)))),IF(C436=2030,SUMPRODUCT((B436='Landbrugsareal - resultat'!$B$5:$B$18)*(INDEX('Landbrugsareal - resultat'!$F$5:$H$18,,MATCH(E436,'Landbrugsareal - resultat'!$F$4:$H$4,0)))),SUMPRODUCT((B436='Landbrugsareal - resultat'!$B$5:$B$18)*(INDEX('Landbrugsareal - resultat'!$I$5:$K$18,,MATCH(E436,'Landbrugsareal - resultat'!$I$4:$K$4,0)))))),IF(C436=2019,SUMPRODUCT((B436='Landbrugsareal - resultat'!$B$5:$B$18)*(INDEX('Landbrugsareal - resultat'!$L$5:$N$18,,MATCH(E436,'Landbrugsareal - resultat'!$L$4:$N$4,0)))),IF(C436=2030,SUMPRODUCT((B436='Landbrugsareal - resultat'!$B$5:$B$18)*(INDEX('Landbrugsareal - resultat'!$O$5:$Q$18,,MATCH(E436,'Landbrugsareal - resultat'!$O$4:$Q$4,0)))),SUMPRODUCT((B436='Landbrugsareal - resultat'!$B$5:$B$18)*(INDEX('Landbrugsareal - resultat'!$R$5:$T$18,,MATCH(E436,'Landbrugsareal - resultat'!$R$4:$T$4,0))))))),IF(D436="Konventionel",IF(C436=2019,SUMPRODUCT((B436='Landbrugsareal - resultat'!$B$32:$B$45)*(INDEX('Landbrugsareal - resultat'!$C$32:$E$45,,MATCH(E436,'Landbrugsareal - resultat'!$C$4:$E$4,0)))),IF(C436=2030,SUMPRODUCT((B436='Landbrugsareal - resultat'!$B$32:$B$45)*(INDEX('Landbrugsareal - resultat'!$F$32:$H$45,,MATCH(E436,'Landbrugsareal - resultat'!$F$4:$H$4,0)))),SUMPRODUCT((B436='Landbrugsareal - resultat'!$B$32:$B$45)*(INDEX('Landbrugsareal - resultat'!$I$32:$K$45,,MATCH(E436,'Landbrugsareal - resultat'!$I$4:$K$4,0)))))),IF(C436=2019,SUMPRODUCT((B436='Landbrugsareal - resultat'!$B$32:$B$45)*(INDEX('Landbrugsareal - resultat'!$L$32:$N$45,,MATCH(E436,'Landbrugsareal - resultat'!$L$4:$N$4,0)))),IF(C436=2030,SUMPRODUCT((B436='Landbrugsareal - resultat'!$B$32:$B$45)*(INDEX('Landbrugsareal - resultat'!$O$32:$Q$45,,MATCH(E436,'Landbrugsareal - resultat'!$O$4:$Q$4,0)))),SUMPRODUCT((B436='Landbrugsareal - resultat'!$B$32:$B$45)*(INDEX('Landbrugsareal - resultat'!$R$32:$T$45,,MATCH(E436,'Landbrugsareal - resultat'!$R$4:$T$4,0))))))))</f>
        <v>1618.1689827208891</v>
      </c>
      <c r="H436" s="172">
        <f>G436*VLOOKUP(B436,[1]Afgrødedata!$A$5:$F$18,2,FALSE)*IF(D436="Økologisk",VLOOKUP(B436,[1]Afgrødedata!$A$5:$F$18,4,FALSE),1)*IF(E436&lt;&gt;Jordbund1,IF(E436=Organ6,VLOOKUP(B436,[1]Afgrødedata!$A$5:$F$18,5,FALSE),VLOOKUP(B436,[1]Afgrødedata!$A$5:$F$18,6,FALSE)),1)*0.1</f>
        <v>15880.710396422801</v>
      </c>
      <c r="I436" s="172">
        <f>G436*VLOOKUP(B436,[1]Afgrødedata!$A$5:$F$18,3,FALSE)*IF(D436="Økologisk",VLOOKUP(B436,[1]Afgrødedata!$A$5:$F$18,4,FALSE),1)*IF(E436&lt;&gt;Jordbund1,IF(E436=Organ6,VLOOKUP(B436,[1]Afgrødedata!$A$5:$F$18,5,FALSE),VLOOKUP(B436,[1]Afgrødedata!$A$5:$F$18,6,FALSE)),1)*HLOOKUP(C436,Landbrug!$C$15:$E$17,2,FALSE)*HLOOKUP(C436,Landbrug!$C$15:$E$17,3,FALSE)*0.1</f>
        <v>5153.2905236391998</v>
      </c>
      <c r="J436" s="76">
        <f t="shared" si="64"/>
        <v>5153.2905236391998</v>
      </c>
    </row>
    <row r="437" spans="1:10" x14ac:dyDescent="0.55000000000000004">
      <c r="A437" t="s">
        <v>24</v>
      </c>
      <c r="B437" s="1" t="str">
        <f>[1]Afgrødefordeling!$C$3</f>
        <v>Bælgsæd</v>
      </c>
      <c r="C437">
        <v>2030</v>
      </c>
      <c r="D437" t="s">
        <v>7</v>
      </c>
      <c r="E437" s="172" t="str">
        <f t="shared" si="65"/>
        <v>OC12</v>
      </c>
      <c r="F437" t="str">
        <f t="shared" si="62"/>
        <v>Halm</v>
      </c>
      <c r="G437" s="76" cm="1">
        <f t="array" ref="G437">IF(A437="Vestdanmark",IF(D437="Konventionel",IF(C437=2019,SUMPRODUCT((B437='Landbrugsareal - resultat'!$B$5:$B$18)*(INDEX('Landbrugsareal - resultat'!$C$5:$E$18,,MATCH(E437,'Landbrugsareal - resultat'!$C$4:$E$4,0)))),IF(C437=2030,SUMPRODUCT((B437='Landbrugsareal - resultat'!$B$5:$B$18)*(INDEX('Landbrugsareal - resultat'!$F$5:$H$18,,MATCH(E437,'Landbrugsareal - resultat'!$F$4:$H$4,0)))),SUMPRODUCT((B437='Landbrugsareal - resultat'!$B$5:$B$18)*(INDEX('Landbrugsareal - resultat'!$I$5:$K$18,,MATCH(E437,'Landbrugsareal - resultat'!$I$4:$K$4,0)))))),IF(C437=2019,SUMPRODUCT((B437='Landbrugsareal - resultat'!$B$5:$B$18)*(INDEX('Landbrugsareal - resultat'!$L$5:$N$18,,MATCH(E437,'Landbrugsareal - resultat'!$L$4:$N$4,0)))),IF(C437=2030,SUMPRODUCT((B437='Landbrugsareal - resultat'!$B$5:$B$18)*(INDEX('Landbrugsareal - resultat'!$O$5:$Q$18,,MATCH(E437,'Landbrugsareal - resultat'!$O$4:$Q$4,0)))),SUMPRODUCT((B437='Landbrugsareal - resultat'!$B$5:$B$18)*(INDEX('Landbrugsareal - resultat'!$R$5:$T$18,,MATCH(E437,'Landbrugsareal - resultat'!$R$4:$T$4,0))))))),IF(D437="Konventionel",IF(C437=2019,SUMPRODUCT((B437='Landbrugsareal - resultat'!$B$32:$B$45)*(INDEX('Landbrugsareal - resultat'!$C$32:$E$45,,MATCH(E437,'Landbrugsareal - resultat'!$C$4:$E$4,0)))),IF(C437=2030,SUMPRODUCT((B437='Landbrugsareal - resultat'!$B$32:$B$45)*(INDEX('Landbrugsareal - resultat'!$F$32:$H$45,,MATCH(E437,'Landbrugsareal - resultat'!$F$4:$H$4,0)))),SUMPRODUCT((B437='Landbrugsareal - resultat'!$B$32:$B$45)*(INDEX('Landbrugsareal - resultat'!$I$32:$K$45,,MATCH(E437,'Landbrugsareal - resultat'!$I$4:$K$4,0)))))),IF(C437=2019,SUMPRODUCT((B437='Landbrugsareal - resultat'!$B$32:$B$45)*(INDEX('Landbrugsareal - resultat'!$L$32:$N$45,,MATCH(E437,'Landbrugsareal - resultat'!$L$4:$N$4,0)))),IF(C437=2030,SUMPRODUCT((B437='Landbrugsareal - resultat'!$B$32:$B$45)*(INDEX('Landbrugsareal - resultat'!$O$32:$Q$45,,MATCH(E437,'Landbrugsareal - resultat'!$O$4:$Q$4,0)))),SUMPRODUCT((B437='Landbrugsareal - resultat'!$B$32:$B$45)*(INDEX('Landbrugsareal - resultat'!$R$32:$T$45,,MATCH(E437,'Landbrugsareal - resultat'!$R$4:$T$4,0))))))))</f>
        <v>29.391284795528069</v>
      </c>
      <c r="H437" s="172">
        <f>G437*VLOOKUP(B437,[1]Afgrødedata!$A$5:$F$18,2,FALSE)*IF(D437="Økologisk",VLOOKUP(B437,[1]Afgrødedata!$A$5:$F$18,4,FALSE),1)*IF(E437&lt;&gt;Jordbund1,IF(E437=Organ6,VLOOKUP(B437,[1]Afgrødedata!$A$5:$F$18,5,FALSE),VLOOKUP(B437,[1]Afgrødedata!$A$5:$F$18,6,FALSE)),1)*0.1</f>
        <v>158.8305030350337</v>
      </c>
      <c r="I437" s="172">
        <f>G437*VLOOKUP(B437,[1]Afgrødedata!$A$5:$F$18,3,FALSE)*IF(D437="Økologisk",VLOOKUP(B437,[1]Afgrødedata!$A$5:$F$18,4,FALSE),1)*IF(E437&lt;&gt;Jordbund1,IF(E437=Organ6,VLOOKUP(B437,[1]Afgrødedata!$A$5:$F$18,5,FALSE),VLOOKUP(B437,[1]Afgrødedata!$A$5:$F$18,6,FALSE)),1)*HLOOKUP(C437,Landbrug!$C$15:$E$17,2,FALSE)*HLOOKUP(C437,Landbrug!$C$15:$E$17,3,FALSE)*0.1</f>
        <v>46.879275596576036</v>
      </c>
      <c r="J437" s="76">
        <f t="shared" si="64"/>
        <v>46.879275596576036</v>
      </c>
    </row>
    <row r="438" spans="1:10" x14ac:dyDescent="0.55000000000000004">
      <c r="A438" t="s">
        <v>24</v>
      </c>
      <c r="B438" s="1" t="str">
        <f>[1]Afgrødefordeling!$C$4</f>
        <v>Raps</v>
      </c>
      <c r="C438">
        <v>2030</v>
      </c>
      <c r="D438" t="s">
        <v>7</v>
      </c>
      <c r="E438" s="172" t="str">
        <f t="shared" si="65"/>
        <v>OC12</v>
      </c>
      <c r="F438" t="str">
        <f t="shared" si="62"/>
        <v>Halm</v>
      </c>
      <c r="G438" s="76" cm="1">
        <f t="array" ref="G438">IF(A438="Vestdanmark",IF(D438="Konventionel",IF(C438=2019,SUMPRODUCT((B438='Landbrugsareal - resultat'!$B$5:$B$18)*(INDEX('Landbrugsareal - resultat'!$C$5:$E$18,,MATCH(E438,'Landbrugsareal - resultat'!$C$4:$E$4,0)))),IF(C438=2030,SUMPRODUCT((B438='Landbrugsareal - resultat'!$B$5:$B$18)*(INDEX('Landbrugsareal - resultat'!$F$5:$H$18,,MATCH(E438,'Landbrugsareal - resultat'!$F$4:$H$4,0)))),SUMPRODUCT((B438='Landbrugsareal - resultat'!$B$5:$B$18)*(INDEX('Landbrugsareal - resultat'!$I$5:$K$18,,MATCH(E438,'Landbrugsareal - resultat'!$I$4:$K$4,0)))))),IF(C438=2019,SUMPRODUCT((B438='Landbrugsareal - resultat'!$B$5:$B$18)*(INDEX('Landbrugsareal - resultat'!$L$5:$N$18,,MATCH(E438,'Landbrugsareal - resultat'!$L$4:$N$4,0)))),IF(C438=2030,SUMPRODUCT((B438='Landbrugsareal - resultat'!$B$5:$B$18)*(INDEX('Landbrugsareal - resultat'!$O$5:$Q$18,,MATCH(E438,'Landbrugsareal - resultat'!$O$4:$Q$4,0)))),SUMPRODUCT((B438='Landbrugsareal - resultat'!$B$5:$B$18)*(INDEX('Landbrugsareal - resultat'!$R$5:$T$18,,MATCH(E438,'Landbrugsareal - resultat'!$R$4:$T$4,0))))))),IF(D438="Konventionel",IF(C438=2019,SUMPRODUCT((B438='Landbrugsareal - resultat'!$B$32:$B$45)*(INDEX('Landbrugsareal - resultat'!$C$32:$E$45,,MATCH(E438,'Landbrugsareal - resultat'!$C$4:$E$4,0)))),IF(C438=2030,SUMPRODUCT((B438='Landbrugsareal - resultat'!$B$32:$B$45)*(INDEX('Landbrugsareal - resultat'!$F$32:$H$45,,MATCH(E438,'Landbrugsareal - resultat'!$F$4:$H$4,0)))),SUMPRODUCT((B438='Landbrugsareal - resultat'!$B$32:$B$45)*(INDEX('Landbrugsareal - resultat'!$I$32:$K$45,,MATCH(E438,'Landbrugsareal - resultat'!$I$4:$K$4,0)))))),IF(C438=2019,SUMPRODUCT((B438='Landbrugsareal - resultat'!$B$32:$B$45)*(INDEX('Landbrugsareal - resultat'!$L$32:$N$45,,MATCH(E438,'Landbrugsareal - resultat'!$L$4:$N$4,0)))),IF(C438=2030,SUMPRODUCT((B438='Landbrugsareal - resultat'!$B$32:$B$45)*(INDEX('Landbrugsareal - resultat'!$O$32:$Q$45,,MATCH(E438,'Landbrugsareal - resultat'!$O$4:$Q$4,0)))),SUMPRODUCT((B438='Landbrugsareal - resultat'!$B$32:$B$45)*(INDEX('Landbrugsareal - resultat'!$R$32:$T$45,,MATCH(E438,'Landbrugsareal - resultat'!$R$4:$T$4,0))))))))</f>
        <v>143.56954892119037</v>
      </c>
      <c r="H438" s="172">
        <f>G438*VLOOKUP(B438,[1]Afgrødedata!$A$5:$F$18,2,FALSE)*IF(D438="Økologisk",VLOOKUP(B438,[1]Afgrødedata!$A$5:$F$18,4,FALSE),1)*IF(E438&lt;&gt;Jordbund1,IF(E438=Organ6,VLOOKUP(B438,[1]Afgrødedata!$A$5:$F$18,5,FALSE),VLOOKUP(B438,[1]Afgrødedata!$A$5:$F$18,6,FALSE)),1)*0.1</f>
        <v>884.38842135453274</v>
      </c>
      <c r="I438" s="172">
        <f>G438*VLOOKUP(B438,[1]Afgrødedata!$A$5:$F$18,3,FALSE)*IF(D438="Økologisk",VLOOKUP(B438,[1]Afgrødedata!$A$5:$F$18,4,FALSE),1)*IF(E438&lt;&gt;Jordbund1,IF(E438=Organ6,VLOOKUP(B438,[1]Afgrødedata!$A$5:$F$18,5,FALSE),VLOOKUP(B438,[1]Afgrødedata!$A$5:$F$18,6,FALSE)),1)*HLOOKUP(C438,Landbrug!$C$15:$E$17,2,FALSE)*HLOOKUP(C438,Landbrug!$C$15:$E$17,3,FALSE)*0.1</f>
        <v>469.61025173925685</v>
      </c>
      <c r="J438" s="76">
        <f t="shared" si="64"/>
        <v>469.61025173925685</v>
      </c>
    </row>
    <row r="439" spans="1:10" x14ac:dyDescent="0.55000000000000004">
      <c r="A439" t="s">
        <v>24</v>
      </c>
      <c r="B439" s="1" t="str">
        <f>[1]Afgrødefordeling!$C$5</f>
        <v>Græs</v>
      </c>
      <c r="C439">
        <v>2030</v>
      </c>
      <c r="D439" t="s">
        <v>7</v>
      </c>
      <c r="E439" s="172" t="str">
        <f t="shared" si="65"/>
        <v>OC12</v>
      </c>
      <c r="F439" t="str">
        <f t="shared" si="62"/>
        <v>Græs</v>
      </c>
      <c r="G439" s="76" cm="1">
        <f t="array" ref="G439">IF(A439="Vestdanmark",IF(D439="Konventionel",IF(C439=2019,SUMPRODUCT((B439='Landbrugsareal - resultat'!$B$5:$B$18)*(INDEX('Landbrugsareal - resultat'!$C$5:$E$18,,MATCH(E439,'Landbrugsareal - resultat'!$C$4:$E$4,0)))),IF(C439=2030,SUMPRODUCT((B439='Landbrugsareal - resultat'!$B$5:$B$18)*(INDEX('Landbrugsareal - resultat'!$F$5:$H$18,,MATCH(E439,'Landbrugsareal - resultat'!$F$4:$H$4,0)))),SUMPRODUCT((B439='Landbrugsareal - resultat'!$B$5:$B$18)*(INDEX('Landbrugsareal - resultat'!$I$5:$K$18,,MATCH(E439,'Landbrugsareal - resultat'!$I$4:$K$4,0)))))),IF(C439=2019,SUMPRODUCT((B439='Landbrugsareal - resultat'!$B$5:$B$18)*(INDEX('Landbrugsareal - resultat'!$L$5:$N$18,,MATCH(E439,'Landbrugsareal - resultat'!$L$4:$N$4,0)))),IF(C439=2030,SUMPRODUCT((B439='Landbrugsareal - resultat'!$B$5:$B$18)*(INDEX('Landbrugsareal - resultat'!$O$5:$Q$18,,MATCH(E439,'Landbrugsareal - resultat'!$O$4:$Q$4,0)))),SUMPRODUCT((B439='Landbrugsareal - resultat'!$B$5:$B$18)*(INDEX('Landbrugsareal - resultat'!$R$5:$T$18,,MATCH(E439,'Landbrugsareal - resultat'!$R$4:$T$4,0))))))),IF(D439="Konventionel",IF(C439=2019,SUMPRODUCT((B439='Landbrugsareal - resultat'!$B$32:$B$45)*(INDEX('Landbrugsareal - resultat'!$C$32:$E$45,,MATCH(E439,'Landbrugsareal - resultat'!$C$4:$E$4,0)))),IF(C439=2030,SUMPRODUCT((B439='Landbrugsareal - resultat'!$B$32:$B$45)*(INDEX('Landbrugsareal - resultat'!$F$32:$H$45,,MATCH(E439,'Landbrugsareal - resultat'!$F$4:$H$4,0)))),SUMPRODUCT((B439='Landbrugsareal - resultat'!$B$32:$B$45)*(INDEX('Landbrugsareal - resultat'!$I$32:$K$45,,MATCH(E439,'Landbrugsareal - resultat'!$I$4:$K$4,0)))))),IF(C439=2019,SUMPRODUCT((B439='Landbrugsareal - resultat'!$B$32:$B$45)*(INDEX('Landbrugsareal - resultat'!$L$32:$N$45,,MATCH(E439,'Landbrugsareal - resultat'!$L$4:$N$4,0)))),IF(C439=2030,SUMPRODUCT((B439='Landbrugsareal - resultat'!$B$32:$B$45)*(INDEX('Landbrugsareal - resultat'!$O$32:$Q$45,,MATCH(E439,'Landbrugsareal - resultat'!$O$4:$Q$4,0)))),SUMPRODUCT((B439='Landbrugsareal - resultat'!$B$32:$B$45)*(INDEX('Landbrugsareal - resultat'!$R$32:$T$45,,MATCH(E439,'Landbrugsareal - resultat'!$R$4:$T$4,0))))))))</f>
        <v>1055.0331588914703</v>
      </c>
      <c r="H439" s="172">
        <f>G439*VLOOKUP(B439,[1]Afgrødedata!$A$5:$F$18,2,FALSE)*IF(D439="Økologisk",VLOOKUP(B439,[1]Afgrødedata!$A$5:$F$18,4,FALSE),1)*IF(E439&lt;&gt;Jordbund1,IF(E439=Organ6,VLOOKUP(B439,[1]Afgrødedata!$A$5:$F$18,5,FALSE),VLOOKUP(B439,[1]Afgrødedata!$A$5:$F$18,6,FALSE)),1)*0.1</f>
        <v>73291.04348187265</v>
      </c>
      <c r="I439" s="172">
        <f>G439*VLOOKUP(B439,[1]Afgrødedata!$A$5:$F$18,3,FALSE)*IF(D439="Økologisk",VLOOKUP(B439,[1]Afgrødedata!$A$5:$F$18,4,FALSE),1)*IF(E439&lt;&gt;Jordbund1,IF(E439=Organ6,VLOOKUP(B439,[1]Afgrødedata!$A$5:$F$18,5,FALSE),VLOOKUP(B439,[1]Afgrødedata!$A$5:$F$18,6,FALSE)),1)*HLOOKUP(C439,Landbrug!$C$15:$E$17,2,FALSE)*HLOOKUP(C439,Landbrug!$C$15:$E$17,3,FALSE)*0.1</f>
        <v>0</v>
      </c>
      <c r="J439" s="76">
        <f t="shared" si="64"/>
        <v>73291.04348187265</v>
      </c>
    </row>
    <row r="440" spans="1:10" x14ac:dyDescent="0.55000000000000004">
      <c r="A440" t="s">
        <v>24</v>
      </c>
      <c r="B440" s="1" t="str">
        <f>[1]Afgrødefordeling!$C$6</f>
        <v>Grøntsager</v>
      </c>
      <c r="C440">
        <v>2030</v>
      </c>
      <c r="D440" t="s">
        <v>7</v>
      </c>
      <c r="E440" s="172" t="str">
        <f t="shared" si="65"/>
        <v>OC12</v>
      </c>
      <c r="F440" t="str">
        <f t="shared" si="62"/>
        <v>Grøntsager</v>
      </c>
      <c r="G440" s="76" cm="1">
        <f t="array" ref="G440">IF(A440="Vestdanmark",IF(D440="Konventionel",IF(C440=2019,SUMPRODUCT((B440='Landbrugsareal - resultat'!$B$5:$B$18)*(INDEX('Landbrugsareal - resultat'!$C$5:$E$18,,MATCH(E440,'Landbrugsareal - resultat'!$C$4:$E$4,0)))),IF(C440=2030,SUMPRODUCT((B440='Landbrugsareal - resultat'!$B$5:$B$18)*(INDEX('Landbrugsareal - resultat'!$F$5:$H$18,,MATCH(E440,'Landbrugsareal - resultat'!$F$4:$H$4,0)))),SUMPRODUCT((B440='Landbrugsareal - resultat'!$B$5:$B$18)*(INDEX('Landbrugsareal - resultat'!$I$5:$K$18,,MATCH(E440,'Landbrugsareal - resultat'!$I$4:$K$4,0)))))),IF(C440=2019,SUMPRODUCT((B440='Landbrugsareal - resultat'!$B$5:$B$18)*(INDEX('Landbrugsareal - resultat'!$L$5:$N$18,,MATCH(E440,'Landbrugsareal - resultat'!$L$4:$N$4,0)))),IF(C440=2030,SUMPRODUCT((B440='Landbrugsareal - resultat'!$B$5:$B$18)*(INDEX('Landbrugsareal - resultat'!$O$5:$Q$18,,MATCH(E440,'Landbrugsareal - resultat'!$O$4:$Q$4,0)))),SUMPRODUCT((B440='Landbrugsareal - resultat'!$B$5:$B$18)*(INDEX('Landbrugsareal - resultat'!$R$5:$T$18,,MATCH(E440,'Landbrugsareal - resultat'!$R$4:$T$4,0))))))),IF(D440="Konventionel",IF(C440=2019,SUMPRODUCT((B440='Landbrugsareal - resultat'!$B$32:$B$45)*(INDEX('Landbrugsareal - resultat'!$C$32:$E$45,,MATCH(E440,'Landbrugsareal - resultat'!$C$4:$E$4,0)))),IF(C440=2030,SUMPRODUCT((B440='Landbrugsareal - resultat'!$B$32:$B$45)*(INDEX('Landbrugsareal - resultat'!$F$32:$H$45,,MATCH(E440,'Landbrugsareal - resultat'!$F$4:$H$4,0)))),SUMPRODUCT((B440='Landbrugsareal - resultat'!$B$32:$B$45)*(INDEX('Landbrugsareal - resultat'!$I$32:$K$45,,MATCH(E440,'Landbrugsareal - resultat'!$I$4:$K$4,0)))))),IF(C440=2019,SUMPRODUCT((B440='Landbrugsareal - resultat'!$B$32:$B$45)*(INDEX('Landbrugsareal - resultat'!$L$32:$N$45,,MATCH(E440,'Landbrugsareal - resultat'!$L$4:$N$4,0)))),IF(C440=2030,SUMPRODUCT((B440='Landbrugsareal - resultat'!$B$32:$B$45)*(INDEX('Landbrugsareal - resultat'!$O$32:$Q$45,,MATCH(E440,'Landbrugsareal - resultat'!$O$4:$Q$4,0)))),SUMPRODUCT((B440='Landbrugsareal - resultat'!$B$32:$B$45)*(INDEX('Landbrugsareal - resultat'!$R$32:$T$45,,MATCH(E440,'Landbrugsareal - resultat'!$R$4:$T$4,0))))))))</f>
        <v>4.9656179173315067</v>
      </c>
      <c r="H440" s="172">
        <f>G440*VLOOKUP(B440,[1]Afgrødedata!$A$5:$F$18,2,FALSE)*IF(D440="Økologisk",VLOOKUP(B440,[1]Afgrødedata!$A$5:$F$18,4,FALSE),1)*IF(E440&lt;&gt;Jordbund1,IF(E440=Organ6,VLOOKUP(B440,[1]Afgrødedata!$A$5:$F$18,5,FALSE),VLOOKUP(B440,[1]Afgrødedata!$A$5:$F$18,6,FALSE)),1)*0.1</f>
        <v>144.25120049848027</v>
      </c>
      <c r="I440" s="172">
        <f>G440*VLOOKUP(B440,[1]Afgrødedata!$A$5:$F$18,3,FALSE)*IF(D440="Økologisk",VLOOKUP(B440,[1]Afgrødedata!$A$5:$F$18,4,FALSE),1)*IF(E440&lt;&gt;Jordbund1,IF(E440=Organ6,VLOOKUP(B440,[1]Afgrødedata!$A$5:$F$18,5,FALSE),VLOOKUP(B440,[1]Afgrødedata!$A$5:$F$18,6,FALSE)),1)*HLOOKUP(C440,Landbrug!$C$15:$E$17,2,FALSE)*HLOOKUP(C440,Landbrug!$C$15:$E$17,3,FALSE)*0.1</f>
        <v>0</v>
      </c>
      <c r="J440" s="76">
        <f t="shared" si="64"/>
        <v>144.25120049848027</v>
      </c>
    </row>
    <row r="441" spans="1:10" x14ac:dyDescent="0.55000000000000004">
      <c r="A441" t="s">
        <v>24</v>
      </c>
      <c r="B441" s="1" t="str">
        <f>[1]Afgrødefordeling!$C$7</f>
        <v>Kartofler</v>
      </c>
      <c r="C441">
        <v>2030</v>
      </c>
      <c r="D441" t="s">
        <v>7</v>
      </c>
      <c r="E441" s="172" t="str">
        <f t="shared" si="65"/>
        <v>OC12</v>
      </c>
      <c r="F441" t="str">
        <f t="shared" si="62"/>
        <v>Kartofler</v>
      </c>
      <c r="G441" s="76" cm="1">
        <f t="array" ref="G441">IF(A441="Vestdanmark",IF(D441="Konventionel",IF(C441=2019,SUMPRODUCT((B441='Landbrugsareal - resultat'!$B$5:$B$18)*(INDEX('Landbrugsareal - resultat'!$C$5:$E$18,,MATCH(E441,'Landbrugsareal - resultat'!$C$4:$E$4,0)))),IF(C441=2030,SUMPRODUCT((B441='Landbrugsareal - resultat'!$B$5:$B$18)*(INDEX('Landbrugsareal - resultat'!$F$5:$H$18,,MATCH(E441,'Landbrugsareal - resultat'!$F$4:$H$4,0)))),SUMPRODUCT((B441='Landbrugsareal - resultat'!$B$5:$B$18)*(INDEX('Landbrugsareal - resultat'!$I$5:$K$18,,MATCH(E441,'Landbrugsareal - resultat'!$I$4:$K$4,0)))))),IF(C441=2019,SUMPRODUCT((B441='Landbrugsareal - resultat'!$B$5:$B$18)*(INDEX('Landbrugsareal - resultat'!$L$5:$N$18,,MATCH(E441,'Landbrugsareal - resultat'!$L$4:$N$4,0)))),IF(C441=2030,SUMPRODUCT((B441='Landbrugsareal - resultat'!$B$5:$B$18)*(INDEX('Landbrugsareal - resultat'!$O$5:$Q$18,,MATCH(E441,'Landbrugsareal - resultat'!$O$4:$Q$4,0)))),SUMPRODUCT((B441='Landbrugsareal - resultat'!$B$5:$B$18)*(INDEX('Landbrugsareal - resultat'!$R$5:$T$18,,MATCH(E441,'Landbrugsareal - resultat'!$R$4:$T$4,0))))))),IF(D441="Konventionel",IF(C441=2019,SUMPRODUCT((B441='Landbrugsareal - resultat'!$B$32:$B$45)*(INDEX('Landbrugsareal - resultat'!$C$32:$E$45,,MATCH(E441,'Landbrugsareal - resultat'!$C$4:$E$4,0)))),IF(C441=2030,SUMPRODUCT((B441='Landbrugsareal - resultat'!$B$32:$B$45)*(INDEX('Landbrugsareal - resultat'!$F$32:$H$45,,MATCH(E441,'Landbrugsareal - resultat'!$F$4:$H$4,0)))),SUMPRODUCT((B441='Landbrugsareal - resultat'!$B$32:$B$45)*(INDEX('Landbrugsareal - resultat'!$I$32:$K$45,,MATCH(E441,'Landbrugsareal - resultat'!$I$4:$K$4,0)))))),IF(C441=2019,SUMPRODUCT((B441='Landbrugsareal - resultat'!$B$32:$B$45)*(INDEX('Landbrugsareal - resultat'!$L$32:$N$45,,MATCH(E441,'Landbrugsareal - resultat'!$L$4:$N$4,0)))),IF(C441=2030,SUMPRODUCT((B441='Landbrugsareal - resultat'!$B$32:$B$45)*(INDEX('Landbrugsareal - resultat'!$O$32:$Q$45,,MATCH(E441,'Landbrugsareal - resultat'!$O$4:$Q$4,0)))),SUMPRODUCT((B441='Landbrugsareal - resultat'!$B$32:$B$45)*(INDEX('Landbrugsareal - resultat'!$R$32:$T$45,,MATCH(E441,'Landbrugsareal - resultat'!$R$4:$T$4,0))))))))</f>
        <v>28.303429769129298</v>
      </c>
      <c r="H441" s="172">
        <f>G441*VLOOKUP(B441,[1]Afgrødedata!$A$5:$F$18,2,FALSE)*IF(D441="Økologisk",VLOOKUP(B441,[1]Afgrødedata!$A$5:$F$18,4,FALSE),1)*IF(E441&lt;&gt;Jordbund1,IF(E441=Organ6,VLOOKUP(B441,[1]Afgrødedata!$A$5:$F$18,5,FALSE),VLOOKUP(B441,[1]Afgrødedata!$A$5:$F$18,6,FALSE)),1)*0.1</f>
        <v>1682.9009685688955</v>
      </c>
      <c r="I441" s="172">
        <f>G441*VLOOKUP(B441,[1]Afgrødedata!$A$5:$F$18,3,FALSE)*IF(D441="Økologisk",VLOOKUP(B441,[1]Afgrødedata!$A$5:$F$18,4,FALSE),1)*IF(E441&lt;&gt;Jordbund1,IF(E441=Organ6,VLOOKUP(B441,[1]Afgrødedata!$A$5:$F$18,5,FALSE),VLOOKUP(B441,[1]Afgrødedata!$A$5:$F$18,6,FALSE)),1)*HLOOKUP(C441,Landbrug!$C$15:$E$17,2,FALSE)*HLOOKUP(C441,Landbrug!$C$15:$E$17,3,FALSE)*0.1</f>
        <v>0</v>
      </c>
      <c r="J441" s="76">
        <f t="shared" si="64"/>
        <v>1682.9009685688955</v>
      </c>
    </row>
    <row r="442" spans="1:10" x14ac:dyDescent="0.55000000000000004">
      <c r="A442" t="s">
        <v>24</v>
      </c>
      <c r="B442" s="1" t="str">
        <f>[1]Afgrødefordeling!$C$8</f>
        <v>Roer</v>
      </c>
      <c r="C442">
        <v>2030</v>
      </c>
      <c r="D442" t="s">
        <v>7</v>
      </c>
      <c r="E442" s="172" t="str">
        <f t="shared" si="65"/>
        <v>OC12</v>
      </c>
      <c r="F442" t="str">
        <f t="shared" si="62"/>
        <v>Roer</v>
      </c>
      <c r="G442" s="76" cm="1">
        <f t="array" ref="G442">IF(A442="Vestdanmark",IF(D442="Konventionel",IF(C442=2019,SUMPRODUCT((B442='Landbrugsareal - resultat'!$B$5:$B$18)*(INDEX('Landbrugsareal - resultat'!$C$5:$E$18,,MATCH(E442,'Landbrugsareal - resultat'!$C$4:$E$4,0)))),IF(C442=2030,SUMPRODUCT((B442='Landbrugsareal - resultat'!$B$5:$B$18)*(INDEX('Landbrugsareal - resultat'!$F$5:$H$18,,MATCH(E442,'Landbrugsareal - resultat'!$F$4:$H$4,0)))),SUMPRODUCT((B442='Landbrugsareal - resultat'!$B$5:$B$18)*(INDEX('Landbrugsareal - resultat'!$I$5:$K$18,,MATCH(E442,'Landbrugsareal - resultat'!$I$4:$K$4,0)))))),IF(C442=2019,SUMPRODUCT((B442='Landbrugsareal - resultat'!$B$5:$B$18)*(INDEX('Landbrugsareal - resultat'!$L$5:$N$18,,MATCH(E442,'Landbrugsareal - resultat'!$L$4:$N$4,0)))),IF(C442=2030,SUMPRODUCT((B442='Landbrugsareal - resultat'!$B$5:$B$18)*(INDEX('Landbrugsareal - resultat'!$O$5:$Q$18,,MATCH(E442,'Landbrugsareal - resultat'!$O$4:$Q$4,0)))),SUMPRODUCT((B442='Landbrugsareal - resultat'!$B$5:$B$18)*(INDEX('Landbrugsareal - resultat'!$R$5:$T$18,,MATCH(E442,'Landbrugsareal - resultat'!$R$4:$T$4,0))))))),IF(D442="Konventionel",IF(C442=2019,SUMPRODUCT((B442='Landbrugsareal - resultat'!$B$32:$B$45)*(INDEX('Landbrugsareal - resultat'!$C$32:$E$45,,MATCH(E442,'Landbrugsareal - resultat'!$C$4:$E$4,0)))),IF(C442=2030,SUMPRODUCT((B442='Landbrugsareal - resultat'!$B$32:$B$45)*(INDEX('Landbrugsareal - resultat'!$F$32:$H$45,,MATCH(E442,'Landbrugsareal - resultat'!$F$4:$H$4,0)))),SUMPRODUCT((B442='Landbrugsareal - resultat'!$B$32:$B$45)*(INDEX('Landbrugsareal - resultat'!$I$32:$K$45,,MATCH(E442,'Landbrugsareal - resultat'!$I$4:$K$4,0)))))),IF(C442=2019,SUMPRODUCT((B442='Landbrugsareal - resultat'!$B$32:$B$45)*(INDEX('Landbrugsareal - resultat'!$L$32:$N$45,,MATCH(E442,'Landbrugsareal - resultat'!$L$4:$N$4,0)))),IF(C442=2030,SUMPRODUCT((B442='Landbrugsareal - resultat'!$B$32:$B$45)*(INDEX('Landbrugsareal - resultat'!$O$32:$Q$45,,MATCH(E442,'Landbrugsareal - resultat'!$O$4:$Q$4,0)))),SUMPRODUCT((B442='Landbrugsareal - resultat'!$B$32:$B$45)*(INDEX('Landbrugsareal - resultat'!$R$32:$T$45,,MATCH(E442,'Landbrugsareal - resultat'!$R$4:$T$4,0))))))))</f>
        <v>32.593822094509534</v>
      </c>
      <c r="H442" s="172">
        <f>G442*VLOOKUP(B442,[1]Afgrødedata!$A$5:$F$18,2,FALSE)*IF(D442="Økologisk",VLOOKUP(B442,[1]Afgrødedata!$A$5:$F$18,4,FALSE),1)*IF(E442&lt;&gt;Jordbund1,IF(E442=Organ6,VLOOKUP(B442,[1]Afgrødedata!$A$5:$F$18,5,FALSE),VLOOKUP(B442,[1]Afgrødedata!$A$5:$F$18,6,FALSE)),1)*0.1</f>
        <v>3707.7175294852809</v>
      </c>
      <c r="I442" s="172">
        <f>G442*VLOOKUP(B442,[1]Afgrødedata!$A$5:$F$18,3,FALSE)*IF(D442="Økologisk",VLOOKUP(B442,[1]Afgrødedata!$A$5:$F$18,4,FALSE),1)*IF(E442&lt;&gt;Jordbund1,IF(E442=Organ6,VLOOKUP(B442,[1]Afgrødedata!$A$5:$F$18,5,FALSE),VLOOKUP(B442,[1]Afgrødedata!$A$5:$F$18,6,FALSE)),1)*HLOOKUP(C442,Landbrug!$C$15:$E$17,2,FALSE)*HLOOKUP(C442,Landbrug!$C$15:$E$17,3,FALSE)*0.1</f>
        <v>0</v>
      </c>
      <c r="J442" s="76">
        <f t="shared" si="64"/>
        <v>3707.7175294852809</v>
      </c>
    </row>
    <row r="443" spans="1:10" x14ac:dyDescent="0.55000000000000004">
      <c r="A443" t="s">
        <v>24</v>
      </c>
      <c r="B443" s="1" t="str">
        <f>[1]Afgrødefordeling!$C$9</f>
        <v>Majs</v>
      </c>
      <c r="C443">
        <v>2030</v>
      </c>
      <c r="D443" t="s">
        <v>7</v>
      </c>
      <c r="E443" s="172" t="str">
        <f t="shared" si="65"/>
        <v>OC12</v>
      </c>
      <c r="F443" t="str">
        <f t="shared" si="62"/>
        <v>Majs</v>
      </c>
      <c r="G443" s="76" cm="1">
        <f t="array" ref="G443">IF(A443="Vestdanmark",IF(D443="Konventionel",IF(C443=2019,SUMPRODUCT((B443='Landbrugsareal - resultat'!$B$5:$B$18)*(INDEX('Landbrugsareal - resultat'!$C$5:$E$18,,MATCH(E443,'Landbrugsareal - resultat'!$C$4:$E$4,0)))),IF(C443=2030,SUMPRODUCT((B443='Landbrugsareal - resultat'!$B$5:$B$18)*(INDEX('Landbrugsareal - resultat'!$F$5:$H$18,,MATCH(E443,'Landbrugsareal - resultat'!$F$4:$H$4,0)))),SUMPRODUCT((B443='Landbrugsareal - resultat'!$B$5:$B$18)*(INDEX('Landbrugsareal - resultat'!$I$5:$K$18,,MATCH(E443,'Landbrugsareal - resultat'!$I$4:$K$4,0)))))),IF(C443=2019,SUMPRODUCT((B443='Landbrugsareal - resultat'!$B$5:$B$18)*(INDEX('Landbrugsareal - resultat'!$L$5:$N$18,,MATCH(E443,'Landbrugsareal - resultat'!$L$4:$N$4,0)))),IF(C443=2030,SUMPRODUCT((B443='Landbrugsareal - resultat'!$B$5:$B$18)*(INDEX('Landbrugsareal - resultat'!$O$5:$Q$18,,MATCH(E443,'Landbrugsareal - resultat'!$O$4:$Q$4,0)))),SUMPRODUCT((B443='Landbrugsareal - resultat'!$B$5:$B$18)*(INDEX('Landbrugsareal - resultat'!$R$5:$T$18,,MATCH(E443,'Landbrugsareal - resultat'!$R$4:$T$4,0))))))),IF(D443="Konventionel",IF(C443=2019,SUMPRODUCT((B443='Landbrugsareal - resultat'!$B$32:$B$45)*(INDEX('Landbrugsareal - resultat'!$C$32:$E$45,,MATCH(E443,'Landbrugsareal - resultat'!$C$4:$E$4,0)))),IF(C443=2030,SUMPRODUCT((B443='Landbrugsareal - resultat'!$B$32:$B$45)*(INDEX('Landbrugsareal - resultat'!$F$32:$H$45,,MATCH(E443,'Landbrugsareal - resultat'!$F$4:$H$4,0)))),SUMPRODUCT((B443='Landbrugsareal - resultat'!$B$32:$B$45)*(INDEX('Landbrugsareal - resultat'!$I$32:$K$45,,MATCH(E443,'Landbrugsareal - resultat'!$I$4:$K$4,0)))))),IF(C443=2019,SUMPRODUCT((B443='Landbrugsareal - resultat'!$B$32:$B$45)*(INDEX('Landbrugsareal - resultat'!$L$32:$N$45,,MATCH(E443,'Landbrugsareal - resultat'!$L$4:$N$4,0)))),IF(C443=2030,SUMPRODUCT((B443='Landbrugsareal - resultat'!$B$32:$B$45)*(INDEX('Landbrugsareal - resultat'!$O$32:$Q$45,,MATCH(E443,'Landbrugsareal - resultat'!$O$4:$Q$4,0)))),SUMPRODUCT((B443='Landbrugsareal - resultat'!$B$32:$B$45)*(INDEX('Landbrugsareal - resultat'!$R$32:$T$45,,MATCH(E443,'Landbrugsareal - resultat'!$R$4:$T$4,0))))))))</f>
        <v>33.478011370728012</v>
      </c>
      <c r="H443" s="172">
        <f>G443*VLOOKUP(B443,[1]Afgrødedata!$A$5:$F$18,2,FALSE)*IF(D443="Økologisk",VLOOKUP(B443,[1]Afgrødedata!$A$5:$F$18,4,FALSE),1)*IF(E443&lt;&gt;Jordbund1,IF(E443=Organ6,VLOOKUP(B443,[1]Afgrødedata!$A$5:$F$18,5,FALSE),VLOOKUP(B443,[1]Afgrødedata!$A$5:$F$18,6,FALSE)),1)*0.1</f>
        <v>2086.1488005555452</v>
      </c>
      <c r="I443" s="172">
        <f>G443*VLOOKUP(B443,[1]Afgrødedata!$A$5:$F$18,3,FALSE)*IF(D443="Økologisk",VLOOKUP(B443,[1]Afgrødedata!$A$5:$F$18,4,FALSE),1)*IF(E443&lt;&gt;Jordbund1,IF(E443=Organ6,VLOOKUP(B443,[1]Afgrødedata!$A$5:$F$18,5,FALSE),VLOOKUP(B443,[1]Afgrødedata!$A$5:$F$18,6,FALSE)),1)*HLOOKUP(C443,Landbrug!$C$15:$E$17,2,FALSE)*HLOOKUP(C443,Landbrug!$C$15:$E$17,3,FALSE)*0.1</f>
        <v>0</v>
      </c>
      <c r="J443" s="76">
        <f t="shared" si="64"/>
        <v>2086.1488005555452</v>
      </c>
    </row>
    <row r="444" spans="1:10" x14ac:dyDescent="0.55000000000000004">
      <c r="A444" t="s">
        <v>24</v>
      </c>
      <c r="B444" s="1" t="str">
        <f>[1]Afgrødefordeling!$C$10</f>
        <v>Frugt</v>
      </c>
      <c r="C444">
        <v>2030</v>
      </c>
      <c r="D444" t="s">
        <v>7</v>
      </c>
      <c r="E444" s="172" t="str">
        <f t="shared" si="65"/>
        <v>OC12</v>
      </c>
      <c r="F444" t="str">
        <f t="shared" si="62"/>
        <v>Frugt</v>
      </c>
      <c r="G444" s="76" cm="1">
        <f t="array" ref="G444">IF(A444="Vestdanmark",IF(D444="Konventionel",IF(C444=2019,SUMPRODUCT((B444='Landbrugsareal - resultat'!$B$5:$B$18)*(INDEX('Landbrugsareal - resultat'!$C$5:$E$18,,MATCH(E444,'Landbrugsareal - resultat'!$C$4:$E$4,0)))),IF(C444=2030,SUMPRODUCT((B444='Landbrugsareal - resultat'!$B$5:$B$18)*(INDEX('Landbrugsareal - resultat'!$F$5:$H$18,,MATCH(E444,'Landbrugsareal - resultat'!$F$4:$H$4,0)))),SUMPRODUCT((B444='Landbrugsareal - resultat'!$B$5:$B$18)*(INDEX('Landbrugsareal - resultat'!$I$5:$K$18,,MATCH(E444,'Landbrugsareal - resultat'!$I$4:$K$4,0)))))),IF(C444=2019,SUMPRODUCT((B444='Landbrugsareal - resultat'!$B$5:$B$18)*(INDEX('Landbrugsareal - resultat'!$L$5:$N$18,,MATCH(E444,'Landbrugsareal - resultat'!$L$4:$N$4,0)))),IF(C444=2030,SUMPRODUCT((B444='Landbrugsareal - resultat'!$B$5:$B$18)*(INDEX('Landbrugsareal - resultat'!$O$5:$Q$18,,MATCH(E444,'Landbrugsareal - resultat'!$O$4:$Q$4,0)))),SUMPRODUCT((B444='Landbrugsareal - resultat'!$B$5:$B$18)*(INDEX('Landbrugsareal - resultat'!$R$5:$T$18,,MATCH(E444,'Landbrugsareal - resultat'!$R$4:$T$4,0))))))),IF(D444="Konventionel",IF(C444=2019,SUMPRODUCT((B444='Landbrugsareal - resultat'!$B$32:$B$45)*(INDEX('Landbrugsareal - resultat'!$C$32:$E$45,,MATCH(E444,'Landbrugsareal - resultat'!$C$4:$E$4,0)))),IF(C444=2030,SUMPRODUCT((B444='Landbrugsareal - resultat'!$B$32:$B$45)*(INDEX('Landbrugsareal - resultat'!$F$32:$H$45,,MATCH(E444,'Landbrugsareal - resultat'!$F$4:$H$4,0)))),SUMPRODUCT((B444='Landbrugsareal - resultat'!$B$32:$B$45)*(INDEX('Landbrugsareal - resultat'!$I$32:$K$45,,MATCH(E444,'Landbrugsareal - resultat'!$I$4:$K$4,0)))))),IF(C444=2019,SUMPRODUCT((B444='Landbrugsareal - resultat'!$B$32:$B$45)*(INDEX('Landbrugsareal - resultat'!$L$32:$N$45,,MATCH(E444,'Landbrugsareal - resultat'!$L$4:$N$4,0)))),IF(C444=2030,SUMPRODUCT((B444='Landbrugsareal - resultat'!$B$32:$B$45)*(INDEX('Landbrugsareal - resultat'!$O$32:$Q$45,,MATCH(E444,'Landbrugsareal - resultat'!$O$4:$Q$4,0)))),SUMPRODUCT((B444='Landbrugsareal - resultat'!$B$32:$B$45)*(INDEX('Landbrugsareal - resultat'!$R$32:$T$45,,MATCH(E444,'Landbrugsareal - resultat'!$R$4:$T$4,0))))))))</f>
        <v>12.148349188628277</v>
      </c>
      <c r="H444" s="172">
        <f>G444*VLOOKUP(B444,[1]Afgrødedata!$A$5:$F$18,2,FALSE)*IF(D444="Økologisk",VLOOKUP(B444,[1]Afgrødedata!$A$5:$F$18,4,FALSE),1)*IF(E444&lt;&gt;Jordbund1,IF(E444=Organ6,VLOOKUP(B444,[1]Afgrødedata!$A$5:$F$18,5,FALSE),VLOOKUP(B444,[1]Afgrødedata!$A$5:$F$18,6,FALSE)),1)*0.1</f>
        <v>144.3952784560357</v>
      </c>
      <c r="I444" s="172">
        <f>G444*VLOOKUP(B444,[1]Afgrødedata!$A$5:$F$18,3,FALSE)*IF(D444="Økologisk",VLOOKUP(B444,[1]Afgrødedata!$A$5:$F$18,4,FALSE),1)*IF(E444&lt;&gt;Jordbund1,IF(E444=Organ6,VLOOKUP(B444,[1]Afgrødedata!$A$5:$F$18,5,FALSE),VLOOKUP(B444,[1]Afgrødedata!$A$5:$F$18,6,FALSE)),1)*HLOOKUP(C444,Landbrug!$C$15:$E$17,2,FALSE)*HLOOKUP(C444,Landbrug!$C$15:$E$17,3,FALSE)*0.1</f>
        <v>0</v>
      </c>
      <c r="J444" s="76">
        <f t="shared" si="64"/>
        <v>144.3952784560357</v>
      </c>
    </row>
    <row r="445" spans="1:10" x14ac:dyDescent="0.55000000000000004">
      <c r="A445" t="s">
        <v>24</v>
      </c>
      <c r="B445" s="1" t="str">
        <f>[1]Afgrødefordeling!$C$11</f>
        <v>Øvrige</v>
      </c>
      <c r="C445">
        <v>2030</v>
      </c>
      <c r="D445" t="s">
        <v>7</v>
      </c>
      <c r="E445" s="172" t="str">
        <f t="shared" si="65"/>
        <v>OC12</v>
      </c>
      <c r="F445" t="str">
        <f t="shared" si="62"/>
        <v>Øvrige</v>
      </c>
      <c r="G445" s="76" cm="1">
        <f t="array" ref="G445">IF(A445="Vestdanmark",IF(D445="Konventionel",IF(C445=2019,SUMPRODUCT((B445='Landbrugsareal - resultat'!$B$5:$B$18)*(INDEX('Landbrugsareal - resultat'!$C$5:$E$18,,MATCH(E445,'Landbrugsareal - resultat'!$C$4:$E$4,0)))),IF(C445=2030,SUMPRODUCT((B445='Landbrugsareal - resultat'!$B$5:$B$18)*(INDEX('Landbrugsareal - resultat'!$F$5:$H$18,,MATCH(E445,'Landbrugsareal - resultat'!$F$4:$H$4,0)))),SUMPRODUCT((B445='Landbrugsareal - resultat'!$B$5:$B$18)*(INDEX('Landbrugsareal - resultat'!$I$5:$K$18,,MATCH(E445,'Landbrugsareal - resultat'!$I$4:$K$4,0)))))),IF(C445=2019,SUMPRODUCT((B445='Landbrugsareal - resultat'!$B$5:$B$18)*(INDEX('Landbrugsareal - resultat'!$L$5:$N$18,,MATCH(E445,'Landbrugsareal - resultat'!$L$4:$N$4,0)))),IF(C445=2030,SUMPRODUCT((B445='Landbrugsareal - resultat'!$B$5:$B$18)*(INDEX('Landbrugsareal - resultat'!$O$5:$Q$18,,MATCH(E445,'Landbrugsareal - resultat'!$O$4:$Q$4,0)))),SUMPRODUCT((B445='Landbrugsareal - resultat'!$B$5:$B$18)*(INDEX('Landbrugsareal - resultat'!$R$5:$T$18,,MATCH(E445,'Landbrugsareal - resultat'!$R$4:$T$4,0))))))),IF(D445="Konventionel",IF(C445=2019,SUMPRODUCT((B445='Landbrugsareal - resultat'!$B$32:$B$45)*(INDEX('Landbrugsareal - resultat'!$C$32:$E$45,,MATCH(E445,'Landbrugsareal - resultat'!$C$4:$E$4,0)))),IF(C445=2030,SUMPRODUCT((B445='Landbrugsareal - resultat'!$B$32:$B$45)*(INDEX('Landbrugsareal - resultat'!$F$32:$H$45,,MATCH(E445,'Landbrugsareal - resultat'!$F$4:$H$4,0)))),SUMPRODUCT((B445='Landbrugsareal - resultat'!$B$32:$B$45)*(INDEX('Landbrugsareal - resultat'!$I$32:$K$45,,MATCH(E445,'Landbrugsareal - resultat'!$I$4:$K$4,0)))))),IF(C445=2019,SUMPRODUCT((B445='Landbrugsareal - resultat'!$B$32:$B$45)*(INDEX('Landbrugsareal - resultat'!$L$32:$N$45,,MATCH(E445,'Landbrugsareal - resultat'!$L$4:$N$4,0)))),IF(C445=2030,SUMPRODUCT((B445='Landbrugsareal - resultat'!$B$32:$B$45)*(INDEX('Landbrugsareal - resultat'!$O$32:$Q$45,,MATCH(E445,'Landbrugsareal - resultat'!$O$4:$Q$4,0)))),SUMPRODUCT((B445='Landbrugsareal - resultat'!$B$32:$B$45)*(INDEX('Landbrugsareal - resultat'!$R$32:$T$45,,MATCH(E445,'Landbrugsareal - resultat'!$R$4:$T$4,0))))))))</f>
        <v>86.745105298295798</v>
      </c>
      <c r="H445" s="172">
        <f>G445*VLOOKUP(B445,[1]Afgrødedata!$A$5:$F$18,2,FALSE)*IF(D445="Økologisk",VLOOKUP(B445,[1]Afgrødedata!$A$5:$F$18,4,FALSE),1)*IF(E445&lt;&gt;Jordbund1,IF(E445=Organ6,VLOOKUP(B445,[1]Afgrødedata!$A$5:$F$18,5,FALSE),VLOOKUP(B445,[1]Afgrødedata!$A$5:$F$18,6,FALSE)),1)*0.1</f>
        <v>3618.5131599115721</v>
      </c>
      <c r="I445" s="172">
        <f>G445*VLOOKUP(B445,[1]Afgrødedata!$A$5:$F$18,3,FALSE)*IF(D445="Økologisk",VLOOKUP(B445,[1]Afgrødedata!$A$5:$F$18,4,FALSE),1)*IF(E445&lt;&gt;Jordbund1,IF(E445=Organ6,VLOOKUP(B445,[1]Afgrødedata!$A$5:$F$18,5,FALSE),VLOOKUP(B445,[1]Afgrødedata!$A$5:$F$18,6,FALSE)),1)*HLOOKUP(C445,Landbrug!$C$15:$E$17,2,FALSE)*HLOOKUP(C445,Landbrug!$C$15:$E$17,3,FALSE)*0.1</f>
        <v>0</v>
      </c>
      <c r="J445" s="76">
        <f t="shared" si="64"/>
        <v>3618.5131599115721</v>
      </c>
    </row>
    <row r="446" spans="1:10" x14ac:dyDescent="0.55000000000000004">
      <c r="A446" t="s">
        <v>24</v>
      </c>
      <c r="B446" s="1" t="str">
        <f>[1]Afgrødefordeling!$C$12</f>
        <v>Frø</v>
      </c>
      <c r="C446">
        <v>2030</v>
      </c>
      <c r="D446" t="s">
        <v>7</v>
      </c>
      <c r="E446" s="172" t="str">
        <f t="shared" si="65"/>
        <v>OC12</v>
      </c>
      <c r="F446" t="str">
        <f t="shared" si="62"/>
        <v>Halm</v>
      </c>
      <c r="G446" s="76" cm="1">
        <f t="array" ref="G446">IF(A446="Vestdanmark",IF(D446="Konventionel",IF(C446=2019,SUMPRODUCT((B446='Landbrugsareal - resultat'!$B$5:$B$18)*(INDEX('Landbrugsareal - resultat'!$C$5:$E$18,,MATCH(E446,'Landbrugsareal - resultat'!$C$4:$E$4,0)))),IF(C446=2030,SUMPRODUCT((B446='Landbrugsareal - resultat'!$B$5:$B$18)*(INDEX('Landbrugsareal - resultat'!$F$5:$H$18,,MATCH(E446,'Landbrugsareal - resultat'!$F$4:$H$4,0)))),SUMPRODUCT((B446='Landbrugsareal - resultat'!$B$5:$B$18)*(INDEX('Landbrugsareal - resultat'!$I$5:$K$18,,MATCH(E446,'Landbrugsareal - resultat'!$I$4:$K$4,0)))))),IF(C446=2019,SUMPRODUCT((B446='Landbrugsareal - resultat'!$B$5:$B$18)*(INDEX('Landbrugsareal - resultat'!$L$5:$N$18,,MATCH(E446,'Landbrugsareal - resultat'!$L$4:$N$4,0)))),IF(C446=2030,SUMPRODUCT((B446='Landbrugsareal - resultat'!$B$5:$B$18)*(INDEX('Landbrugsareal - resultat'!$O$5:$Q$18,,MATCH(E446,'Landbrugsareal - resultat'!$O$4:$Q$4,0)))),SUMPRODUCT((B446='Landbrugsareal - resultat'!$B$5:$B$18)*(INDEX('Landbrugsareal - resultat'!$R$5:$T$18,,MATCH(E446,'Landbrugsareal - resultat'!$R$4:$T$4,0))))))),IF(D446="Konventionel",IF(C446=2019,SUMPRODUCT((B446='Landbrugsareal - resultat'!$B$32:$B$45)*(INDEX('Landbrugsareal - resultat'!$C$32:$E$45,,MATCH(E446,'Landbrugsareal - resultat'!$C$4:$E$4,0)))),IF(C446=2030,SUMPRODUCT((B446='Landbrugsareal - resultat'!$B$32:$B$45)*(INDEX('Landbrugsareal - resultat'!$F$32:$H$45,,MATCH(E446,'Landbrugsareal - resultat'!$F$4:$H$4,0)))),SUMPRODUCT((B446='Landbrugsareal - resultat'!$B$32:$B$45)*(INDEX('Landbrugsareal - resultat'!$I$32:$K$45,,MATCH(E446,'Landbrugsareal - resultat'!$I$4:$K$4,0)))))),IF(C446=2019,SUMPRODUCT((B446='Landbrugsareal - resultat'!$B$32:$B$45)*(INDEX('Landbrugsareal - resultat'!$L$32:$N$45,,MATCH(E446,'Landbrugsareal - resultat'!$L$4:$N$4,0)))),IF(C446=2030,SUMPRODUCT((B446='Landbrugsareal - resultat'!$B$32:$B$45)*(INDEX('Landbrugsareal - resultat'!$O$32:$Q$45,,MATCH(E446,'Landbrugsareal - resultat'!$O$4:$Q$4,0)))),SUMPRODUCT((B446='Landbrugsareal - resultat'!$B$32:$B$45)*(INDEX('Landbrugsareal - resultat'!$R$32:$T$45,,MATCH(E446,'Landbrugsareal - resultat'!$R$4:$T$4,0))))))))</f>
        <v>811.77609437677165</v>
      </c>
      <c r="H446" s="172">
        <f>G446*VLOOKUP(B446,[1]Afgrødedata!$A$5:$F$18,2,FALSE)*IF(D446="Økologisk",VLOOKUP(B446,[1]Afgrødedata!$A$5:$F$18,4,FALSE),1)*IF(E446&lt;&gt;Jordbund1,IF(E446=Organ6,VLOOKUP(B446,[1]Afgrødedata!$A$5:$F$18,5,FALSE),VLOOKUP(B446,[1]Afgrødedata!$A$5:$F$18,6,FALSE)),1)*0.1</f>
        <v>16239.097812609396</v>
      </c>
      <c r="I446" s="172">
        <f>G446*VLOOKUP(B446,[1]Afgrødedata!$A$5:$F$18,3,FALSE)*IF(D446="Økologisk",VLOOKUP(B446,[1]Afgrødedata!$A$5:$F$18,4,FALSE),1)*IF(E446&lt;&gt;Jordbund1,IF(E446=Organ6,VLOOKUP(B446,[1]Afgrødedata!$A$5:$F$18,5,FALSE),VLOOKUP(B446,[1]Afgrødedata!$A$5:$F$18,6,FALSE)),1)*HLOOKUP(C446,Landbrug!$C$15:$E$17,2,FALSE)*HLOOKUP(C446,Landbrug!$C$15:$E$17,3,FALSE)*0.1</f>
        <v>2682.1082158208537</v>
      </c>
      <c r="J446" s="76">
        <f t="shared" si="64"/>
        <v>2682.1082158208537</v>
      </c>
    </row>
    <row r="447" spans="1:10" x14ac:dyDescent="0.55000000000000004">
      <c r="A447" t="s">
        <v>24</v>
      </c>
      <c r="B447" s="1" t="str">
        <f>[1]Afgrødefordeling!$C$13</f>
        <v>Juletræer</v>
      </c>
      <c r="C447">
        <v>2030</v>
      </c>
      <c r="D447" t="s">
        <v>7</v>
      </c>
      <c r="E447" s="172" t="str">
        <f t="shared" si="65"/>
        <v>OC12</v>
      </c>
      <c r="F447" t="str">
        <f t="shared" si="62"/>
        <v>Juletræer</v>
      </c>
      <c r="G447" s="76" cm="1">
        <f t="array" ref="G447">IF(A447="Vestdanmark",IF(D447="Konventionel",IF(C447=2019,SUMPRODUCT((B447='Landbrugsareal - resultat'!$B$5:$B$18)*(INDEX('Landbrugsareal - resultat'!$C$5:$E$18,,MATCH(E447,'Landbrugsareal - resultat'!$C$4:$E$4,0)))),IF(C447=2030,SUMPRODUCT((B447='Landbrugsareal - resultat'!$B$5:$B$18)*(INDEX('Landbrugsareal - resultat'!$F$5:$H$18,,MATCH(E447,'Landbrugsareal - resultat'!$F$4:$H$4,0)))),SUMPRODUCT((B447='Landbrugsareal - resultat'!$B$5:$B$18)*(INDEX('Landbrugsareal - resultat'!$I$5:$K$18,,MATCH(E447,'Landbrugsareal - resultat'!$I$4:$K$4,0)))))),IF(C447=2019,SUMPRODUCT((B447='Landbrugsareal - resultat'!$B$5:$B$18)*(INDEX('Landbrugsareal - resultat'!$L$5:$N$18,,MATCH(E447,'Landbrugsareal - resultat'!$L$4:$N$4,0)))),IF(C447=2030,SUMPRODUCT((B447='Landbrugsareal - resultat'!$B$5:$B$18)*(INDEX('Landbrugsareal - resultat'!$O$5:$Q$18,,MATCH(E447,'Landbrugsareal - resultat'!$O$4:$Q$4,0)))),SUMPRODUCT((B447='Landbrugsareal - resultat'!$B$5:$B$18)*(INDEX('Landbrugsareal - resultat'!$R$5:$T$18,,MATCH(E447,'Landbrugsareal - resultat'!$R$4:$T$4,0))))))),IF(D447="Konventionel",IF(C447=2019,SUMPRODUCT((B447='Landbrugsareal - resultat'!$B$32:$B$45)*(INDEX('Landbrugsareal - resultat'!$C$32:$E$45,,MATCH(E447,'Landbrugsareal - resultat'!$C$4:$E$4,0)))),IF(C447=2030,SUMPRODUCT((B447='Landbrugsareal - resultat'!$B$32:$B$45)*(INDEX('Landbrugsareal - resultat'!$F$32:$H$45,,MATCH(E447,'Landbrugsareal - resultat'!$F$4:$H$4,0)))),SUMPRODUCT((B447='Landbrugsareal - resultat'!$B$32:$B$45)*(INDEX('Landbrugsareal - resultat'!$I$32:$K$45,,MATCH(E447,'Landbrugsareal - resultat'!$I$4:$K$4,0)))))),IF(C447=2019,SUMPRODUCT((B447='Landbrugsareal - resultat'!$B$32:$B$45)*(INDEX('Landbrugsareal - resultat'!$L$32:$N$45,,MATCH(E447,'Landbrugsareal - resultat'!$L$4:$N$4,0)))),IF(C447=2030,SUMPRODUCT((B447='Landbrugsareal - resultat'!$B$32:$B$45)*(INDEX('Landbrugsareal - resultat'!$O$32:$Q$45,,MATCH(E447,'Landbrugsareal - resultat'!$O$4:$Q$4,0)))),SUMPRODUCT((B447='Landbrugsareal - resultat'!$B$32:$B$45)*(INDEX('Landbrugsareal - resultat'!$R$32:$T$45,,MATCH(E447,'Landbrugsareal - resultat'!$R$4:$T$4,0))))))))</f>
        <v>19.036394046743428</v>
      </c>
      <c r="H447" s="172">
        <f>G447*VLOOKUP(B447,[1]Afgrødedata!$A$5:$F$18,2,FALSE)*IF(D447="Økologisk",VLOOKUP(B447,[1]Afgrødedata!$A$5:$F$18,4,FALSE),1)*IF(E447&lt;&gt;Jordbund1,IF(E447=Organ6,VLOOKUP(B447,[1]Afgrødedata!$A$5:$F$18,5,FALSE),VLOOKUP(B447,[1]Afgrødedata!$A$5:$F$18,6,FALSE)),1)*0.1</f>
        <v>1332.5475832720401</v>
      </c>
      <c r="I447" s="172">
        <f>G447*VLOOKUP(B447,[1]Afgrødedata!$A$5:$F$18,3,FALSE)*IF(D447="Økologisk",VLOOKUP(B447,[1]Afgrødedata!$A$5:$F$18,4,FALSE),1)*IF(E447&lt;&gt;Jordbund1,IF(E447=Organ6,VLOOKUP(B447,[1]Afgrødedata!$A$5:$F$18,5,FALSE),VLOOKUP(B447,[1]Afgrødedata!$A$5:$F$18,6,FALSE)),1)*HLOOKUP(C447,Landbrug!$C$15:$E$17,2,FALSE)*HLOOKUP(C447,Landbrug!$C$15:$E$17,3,FALSE)*0.1</f>
        <v>0</v>
      </c>
      <c r="J447" s="76">
        <f t="shared" si="64"/>
        <v>1332.5475832720401</v>
      </c>
    </row>
    <row r="448" spans="1:10" x14ac:dyDescent="0.55000000000000004">
      <c r="A448" t="s">
        <v>24</v>
      </c>
      <c r="B448" s="1" t="str">
        <f>[1]Afgrødefordeling!$C$14</f>
        <v>Pil &amp; poppel</v>
      </c>
      <c r="C448">
        <v>2030</v>
      </c>
      <c r="D448" t="s">
        <v>7</v>
      </c>
      <c r="E448" s="172" t="str">
        <f t="shared" si="65"/>
        <v>OC12</v>
      </c>
      <c r="F448" t="str">
        <f t="shared" si="62"/>
        <v>Pil &amp; poppel</v>
      </c>
      <c r="G448" s="76" cm="1">
        <f t="array" ref="G448">IF(A448="Vestdanmark",IF(D448="Konventionel",IF(C448=2019,SUMPRODUCT((B448='Landbrugsareal - resultat'!$B$5:$B$18)*(INDEX('Landbrugsareal - resultat'!$C$5:$E$18,,MATCH(E448,'Landbrugsareal - resultat'!$C$4:$E$4,0)))),IF(C448=2030,SUMPRODUCT((B448='Landbrugsareal - resultat'!$B$5:$B$18)*(INDEX('Landbrugsareal - resultat'!$F$5:$H$18,,MATCH(E448,'Landbrugsareal - resultat'!$F$4:$H$4,0)))),SUMPRODUCT((B448='Landbrugsareal - resultat'!$B$5:$B$18)*(INDEX('Landbrugsareal - resultat'!$I$5:$K$18,,MATCH(E448,'Landbrugsareal - resultat'!$I$4:$K$4,0)))))),IF(C448=2019,SUMPRODUCT((B448='Landbrugsareal - resultat'!$B$5:$B$18)*(INDEX('Landbrugsareal - resultat'!$L$5:$N$18,,MATCH(E448,'Landbrugsareal - resultat'!$L$4:$N$4,0)))),IF(C448=2030,SUMPRODUCT((B448='Landbrugsareal - resultat'!$B$5:$B$18)*(INDEX('Landbrugsareal - resultat'!$O$5:$Q$18,,MATCH(E448,'Landbrugsareal - resultat'!$O$4:$Q$4,0)))),SUMPRODUCT((B448='Landbrugsareal - resultat'!$B$5:$B$18)*(INDEX('Landbrugsareal - resultat'!$R$5:$T$18,,MATCH(E448,'Landbrugsareal - resultat'!$R$4:$T$4,0))))))),IF(D448="Konventionel",IF(C448=2019,SUMPRODUCT((B448='Landbrugsareal - resultat'!$B$32:$B$45)*(INDEX('Landbrugsareal - resultat'!$C$32:$E$45,,MATCH(E448,'Landbrugsareal - resultat'!$C$4:$E$4,0)))),IF(C448=2030,SUMPRODUCT((B448='Landbrugsareal - resultat'!$B$32:$B$45)*(INDEX('Landbrugsareal - resultat'!$F$32:$H$45,,MATCH(E448,'Landbrugsareal - resultat'!$F$4:$H$4,0)))),SUMPRODUCT((B448='Landbrugsareal - resultat'!$B$32:$B$45)*(INDEX('Landbrugsareal - resultat'!$I$32:$K$45,,MATCH(E448,'Landbrugsareal - resultat'!$I$4:$K$4,0)))))),IF(C448=2019,SUMPRODUCT((B448='Landbrugsareal - resultat'!$B$32:$B$45)*(INDEX('Landbrugsareal - resultat'!$L$32:$N$45,,MATCH(E448,'Landbrugsareal - resultat'!$L$4:$N$4,0)))),IF(C448=2030,SUMPRODUCT((B448='Landbrugsareal - resultat'!$B$32:$B$45)*(INDEX('Landbrugsareal - resultat'!$O$32:$Q$45,,MATCH(E448,'Landbrugsareal - resultat'!$O$4:$Q$4,0)))),SUMPRODUCT((B448='Landbrugsareal - resultat'!$B$32:$B$45)*(INDEX('Landbrugsareal - resultat'!$R$32:$T$45,,MATCH(E448,'Landbrugsareal - resultat'!$R$4:$T$4,0))))))))</f>
        <v>58.068982924189378</v>
      </c>
      <c r="H448" s="172">
        <f>G448*VLOOKUP(B448,[1]Afgrødedata!$A$5:$F$18,2,FALSE)*IF(D448="Økologisk",VLOOKUP(B448,[1]Afgrødedata!$A$5:$F$18,4,FALSE),1)*IF(E448&lt;&gt;Jordbund1,IF(E448=Organ6,VLOOKUP(B448,[1]Afgrødedata!$A$5:$F$18,5,FALSE),VLOOKUP(B448,[1]Afgrødedata!$A$5:$F$18,6,FALSE)),1)*0.1</f>
        <v>1982.843319362564</v>
      </c>
      <c r="I448" s="172">
        <f>G448*VLOOKUP(B448,[1]Afgrødedata!$A$5:$F$18,3,FALSE)*IF(D448="Økologisk",VLOOKUP(B448,[1]Afgrødedata!$A$5:$F$18,4,FALSE),1)*IF(E448&lt;&gt;Jordbund1,IF(E448=Organ6,VLOOKUP(B448,[1]Afgrødedata!$A$5:$F$18,5,FALSE),VLOOKUP(B448,[1]Afgrødedata!$A$5:$F$18,6,FALSE)),1)*HLOOKUP(C448,Landbrug!$C$15:$E$17,2,FALSE)*HLOOKUP(C448,Landbrug!$C$15:$E$17,3,FALSE)*0.1</f>
        <v>0</v>
      </c>
      <c r="J448" s="76">
        <f t="shared" si="64"/>
        <v>1982.843319362564</v>
      </c>
    </row>
    <row r="449" spans="1:10" x14ac:dyDescent="0.55000000000000004">
      <c r="A449" t="s">
        <v>24</v>
      </c>
      <c r="B449" s="1" t="str">
        <f>[1]Afgrødefordeling!$C$15</f>
        <v>Permanent græs</v>
      </c>
      <c r="C449">
        <v>2030</v>
      </c>
      <c r="D449" t="s">
        <v>7</v>
      </c>
      <c r="E449" s="172" t="str">
        <f t="shared" si="65"/>
        <v>OC12</v>
      </c>
      <c r="F449" t="str">
        <f t="shared" si="62"/>
        <v>Græs</v>
      </c>
      <c r="G449" s="76" cm="1">
        <f t="array" ref="G449">IF(A449="Vestdanmark",IF(D449="Konventionel",IF(C449=2019,SUMPRODUCT((B449='Landbrugsareal - resultat'!$B$5:$B$18)*(INDEX('Landbrugsareal - resultat'!$C$5:$E$18,,MATCH(E449,'Landbrugsareal - resultat'!$C$4:$E$4,0)))),IF(C449=2030,SUMPRODUCT((B449='Landbrugsareal - resultat'!$B$5:$B$18)*(INDEX('Landbrugsareal - resultat'!$F$5:$H$18,,MATCH(E449,'Landbrugsareal - resultat'!$F$4:$H$4,0)))),SUMPRODUCT((B449='Landbrugsareal - resultat'!$B$5:$B$18)*(INDEX('Landbrugsareal - resultat'!$I$5:$K$18,,MATCH(E449,'Landbrugsareal - resultat'!$I$4:$K$4,0)))))),IF(C449=2019,SUMPRODUCT((B449='Landbrugsareal - resultat'!$B$5:$B$18)*(INDEX('Landbrugsareal - resultat'!$L$5:$N$18,,MATCH(E449,'Landbrugsareal - resultat'!$L$4:$N$4,0)))),IF(C449=2030,SUMPRODUCT((B449='Landbrugsareal - resultat'!$B$5:$B$18)*(INDEX('Landbrugsareal - resultat'!$O$5:$Q$18,,MATCH(E449,'Landbrugsareal - resultat'!$O$4:$Q$4,0)))),SUMPRODUCT((B449='Landbrugsareal - resultat'!$B$5:$B$18)*(INDEX('Landbrugsareal - resultat'!$R$5:$T$18,,MATCH(E449,'Landbrugsareal - resultat'!$R$4:$T$4,0))))))),IF(D449="Konventionel",IF(C449=2019,SUMPRODUCT((B449='Landbrugsareal - resultat'!$B$32:$B$45)*(INDEX('Landbrugsareal - resultat'!$C$32:$E$45,,MATCH(E449,'Landbrugsareal - resultat'!$C$4:$E$4,0)))),IF(C449=2030,SUMPRODUCT((B449='Landbrugsareal - resultat'!$B$32:$B$45)*(INDEX('Landbrugsareal - resultat'!$F$32:$H$45,,MATCH(E449,'Landbrugsareal - resultat'!$F$4:$H$4,0)))),SUMPRODUCT((B449='Landbrugsareal - resultat'!$B$32:$B$45)*(INDEX('Landbrugsareal - resultat'!$I$32:$K$45,,MATCH(E449,'Landbrugsareal - resultat'!$I$4:$K$4,0)))))),IF(C449=2019,SUMPRODUCT((B449='Landbrugsareal - resultat'!$B$32:$B$45)*(INDEX('Landbrugsareal - resultat'!$L$32:$N$45,,MATCH(E449,'Landbrugsareal - resultat'!$L$4:$N$4,0)))),IF(C449=2030,SUMPRODUCT((B449='Landbrugsareal - resultat'!$B$32:$B$45)*(INDEX('Landbrugsareal - resultat'!$O$32:$Q$45,,MATCH(E449,'Landbrugsareal - resultat'!$O$4:$Q$4,0)))),SUMPRODUCT((B449='Landbrugsareal - resultat'!$B$32:$B$45)*(INDEX('Landbrugsareal - resultat'!$R$32:$T$45,,MATCH(E449,'Landbrugsareal - resultat'!$R$4:$T$4,0))))))))</f>
        <v>2019.4268817975167</v>
      </c>
      <c r="H449" s="172">
        <f>G449*VLOOKUP(B449,[1]Afgrødedata!$A$5:$F$18,2,FALSE)*IF(D449="Økologisk",VLOOKUP(B449,[1]Afgrødedata!$A$5:$F$18,4,FALSE),1)*IF(E449&lt;&gt;Jordbund1,IF(E449=Organ6,VLOOKUP(B449,[1]Afgrødedata!$A$5:$F$18,5,FALSE),VLOOKUP(B449,[1]Afgrødedata!$A$5:$F$18,6,FALSE)),1)*0.1</f>
        <v>38987.055379982856</v>
      </c>
      <c r="I449" s="172">
        <f>G449*VLOOKUP(B449,[1]Afgrødedata!$A$5:$F$18,3,FALSE)*IF(D449="Økologisk",VLOOKUP(B449,[1]Afgrødedata!$A$5:$F$18,4,FALSE),1)*IF(E449&lt;&gt;Jordbund1,IF(E449=Organ6,VLOOKUP(B449,[1]Afgrødedata!$A$5:$F$18,5,FALSE),VLOOKUP(B449,[1]Afgrødedata!$A$5:$F$18,6,FALSE)),1)*HLOOKUP(C449,Landbrug!$C$15:$E$17,2,FALSE)*HLOOKUP(C449,Landbrug!$C$15:$E$17,3,FALSE)*0.1</f>
        <v>0</v>
      </c>
      <c r="J449" s="76">
        <f t="shared" si="64"/>
        <v>38987.055379982856</v>
      </c>
    </row>
    <row r="450" spans="1:10" x14ac:dyDescent="0.55000000000000004">
      <c r="A450" t="s">
        <v>24</v>
      </c>
      <c r="B450" s="1" t="str">
        <f>[1]Afgrødefordeling!$C$2</f>
        <v>Korn</v>
      </c>
      <c r="C450">
        <v>2050</v>
      </c>
      <c r="D450" t="s">
        <v>7</v>
      </c>
      <c r="E450" s="172" t="str">
        <f t="shared" si="65"/>
        <v>OC12</v>
      </c>
      <c r="F450" t="str">
        <f t="shared" si="62"/>
        <v>Halm</v>
      </c>
      <c r="G450" s="76" cm="1">
        <f t="array" ref="G450">IF(A450="Vestdanmark",IF(D450="Konventionel",IF(C450=2019,SUMPRODUCT((B450='Landbrugsareal - resultat'!$B$5:$B$18)*(INDEX('Landbrugsareal - resultat'!$C$5:$E$18,,MATCH(E450,'Landbrugsareal - resultat'!$C$4:$E$4,0)))),IF(C450=2030,SUMPRODUCT((B450='Landbrugsareal - resultat'!$B$5:$B$18)*(INDEX('Landbrugsareal - resultat'!$F$5:$H$18,,MATCH(E450,'Landbrugsareal - resultat'!$F$4:$H$4,0)))),SUMPRODUCT((B450='Landbrugsareal - resultat'!$B$5:$B$18)*(INDEX('Landbrugsareal - resultat'!$I$5:$K$18,,MATCH(E450,'Landbrugsareal - resultat'!$I$4:$K$4,0)))))),IF(C450=2019,SUMPRODUCT((B450='Landbrugsareal - resultat'!$B$5:$B$18)*(INDEX('Landbrugsareal - resultat'!$L$5:$N$18,,MATCH(E450,'Landbrugsareal - resultat'!$L$4:$N$4,0)))),IF(C450=2030,SUMPRODUCT((B450='Landbrugsareal - resultat'!$B$5:$B$18)*(INDEX('Landbrugsareal - resultat'!$O$5:$Q$18,,MATCH(E450,'Landbrugsareal - resultat'!$O$4:$Q$4,0)))),SUMPRODUCT((B450='Landbrugsareal - resultat'!$B$5:$B$18)*(INDEX('Landbrugsareal - resultat'!$R$5:$T$18,,MATCH(E450,'Landbrugsareal - resultat'!$R$4:$T$4,0))))))),IF(D450="Konventionel",IF(C450=2019,SUMPRODUCT((B450='Landbrugsareal - resultat'!$B$32:$B$45)*(INDEX('Landbrugsareal - resultat'!$C$32:$E$45,,MATCH(E450,'Landbrugsareal - resultat'!$C$4:$E$4,0)))),IF(C450=2030,SUMPRODUCT((B450='Landbrugsareal - resultat'!$B$32:$B$45)*(INDEX('Landbrugsareal - resultat'!$F$32:$H$45,,MATCH(E450,'Landbrugsareal - resultat'!$F$4:$H$4,0)))),SUMPRODUCT((B450='Landbrugsareal - resultat'!$B$32:$B$45)*(INDEX('Landbrugsareal - resultat'!$I$32:$K$45,,MATCH(E450,'Landbrugsareal - resultat'!$I$4:$K$4,0)))))),IF(C450=2019,SUMPRODUCT((B450='Landbrugsareal - resultat'!$B$32:$B$45)*(INDEX('Landbrugsareal - resultat'!$L$32:$N$45,,MATCH(E450,'Landbrugsareal - resultat'!$L$4:$N$4,0)))),IF(C450=2030,SUMPRODUCT((B450='Landbrugsareal - resultat'!$B$32:$B$45)*(INDEX('Landbrugsareal - resultat'!$O$32:$Q$45,,MATCH(E450,'Landbrugsareal - resultat'!$O$4:$Q$4,0)))),SUMPRODUCT((B450='Landbrugsareal - resultat'!$B$32:$B$45)*(INDEX('Landbrugsareal - resultat'!$R$32:$T$45,,MATCH(E450,'Landbrugsareal - resultat'!$R$4:$T$4,0))))))))</f>
        <v>1543.3403592424663</v>
      </c>
      <c r="H450" s="172">
        <f>G450*VLOOKUP(B450,[1]Afgrødedata!$A$5:$F$18,2,FALSE)*IF(D450="Økologisk",VLOOKUP(B450,[1]Afgrødedata!$A$5:$F$18,4,FALSE),1)*IF(E450&lt;&gt;Jordbund1,IF(E450=Organ6,VLOOKUP(B450,[1]Afgrødedata!$A$5:$F$18,5,FALSE),VLOOKUP(B450,[1]Afgrødedata!$A$5:$F$18,6,FALSE)),1)*0.1</f>
        <v>15146.342285605564</v>
      </c>
      <c r="I450" s="172">
        <f>G450*VLOOKUP(B450,[1]Afgrødedata!$A$5:$F$18,3,FALSE)*IF(D450="Økologisk",VLOOKUP(B450,[1]Afgrødedata!$A$5:$F$18,4,FALSE),1)*IF(E450&lt;&gt;Jordbund1,IF(E450=Organ6,VLOOKUP(B450,[1]Afgrødedata!$A$5:$F$18,5,FALSE),VLOOKUP(B450,[1]Afgrødedata!$A$5:$F$18,6,FALSE)),1)*HLOOKUP(C450,Landbrug!$C$15:$E$17,2,FALSE)*HLOOKUP(C450,Landbrug!$C$15:$E$17,3,FALSE)*0.1</f>
        <v>4914.9880716790058</v>
      </c>
      <c r="J450" s="76">
        <f t="shared" si="64"/>
        <v>4914.9880716790058</v>
      </c>
    </row>
    <row r="451" spans="1:10" x14ac:dyDescent="0.55000000000000004">
      <c r="A451" t="s">
        <v>24</v>
      </c>
      <c r="B451" s="1" t="str">
        <f>[1]Afgrødefordeling!$C$3</f>
        <v>Bælgsæd</v>
      </c>
      <c r="C451">
        <v>2050</v>
      </c>
      <c r="D451" t="s">
        <v>7</v>
      </c>
      <c r="E451" s="172" t="str">
        <f t="shared" si="65"/>
        <v>OC12</v>
      </c>
      <c r="F451" t="str">
        <f t="shared" si="62"/>
        <v>Halm</v>
      </c>
      <c r="G451" s="76" cm="1">
        <f t="array" ref="G451">IF(A451="Vestdanmark",IF(D451="Konventionel",IF(C451=2019,SUMPRODUCT((B451='Landbrugsareal - resultat'!$B$5:$B$18)*(INDEX('Landbrugsareal - resultat'!$C$5:$E$18,,MATCH(E451,'Landbrugsareal - resultat'!$C$4:$E$4,0)))),IF(C451=2030,SUMPRODUCT((B451='Landbrugsareal - resultat'!$B$5:$B$18)*(INDEX('Landbrugsareal - resultat'!$F$5:$H$18,,MATCH(E451,'Landbrugsareal - resultat'!$F$4:$H$4,0)))),SUMPRODUCT((B451='Landbrugsareal - resultat'!$B$5:$B$18)*(INDEX('Landbrugsareal - resultat'!$I$5:$K$18,,MATCH(E451,'Landbrugsareal - resultat'!$I$4:$K$4,0)))))),IF(C451=2019,SUMPRODUCT((B451='Landbrugsareal - resultat'!$B$5:$B$18)*(INDEX('Landbrugsareal - resultat'!$L$5:$N$18,,MATCH(E451,'Landbrugsareal - resultat'!$L$4:$N$4,0)))),IF(C451=2030,SUMPRODUCT((B451='Landbrugsareal - resultat'!$B$5:$B$18)*(INDEX('Landbrugsareal - resultat'!$O$5:$Q$18,,MATCH(E451,'Landbrugsareal - resultat'!$O$4:$Q$4,0)))),SUMPRODUCT((B451='Landbrugsareal - resultat'!$B$5:$B$18)*(INDEX('Landbrugsareal - resultat'!$R$5:$T$18,,MATCH(E451,'Landbrugsareal - resultat'!$R$4:$T$4,0))))))),IF(D451="Konventionel",IF(C451=2019,SUMPRODUCT((B451='Landbrugsareal - resultat'!$B$32:$B$45)*(INDEX('Landbrugsareal - resultat'!$C$32:$E$45,,MATCH(E451,'Landbrugsareal - resultat'!$C$4:$E$4,0)))),IF(C451=2030,SUMPRODUCT((B451='Landbrugsareal - resultat'!$B$32:$B$45)*(INDEX('Landbrugsareal - resultat'!$F$32:$H$45,,MATCH(E451,'Landbrugsareal - resultat'!$F$4:$H$4,0)))),SUMPRODUCT((B451='Landbrugsareal - resultat'!$B$32:$B$45)*(INDEX('Landbrugsareal - resultat'!$I$32:$K$45,,MATCH(E451,'Landbrugsareal - resultat'!$I$4:$K$4,0)))))),IF(C451=2019,SUMPRODUCT((B451='Landbrugsareal - resultat'!$B$32:$B$45)*(INDEX('Landbrugsareal - resultat'!$L$32:$N$45,,MATCH(E451,'Landbrugsareal - resultat'!$L$4:$N$4,0)))),IF(C451=2030,SUMPRODUCT((B451='Landbrugsareal - resultat'!$B$32:$B$45)*(INDEX('Landbrugsareal - resultat'!$O$32:$Q$45,,MATCH(E451,'Landbrugsareal - resultat'!$O$4:$Q$4,0)))),SUMPRODUCT((B451='Landbrugsareal - resultat'!$B$32:$B$45)*(INDEX('Landbrugsareal - resultat'!$R$32:$T$45,,MATCH(E451,'Landbrugsareal - resultat'!$R$4:$T$4,0))))))))</f>
        <v>28.032150238509427</v>
      </c>
      <c r="H451" s="172">
        <f>G451*VLOOKUP(B451,[1]Afgrødedata!$A$5:$F$18,2,FALSE)*IF(D451="Økologisk",VLOOKUP(B451,[1]Afgrødedata!$A$5:$F$18,4,FALSE),1)*IF(E451&lt;&gt;Jordbund1,IF(E451=Organ6,VLOOKUP(B451,[1]Afgrødedata!$A$5:$F$18,5,FALSE),VLOOKUP(B451,[1]Afgrødedata!$A$5:$F$18,6,FALSE)),1)*0.1</f>
        <v>151.48573988890496</v>
      </c>
      <c r="I451" s="172">
        <f>G451*VLOOKUP(B451,[1]Afgrødedata!$A$5:$F$18,3,FALSE)*IF(D451="Økologisk",VLOOKUP(B451,[1]Afgrødedata!$A$5:$F$18,4,FALSE),1)*IF(E451&lt;&gt;Jordbund1,IF(E451=Organ6,VLOOKUP(B451,[1]Afgrødedata!$A$5:$F$18,5,FALSE),VLOOKUP(B451,[1]Afgrødedata!$A$5:$F$18,6,FALSE)),1)*HLOOKUP(C451,Landbrug!$C$15:$E$17,2,FALSE)*HLOOKUP(C451,Landbrug!$C$15:$E$17,3,FALSE)*0.1</f>
        <v>44.711447823323965</v>
      </c>
      <c r="J451" s="76">
        <f t="shared" si="64"/>
        <v>44.711447823323965</v>
      </c>
    </row>
    <row r="452" spans="1:10" x14ac:dyDescent="0.55000000000000004">
      <c r="A452" t="s">
        <v>24</v>
      </c>
      <c r="B452" s="1" t="str">
        <f>[1]Afgrødefordeling!$C$4</f>
        <v>Raps</v>
      </c>
      <c r="C452">
        <v>2050</v>
      </c>
      <c r="D452" t="s">
        <v>7</v>
      </c>
      <c r="E452" s="172" t="str">
        <f t="shared" si="65"/>
        <v>OC12</v>
      </c>
      <c r="F452" t="str">
        <f t="shared" si="62"/>
        <v>Halm</v>
      </c>
      <c r="G452" s="76" cm="1">
        <f t="array" ref="G452">IF(A452="Vestdanmark",IF(D452="Konventionel",IF(C452=2019,SUMPRODUCT((B452='Landbrugsareal - resultat'!$B$5:$B$18)*(INDEX('Landbrugsareal - resultat'!$C$5:$E$18,,MATCH(E452,'Landbrugsareal - resultat'!$C$4:$E$4,0)))),IF(C452=2030,SUMPRODUCT((B452='Landbrugsareal - resultat'!$B$5:$B$18)*(INDEX('Landbrugsareal - resultat'!$F$5:$H$18,,MATCH(E452,'Landbrugsareal - resultat'!$F$4:$H$4,0)))),SUMPRODUCT((B452='Landbrugsareal - resultat'!$B$5:$B$18)*(INDEX('Landbrugsareal - resultat'!$I$5:$K$18,,MATCH(E452,'Landbrugsareal - resultat'!$I$4:$K$4,0)))))),IF(C452=2019,SUMPRODUCT((B452='Landbrugsareal - resultat'!$B$5:$B$18)*(INDEX('Landbrugsareal - resultat'!$L$5:$N$18,,MATCH(E452,'Landbrugsareal - resultat'!$L$4:$N$4,0)))),IF(C452=2030,SUMPRODUCT((B452='Landbrugsareal - resultat'!$B$5:$B$18)*(INDEX('Landbrugsareal - resultat'!$O$5:$Q$18,,MATCH(E452,'Landbrugsareal - resultat'!$O$4:$Q$4,0)))),SUMPRODUCT((B452='Landbrugsareal - resultat'!$B$5:$B$18)*(INDEX('Landbrugsareal - resultat'!$R$5:$T$18,,MATCH(E452,'Landbrugsareal - resultat'!$R$4:$T$4,0))))))),IF(D452="Konventionel",IF(C452=2019,SUMPRODUCT((B452='Landbrugsareal - resultat'!$B$32:$B$45)*(INDEX('Landbrugsareal - resultat'!$C$32:$E$45,,MATCH(E452,'Landbrugsareal - resultat'!$C$4:$E$4,0)))),IF(C452=2030,SUMPRODUCT((B452='Landbrugsareal - resultat'!$B$32:$B$45)*(INDEX('Landbrugsareal - resultat'!$F$32:$H$45,,MATCH(E452,'Landbrugsareal - resultat'!$F$4:$H$4,0)))),SUMPRODUCT((B452='Landbrugsareal - resultat'!$B$32:$B$45)*(INDEX('Landbrugsareal - resultat'!$I$32:$K$45,,MATCH(E452,'Landbrugsareal - resultat'!$I$4:$K$4,0)))))),IF(C452=2019,SUMPRODUCT((B452='Landbrugsareal - resultat'!$B$32:$B$45)*(INDEX('Landbrugsareal - resultat'!$L$32:$N$45,,MATCH(E452,'Landbrugsareal - resultat'!$L$4:$N$4,0)))),IF(C452=2030,SUMPRODUCT((B452='Landbrugsareal - resultat'!$B$32:$B$45)*(INDEX('Landbrugsareal - resultat'!$O$32:$Q$45,,MATCH(E452,'Landbrugsareal - resultat'!$O$4:$Q$4,0)))),SUMPRODUCT((B452='Landbrugsareal - resultat'!$B$32:$B$45)*(INDEX('Landbrugsareal - resultat'!$R$32:$T$45,,MATCH(E452,'Landbrugsareal - resultat'!$R$4:$T$4,0))))))))</f>
        <v>136.93049463581738</v>
      </c>
      <c r="H452" s="172">
        <f>G452*VLOOKUP(B452,[1]Afgrødedata!$A$5:$F$18,2,FALSE)*IF(D452="Økologisk",VLOOKUP(B452,[1]Afgrødedata!$A$5:$F$18,4,FALSE),1)*IF(E452&lt;&gt;Jordbund1,IF(E452=Organ6,VLOOKUP(B452,[1]Afgrødedata!$A$5:$F$18,5,FALSE),VLOOKUP(B452,[1]Afgrødedata!$A$5:$F$18,6,FALSE)),1)*0.1</f>
        <v>843.49184695663507</v>
      </c>
      <c r="I452" s="172">
        <f>G452*VLOOKUP(B452,[1]Afgrødedata!$A$5:$F$18,3,FALSE)*IF(D452="Økologisk",VLOOKUP(B452,[1]Afgrødedata!$A$5:$F$18,4,FALSE),1)*IF(E452&lt;&gt;Jordbund1,IF(E452=Organ6,VLOOKUP(B452,[1]Afgrødedata!$A$5:$F$18,5,FALSE),VLOOKUP(B452,[1]Afgrødedata!$A$5:$F$18,6,FALSE)),1)*HLOOKUP(C452,Landbrug!$C$15:$E$17,2,FALSE)*HLOOKUP(C452,Landbrug!$C$15:$E$17,3,FALSE)*0.1</f>
        <v>447.89417073397317</v>
      </c>
      <c r="J452" s="76">
        <f t="shared" si="64"/>
        <v>447.89417073397317</v>
      </c>
    </row>
    <row r="453" spans="1:10" x14ac:dyDescent="0.55000000000000004">
      <c r="A453" t="s">
        <v>24</v>
      </c>
      <c r="B453" s="1" t="str">
        <f>[1]Afgrødefordeling!$C$5</f>
        <v>Græs</v>
      </c>
      <c r="C453">
        <v>2050</v>
      </c>
      <c r="D453" t="s">
        <v>7</v>
      </c>
      <c r="E453" s="172" t="str">
        <f t="shared" si="65"/>
        <v>OC12</v>
      </c>
      <c r="F453" t="str">
        <f t="shared" si="62"/>
        <v>Græs</v>
      </c>
      <c r="G453" s="76" cm="1">
        <f t="array" ref="G453">IF(A453="Vestdanmark",IF(D453="Konventionel",IF(C453=2019,SUMPRODUCT((B453='Landbrugsareal - resultat'!$B$5:$B$18)*(INDEX('Landbrugsareal - resultat'!$C$5:$E$18,,MATCH(E453,'Landbrugsareal - resultat'!$C$4:$E$4,0)))),IF(C453=2030,SUMPRODUCT((B453='Landbrugsareal - resultat'!$B$5:$B$18)*(INDEX('Landbrugsareal - resultat'!$F$5:$H$18,,MATCH(E453,'Landbrugsareal - resultat'!$F$4:$H$4,0)))),SUMPRODUCT((B453='Landbrugsareal - resultat'!$B$5:$B$18)*(INDEX('Landbrugsareal - resultat'!$I$5:$K$18,,MATCH(E453,'Landbrugsareal - resultat'!$I$4:$K$4,0)))))),IF(C453=2019,SUMPRODUCT((B453='Landbrugsareal - resultat'!$B$5:$B$18)*(INDEX('Landbrugsareal - resultat'!$L$5:$N$18,,MATCH(E453,'Landbrugsareal - resultat'!$L$4:$N$4,0)))),IF(C453=2030,SUMPRODUCT((B453='Landbrugsareal - resultat'!$B$5:$B$18)*(INDEX('Landbrugsareal - resultat'!$O$5:$Q$18,,MATCH(E453,'Landbrugsareal - resultat'!$O$4:$Q$4,0)))),SUMPRODUCT((B453='Landbrugsareal - resultat'!$B$5:$B$18)*(INDEX('Landbrugsareal - resultat'!$R$5:$T$18,,MATCH(E453,'Landbrugsareal - resultat'!$R$4:$T$4,0))))))),IF(D453="Konventionel",IF(C453=2019,SUMPRODUCT((B453='Landbrugsareal - resultat'!$B$32:$B$45)*(INDEX('Landbrugsareal - resultat'!$C$32:$E$45,,MATCH(E453,'Landbrugsareal - resultat'!$C$4:$E$4,0)))),IF(C453=2030,SUMPRODUCT((B453='Landbrugsareal - resultat'!$B$32:$B$45)*(INDEX('Landbrugsareal - resultat'!$F$32:$H$45,,MATCH(E453,'Landbrugsareal - resultat'!$F$4:$H$4,0)))),SUMPRODUCT((B453='Landbrugsareal - resultat'!$B$32:$B$45)*(INDEX('Landbrugsareal - resultat'!$I$32:$K$45,,MATCH(E453,'Landbrugsareal - resultat'!$I$4:$K$4,0)))))),IF(C453=2019,SUMPRODUCT((B453='Landbrugsareal - resultat'!$B$32:$B$45)*(INDEX('Landbrugsareal - resultat'!$L$32:$N$45,,MATCH(E453,'Landbrugsareal - resultat'!$L$4:$N$4,0)))),IF(C453=2030,SUMPRODUCT((B453='Landbrugsareal - resultat'!$B$32:$B$45)*(INDEX('Landbrugsareal - resultat'!$O$32:$Q$45,,MATCH(E453,'Landbrugsareal - resultat'!$O$4:$Q$4,0)))),SUMPRODUCT((B453='Landbrugsareal - resultat'!$B$32:$B$45)*(INDEX('Landbrugsareal - resultat'!$R$32:$T$45,,MATCH(E453,'Landbrugsareal - resultat'!$R$4:$T$4,0))))))))</f>
        <v>1006.2454983646971</v>
      </c>
      <c r="H453" s="172">
        <f>G453*VLOOKUP(B453,[1]Afgrødedata!$A$5:$F$18,2,FALSE)*IF(D453="Økologisk",VLOOKUP(B453,[1]Afgrødedata!$A$5:$F$18,4,FALSE),1)*IF(E453&lt;&gt;Jordbund1,IF(E453=Organ6,VLOOKUP(B453,[1]Afgrødedata!$A$5:$F$18,5,FALSE),VLOOKUP(B453,[1]Afgrødedata!$A$5:$F$18,6,FALSE)),1)*0.1</f>
        <v>69901.862280398782</v>
      </c>
      <c r="I453" s="172">
        <f>G453*VLOOKUP(B453,[1]Afgrødedata!$A$5:$F$18,3,FALSE)*IF(D453="Økologisk",VLOOKUP(B453,[1]Afgrødedata!$A$5:$F$18,4,FALSE),1)*IF(E453&lt;&gt;Jordbund1,IF(E453=Organ6,VLOOKUP(B453,[1]Afgrødedata!$A$5:$F$18,5,FALSE),VLOOKUP(B453,[1]Afgrødedata!$A$5:$F$18,6,FALSE)),1)*HLOOKUP(C453,Landbrug!$C$15:$E$17,2,FALSE)*HLOOKUP(C453,Landbrug!$C$15:$E$17,3,FALSE)*0.1</f>
        <v>0</v>
      </c>
      <c r="J453" s="76">
        <f t="shared" si="64"/>
        <v>69901.862280398782</v>
      </c>
    </row>
    <row r="454" spans="1:10" x14ac:dyDescent="0.55000000000000004">
      <c r="A454" t="s">
        <v>24</v>
      </c>
      <c r="B454" s="1" t="str">
        <f>[1]Afgrødefordeling!$C$6</f>
        <v>Grøntsager</v>
      </c>
      <c r="C454">
        <v>2050</v>
      </c>
      <c r="D454" t="s">
        <v>7</v>
      </c>
      <c r="E454" s="172" t="str">
        <f t="shared" ref="E454:E485" si="66">Organ12</f>
        <v>OC12</v>
      </c>
      <c r="F454" t="str">
        <f t="shared" si="62"/>
        <v>Grøntsager</v>
      </c>
      <c r="G454" s="76" cm="1">
        <f t="array" ref="G454">IF(A454="Vestdanmark",IF(D454="Konventionel",IF(C454=2019,SUMPRODUCT((B454='Landbrugsareal - resultat'!$B$5:$B$18)*(INDEX('Landbrugsareal - resultat'!$C$5:$E$18,,MATCH(E454,'Landbrugsareal - resultat'!$C$4:$E$4,0)))),IF(C454=2030,SUMPRODUCT((B454='Landbrugsareal - resultat'!$B$5:$B$18)*(INDEX('Landbrugsareal - resultat'!$F$5:$H$18,,MATCH(E454,'Landbrugsareal - resultat'!$F$4:$H$4,0)))),SUMPRODUCT((B454='Landbrugsareal - resultat'!$B$5:$B$18)*(INDEX('Landbrugsareal - resultat'!$I$5:$K$18,,MATCH(E454,'Landbrugsareal - resultat'!$I$4:$K$4,0)))))),IF(C454=2019,SUMPRODUCT((B454='Landbrugsareal - resultat'!$B$5:$B$18)*(INDEX('Landbrugsareal - resultat'!$L$5:$N$18,,MATCH(E454,'Landbrugsareal - resultat'!$L$4:$N$4,0)))),IF(C454=2030,SUMPRODUCT((B454='Landbrugsareal - resultat'!$B$5:$B$18)*(INDEX('Landbrugsareal - resultat'!$O$5:$Q$18,,MATCH(E454,'Landbrugsareal - resultat'!$O$4:$Q$4,0)))),SUMPRODUCT((B454='Landbrugsareal - resultat'!$B$5:$B$18)*(INDEX('Landbrugsareal - resultat'!$R$5:$T$18,,MATCH(E454,'Landbrugsareal - resultat'!$R$4:$T$4,0))))))),IF(D454="Konventionel",IF(C454=2019,SUMPRODUCT((B454='Landbrugsareal - resultat'!$B$32:$B$45)*(INDEX('Landbrugsareal - resultat'!$C$32:$E$45,,MATCH(E454,'Landbrugsareal - resultat'!$C$4:$E$4,0)))),IF(C454=2030,SUMPRODUCT((B454='Landbrugsareal - resultat'!$B$32:$B$45)*(INDEX('Landbrugsareal - resultat'!$F$32:$H$45,,MATCH(E454,'Landbrugsareal - resultat'!$F$4:$H$4,0)))),SUMPRODUCT((B454='Landbrugsareal - resultat'!$B$32:$B$45)*(INDEX('Landbrugsareal - resultat'!$I$32:$K$45,,MATCH(E454,'Landbrugsareal - resultat'!$I$4:$K$4,0)))))),IF(C454=2019,SUMPRODUCT((B454='Landbrugsareal - resultat'!$B$32:$B$45)*(INDEX('Landbrugsareal - resultat'!$L$32:$N$45,,MATCH(E454,'Landbrugsareal - resultat'!$L$4:$N$4,0)))),IF(C454=2030,SUMPRODUCT((B454='Landbrugsareal - resultat'!$B$32:$B$45)*(INDEX('Landbrugsareal - resultat'!$O$32:$Q$45,,MATCH(E454,'Landbrugsareal - resultat'!$O$4:$Q$4,0)))),SUMPRODUCT((B454='Landbrugsareal - resultat'!$B$32:$B$45)*(INDEX('Landbrugsareal - resultat'!$R$32:$T$45,,MATCH(E454,'Landbrugsareal - resultat'!$R$4:$T$4,0))))))))</f>
        <v>4.7359939673971017</v>
      </c>
      <c r="H454" s="172">
        <f>G454*VLOOKUP(B454,[1]Afgrødedata!$A$5:$F$18,2,FALSE)*IF(D454="Økologisk",VLOOKUP(B454,[1]Afgrødedata!$A$5:$F$18,4,FALSE),1)*IF(E454&lt;&gt;Jordbund1,IF(E454=Organ6,VLOOKUP(B454,[1]Afgrødedata!$A$5:$F$18,5,FALSE),VLOOKUP(B454,[1]Afgrødedata!$A$5:$F$18,6,FALSE)),1)*0.1</f>
        <v>137.5806247528858</v>
      </c>
      <c r="I454" s="172">
        <f>G454*VLOOKUP(B454,[1]Afgrødedata!$A$5:$F$18,3,FALSE)*IF(D454="Økologisk",VLOOKUP(B454,[1]Afgrødedata!$A$5:$F$18,4,FALSE),1)*IF(E454&lt;&gt;Jordbund1,IF(E454=Organ6,VLOOKUP(B454,[1]Afgrødedata!$A$5:$F$18,5,FALSE),VLOOKUP(B454,[1]Afgrødedata!$A$5:$F$18,6,FALSE)),1)*HLOOKUP(C454,Landbrug!$C$15:$E$17,2,FALSE)*HLOOKUP(C454,Landbrug!$C$15:$E$17,3,FALSE)*0.1</f>
        <v>0</v>
      </c>
      <c r="J454" s="76">
        <f t="shared" si="64"/>
        <v>137.5806247528858</v>
      </c>
    </row>
    <row r="455" spans="1:10" x14ac:dyDescent="0.55000000000000004">
      <c r="A455" t="s">
        <v>24</v>
      </c>
      <c r="B455" s="1" t="str">
        <f>[1]Afgrødefordeling!$C$7</f>
        <v>Kartofler</v>
      </c>
      <c r="C455">
        <v>2050</v>
      </c>
      <c r="D455" t="s">
        <v>7</v>
      </c>
      <c r="E455" s="172" t="str">
        <f t="shared" si="66"/>
        <v>OC12</v>
      </c>
      <c r="F455" t="str">
        <f t="shared" si="62"/>
        <v>Kartofler</v>
      </c>
      <c r="G455" s="76" cm="1">
        <f t="array" ref="G455">IF(A455="Vestdanmark",IF(D455="Konventionel",IF(C455=2019,SUMPRODUCT((B455='Landbrugsareal - resultat'!$B$5:$B$18)*(INDEX('Landbrugsareal - resultat'!$C$5:$E$18,,MATCH(E455,'Landbrugsareal - resultat'!$C$4:$E$4,0)))),IF(C455=2030,SUMPRODUCT((B455='Landbrugsareal - resultat'!$B$5:$B$18)*(INDEX('Landbrugsareal - resultat'!$F$5:$H$18,,MATCH(E455,'Landbrugsareal - resultat'!$F$4:$H$4,0)))),SUMPRODUCT((B455='Landbrugsareal - resultat'!$B$5:$B$18)*(INDEX('Landbrugsareal - resultat'!$I$5:$K$18,,MATCH(E455,'Landbrugsareal - resultat'!$I$4:$K$4,0)))))),IF(C455=2019,SUMPRODUCT((B455='Landbrugsareal - resultat'!$B$5:$B$18)*(INDEX('Landbrugsareal - resultat'!$L$5:$N$18,,MATCH(E455,'Landbrugsareal - resultat'!$L$4:$N$4,0)))),IF(C455=2030,SUMPRODUCT((B455='Landbrugsareal - resultat'!$B$5:$B$18)*(INDEX('Landbrugsareal - resultat'!$O$5:$Q$18,,MATCH(E455,'Landbrugsareal - resultat'!$O$4:$Q$4,0)))),SUMPRODUCT((B455='Landbrugsareal - resultat'!$B$5:$B$18)*(INDEX('Landbrugsareal - resultat'!$R$5:$T$18,,MATCH(E455,'Landbrugsareal - resultat'!$R$4:$T$4,0))))))),IF(D455="Konventionel",IF(C455=2019,SUMPRODUCT((B455='Landbrugsareal - resultat'!$B$32:$B$45)*(INDEX('Landbrugsareal - resultat'!$C$32:$E$45,,MATCH(E455,'Landbrugsareal - resultat'!$C$4:$E$4,0)))),IF(C455=2030,SUMPRODUCT((B455='Landbrugsareal - resultat'!$B$32:$B$45)*(INDEX('Landbrugsareal - resultat'!$F$32:$H$45,,MATCH(E455,'Landbrugsareal - resultat'!$F$4:$H$4,0)))),SUMPRODUCT((B455='Landbrugsareal - resultat'!$B$32:$B$45)*(INDEX('Landbrugsareal - resultat'!$I$32:$K$45,,MATCH(E455,'Landbrugsareal - resultat'!$I$4:$K$4,0)))))),IF(C455=2019,SUMPRODUCT((B455='Landbrugsareal - resultat'!$B$32:$B$45)*(INDEX('Landbrugsareal - resultat'!$L$32:$N$45,,MATCH(E455,'Landbrugsareal - resultat'!$L$4:$N$4,0)))),IF(C455=2030,SUMPRODUCT((B455='Landbrugsareal - resultat'!$B$32:$B$45)*(INDEX('Landbrugsareal - resultat'!$O$32:$Q$45,,MATCH(E455,'Landbrugsareal - resultat'!$O$4:$Q$4,0)))),SUMPRODUCT((B455='Landbrugsareal - resultat'!$B$32:$B$45)*(INDEX('Landbrugsareal - resultat'!$R$32:$T$45,,MATCH(E455,'Landbrugsareal - resultat'!$R$4:$T$4,0))))))))</f>
        <v>26.994600646857421</v>
      </c>
      <c r="H455" s="172">
        <f>G455*VLOOKUP(B455,[1]Afgrødedata!$A$5:$F$18,2,FALSE)*IF(D455="Økologisk",VLOOKUP(B455,[1]Afgrødedata!$A$5:$F$18,4,FALSE),1)*IF(E455&lt;&gt;Jordbund1,IF(E455=Organ6,VLOOKUP(B455,[1]Afgrødedata!$A$5:$F$18,5,FALSE),VLOOKUP(B455,[1]Afgrødedata!$A$5:$F$18,6,FALSE)),1)*0.1</f>
        <v>1605.078958461663</v>
      </c>
      <c r="I455" s="172">
        <f>G455*VLOOKUP(B455,[1]Afgrødedata!$A$5:$F$18,3,FALSE)*IF(D455="Økologisk",VLOOKUP(B455,[1]Afgrødedata!$A$5:$F$18,4,FALSE),1)*IF(E455&lt;&gt;Jordbund1,IF(E455=Organ6,VLOOKUP(B455,[1]Afgrødedata!$A$5:$F$18,5,FALSE),VLOOKUP(B455,[1]Afgrødedata!$A$5:$F$18,6,FALSE)),1)*HLOOKUP(C455,Landbrug!$C$15:$E$17,2,FALSE)*HLOOKUP(C455,Landbrug!$C$15:$E$17,3,FALSE)*0.1</f>
        <v>0</v>
      </c>
      <c r="J455" s="76">
        <f t="shared" si="64"/>
        <v>1605.078958461663</v>
      </c>
    </row>
    <row r="456" spans="1:10" x14ac:dyDescent="0.55000000000000004">
      <c r="A456" t="s">
        <v>24</v>
      </c>
      <c r="B456" s="1" t="str">
        <f>[1]Afgrødefordeling!$C$8</f>
        <v>Roer</v>
      </c>
      <c r="C456">
        <v>2050</v>
      </c>
      <c r="D456" t="s">
        <v>7</v>
      </c>
      <c r="E456" s="172" t="str">
        <f t="shared" si="66"/>
        <v>OC12</v>
      </c>
      <c r="F456" t="str">
        <f t="shared" si="62"/>
        <v>Roer</v>
      </c>
      <c r="G456" s="76" cm="1">
        <f t="array" ref="G456">IF(A456="Vestdanmark",IF(D456="Konventionel",IF(C456=2019,SUMPRODUCT((B456='Landbrugsareal - resultat'!$B$5:$B$18)*(INDEX('Landbrugsareal - resultat'!$C$5:$E$18,,MATCH(E456,'Landbrugsareal - resultat'!$C$4:$E$4,0)))),IF(C456=2030,SUMPRODUCT((B456='Landbrugsareal - resultat'!$B$5:$B$18)*(INDEX('Landbrugsareal - resultat'!$F$5:$H$18,,MATCH(E456,'Landbrugsareal - resultat'!$F$4:$H$4,0)))),SUMPRODUCT((B456='Landbrugsareal - resultat'!$B$5:$B$18)*(INDEX('Landbrugsareal - resultat'!$I$5:$K$18,,MATCH(E456,'Landbrugsareal - resultat'!$I$4:$K$4,0)))))),IF(C456=2019,SUMPRODUCT((B456='Landbrugsareal - resultat'!$B$5:$B$18)*(INDEX('Landbrugsareal - resultat'!$L$5:$N$18,,MATCH(E456,'Landbrugsareal - resultat'!$L$4:$N$4,0)))),IF(C456=2030,SUMPRODUCT((B456='Landbrugsareal - resultat'!$B$5:$B$18)*(INDEX('Landbrugsareal - resultat'!$O$5:$Q$18,,MATCH(E456,'Landbrugsareal - resultat'!$O$4:$Q$4,0)))),SUMPRODUCT((B456='Landbrugsareal - resultat'!$B$5:$B$18)*(INDEX('Landbrugsareal - resultat'!$R$5:$T$18,,MATCH(E456,'Landbrugsareal - resultat'!$R$4:$T$4,0))))))),IF(D456="Konventionel",IF(C456=2019,SUMPRODUCT((B456='Landbrugsareal - resultat'!$B$32:$B$45)*(INDEX('Landbrugsareal - resultat'!$C$32:$E$45,,MATCH(E456,'Landbrugsareal - resultat'!$C$4:$E$4,0)))),IF(C456=2030,SUMPRODUCT((B456='Landbrugsareal - resultat'!$B$32:$B$45)*(INDEX('Landbrugsareal - resultat'!$F$32:$H$45,,MATCH(E456,'Landbrugsareal - resultat'!$F$4:$H$4,0)))),SUMPRODUCT((B456='Landbrugsareal - resultat'!$B$32:$B$45)*(INDEX('Landbrugsareal - resultat'!$I$32:$K$45,,MATCH(E456,'Landbrugsareal - resultat'!$I$4:$K$4,0)))))),IF(C456=2019,SUMPRODUCT((B456='Landbrugsareal - resultat'!$B$32:$B$45)*(INDEX('Landbrugsareal - resultat'!$L$32:$N$45,,MATCH(E456,'Landbrugsareal - resultat'!$L$4:$N$4,0)))),IF(C456=2030,SUMPRODUCT((B456='Landbrugsareal - resultat'!$B$32:$B$45)*(INDEX('Landbrugsareal - resultat'!$O$32:$Q$45,,MATCH(E456,'Landbrugsareal - resultat'!$O$4:$Q$4,0)))),SUMPRODUCT((B456='Landbrugsareal - resultat'!$B$32:$B$45)*(INDEX('Landbrugsareal - resultat'!$R$32:$T$45,,MATCH(E456,'Landbrugsareal - resultat'!$R$4:$T$4,0))))))))</f>
        <v>31.086593327133372</v>
      </c>
      <c r="H456" s="172">
        <f>G456*VLOOKUP(B456,[1]Afgrødedata!$A$5:$F$18,2,FALSE)*IF(D456="Økologisk",VLOOKUP(B456,[1]Afgrødedata!$A$5:$F$18,4,FALSE),1)*IF(E456&lt;&gt;Jordbund1,IF(E456=Organ6,VLOOKUP(B456,[1]Afgrødedata!$A$5:$F$18,5,FALSE),VLOOKUP(B456,[1]Afgrødedata!$A$5:$F$18,6,FALSE)),1)*0.1</f>
        <v>3536.2623836131297</v>
      </c>
      <c r="I456" s="172">
        <f>G456*VLOOKUP(B456,[1]Afgrødedata!$A$5:$F$18,3,FALSE)*IF(D456="Økologisk",VLOOKUP(B456,[1]Afgrødedata!$A$5:$F$18,4,FALSE),1)*IF(E456&lt;&gt;Jordbund1,IF(E456=Organ6,VLOOKUP(B456,[1]Afgrødedata!$A$5:$F$18,5,FALSE),VLOOKUP(B456,[1]Afgrødedata!$A$5:$F$18,6,FALSE)),1)*HLOOKUP(C456,Landbrug!$C$15:$E$17,2,FALSE)*HLOOKUP(C456,Landbrug!$C$15:$E$17,3,FALSE)*0.1</f>
        <v>0</v>
      </c>
      <c r="J456" s="76">
        <f t="shared" si="64"/>
        <v>3536.2623836131297</v>
      </c>
    </row>
    <row r="457" spans="1:10" x14ac:dyDescent="0.55000000000000004">
      <c r="A457" t="s">
        <v>24</v>
      </c>
      <c r="B457" s="1" t="str">
        <f>[1]Afgrødefordeling!$C$9</f>
        <v>Majs</v>
      </c>
      <c r="C457">
        <v>2050</v>
      </c>
      <c r="D457" t="s">
        <v>7</v>
      </c>
      <c r="E457" s="172" t="str">
        <f t="shared" si="66"/>
        <v>OC12</v>
      </c>
      <c r="F457" t="str">
        <f t="shared" si="62"/>
        <v>Majs</v>
      </c>
      <c r="G457" s="76" cm="1">
        <f t="array" ref="G457">IF(A457="Vestdanmark",IF(D457="Konventionel",IF(C457=2019,SUMPRODUCT((B457='Landbrugsareal - resultat'!$B$5:$B$18)*(INDEX('Landbrugsareal - resultat'!$C$5:$E$18,,MATCH(E457,'Landbrugsareal - resultat'!$C$4:$E$4,0)))),IF(C457=2030,SUMPRODUCT((B457='Landbrugsareal - resultat'!$B$5:$B$18)*(INDEX('Landbrugsareal - resultat'!$F$5:$H$18,,MATCH(E457,'Landbrugsareal - resultat'!$F$4:$H$4,0)))),SUMPRODUCT((B457='Landbrugsareal - resultat'!$B$5:$B$18)*(INDEX('Landbrugsareal - resultat'!$I$5:$K$18,,MATCH(E457,'Landbrugsareal - resultat'!$I$4:$K$4,0)))))),IF(C457=2019,SUMPRODUCT((B457='Landbrugsareal - resultat'!$B$5:$B$18)*(INDEX('Landbrugsareal - resultat'!$L$5:$N$18,,MATCH(E457,'Landbrugsareal - resultat'!$L$4:$N$4,0)))),IF(C457=2030,SUMPRODUCT((B457='Landbrugsareal - resultat'!$B$5:$B$18)*(INDEX('Landbrugsareal - resultat'!$O$5:$Q$18,,MATCH(E457,'Landbrugsareal - resultat'!$O$4:$Q$4,0)))),SUMPRODUCT((B457='Landbrugsareal - resultat'!$B$5:$B$18)*(INDEX('Landbrugsareal - resultat'!$R$5:$T$18,,MATCH(E457,'Landbrugsareal - resultat'!$R$4:$T$4,0))))))),IF(D457="Konventionel",IF(C457=2019,SUMPRODUCT((B457='Landbrugsareal - resultat'!$B$32:$B$45)*(INDEX('Landbrugsareal - resultat'!$C$32:$E$45,,MATCH(E457,'Landbrugsareal - resultat'!$C$4:$E$4,0)))),IF(C457=2030,SUMPRODUCT((B457='Landbrugsareal - resultat'!$B$32:$B$45)*(INDEX('Landbrugsareal - resultat'!$F$32:$H$45,,MATCH(E457,'Landbrugsareal - resultat'!$F$4:$H$4,0)))),SUMPRODUCT((B457='Landbrugsareal - resultat'!$B$32:$B$45)*(INDEX('Landbrugsareal - resultat'!$I$32:$K$45,,MATCH(E457,'Landbrugsareal - resultat'!$I$4:$K$4,0)))))),IF(C457=2019,SUMPRODUCT((B457='Landbrugsareal - resultat'!$B$32:$B$45)*(INDEX('Landbrugsareal - resultat'!$L$32:$N$45,,MATCH(E457,'Landbrugsareal - resultat'!$L$4:$N$4,0)))),IF(C457=2030,SUMPRODUCT((B457='Landbrugsareal - resultat'!$B$32:$B$45)*(INDEX('Landbrugsareal - resultat'!$O$32:$Q$45,,MATCH(E457,'Landbrugsareal - resultat'!$O$4:$Q$4,0)))),SUMPRODUCT((B457='Landbrugsareal - resultat'!$B$32:$B$45)*(INDEX('Landbrugsareal - resultat'!$R$32:$T$45,,MATCH(E457,'Landbrugsareal - resultat'!$R$4:$T$4,0))))))))</f>
        <v>31.92989523797759</v>
      </c>
      <c r="H457" s="172">
        <f>G457*VLOOKUP(B457,[1]Afgrødedata!$A$5:$F$18,2,FALSE)*IF(D457="Økologisk",VLOOKUP(B457,[1]Afgrødedata!$A$5:$F$18,4,FALSE),1)*IF(E457&lt;&gt;Jordbund1,IF(E457=Organ6,VLOOKUP(B457,[1]Afgrødedata!$A$5:$F$18,5,FALSE),VLOOKUP(B457,[1]Afgrødedata!$A$5:$F$18,6,FALSE)),1)*0.1</f>
        <v>1989.6794918593355</v>
      </c>
      <c r="I457" s="172">
        <f>G457*VLOOKUP(B457,[1]Afgrødedata!$A$5:$F$18,3,FALSE)*IF(D457="Økologisk",VLOOKUP(B457,[1]Afgrødedata!$A$5:$F$18,4,FALSE),1)*IF(E457&lt;&gt;Jordbund1,IF(E457=Organ6,VLOOKUP(B457,[1]Afgrødedata!$A$5:$F$18,5,FALSE),VLOOKUP(B457,[1]Afgrødedata!$A$5:$F$18,6,FALSE)),1)*HLOOKUP(C457,Landbrug!$C$15:$E$17,2,FALSE)*HLOOKUP(C457,Landbrug!$C$15:$E$17,3,FALSE)*0.1</f>
        <v>0</v>
      </c>
      <c r="J457" s="76">
        <f t="shared" si="64"/>
        <v>1989.6794918593355</v>
      </c>
    </row>
    <row r="458" spans="1:10" x14ac:dyDescent="0.55000000000000004">
      <c r="A458" t="s">
        <v>24</v>
      </c>
      <c r="B458" s="1" t="str">
        <f>[1]Afgrødefordeling!$C$10</f>
        <v>Frugt</v>
      </c>
      <c r="C458">
        <v>2050</v>
      </c>
      <c r="D458" t="s">
        <v>7</v>
      </c>
      <c r="E458" s="172" t="str">
        <f t="shared" si="66"/>
        <v>OC12</v>
      </c>
      <c r="F458" t="str">
        <f t="shared" si="62"/>
        <v>Frugt</v>
      </c>
      <c r="G458" s="76" cm="1">
        <f t="array" ref="G458">IF(A458="Vestdanmark",IF(D458="Konventionel",IF(C458=2019,SUMPRODUCT((B458='Landbrugsareal - resultat'!$B$5:$B$18)*(INDEX('Landbrugsareal - resultat'!$C$5:$E$18,,MATCH(E458,'Landbrugsareal - resultat'!$C$4:$E$4,0)))),IF(C458=2030,SUMPRODUCT((B458='Landbrugsareal - resultat'!$B$5:$B$18)*(INDEX('Landbrugsareal - resultat'!$F$5:$H$18,,MATCH(E458,'Landbrugsareal - resultat'!$F$4:$H$4,0)))),SUMPRODUCT((B458='Landbrugsareal - resultat'!$B$5:$B$18)*(INDEX('Landbrugsareal - resultat'!$I$5:$K$18,,MATCH(E458,'Landbrugsareal - resultat'!$I$4:$K$4,0)))))),IF(C458=2019,SUMPRODUCT((B458='Landbrugsareal - resultat'!$B$5:$B$18)*(INDEX('Landbrugsareal - resultat'!$L$5:$N$18,,MATCH(E458,'Landbrugsareal - resultat'!$L$4:$N$4,0)))),IF(C458=2030,SUMPRODUCT((B458='Landbrugsareal - resultat'!$B$5:$B$18)*(INDEX('Landbrugsareal - resultat'!$O$5:$Q$18,,MATCH(E458,'Landbrugsareal - resultat'!$O$4:$Q$4,0)))),SUMPRODUCT((B458='Landbrugsareal - resultat'!$B$5:$B$18)*(INDEX('Landbrugsareal - resultat'!$R$5:$T$18,,MATCH(E458,'Landbrugsareal - resultat'!$R$4:$T$4,0))))))),IF(D458="Konventionel",IF(C458=2019,SUMPRODUCT((B458='Landbrugsareal - resultat'!$B$32:$B$45)*(INDEX('Landbrugsareal - resultat'!$C$32:$E$45,,MATCH(E458,'Landbrugsareal - resultat'!$C$4:$E$4,0)))),IF(C458=2030,SUMPRODUCT((B458='Landbrugsareal - resultat'!$B$32:$B$45)*(INDEX('Landbrugsareal - resultat'!$F$32:$H$45,,MATCH(E458,'Landbrugsareal - resultat'!$F$4:$H$4,0)))),SUMPRODUCT((B458='Landbrugsareal - resultat'!$B$32:$B$45)*(INDEX('Landbrugsareal - resultat'!$I$32:$K$45,,MATCH(E458,'Landbrugsareal - resultat'!$I$4:$K$4,0)))))),IF(C458=2019,SUMPRODUCT((B458='Landbrugsareal - resultat'!$B$32:$B$45)*(INDEX('Landbrugsareal - resultat'!$L$32:$N$45,,MATCH(E458,'Landbrugsareal - resultat'!$L$4:$N$4,0)))),IF(C458=2030,SUMPRODUCT((B458='Landbrugsareal - resultat'!$B$32:$B$45)*(INDEX('Landbrugsareal - resultat'!$O$32:$Q$45,,MATCH(E458,'Landbrugsareal - resultat'!$O$4:$Q$4,0)))),SUMPRODUCT((B458='Landbrugsareal - resultat'!$B$32:$B$45)*(INDEX('Landbrugsareal - resultat'!$R$32:$T$45,,MATCH(E458,'Landbrugsareal - resultat'!$R$4:$T$4,0))))))))</f>
        <v>11.586575815743734</v>
      </c>
      <c r="H458" s="172">
        <f>G458*VLOOKUP(B458,[1]Afgrødedata!$A$5:$F$18,2,FALSE)*IF(D458="Økologisk",VLOOKUP(B458,[1]Afgrødedata!$A$5:$F$18,4,FALSE),1)*IF(E458&lt;&gt;Jordbund1,IF(E458=Organ6,VLOOKUP(B458,[1]Afgrødedata!$A$5:$F$18,5,FALSE),VLOOKUP(B458,[1]Afgrødedata!$A$5:$F$18,6,FALSE)),1)*0.1</f>
        <v>137.71804014593005</v>
      </c>
      <c r="I458" s="172">
        <f>G458*VLOOKUP(B458,[1]Afgrødedata!$A$5:$F$18,3,FALSE)*IF(D458="Økologisk",VLOOKUP(B458,[1]Afgrødedata!$A$5:$F$18,4,FALSE),1)*IF(E458&lt;&gt;Jordbund1,IF(E458=Organ6,VLOOKUP(B458,[1]Afgrødedata!$A$5:$F$18,5,FALSE),VLOOKUP(B458,[1]Afgrødedata!$A$5:$F$18,6,FALSE)),1)*HLOOKUP(C458,Landbrug!$C$15:$E$17,2,FALSE)*HLOOKUP(C458,Landbrug!$C$15:$E$17,3,FALSE)*0.1</f>
        <v>0</v>
      </c>
      <c r="J458" s="76">
        <f t="shared" si="64"/>
        <v>137.71804014593005</v>
      </c>
    </row>
    <row r="459" spans="1:10" x14ac:dyDescent="0.55000000000000004">
      <c r="A459" t="s">
        <v>24</v>
      </c>
      <c r="B459" s="1" t="str">
        <f>[1]Afgrødefordeling!$C$11</f>
        <v>Øvrige</v>
      </c>
      <c r="C459">
        <v>2050</v>
      </c>
      <c r="D459" t="s">
        <v>7</v>
      </c>
      <c r="E459" s="172" t="str">
        <f t="shared" si="66"/>
        <v>OC12</v>
      </c>
      <c r="F459" t="str">
        <f t="shared" si="62"/>
        <v>Øvrige</v>
      </c>
      <c r="G459" s="76" cm="1">
        <f t="array" ref="G459">IF(A459="Vestdanmark",IF(D459="Konventionel",IF(C459=2019,SUMPRODUCT((B459='Landbrugsareal - resultat'!$B$5:$B$18)*(INDEX('Landbrugsareal - resultat'!$C$5:$E$18,,MATCH(E459,'Landbrugsareal - resultat'!$C$4:$E$4,0)))),IF(C459=2030,SUMPRODUCT((B459='Landbrugsareal - resultat'!$B$5:$B$18)*(INDEX('Landbrugsareal - resultat'!$F$5:$H$18,,MATCH(E459,'Landbrugsareal - resultat'!$F$4:$H$4,0)))),SUMPRODUCT((B459='Landbrugsareal - resultat'!$B$5:$B$18)*(INDEX('Landbrugsareal - resultat'!$I$5:$K$18,,MATCH(E459,'Landbrugsareal - resultat'!$I$4:$K$4,0)))))),IF(C459=2019,SUMPRODUCT((B459='Landbrugsareal - resultat'!$B$5:$B$18)*(INDEX('Landbrugsareal - resultat'!$L$5:$N$18,,MATCH(E459,'Landbrugsareal - resultat'!$L$4:$N$4,0)))),IF(C459=2030,SUMPRODUCT((B459='Landbrugsareal - resultat'!$B$5:$B$18)*(INDEX('Landbrugsareal - resultat'!$O$5:$Q$18,,MATCH(E459,'Landbrugsareal - resultat'!$O$4:$Q$4,0)))),SUMPRODUCT((B459='Landbrugsareal - resultat'!$B$5:$B$18)*(INDEX('Landbrugsareal - resultat'!$R$5:$T$18,,MATCH(E459,'Landbrugsareal - resultat'!$R$4:$T$4,0))))))),IF(D459="Konventionel",IF(C459=2019,SUMPRODUCT((B459='Landbrugsareal - resultat'!$B$32:$B$45)*(INDEX('Landbrugsareal - resultat'!$C$32:$E$45,,MATCH(E459,'Landbrugsareal - resultat'!$C$4:$E$4,0)))),IF(C459=2030,SUMPRODUCT((B459='Landbrugsareal - resultat'!$B$32:$B$45)*(INDEX('Landbrugsareal - resultat'!$F$32:$H$45,,MATCH(E459,'Landbrugsareal - resultat'!$F$4:$H$4,0)))),SUMPRODUCT((B459='Landbrugsareal - resultat'!$B$32:$B$45)*(INDEX('Landbrugsareal - resultat'!$I$32:$K$45,,MATCH(E459,'Landbrugsareal - resultat'!$I$4:$K$4,0)))))),IF(C459=2019,SUMPRODUCT((B459='Landbrugsareal - resultat'!$B$32:$B$45)*(INDEX('Landbrugsareal - resultat'!$L$32:$N$45,,MATCH(E459,'Landbrugsareal - resultat'!$L$4:$N$4,0)))),IF(C459=2030,SUMPRODUCT((B459='Landbrugsareal - resultat'!$B$32:$B$45)*(INDEX('Landbrugsareal - resultat'!$O$32:$Q$45,,MATCH(E459,'Landbrugsareal - resultat'!$O$4:$Q$4,0)))),SUMPRODUCT((B459='Landbrugsareal - resultat'!$B$32:$B$45)*(INDEX('Landbrugsareal - resultat'!$R$32:$T$45,,MATCH(E459,'Landbrugsareal - resultat'!$R$4:$T$4,0))))))))</f>
        <v>82.733770949241659</v>
      </c>
      <c r="H459" s="172">
        <f>G459*VLOOKUP(B459,[1]Afgrødedata!$A$5:$F$18,2,FALSE)*IF(D459="Økologisk",VLOOKUP(B459,[1]Afgrødedata!$A$5:$F$18,4,FALSE),1)*IF(E459&lt;&gt;Jordbund1,IF(E459=Organ6,VLOOKUP(B459,[1]Afgrødedata!$A$5:$F$18,5,FALSE),VLOOKUP(B459,[1]Afgrødedata!$A$5:$F$18,6,FALSE)),1)*0.1</f>
        <v>3451.1830715919614</v>
      </c>
      <c r="I459" s="172">
        <f>G459*VLOOKUP(B459,[1]Afgrødedata!$A$5:$F$18,3,FALSE)*IF(D459="Økologisk",VLOOKUP(B459,[1]Afgrødedata!$A$5:$F$18,4,FALSE),1)*IF(E459&lt;&gt;Jordbund1,IF(E459=Organ6,VLOOKUP(B459,[1]Afgrødedata!$A$5:$F$18,5,FALSE),VLOOKUP(B459,[1]Afgrødedata!$A$5:$F$18,6,FALSE)),1)*HLOOKUP(C459,Landbrug!$C$15:$E$17,2,FALSE)*HLOOKUP(C459,Landbrug!$C$15:$E$17,3,FALSE)*0.1</f>
        <v>0</v>
      </c>
      <c r="J459" s="76">
        <f t="shared" si="64"/>
        <v>3451.1830715919614</v>
      </c>
    </row>
    <row r="460" spans="1:10" x14ac:dyDescent="0.55000000000000004">
      <c r="A460" t="s">
        <v>24</v>
      </c>
      <c r="B460" s="1" t="str">
        <f>[1]Afgrødefordeling!$C$12</f>
        <v>Frø</v>
      </c>
      <c r="C460">
        <v>2050</v>
      </c>
      <c r="D460" t="s">
        <v>7</v>
      </c>
      <c r="E460" s="172" t="str">
        <f t="shared" si="66"/>
        <v>OC12</v>
      </c>
      <c r="F460" t="str">
        <f t="shared" si="62"/>
        <v>Halm</v>
      </c>
      <c r="G460" s="76" cm="1">
        <f t="array" ref="G460">IF(A460="Vestdanmark",IF(D460="Konventionel",IF(C460=2019,SUMPRODUCT((B460='Landbrugsareal - resultat'!$B$5:$B$18)*(INDEX('Landbrugsareal - resultat'!$C$5:$E$18,,MATCH(E460,'Landbrugsareal - resultat'!$C$4:$E$4,0)))),IF(C460=2030,SUMPRODUCT((B460='Landbrugsareal - resultat'!$B$5:$B$18)*(INDEX('Landbrugsareal - resultat'!$F$5:$H$18,,MATCH(E460,'Landbrugsareal - resultat'!$F$4:$H$4,0)))),SUMPRODUCT((B460='Landbrugsareal - resultat'!$B$5:$B$18)*(INDEX('Landbrugsareal - resultat'!$I$5:$K$18,,MATCH(E460,'Landbrugsareal - resultat'!$I$4:$K$4,0)))))),IF(C460=2019,SUMPRODUCT((B460='Landbrugsareal - resultat'!$B$5:$B$18)*(INDEX('Landbrugsareal - resultat'!$L$5:$N$18,,MATCH(E460,'Landbrugsareal - resultat'!$L$4:$N$4,0)))),IF(C460=2030,SUMPRODUCT((B460='Landbrugsareal - resultat'!$B$5:$B$18)*(INDEX('Landbrugsareal - resultat'!$O$5:$Q$18,,MATCH(E460,'Landbrugsareal - resultat'!$O$4:$Q$4,0)))),SUMPRODUCT((B460='Landbrugsareal - resultat'!$B$5:$B$18)*(INDEX('Landbrugsareal - resultat'!$R$5:$T$18,,MATCH(E460,'Landbrugsareal - resultat'!$R$4:$T$4,0))))))),IF(D460="Konventionel",IF(C460=2019,SUMPRODUCT((B460='Landbrugsareal - resultat'!$B$32:$B$45)*(INDEX('Landbrugsareal - resultat'!$C$32:$E$45,,MATCH(E460,'Landbrugsareal - resultat'!$C$4:$E$4,0)))),IF(C460=2030,SUMPRODUCT((B460='Landbrugsareal - resultat'!$B$32:$B$45)*(INDEX('Landbrugsareal - resultat'!$F$32:$H$45,,MATCH(E460,'Landbrugsareal - resultat'!$F$4:$H$4,0)))),SUMPRODUCT((B460='Landbrugsareal - resultat'!$B$32:$B$45)*(INDEX('Landbrugsareal - resultat'!$I$32:$K$45,,MATCH(E460,'Landbrugsareal - resultat'!$I$4:$K$4,0)))))),IF(C460=2019,SUMPRODUCT((B460='Landbrugsareal - resultat'!$B$32:$B$45)*(INDEX('Landbrugsareal - resultat'!$L$32:$N$45,,MATCH(E460,'Landbrugsareal - resultat'!$L$4:$N$4,0)))),IF(C460=2030,SUMPRODUCT((B460='Landbrugsareal - resultat'!$B$32:$B$45)*(INDEX('Landbrugsareal - resultat'!$O$32:$Q$45,,MATCH(E460,'Landbrugsareal - resultat'!$O$4:$Q$4,0)))),SUMPRODUCT((B460='Landbrugsareal - resultat'!$B$32:$B$45)*(INDEX('Landbrugsareal - resultat'!$R$32:$T$45,,MATCH(E460,'Landbrugsareal - resultat'!$R$4:$T$4,0))))))))</f>
        <v>774.23731544605391</v>
      </c>
      <c r="H460" s="172">
        <f>G460*VLOOKUP(B460,[1]Afgrødedata!$A$5:$F$18,2,FALSE)*IF(D460="Økologisk",VLOOKUP(B460,[1]Afgrødedata!$A$5:$F$18,4,FALSE),1)*IF(E460&lt;&gt;Jordbund1,IF(E460=Organ6,VLOOKUP(B460,[1]Afgrødedata!$A$5:$F$18,5,FALSE),VLOOKUP(B460,[1]Afgrødedata!$A$5:$F$18,6,FALSE)),1)*0.1</f>
        <v>15488.156873297978</v>
      </c>
      <c r="I460" s="172">
        <f>G460*VLOOKUP(B460,[1]Afgrødedata!$A$5:$F$18,3,FALSE)*IF(D460="Økologisk",VLOOKUP(B460,[1]Afgrødedata!$A$5:$F$18,4,FALSE),1)*IF(E460&lt;&gt;Jordbund1,IF(E460=Organ6,VLOOKUP(B460,[1]Afgrødedata!$A$5:$F$18,5,FALSE),VLOOKUP(B460,[1]Afgrødedata!$A$5:$F$18,6,FALSE)),1)*HLOOKUP(C460,Landbrug!$C$15:$E$17,2,FALSE)*HLOOKUP(C460,Landbrug!$C$15:$E$17,3,FALSE)*0.1</f>
        <v>2558.0800902337614</v>
      </c>
      <c r="J460" s="76">
        <f t="shared" si="64"/>
        <v>2558.0800902337614</v>
      </c>
    </row>
    <row r="461" spans="1:10" x14ac:dyDescent="0.55000000000000004">
      <c r="A461" t="s">
        <v>24</v>
      </c>
      <c r="B461" s="1" t="str">
        <f>[1]Afgrødefordeling!$C$13</f>
        <v>Juletræer</v>
      </c>
      <c r="C461">
        <v>2050</v>
      </c>
      <c r="D461" t="s">
        <v>7</v>
      </c>
      <c r="E461" s="172" t="str">
        <f t="shared" si="66"/>
        <v>OC12</v>
      </c>
      <c r="F461" t="str">
        <f t="shared" si="62"/>
        <v>Juletræer</v>
      </c>
      <c r="G461" s="76" cm="1">
        <f t="array" ref="G461">IF(A461="Vestdanmark",IF(D461="Konventionel",IF(C461=2019,SUMPRODUCT((B461='Landbrugsareal - resultat'!$B$5:$B$18)*(INDEX('Landbrugsareal - resultat'!$C$5:$E$18,,MATCH(E461,'Landbrugsareal - resultat'!$C$4:$E$4,0)))),IF(C461=2030,SUMPRODUCT((B461='Landbrugsareal - resultat'!$B$5:$B$18)*(INDEX('Landbrugsareal - resultat'!$F$5:$H$18,,MATCH(E461,'Landbrugsareal - resultat'!$F$4:$H$4,0)))),SUMPRODUCT((B461='Landbrugsareal - resultat'!$B$5:$B$18)*(INDEX('Landbrugsareal - resultat'!$I$5:$K$18,,MATCH(E461,'Landbrugsareal - resultat'!$I$4:$K$4,0)))))),IF(C461=2019,SUMPRODUCT((B461='Landbrugsareal - resultat'!$B$5:$B$18)*(INDEX('Landbrugsareal - resultat'!$L$5:$N$18,,MATCH(E461,'Landbrugsareal - resultat'!$L$4:$N$4,0)))),IF(C461=2030,SUMPRODUCT((B461='Landbrugsareal - resultat'!$B$5:$B$18)*(INDEX('Landbrugsareal - resultat'!$O$5:$Q$18,,MATCH(E461,'Landbrugsareal - resultat'!$O$4:$Q$4,0)))),SUMPRODUCT((B461='Landbrugsareal - resultat'!$B$5:$B$18)*(INDEX('Landbrugsareal - resultat'!$R$5:$T$18,,MATCH(E461,'Landbrugsareal - resultat'!$R$4:$T$4,0))))))),IF(D461="Konventionel",IF(C461=2019,SUMPRODUCT((B461='Landbrugsareal - resultat'!$B$32:$B$45)*(INDEX('Landbrugsareal - resultat'!$C$32:$E$45,,MATCH(E461,'Landbrugsareal - resultat'!$C$4:$E$4,0)))),IF(C461=2030,SUMPRODUCT((B461='Landbrugsareal - resultat'!$B$32:$B$45)*(INDEX('Landbrugsareal - resultat'!$F$32:$H$45,,MATCH(E461,'Landbrugsareal - resultat'!$F$4:$H$4,0)))),SUMPRODUCT((B461='Landbrugsareal - resultat'!$B$32:$B$45)*(INDEX('Landbrugsareal - resultat'!$I$32:$K$45,,MATCH(E461,'Landbrugsareal - resultat'!$I$4:$K$4,0)))))),IF(C461=2019,SUMPRODUCT((B461='Landbrugsareal - resultat'!$B$32:$B$45)*(INDEX('Landbrugsareal - resultat'!$L$32:$N$45,,MATCH(E461,'Landbrugsareal - resultat'!$L$4:$N$4,0)))),IF(C461=2030,SUMPRODUCT((B461='Landbrugsareal - resultat'!$B$32:$B$45)*(INDEX('Landbrugsareal - resultat'!$O$32:$Q$45,,MATCH(E461,'Landbrugsareal - resultat'!$O$4:$Q$4,0)))),SUMPRODUCT((B461='Landbrugsareal - resultat'!$B$32:$B$45)*(INDEX('Landbrugsareal - resultat'!$R$32:$T$45,,MATCH(E461,'Landbrugsareal - resultat'!$R$4:$T$4,0))))))))</f>
        <v>18.156098368281306</v>
      </c>
      <c r="H461" s="172">
        <f>G461*VLOOKUP(B461,[1]Afgrødedata!$A$5:$F$18,2,FALSE)*IF(D461="Økologisk",VLOOKUP(B461,[1]Afgrødedata!$A$5:$F$18,4,FALSE),1)*IF(E461&lt;&gt;Jordbund1,IF(E461=Organ6,VLOOKUP(B461,[1]Afgrødedata!$A$5:$F$18,5,FALSE),VLOOKUP(B461,[1]Afgrødedata!$A$5:$F$18,6,FALSE)),1)*0.1</f>
        <v>1270.9268857796915</v>
      </c>
      <c r="I461" s="172">
        <f>G461*VLOOKUP(B461,[1]Afgrødedata!$A$5:$F$18,3,FALSE)*IF(D461="Økologisk",VLOOKUP(B461,[1]Afgrødedata!$A$5:$F$18,4,FALSE),1)*IF(E461&lt;&gt;Jordbund1,IF(E461=Organ6,VLOOKUP(B461,[1]Afgrødedata!$A$5:$F$18,5,FALSE),VLOOKUP(B461,[1]Afgrødedata!$A$5:$F$18,6,FALSE)),1)*HLOOKUP(C461,Landbrug!$C$15:$E$17,2,FALSE)*HLOOKUP(C461,Landbrug!$C$15:$E$17,3,FALSE)*0.1</f>
        <v>0</v>
      </c>
      <c r="J461" s="76">
        <f t="shared" si="64"/>
        <v>1270.9268857796915</v>
      </c>
    </row>
    <row r="462" spans="1:10" x14ac:dyDescent="0.55000000000000004">
      <c r="A462" t="s">
        <v>24</v>
      </c>
      <c r="B462" s="1" t="str">
        <f>[1]Afgrødefordeling!$C$14</f>
        <v>Pil &amp; poppel</v>
      </c>
      <c r="C462">
        <v>2050</v>
      </c>
      <c r="D462" t="s">
        <v>7</v>
      </c>
      <c r="E462" s="172" t="str">
        <f t="shared" si="66"/>
        <v>OC12</v>
      </c>
      <c r="F462" t="str">
        <f t="shared" si="62"/>
        <v>Pil &amp; poppel</v>
      </c>
      <c r="G462" s="76" cm="1">
        <f t="array" ref="G462">IF(A462="Vestdanmark",IF(D462="Konventionel",IF(C462=2019,SUMPRODUCT((B462='Landbrugsareal - resultat'!$B$5:$B$18)*(INDEX('Landbrugsareal - resultat'!$C$5:$E$18,,MATCH(E462,'Landbrugsareal - resultat'!$C$4:$E$4,0)))),IF(C462=2030,SUMPRODUCT((B462='Landbrugsareal - resultat'!$B$5:$B$18)*(INDEX('Landbrugsareal - resultat'!$F$5:$H$18,,MATCH(E462,'Landbrugsareal - resultat'!$F$4:$H$4,0)))),SUMPRODUCT((B462='Landbrugsareal - resultat'!$B$5:$B$18)*(INDEX('Landbrugsareal - resultat'!$I$5:$K$18,,MATCH(E462,'Landbrugsareal - resultat'!$I$4:$K$4,0)))))),IF(C462=2019,SUMPRODUCT((B462='Landbrugsareal - resultat'!$B$5:$B$18)*(INDEX('Landbrugsareal - resultat'!$L$5:$N$18,,MATCH(E462,'Landbrugsareal - resultat'!$L$4:$N$4,0)))),IF(C462=2030,SUMPRODUCT((B462='Landbrugsareal - resultat'!$B$5:$B$18)*(INDEX('Landbrugsareal - resultat'!$O$5:$Q$18,,MATCH(E462,'Landbrugsareal - resultat'!$O$4:$Q$4,0)))),SUMPRODUCT((B462='Landbrugsareal - resultat'!$B$5:$B$18)*(INDEX('Landbrugsareal - resultat'!$R$5:$T$18,,MATCH(E462,'Landbrugsareal - resultat'!$R$4:$T$4,0))))))),IF(D462="Konventionel",IF(C462=2019,SUMPRODUCT((B462='Landbrugsareal - resultat'!$B$32:$B$45)*(INDEX('Landbrugsareal - resultat'!$C$32:$E$45,,MATCH(E462,'Landbrugsareal - resultat'!$C$4:$E$4,0)))),IF(C462=2030,SUMPRODUCT((B462='Landbrugsareal - resultat'!$B$32:$B$45)*(INDEX('Landbrugsareal - resultat'!$F$32:$H$45,,MATCH(E462,'Landbrugsareal - resultat'!$F$4:$H$4,0)))),SUMPRODUCT((B462='Landbrugsareal - resultat'!$B$32:$B$45)*(INDEX('Landbrugsareal - resultat'!$I$32:$K$45,,MATCH(E462,'Landbrugsareal - resultat'!$I$4:$K$4,0)))))),IF(C462=2019,SUMPRODUCT((B462='Landbrugsareal - resultat'!$B$32:$B$45)*(INDEX('Landbrugsareal - resultat'!$L$32:$N$45,,MATCH(E462,'Landbrugsareal - resultat'!$L$4:$N$4,0)))),IF(C462=2030,SUMPRODUCT((B462='Landbrugsareal - resultat'!$B$32:$B$45)*(INDEX('Landbrugsareal - resultat'!$O$32:$Q$45,,MATCH(E462,'Landbrugsareal - resultat'!$O$4:$Q$4,0)))),SUMPRODUCT((B462='Landbrugsareal - resultat'!$B$32:$B$45)*(INDEX('Landbrugsareal - resultat'!$R$32:$T$45,,MATCH(E462,'Landbrugsareal - resultat'!$R$4:$T$4,0))))))))</f>
        <v>55.383712037521661</v>
      </c>
      <c r="H462" s="172">
        <f>G462*VLOOKUP(B462,[1]Afgrødedata!$A$5:$F$18,2,FALSE)*IF(D462="Økologisk",VLOOKUP(B462,[1]Afgrødedata!$A$5:$F$18,4,FALSE),1)*IF(E462&lt;&gt;Jordbund1,IF(E462=Organ6,VLOOKUP(B462,[1]Afgrødedata!$A$5:$F$18,5,FALSE),VLOOKUP(B462,[1]Afgrødedata!$A$5:$F$18,6,FALSE)),1)*0.1</f>
        <v>1891.1511427446421</v>
      </c>
      <c r="I462" s="172">
        <f>G462*VLOOKUP(B462,[1]Afgrødedata!$A$5:$F$18,3,FALSE)*IF(D462="Økologisk",VLOOKUP(B462,[1]Afgrødedata!$A$5:$F$18,4,FALSE),1)*IF(E462&lt;&gt;Jordbund1,IF(E462=Organ6,VLOOKUP(B462,[1]Afgrødedata!$A$5:$F$18,5,FALSE),VLOOKUP(B462,[1]Afgrødedata!$A$5:$F$18,6,FALSE)),1)*HLOOKUP(C462,Landbrug!$C$15:$E$17,2,FALSE)*HLOOKUP(C462,Landbrug!$C$15:$E$17,3,FALSE)*0.1</f>
        <v>0</v>
      </c>
      <c r="J462" s="76">
        <f t="shared" si="64"/>
        <v>1891.1511427446421</v>
      </c>
    </row>
    <row r="463" spans="1:10" x14ac:dyDescent="0.55000000000000004">
      <c r="A463" t="s">
        <v>24</v>
      </c>
      <c r="B463" s="1" t="str">
        <f>[1]Afgrødefordeling!$C$15</f>
        <v>Permanent græs</v>
      </c>
      <c r="C463">
        <v>2050</v>
      </c>
      <c r="D463" t="s">
        <v>7</v>
      </c>
      <c r="E463" s="172" t="str">
        <f t="shared" si="66"/>
        <v>OC12</v>
      </c>
      <c r="F463" t="str">
        <f t="shared" si="62"/>
        <v>Græs</v>
      </c>
      <c r="G463" s="76" cm="1">
        <f t="array" ref="G463">IF(A463="Vestdanmark",IF(D463="Konventionel",IF(C463=2019,SUMPRODUCT((B463='Landbrugsareal - resultat'!$B$5:$B$18)*(INDEX('Landbrugsareal - resultat'!$C$5:$E$18,,MATCH(E463,'Landbrugsareal - resultat'!$C$4:$E$4,0)))),IF(C463=2030,SUMPRODUCT((B463='Landbrugsareal - resultat'!$B$5:$B$18)*(INDEX('Landbrugsareal - resultat'!$F$5:$H$18,,MATCH(E463,'Landbrugsareal - resultat'!$F$4:$H$4,0)))),SUMPRODUCT((B463='Landbrugsareal - resultat'!$B$5:$B$18)*(INDEX('Landbrugsareal - resultat'!$I$5:$K$18,,MATCH(E463,'Landbrugsareal - resultat'!$I$4:$K$4,0)))))),IF(C463=2019,SUMPRODUCT((B463='Landbrugsareal - resultat'!$B$5:$B$18)*(INDEX('Landbrugsareal - resultat'!$L$5:$N$18,,MATCH(E463,'Landbrugsareal - resultat'!$L$4:$N$4,0)))),IF(C463=2030,SUMPRODUCT((B463='Landbrugsareal - resultat'!$B$5:$B$18)*(INDEX('Landbrugsareal - resultat'!$O$5:$Q$18,,MATCH(E463,'Landbrugsareal - resultat'!$O$4:$Q$4,0)))),SUMPRODUCT((B463='Landbrugsareal - resultat'!$B$5:$B$18)*(INDEX('Landbrugsareal - resultat'!$R$5:$T$18,,MATCH(E463,'Landbrugsareal - resultat'!$R$4:$T$4,0))))))),IF(D463="Konventionel",IF(C463=2019,SUMPRODUCT((B463='Landbrugsareal - resultat'!$B$32:$B$45)*(INDEX('Landbrugsareal - resultat'!$C$32:$E$45,,MATCH(E463,'Landbrugsareal - resultat'!$C$4:$E$4,0)))),IF(C463=2030,SUMPRODUCT((B463='Landbrugsareal - resultat'!$B$32:$B$45)*(INDEX('Landbrugsareal - resultat'!$F$32:$H$45,,MATCH(E463,'Landbrugsareal - resultat'!$F$4:$H$4,0)))),SUMPRODUCT((B463='Landbrugsareal - resultat'!$B$32:$B$45)*(INDEX('Landbrugsareal - resultat'!$I$32:$K$45,,MATCH(E463,'Landbrugsareal - resultat'!$I$4:$K$4,0)))))),IF(C463=2019,SUMPRODUCT((B463='Landbrugsareal - resultat'!$B$32:$B$45)*(INDEX('Landbrugsareal - resultat'!$L$32:$N$45,,MATCH(E463,'Landbrugsareal - resultat'!$L$4:$N$4,0)))),IF(C463=2030,SUMPRODUCT((B463='Landbrugsareal - resultat'!$B$32:$B$45)*(INDEX('Landbrugsareal - resultat'!$O$32:$Q$45,,MATCH(E463,'Landbrugsareal - resultat'!$O$4:$Q$4,0)))),SUMPRODUCT((B463='Landbrugsareal - resultat'!$B$32:$B$45)*(INDEX('Landbrugsareal - resultat'!$R$32:$T$45,,MATCH(E463,'Landbrugsareal - resultat'!$R$4:$T$4,0))))))))</f>
        <v>1926.0429797490767</v>
      </c>
      <c r="H463" s="172">
        <f>G463*VLOOKUP(B463,[1]Afgrødedata!$A$5:$F$18,2,FALSE)*IF(D463="Økologisk",VLOOKUP(B463,[1]Afgrødedata!$A$5:$F$18,4,FALSE),1)*IF(E463&lt;&gt;Jordbund1,IF(E463=Organ6,VLOOKUP(B463,[1]Afgrødedata!$A$5:$F$18,5,FALSE),VLOOKUP(B463,[1]Afgrødedata!$A$5:$F$18,6,FALSE)),1)*0.1</f>
        <v>37184.185767035677</v>
      </c>
      <c r="I463" s="172">
        <f>G463*VLOOKUP(B463,[1]Afgrødedata!$A$5:$F$18,3,FALSE)*IF(D463="Økologisk",VLOOKUP(B463,[1]Afgrødedata!$A$5:$F$18,4,FALSE),1)*IF(E463&lt;&gt;Jordbund1,IF(E463=Organ6,VLOOKUP(B463,[1]Afgrødedata!$A$5:$F$18,5,FALSE),VLOOKUP(B463,[1]Afgrødedata!$A$5:$F$18,6,FALSE)),1)*HLOOKUP(C463,Landbrug!$C$15:$E$17,2,FALSE)*HLOOKUP(C463,Landbrug!$C$15:$E$17,3,FALSE)*0.1</f>
        <v>0</v>
      </c>
      <c r="J463" s="76">
        <f t="shared" si="64"/>
        <v>37184.185767035677</v>
      </c>
    </row>
    <row r="464" spans="1:10" x14ac:dyDescent="0.55000000000000004">
      <c r="A464" t="s">
        <v>24</v>
      </c>
      <c r="B464" s="1" t="str">
        <f>[1]Afgrødefordeling!$C$2</f>
        <v>Korn</v>
      </c>
      <c r="C464">
        <v>2019</v>
      </c>
      <c r="D464" t="s">
        <v>8</v>
      </c>
      <c r="E464" s="172" t="str">
        <f t="shared" si="66"/>
        <v>OC12</v>
      </c>
      <c r="F464" t="str">
        <f t="shared" si="62"/>
        <v>Halm</v>
      </c>
      <c r="G464" s="76" cm="1">
        <f t="array" ref="G464">IF(A464="Vestdanmark",IF(D464="Konventionel",IF(C464=2019,SUMPRODUCT((B464='Landbrugsareal - resultat'!$B$5:$B$18)*(INDEX('Landbrugsareal - resultat'!$C$5:$E$18,,MATCH(E464,'Landbrugsareal - resultat'!$C$4:$E$4,0)))),IF(C464=2030,SUMPRODUCT((B464='Landbrugsareal - resultat'!$B$5:$B$18)*(INDEX('Landbrugsareal - resultat'!$F$5:$H$18,,MATCH(E464,'Landbrugsareal - resultat'!$F$4:$H$4,0)))),SUMPRODUCT((B464='Landbrugsareal - resultat'!$B$5:$B$18)*(INDEX('Landbrugsareal - resultat'!$I$5:$K$18,,MATCH(E464,'Landbrugsareal - resultat'!$I$4:$K$4,0)))))),IF(C464=2019,SUMPRODUCT((B464='Landbrugsareal - resultat'!$B$5:$B$18)*(INDEX('Landbrugsareal - resultat'!$L$5:$N$18,,MATCH(E464,'Landbrugsareal - resultat'!$L$4:$N$4,0)))),IF(C464=2030,SUMPRODUCT((B464='Landbrugsareal - resultat'!$B$5:$B$18)*(INDEX('Landbrugsareal - resultat'!$O$5:$Q$18,,MATCH(E464,'Landbrugsareal - resultat'!$O$4:$Q$4,0)))),SUMPRODUCT((B464='Landbrugsareal - resultat'!$B$5:$B$18)*(INDEX('Landbrugsareal - resultat'!$R$5:$T$18,,MATCH(E464,'Landbrugsareal - resultat'!$R$4:$T$4,0))))))),IF(D464="Konventionel",IF(C464=2019,SUMPRODUCT((B464='Landbrugsareal - resultat'!$B$32:$B$45)*(INDEX('Landbrugsareal - resultat'!$C$32:$E$45,,MATCH(E464,'Landbrugsareal - resultat'!$C$4:$E$4,0)))),IF(C464=2030,SUMPRODUCT((B464='Landbrugsareal - resultat'!$B$32:$B$45)*(INDEX('Landbrugsareal - resultat'!$F$32:$H$45,,MATCH(E464,'Landbrugsareal - resultat'!$F$4:$H$4,0)))),SUMPRODUCT((B464='Landbrugsareal - resultat'!$B$32:$B$45)*(INDEX('Landbrugsareal - resultat'!$I$32:$K$45,,MATCH(E464,'Landbrugsareal - resultat'!$I$4:$K$4,0)))))),IF(C464=2019,SUMPRODUCT((B464='Landbrugsareal - resultat'!$B$32:$B$45)*(INDEX('Landbrugsareal - resultat'!$L$32:$N$45,,MATCH(E464,'Landbrugsareal - resultat'!$L$4:$N$4,0)))),IF(C464=2030,SUMPRODUCT((B464='Landbrugsareal - resultat'!$B$32:$B$45)*(INDEX('Landbrugsareal - resultat'!$O$32:$Q$45,,MATCH(E464,'Landbrugsareal - resultat'!$O$4:$Q$4,0)))),SUMPRODUCT((B464='Landbrugsareal - resultat'!$B$32:$B$45)*(INDEX('Landbrugsareal - resultat'!$R$32:$T$45,,MATCH(E464,'Landbrugsareal - resultat'!$R$4:$T$4,0))))))))</f>
        <v>226.94315205364711</v>
      </c>
      <c r="H464" s="172">
        <f>G464*VLOOKUP(B464,[1]Afgrødedata!$A$5:$F$18,2,FALSE)*IF(D464="Økologisk",VLOOKUP(B464,[1]Afgrødedata!$A$5:$F$18,4,FALSE),1)*IF(E464&lt;&gt;Jordbund1,IF(E464=Organ6,VLOOKUP(B464,[1]Afgrødedata!$A$5:$F$18,5,FALSE),VLOOKUP(B464,[1]Afgrødedata!$A$5:$F$18,6,FALSE)),1)*0.1</f>
        <v>1492.2374631505099</v>
      </c>
      <c r="I464" s="172">
        <f>G464*VLOOKUP(B464,[1]Afgrødedata!$A$5:$F$18,3,FALSE)*IF(D464="Økologisk",VLOOKUP(B464,[1]Afgrødedata!$A$5:$F$18,4,FALSE),1)*IF(E464&lt;&gt;Jordbund1,IF(E464=Organ6,VLOOKUP(B464,[1]Afgrødedata!$A$5:$F$18,5,FALSE),VLOOKUP(B464,[1]Afgrødedata!$A$5:$F$18,6,FALSE)),1)*HLOOKUP(C464,Landbrug!$C$15:$E$17,2,FALSE)*HLOOKUP(C464,Landbrug!$C$15:$E$17,3,FALSE)*0.1</f>
        <v>487.06257737866866</v>
      </c>
      <c r="J464" s="76">
        <f t="shared" si="64"/>
        <v>487.06257737866866</v>
      </c>
    </row>
    <row r="465" spans="1:10" x14ac:dyDescent="0.55000000000000004">
      <c r="A465" t="s">
        <v>24</v>
      </c>
      <c r="B465" s="1" t="str">
        <f>[1]Afgrødefordeling!$C$3</f>
        <v>Bælgsæd</v>
      </c>
      <c r="C465">
        <v>2019</v>
      </c>
      <c r="D465" t="s">
        <v>8</v>
      </c>
      <c r="E465" s="172" t="str">
        <f t="shared" si="66"/>
        <v>OC12</v>
      </c>
      <c r="F465" t="str">
        <f t="shared" si="62"/>
        <v>Halm</v>
      </c>
      <c r="G465" s="76" cm="1">
        <f t="array" ref="G465">IF(A465="Vestdanmark",IF(D465="Konventionel",IF(C465=2019,SUMPRODUCT((B465='Landbrugsareal - resultat'!$B$5:$B$18)*(INDEX('Landbrugsareal - resultat'!$C$5:$E$18,,MATCH(E465,'Landbrugsareal - resultat'!$C$4:$E$4,0)))),IF(C465=2030,SUMPRODUCT((B465='Landbrugsareal - resultat'!$B$5:$B$18)*(INDEX('Landbrugsareal - resultat'!$F$5:$H$18,,MATCH(E465,'Landbrugsareal - resultat'!$F$4:$H$4,0)))),SUMPRODUCT((B465='Landbrugsareal - resultat'!$B$5:$B$18)*(INDEX('Landbrugsareal - resultat'!$I$5:$K$18,,MATCH(E465,'Landbrugsareal - resultat'!$I$4:$K$4,0)))))),IF(C465=2019,SUMPRODUCT((B465='Landbrugsareal - resultat'!$B$5:$B$18)*(INDEX('Landbrugsareal - resultat'!$L$5:$N$18,,MATCH(E465,'Landbrugsareal - resultat'!$L$4:$N$4,0)))),IF(C465=2030,SUMPRODUCT((B465='Landbrugsareal - resultat'!$B$5:$B$18)*(INDEX('Landbrugsareal - resultat'!$O$5:$Q$18,,MATCH(E465,'Landbrugsareal - resultat'!$O$4:$Q$4,0)))),SUMPRODUCT((B465='Landbrugsareal - resultat'!$B$5:$B$18)*(INDEX('Landbrugsareal - resultat'!$R$5:$T$18,,MATCH(E465,'Landbrugsareal - resultat'!$R$4:$T$4,0))))))),IF(D465="Konventionel",IF(C465=2019,SUMPRODUCT((B465='Landbrugsareal - resultat'!$B$32:$B$45)*(INDEX('Landbrugsareal - resultat'!$C$32:$E$45,,MATCH(E465,'Landbrugsareal - resultat'!$C$4:$E$4,0)))),IF(C465=2030,SUMPRODUCT((B465='Landbrugsareal - resultat'!$B$32:$B$45)*(INDEX('Landbrugsareal - resultat'!$F$32:$H$45,,MATCH(E465,'Landbrugsareal - resultat'!$F$4:$H$4,0)))),SUMPRODUCT((B465='Landbrugsareal - resultat'!$B$32:$B$45)*(INDEX('Landbrugsareal - resultat'!$I$32:$K$45,,MATCH(E465,'Landbrugsareal - resultat'!$I$4:$K$4,0)))))),IF(C465=2019,SUMPRODUCT((B465='Landbrugsareal - resultat'!$B$32:$B$45)*(INDEX('Landbrugsareal - resultat'!$L$32:$N$45,,MATCH(E465,'Landbrugsareal - resultat'!$L$4:$N$4,0)))),IF(C465=2030,SUMPRODUCT((B465='Landbrugsareal - resultat'!$B$32:$B$45)*(INDEX('Landbrugsareal - resultat'!$O$32:$Q$45,,MATCH(E465,'Landbrugsareal - resultat'!$O$4:$Q$4,0)))),SUMPRODUCT((B465='Landbrugsareal - resultat'!$B$32:$B$45)*(INDEX('Landbrugsareal - resultat'!$R$32:$T$45,,MATCH(E465,'Landbrugsareal - resultat'!$R$4:$T$4,0))))))))</f>
        <v>4.1220360083703804</v>
      </c>
      <c r="H465" s="172">
        <f>G465*VLOOKUP(B465,[1]Afgrødedata!$A$5:$F$18,2,FALSE)*IF(D465="Økologisk",VLOOKUP(B465,[1]Afgrødedata!$A$5:$F$18,4,FALSE),1)*IF(E465&lt;&gt;Jordbund1,IF(E465=Organ6,VLOOKUP(B465,[1]Afgrødedata!$A$5:$F$18,5,FALSE),VLOOKUP(B465,[1]Afgrødedata!$A$5:$F$18,6,FALSE)),1)*0.1</f>
        <v>12.697025075863115</v>
      </c>
      <c r="I465" s="172">
        <f>G465*VLOOKUP(B465,[1]Afgrødedata!$A$5:$F$18,3,FALSE)*IF(D465="Økologisk",VLOOKUP(B465,[1]Afgrødedata!$A$5:$F$18,4,FALSE),1)*IF(E465&lt;&gt;Jordbund1,IF(E465=Organ6,VLOOKUP(B465,[1]Afgrødedata!$A$5:$F$18,5,FALSE),VLOOKUP(B465,[1]Afgrødedata!$A$5:$F$18,6,FALSE)),1)*HLOOKUP(C465,Landbrug!$C$15:$E$17,2,FALSE)*HLOOKUP(C465,Landbrug!$C$15:$E$17,3,FALSE)*0.1</f>
        <v>3.7694768510062779</v>
      </c>
      <c r="J465" s="76">
        <f t="shared" si="64"/>
        <v>3.7694768510062779</v>
      </c>
    </row>
    <row r="466" spans="1:10" x14ac:dyDescent="0.55000000000000004">
      <c r="A466" t="s">
        <v>24</v>
      </c>
      <c r="B466" s="1" t="str">
        <f>[1]Afgrødefordeling!$C$4</f>
        <v>Raps</v>
      </c>
      <c r="C466">
        <v>2019</v>
      </c>
      <c r="D466" t="s">
        <v>8</v>
      </c>
      <c r="E466" s="172" t="str">
        <f t="shared" si="66"/>
        <v>OC12</v>
      </c>
      <c r="F466" t="str">
        <f t="shared" si="62"/>
        <v>Halm</v>
      </c>
      <c r="G466" s="76" cm="1">
        <f t="array" ref="G466">IF(A466="Vestdanmark",IF(D466="Konventionel",IF(C466=2019,SUMPRODUCT((B466='Landbrugsareal - resultat'!$B$5:$B$18)*(INDEX('Landbrugsareal - resultat'!$C$5:$E$18,,MATCH(E466,'Landbrugsareal - resultat'!$C$4:$E$4,0)))),IF(C466=2030,SUMPRODUCT((B466='Landbrugsareal - resultat'!$B$5:$B$18)*(INDEX('Landbrugsareal - resultat'!$F$5:$H$18,,MATCH(E466,'Landbrugsareal - resultat'!$F$4:$H$4,0)))),SUMPRODUCT((B466='Landbrugsareal - resultat'!$B$5:$B$18)*(INDEX('Landbrugsareal - resultat'!$I$5:$K$18,,MATCH(E466,'Landbrugsareal - resultat'!$I$4:$K$4,0)))))),IF(C466=2019,SUMPRODUCT((B466='Landbrugsareal - resultat'!$B$5:$B$18)*(INDEX('Landbrugsareal - resultat'!$L$5:$N$18,,MATCH(E466,'Landbrugsareal - resultat'!$L$4:$N$4,0)))),IF(C466=2030,SUMPRODUCT((B466='Landbrugsareal - resultat'!$B$5:$B$18)*(INDEX('Landbrugsareal - resultat'!$O$5:$Q$18,,MATCH(E466,'Landbrugsareal - resultat'!$O$4:$Q$4,0)))),SUMPRODUCT((B466='Landbrugsareal - resultat'!$B$5:$B$18)*(INDEX('Landbrugsareal - resultat'!$R$5:$T$18,,MATCH(E466,'Landbrugsareal - resultat'!$R$4:$T$4,0))))))),IF(D466="Konventionel",IF(C466=2019,SUMPRODUCT((B466='Landbrugsareal - resultat'!$B$32:$B$45)*(INDEX('Landbrugsareal - resultat'!$C$32:$E$45,,MATCH(E466,'Landbrugsareal - resultat'!$C$4:$E$4,0)))),IF(C466=2030,SUMPRODUCT((B466='Landbrugsareal - resultat'!$B$32:$B$45)*(INDEX('Landbrugsareal - resultat'!$F$32:$H$45,,MATCH(E466,'Landbrugsareal - resultat'!$F$4:$H$4,0)))),SUMPRODUCT((B466='Landbrugsareal - resultat'!$B$32:$B$45)*(INDEX('Landbrugsareal - resultat'!$I$32:$K$45,,MATCH(E466,'Landbrugsareal - resultat'!$I$4:$K$4,0)))))),IF(C466=2019,SUMPRODUCT((B466='Landbrugsareal - resultat'!$B$32:$B$45)*(INDEX('Landbrugsareal - resultat'!$L$32:$N$45,,MATCH(E466,'Landbrugsareal - resultat'!$L$4:$N$4,0)))),IF(C466=2030,SUMPRODUCT((B466='Landbrugsareal - resultat'!$B$32:$B$45)*(INDEX('Landbrugsareal - resultat'!$O$32:$Q$45,,MATCH(E466,'Landbrugsareal - resultat'!$O$4:$Q$4,0)))),SUMPRODUCT((B466='Landbrugsareal - resultat'!$B$32:$B$45)*(INDEX('Landbrugsareal - resultat'!$R$32:$T$45,,MATCH(E466,'Landbrugsareal - resultat'!$R$4:$T$4,0))))))))</f>
        <v>20.135181380321381</v>
      </c>
      <c r="H466" s="172">
        <f>G466*VLOOKUP(B466,[1]Afgrødedata!$A$5:$F$18,2,FALSE)*IF(D466="Økologisk",VLOOKUP(B466,[1]Afgrødedata!$A$5:$F$18,4,FALSE),1)*IF(E466&lt;&gt;Jordbund1,IF(E466=Organ6,VLOOKUP(B466,[1]Afgrødedata!$A$5:$F$18,5,FALSE),VLOOKUP(B466,[1]Afgrødedata!$A$5:$F$18,6,FALSE)),1)*0.1</f>
        <v>68.217994516528833</v>
      </c>
      <c r="I466" s="172">
        <f>G466*VLOOKUP(B466,[1]Afgrødedata!$A$5:$F$18,3,FALSE)*IF(D466="Økologisk",VLOOKUP(B466,[1]Afgrødedata!$A$5:$F$18,4,FALSE),1)*IF(E466&lt;&gt;Jordbund1,IF(E466=Organ6,VLOOKUP(B466,[1]Afgrødedata!$A$5:$F$18,5,FALSE),VLOOKUP(B466,[1]Afgrødedata!$A$5:$F$18,6,FALSE)),1)*HLOOKUP(C466,Landbrug!$C$15:$E$17,2,FALSE)*HLOOKUP(C466,Landbrug!$C$15:$E$17,3,FALSE)*0.1</f>
        <v>36.435571961250645</v>
      </c>
      <c r="J466" s="76">
        <f t="shared" si="64"/>
        <v>36.435571961250645</v>
      </c>
    </row>
    <row r="467" spans="1:10" x14ac:dyDescent="0.55000000000000004">
      <c r="A467" t="s">
        <v>24</v>
      </c>
      <c r="B467" s="1" t="str">
        <f>[1]Afgrødefordeling!$C$5</f>
        <v>Græs</v>
      </c>
      <c r="C467">
        <v>2019</v>
      </c>
      <c r="D467" t="s">
        <v>8</v>
      </c>
      <c r="E467" s="172" t="str">
        <f t="shared" si="66"/>
        <v>OC12</v>
      </c>
      <c r="F467" t="str">
        <f t="shared" si="62"/>
        <v>Græs</v>
      </c>
      <c r="G467" s="76" cm="1">
        <f t="array" ref="G467">IF(A467="Vestdanmark",IF(D467="Konventionel",IF(C467=2019,SUMPRODUCT((B467='Landbrugsareal - resultat'!$B$5:$B$18)*(INDEX('Landbrugsareal - resultat'!$C$5:$E$18,,MATCH(E467,'Landbrugsareal - resultat'!$C$4:$E$4,0)))),IF(C467=2030,SUMPRODUCT((B467='Landbrugsareal - resultat'!$B$5:$B$18)*(INDEX('Landbrugsareal - resultat'!$F$5:$H$18,,MATCH(E467,'Landbrugsareal - resultat'!$F$4:$H$4,0)))),SUMPRODUCT((B467='Landbrugsareal - resultat'!$B$5:$B$18)*(INDEX('Landbrugsareal - resultat'!$I$5:$K$18,,MATCH(E467,'Landbrugsareal - resultat'!$I$4:$K$4,0)))))),IF(C467=2019,SUMPRODUCT((B467='Landbrugsareal - resultat'!$B$5:$B$18)*(INDEX('Landbrugsareal - resultat'!$L$5:$N$18,,MATCH(E467,'Landbrugsareal - resultat'!$L$4:$N$4,0)))),IF(C467=2030,SUMPRODUCT((B467='Landbrugsareal - resultat'!$B$5:$B$18)*(INDEX('Landbrugsareal - resultat'!$O$5:$Q$18,,MATCH(E467,'Landbrugsareal - resultat'!$O$4:$Q$4,0)))),SUMPRODUCT((B467='Landbrugsareal - resultat'!$B$5:$B$18)*(INDEX('Landbrugsareal - resultat'!$R$5:$T$18,,MATCH(E467,'Landbrugsareal - resultat'!$R$4:$T$4,0))))))),IF(D467="Konventionel",IF(C467=2019,SUMPRODUCT((B467='Landbrugsareal - resultat'!$B$32:$B$45)*(INDEX('Landbrugsareal - resultat'!$C$32:$E$45,,MATCH(E467,'Landbrugsareal - resultat'!$C$4:$E$4,0)))),IF(C467=2030,SUMPRODUCT((B467='Landbrugsareal - resultat'!$B$32:$B$45)*(INDEX('Landbrugsareal - resultat'!$F$32:$H$45,,MATCH(E467,'Landbrugsareal - resultat'!$F$4:$H$4,0)))),SUMPRODUCT((B467='Landbrugsareal - resultat'!$B$32:$B$45)*(INDEX('Landbrugsareal - resultat'!$I$32:$K$45,,MATCH(E467,'Landbrugsareal - resultat'!$I$4:$K$4,0)))))),IF(C467=2019,SUMPRODUCT((B467='Landbrugsareal - resultat'!$B$32:$B$45)*(INDEX('Landbrugsareal - resultat'!$L$32:$N$45,,MATCH(E467,'Landbrugsareal - resultat'!$L$4:$N$4,0)))),IF(C467=2030,SUMPRODUCT((B467='Landbrugsareal - resultat'!$B$32:$B$45)*(INDEX('Landbrugsareal - resultat'!$O$32:$Q$45,,MATCH(E467,'Landbrugsareal - resultat'!$O$4:$Q$4,0)))),SUMPRODUCT((B467='Landbrugsareal - resultat'!$B$32:$B$45)*(INDEX('Landbrugsareal - resultat'!$R$32:$T$45,,MATCH(E467,'Landbrugsareal - resultat'!$R$4:$T$4,0))))))))</f>
        <v>147.96510942716867</v>
      </c>
      <c r="H467" s="172">
        <f>G467*VLOOKUP(B467,[1]Afgrødedata!$A$5:$F$18,2,FALSE)*IF(D467="Økologisk",VLOOKUP(B467,[1]Afgrødedata!$A$5:$F$18,4,FALSE),1)*IF(E467&lt;&gt;Jordbund1,IF(E467=Organ6,VLOOKUP(B467,[1]Afgrødedata!$A$5:$F$18,5,FALSE),VLOOKUP(B467,[1]Afgrødedata!$A$5:$F$18,6,FALSE)),1)*0.1</f>
        <v>8017.4953729155113</v>
      </c>
      <c r="I467" s="172">
        <f>G467*VLOOKUP(B467,[1]Afgrødedata!$A$5:$F$18,3,FALSE)*IF(D467="Økologisk",VLOOKUP(B467,[1]Afgrødedata!$A$5:$F$18,4,FALSE),1)*IF(E467&lt;&gt;Jordbund1,IF(E467=Organ6,VLOOKUP(B467,[1]Afgrødedata!$A$5:$F$18,5,FALSE),VLOOKUP(B467,[1]Afgrødedata!$A$5:$F$18,6,FALSE)),1)*HLOOKUP(C467,Landbrug!$C$15:$E$17,2,FALSE)*HLOOKUP(C467,Landbrug!$C$15:$E$17,3,FALSE)*0.1</f>
        <v>0</v>
      </c>
      <c r="J467" s="76">
        <f t="shared" si="64"/>
        <v>8017.4953729155113</v>
      </c>
    </row>
    <row r="468" spans="1:10" x14ac:dyDescent="0.55000000000000004">
      <c r="A468" t="s">
        <v>24</v>
      </c>
      <c r="B468" s="1" t="str">
        <f>[1]Afgrødefordeling!$C$6</f>
        <v>Grøntsager</v>
      </c>
      <c r="C468">
        <v>2019</v>
      </c>
      <c r="D468" t="s">
        <v>8</v>
      </c>
      <c r="E468" s="172" t="str">
        <f t="shared" si="66"/>
        <v>OC12</v>
      </c>
      <c r="F468" t="str">
        <f t="shared" ref="F468:F505" si="67">IF(I468&lt;&gt;0,"Halm",IF(B468&lt;&gt;"Permanent græs",B468,"Græs"))</f>
        <v>Grøntsager</v>
      </c>
      <c r="G468" s="76" cm="1">
        <f t="array" ref="G468">IF(A468="Vestdanmark",IF(D468="Konventionel",IF(C468=2019,SUMPRODUCT((B468='Landbrugsareal - resultat'!$B$5:$B$18)*(INDEX('Landbrugsareal - resultat'!$C$5:$E$18,,MATCH(E468,'Landbrugsareal - resultat'!$C$4:$E$4,0)))),IF(C468=2030,SUMPRODUCT((B468='Landbrugsareal - resultat'!$B$5:$B$18)*(INDEX('Landbrugsareal - resultat'!$F$5:$H$18,,MATCH(E468,'Landbrugsareal - resultat'!$F$4:$H$4,0)))),SUMPRODUCT((B468='Landbrugsareal - resultat'!$B$5:$B$18)*(INDEX('Landbrugsareal - resultat'!$I$5:$K$18,,MATCH(E468,'Landbrugsareal - resultat'!$I$4:$K$4,0)))))),IF(C468=2019,SUMPRODUCT((B468='Landbrugsareal - resultat'!$B$5:$B$18)*(INDEX('Landbrugsareal - resultat'!$L$5:$N$18,,MATCH(E468,'Landbrugsareal - resultat'!$L$4:$N$4,0)))),IF(C468=2030,SUMPRODUCT((B468='Landbrugsareal - resultat'!$B$5:$B$18)*(INDEX('Landbrugsareal - resultat'!$O$5:$Q$18,,MATCH(E468,'Landbrugsareal - resultat'!$O$4:$Q$4,0)))),SUMPRODUCT((B468='Landbrugsareal - resultat'!$B$5:$B$18)*(INDEX('Landbrugsareal - resultat'!$R$5:$T$18,,MATCH(E468,'Landbrugsareal - resultat'!$R$4:$T$4,0))))))),IF(D468="Konventionel",IF(C468=2019,SUMPRODUCT((B468='Landbrugsareal - resultat'!$B$32:$B$45)*(INDEX('Landbrugsareal - resultat'!$C$32:$E$45,,MATCH(E468,'Landbrugsareal - resultat'!$C$4:$E$4,0)))),IF(C468=2030,SUMPRODUCT((B468='Landbrugsareal - resultat'!$B$32:$B$45)*(INDEX('Landbrugsareal - resultat'!$F$32:$H$45,,MATCH(E468,'Landbrugsareal - resultat'!$F$4:$H$4,0)))),SUMPRODUCT((B468='Landbrugsareal - resultat'!$B$32:$B$45)*(INDEX('Landbrugsareal - resultat'!$I$32:$K$45,,MATCH(E468,'Landbrugsareal - resultat'!$I$4:$K$4,0)))))),IF(C468=2019,SUMPRODUCT((B468='Landbrugsareal - resultat'!$B$32:$B$45)*(INDEX('Landbrugsareal - resultat'!$L$32:$N$45,,MATCH(E468,'Landbrugsareal - resultat'!$L$4:$N$4,0)))),IF(C468=2030,SUMPRODUCT((B468='Landbrugsareal - resultat'!$B$32:$B$45)*(INDEX('Landbrugsareal - resultat'!$O$32:$Q$45,,MATCH(E468,'Landbrugsareal - resultat'!$O$4:$Q$4,0)))),SUMPRODUCT((B468='Landbrugsareal - resultat'!$B$32:$B$45)*(INDEX('Landbrugsareal - resultat'!$R$32:$T$45,,MATCH(E468,'Landbrugsareal - resultat'!$R$4:$T$4,0))))))))</f>
        <v>0.69641242298342532</v>
      </c>
      <c r="H468" s="172">
        <f>G468*VLOOKUP(B468,[1]Afgrødedata!$A$5:$F$18,2,FALSE)*IF(D468="Økologisk",VLOOKUP(B468,[1]Afgrødedata!$A$5:$F$18,4,FALSE),1)*IF(E468&lt;&gt;Jordbund1,IF(E468=Organ6,VLOOKUP(B468,[1]Afgrødedata!$A$5:$F$18,5,FALSE),VLOOKUP(B468,[1]Afgrødedata!$A$5:$F$18,6,FALSE)),1)*0.1</f>
        <v>11.531545105971047</v>
      </c>
      <c r="I468" s="172">
        <f>G468*VLOOKUP(B468,[1]Afgrødedata!$A$5:$F$18,3,FALSE)*IF(D468="Økologisk",VLOOKUP(B468,[1]Afgrødedata!$A$5:$F$18,4,FALSE),1)*IF(E468&lt;&gt;Jordbund1,IF(E468=Organ6,VLOOKUP(B468,[1]Afgrødedata!$A$5:$F$18,5,FALSE),VLOOKUP(B468,[1]Afgrødedata!$A$5:$F$18,6,FALSE)),1)*HLOOKUP(C468,Landbrug!$C$15:$E$17,2,FALSE)*HLOOKUP(C468,Landbrug!$C$15:$E$17,3,FALSE)*0.1</f>
        <v>0</v>
      </c>
      <c r="J468" s="76">
        <f t="shared" si="64"/>
        <v>11.531545105971047</v>
      </c>
    </row>
    <row r="469" spans="1:10" x14ac:dyDescent="0.55000000000000004">
      <c r="A469" t="s">
        <v>24</v>
      </c>
      <c r="B469" s="1" t="str">
        <f>[1]Afgrødefordeling!$C$7</f>
        <v>Kartofler</v>
      </c>
      <c r="C469">
        <v>2019</v>
      </c>
      <c r="D469" t="s">
        <v>8</v>
      </c>
      <c r="E469" s="172" t="str">
        <f t="shared" si="66"/>
        <v>OC12</v>
      </c>
      <c r="F469" t="str">
        <f t="shared" si="67"/>
        <v>Kartofler</v>
      </c>
      <c r="G469" s="76" cm="1">
        <f t="array" ref="G469">IF(A469="Vestdanmark",IF(D469="Konventionel",IF(C469=2019,SUMPRODUCT((B469='Landbrugsareal - resultat'!$B$5:$B$18)*(INDEX('Landbrugsareal - resultat'!$C$5:$E$18,,MATCH(E469,'Landbrugsareal - resultat'!$C$4:$E$4,0)))),IF(C469=2030,SUMPRODUCT((B469='Landbrugsareal - resultat'!$B$5:$B$18)*(INDEX('Landbrugsareal - resultat'!$F$5:$H$18,,MATCH(E469,'Landbrugsareal - resultat'!$F$4:$H$4,0)))),SUMPRODUCT((B469='Landbrugsareal - resultat'!$B$5:$B$18)*(INDEX('Landbrugsareal - resultat'!$I$5:$K$18,,MATCH(E469,'Landbrugsareal - resultat'!$I$4:$K$4,0)))))),IF(C469=2019,SUMPRODUCT((B469='Landbrugsareal - resultat'!$B$5:$B$18)*(INDEX('Landbrugsareal - resultat'!$L$5:$N$18,,MATCH(E469,'Landbrugsareal - resultat'!$L$4:$N$4,0)))),IF(C469=2030,SUMPRODUCT((B469='Landbrugsareal - resultat'!$B$5:$B$18)*(INDEX('Landbrugsareal - resultat'!$O$5:$Q$18,,MATCH(E469,'Landbrugsareal - resultat'!$O$4:$Q$4,0)))),SUMPRODUCT((B469='Landbrugsareal - resultat'!$B$5:$B$18)*(INDEX('Landbrugsareal - resultat'!$R$5:$T$18,,MATCH(E469,'Landbrugsareal - resultat'!$R$4:$T$4,0))))))),IF(D469="Konventionel",IF(C469=2019,SUMPRODUCT((B469='Landbrugsareal - resultat'!$B$32:$B$45)*(INDEX('Landbrugsareal - resultat'!$C$32:$E$45,,MATCH(E469,'Landbrugsareal - resultat'!$C$4:$E$4,0)))),IF(C469=2030,SUMPRODUCT((B469='Landbrugsareal - resultat'!$B$32:$B$45)*(INDEX('Landbrugsareal - resultat'!$F$32:$H$45,,MATCH(E469,'Landbrugsareal - resultat'!$F$4:$H$4,0)))),SUMPRODUCT((B469='Landbrugsareal - resultat'!$B$32:$B$45)*(INDEX('Landbrugsareal - resultat'!$I$32:$K$45,,MATCH(E469,'Landbrugsareal - resultat'!$I$4:$K$4,0)))))),IF(C469=2019,SUMPRODUCT((B469='Landbrugsareal - resultat'!$B$32:$B$45)*(INDEX('Landbrugsareal - resultat'!$L$32:$N$45,,MATCH(E469,'Landbrugsareal - resultat'!$L$4:$N$4,0)))),IF(C469=2030,SUMPRODUCT((B469='Landbrugsareal - resultat'!$B$32:$B$45)*(INDEX('Landbrugsareal - resultat'!$O$32:$Q$45,,MATCH(E469,'Landbrugsareal - resultat'!$O$4:$Q$4,0)))),SUMPRODUCT((B469='Landbrugsareal - resultat'!$B$32:$B$45)*(INDEX('Landbrugsareal - resultat'!$R$32:$T$45,,MATCH(E469,'Landbrugsareal - resultat'!$R$4:$T$4,0))))))))</f>
        <v>3.9694677344109963</v>
      </c>
      <c r="H469" s="172">
        <f>G469*VLOOKUP(B469,[1]Afgrødedata!$A$5:$F$18,2,FALSE)*IF(D469="Økologisk",VLOOKUP(B469,[1]Afgrødedata!$A$5:$F$18,4,FALSE),1)*IF(E469&lt;&gt;Jordbund1,IF(E469=Organ6,VLOOKUP(B469,[1]Afgrødedata!$A$5:$F$18,5,FALSE),VLOOKUP(B469,[1]Afgrødedata!$A$5:$F$18,6,FALSE)),1)*0.1</f>
        <v>134.53231835071648</v>
      </c>
      <c r="I469" s="172">
        <f>G469*VLOOKUP(B469,[1]Afgrødedata!$A$5:$F$18,3,FALSE)*IF(D469="Økologisk",VLOOKUP(B469,[1]Afgrødedata!$A$5:$F$18,4,FALSE),1)*IF(E469&lt;&gt;Jordbund1,IF(E469=Organ6,VLOOKUP(B469,[1]Afgrødedata!$A$5:$F$18,5,FALSE),VLOOKUP(B469,[1]Afgrødedata!$A$5:$F$18,6,FALSE)),1)*HLOOKUP(C469,Landbrug!$C$15:$E$17,2,FALSE)*HLOOKUP(C469,Landbrug!$C$15:$E$17,3,FALSE)*0.1</f>
        <v>0</v>
      </c>
      <c r="J469" s="76">
        <f t="shared" ref="J469:J487" si="68">IF(I469&lt;&gt;0,I469,H469)</f>
        <v>134.53231835071648</v>
      </c>
    </row>
    <row r="470" spans="1:10" x14ac:dyDescent="0.55000000000000004">
      <c r="A470" t="s">
        <v>24</v>
      </c>
      <c r="B470" s="1" t="str">
        <f>[1]Afgrødefordeling!$C$8</f>
        <v>Roer</v>
      </c>
      <c r="C470">
        <v>2019</v>
      </c>
      <c r="D470" t="s">
        <v>8</v>
      </c>
      <c r="E470" s="172" t="str">
        <f t="shared" si="66"/>
        <v>OC12</v>
      </c>
      <c r="F470" t="str">
        <f t="shared" si="67"/>
        <v>Roer</v>
      </c>
      <c r="G470" s="76" cm="1">
        <f t="array" ref="G470">IF(A470="Vestdanmark",IF(D470="Konventionel",IF(C470=2019,SUMPRODUCT((B470='Landbrugsareal - resultat'!$B$5:$B$18)*(INDEX('Landbrugsareal - resultat'!$C$5:$E$18,,MATCH(E470,'Landbrugsareal - resultat'!$C$4:$E$4,0)))),IF(C470=2030,SUMPRODUCT((B470='Landbrugsareal - resultat'!$B$5:$B$18)*(INDEX('Landbrugsareal - resultat'!$F$5:$H$18,,MATCH(E470,'Landbrugsareal - resultat'!$F$4:$H$4,0)))),SUMPRODUCT((B470='Landbrugsareal - resultat'!$B$5:$B$18)*(INDEX('Landbrugsareal - resultat'!$I$5:$K$18,,MATCH(E470,'Landbrugsareal - resultat'!$I$4:$K$4,0)))))),IF(C470=2019,SUMPRODUCT((B470='Landbrugsareal - resultat'!$B$5:$B$18)*(INDEX('Landbrugsareal - resultat'!$L$5:$N$18,,MATCH(E470,'Landbrugsareal - resultat'!$L$4:$N$4,0)))),IF(C470=2030,SUMPRODUCT((B470='Landbrugsareal - resultat'!$B$5:$B$18)*(INDEX('Landbrugsareal - resultat'!$O$5:$Q$18,,MATCH(E470,'Landbrugsareal - resultat'!$O$4:$Q$4,0)))),SUMPRODUCT((B470='Landbrugsareal - resultat'!$B$5:$B$18)*(INDEX('Landbrugsareal - resultat'!$R$5:$T$18,,MATCH(E470,'Landbrugsareal - resultat'!$R$4:$T$4,0))))))),IF(D470="Konventionel",IF(C470=2019,SUMPRODUCT((B470='Landbrugsareal - resultat'!$B$32:$B$45)*(INDEX('Landbrugsareal - resultat'!$C$32:$E$45,,MATCH(E470,'Landbrugsareal - resultat'!$C$4:$E$4,0)))),IF(C470=2030,SUMPRODUCT((B470='Landbrugsareal - resultat'!$B$32:$B$45)*(INDEX('Landbrugsareal - resultat'!$F$32:$H$45,,MATCH(E470,'Landbrugsareal - resultat'!$F$4:$H$4,0)))),SUMPRODUCT((B470='Landbrugsareal - resultat'!$B$32:$B$45)*(INDEX('Landbrugsareal - resultat'!$I$32:$K$45,,MATCH(E470,'Landbrugsareal - resultat'!$I$4:$K$4,0)))))),IF(C470=2019,SUMPRODUCT((B470='Landbrugsareal - resultat'!$B$32:$B$45)*(INDEX('Landbrugsareal - resultat'!$L$32:$N$45,,MATCH(E470,'Landbrugsareal - resultat'!$L$4:$N$4,0)))),IF(C470=2030,SUMPRODUCT((B470='Landbrugsareal - resultat'!$B$32:$B$45)*(INDEX('Landbrugsareal - resultat'!$O$32:$Q$45,,MATCH(E470,'Landbrugsareal - resultat'!$O$4:$Q$4,0)))),SUMPRODUCT((B470='Landbrugsareal - resultat'!$B$32:$B$45)*(INDEX('Landbrugsareal - resultat'!$R$32:$T$45,,MATCH(E470,'Landbrugsareal - resultat'!$R$4:$T$4,0))))))))</f>
        <v>4.5711818744455988</v>
      </c>
      <c r="H470" s="172">
        <f>G470*VLOOKUP(B470,[1]Afgrødedata!$A$5:$F$18,2,FALSE)*IF(D470="Økologisk",VLOOKUP(B470,[1]Afgrødedata!$A$5:$F$18,4,FALSE),1)*IF(E470&lt;&gt;Jordbund1,IF(E470=Organ6,VLOOKUP(B470,[1]Afgrødedata!$A$5:$F$18,5,FALSE),VLOOKUP(B470,[1]Afgrødedata!$A$5:$F$18,6,FALSE)),1)*0.1</f>
        <v>296.39761599009711</v>
      </c>
      <c r="I470" s="172">
        <f>G470*VLOOKUP(B470,[1]Afgrødedata!$A$5:$F$18,3,FALSE)*IF(D470="Økologisk",VLOOKUP(B470,[1]Afgrødedata!$A$5:$F$18,4,FALSE),1)*IF(E470&lt;&gt;Jordbund1,IF(E470=Organ6,VLOOKUP(B470,[1]Afgrødedata!$A$5:$F$18,5,FALSE),VLOOKUP(B470,[1]Afgrødedata!$A$5:$F$18,6,FALSE)),1)*HLOOKUP(C470,Landbrug!$C$15:$E$17,2,FALSE)*HLOOKUP(C470,Landbrug!$C$15:$E$17,3,FALSE)*0.1</f>
        <v>0</v>
      </c>
      <c r="J470" s="76">
        <f t="shared" si="68"/>
        <v>296.39761599009711</v>
      </c>
    </row>
    <row r="471" spans="1:10" x14ac:dyDescent="0.55000000000000004">
      <c r="A471" t="s">
        <v>24</v>
      </c>
      <c r="B471" s="1" t="str">
        <f>[1]Afgrødefordeling!$C$9</f>
        <v>Majs</v>
      </c>
      <c r="C471">
        <v>2019</v>
      </c>
      <c r="D471" t="s">
        <v>8</v>
      </c>
      <c r="E471" s="172" t="str">
        <f t="shared" si="66"/>
        <v>OC12</v>
      </c>
      <c r="F471" t="str">
        <f t="shared" si="67"/>
        <v>Majs</v>
      </c>
      <c r="G471" s="76" cm="1">
        <f t="array" ref="G471">IF(A471="Vestdanmark",IF(D471="Konventionel",IF(C471=2019,SUMPRODUCT((B471='Landbrugsareal - resultat'!$B$5:$B$18)*(INDEX('Landbrugsareal - resultat'!$C$5:$E$18,,MATCH(E471,'Landbrugsareal - resultat'!$C$4:$E$4,0)))),IF(C471=2030,SUMPRODUCT((B471='Landbrugsareal - resultat'!$B$5:$B$18)*(INDEX('Landbrugsareal - resultat'!$F$5:$H$18,,MATCH(E471,'Landbrugsareal - resultat'!$F$4:$H$4,0)))),SUMPRODUCT((B471='Landbrugsareal - resultat'!$B$5:$B$18)*(INDEX('Landbrugsareal - resultat'!$I$5:$K$18,,MATCH(E471,'Landbrugsareal - resultat'!$I$4:$K$4,0)))))),IF(C471=2019,SUMPRODUCT((B471='Landbrugsareal - resultat'!$B$5:$B$18)*(INDEX('Landbrugsareal - resultat'!$L$5:$N$18,,MATCH(E471,'Landbrugsareal - resultat'!$L$4:$N$4,0)))),IF(C471=2030,SUMPRODUCT((B471='Landbrugsareal - resultat'!$B$5:$B$18)*(INDEX('Landbrugsareal - resultat'!$O$5:$Q$18,,MATCH(E471,'Landbrugsareal - resultat'!$O$4:$Q$4,0)))),SUMPRODUCT((B471='Landbrugsareal - resultat'!$B$5:$B$18)*(INDEX('Landbrugsareal - resultat'!$R$5:$T$18,,MATCH(E471,'Landbrugsareal - resultat'!$R$4:$T$4,0))))))),IF(D471="Konventionel",IF(C471=2019,SUMPRODUCT((B471='Landbrugsareal - resultat'!$B$32:$B$45)*(INDEX('Landbrugsareal - resultat'!$C$32:$E$45,,MATCH(E471,'Landbrugsareal - resultat'!$C$4:$E$4,0)))),IF(C471=2030,SUMPRODUCT((B471='Landbrugsareal - resultat'!$B$32:$B$45)*(INDEX('Landbrugsareal - resultat'!$F$32:$H$45,,MATCH(E471,'Landbrugsareal - resultat'!$F$4:$H$4,0)))),SUMPRODUCT((B471='Landbrugsareal - resultat'!$B$32:$B$45)*(INDEX('Landbrugsareal - resultat'!$I$32:$K$45,,MATCH(E471,'Landbrugsareal - resultat'!$I$4:$K$4,0)))))),IF(C471=2019,SUMPRODUCT((B471='Landbrugsareal - resultat'!$B$32:$B$45)*(INDEX('Landbrugsareal - resultat'!$L$32:$N$45,,MATCH(E471,'Landbrugsareal - resultat'!$L$4:$N$4,0)))),IF(C471=2030,SUMPRODUCT((B471='Landbrugsareal - resultat'!$B$32:$B$45)*(INDEX('Landbrugsareal - resultat'!$O$32:$Q$45,,MATCH(E471,'Landbrugsareal - resultat'!$O$4:$Q$4,0)))),SUMPRODUCT((B471='Landbrugsareal - resultat'!$B$32:$B$45)*(INDEX('Landbrugsareal - resultat'!$R$32:$T$45,,MATCH(E471,'Landbrugsareal - resultat'!$R$4:$T$4,0))))))))</f>
        <v>4.6951866622642671</v>
      </c>
      <c r="H471" s="172">
        <f>G471*VLOOKUP(B471,[1]Afgrødedata!$A$5:$F$18,2,FALSE)*IF(D471="Økologisk",VLOOKUP(B471,[1]Afgrødedata!$A$5:$F$18,4,FALSE),1)*IF(E471&lt;&gt;Jordbund1,IF(E471=Organ6,VLOOKUP(B471,[1]Afgrødedata!$A$5:$F$18,5,FALSE),VLOOKUP(B471,[1]Afgrødedata!$A$5:$F$18,6,FALSE)),1)*0.1</f>
        <v>242.83796518803848</v>
      </c>
      <c r="I471" s="172">
        <f>G471*VLOOKUP(B471,[1]Afgrødedata!$A$5:$F$18,3,FALSE)*IF(D471="Økologisk",VLOOKUP(B471,[1]Afgrødedata!$A$5:$F$18,4,FALSE),1)*IF(E471&lt;&gt;Jordbund1,IF(E471=Organ6,VLOOKUP(B471,[1]Afgrødedata!$A$5:$F$18,5,FALSE),VLOOKUP(B471,[1]Afgrødedata!$A$5:$F$18,6,FALSE)),1)*HLOOKUP(C471,Landbrug!$C$15:$E$17,2,FALSE)*HLOOKUP(C471,Landbrug!$C$15:$E$17,3,FALSE)*0.1</f>
        <v>0</v>
      </c>
      <c r="J471" s="76">
        <f t="shared" si="68"/>
        <v>242.83796518803848</v>
      </c>
    </row>
    <row r="472" spans="1:10" x14ac:dyDescent="0.55000000000000004">
      <c r="A472" t="s">
        <v>24</v>
      </c>
      <c r="B472" s="1" t="str">
        <f>[1]Afgrødefordeling!$C$10</f>
        <v>Frugt</v>
      </c>
      <c r="C472">
        <v>2019</v>
      </c>
      <c r="D472" t="s">
        <v>8</v>
      </c>
      <c r="E472" s="172" t="str">
        <f t="shared" si="66"/>
        <v>OC12</v>
      </c>
      <c r="F472" t="str">
        <f t="shared" si="67"/>
        <v>Frugt</v>
      </c>
      <c r="G472" s="76" cm="1">
        <f t="array" ref="G472">IF(A472="Vestdanmark",IF(D472="Konventionel",IF(C472=2019,SUMPRODUCT((B472='Landbrugsareal - resultat'!$B$5:$B$18)*(INDEX('Landbrugsareal - resultat'!$C$5:$E$18,,MATCH(E472,'Landbrugsareal - resultat'!$C$4:$E$4,0)))),IF(C472=2030,SUMPRODUCT((B472='Landbrugsareal - resultat'!$B$5:$B$18)*(INDEX('Landbrugsareal - resultat'!$F$5:$H$18,,MATCH(E472,'Landbrugsareal - resultat'!$F$4:$H$4,0)))),SUMPRODUCT((B472='Landbrugsareal - resultat'!$B$5:$B$18)*(INDEX('Landbrugsareal - resultat'!$I$5:$K$18,,MATCH(E472,'Landbrugsareal - resultat'!$I$4:$K$4,0)))))),IF(C472=2019,SUMPRODUCT((B472='Landbrugsareal - resultat'!$B$5:$B$18)*(INDEX('Landbrugsareal - resultat'!$L$5:$N$18,,MATCH(E472,'Landbrugsareal - resultat'!$L$4:$N$4,0)))),IF(C472=2030,SUMPRODUCT((B472='Landbrugsareal - resultat'!$B$5:$B$18)*(INDEX('Landbrugsareal - resultat'!$O$5:$Q$18,,MATCH(E472,'Landbrugsareal - resultat'!$O$4:$Q$4,0)))),SUMPRODUCT((B472='Landbrugsareal - resultat'!$B$5:$B$18)*(INDEX('Landbrugsareal - resultat'!$R$5:$T$18,,MATCH(E472,'Landbrugsareal - resultat'!$R$4:$T$4,0))))))),IF(D472="Konventionel",IF(C472=2019,SUMPRODUCT((B472='Landbrugsareal - resultat'!$B$32:$B$45)*(INDEX('Landbrugsareal - resultat'!$C$32:$E$45,,MATCH(E472,'Landbrugsareal - resultat'!$C$4:$E$4,0)))),IF(C472=2030,SUMPRODUCT((B472='Landbrugsareal - resultat'!$B$32:$B$45)*(INDEX('Landbrugsareal - resultat'!$F$32:$H$45,,MATCH(E472,'Landbrugsareal - resultat'!$F$4:$H$4,0)))),SUMPRODUCT((B472='Landbrugsareal - resultat'!$B$32:$B$45)*(INDEX('Landbrugsareal - resultat'!$I$32:$K$45,,MATCH(E472,'Landbrugsareal - resultat'!$I$4:$K$4,0)))))),IF(C472=2019,SUMPRODUCT((B472='Landbrugsareal - resultat'!$B$32:$B$45)*(INDEX('Landbrugsareal - resultat'!$L$32:$N$45,,MATCH(E472,'Landbrugsareal - resultat'!$L$4:$N$4,0)))),IF(C472=2030,SUMPRODUCT((B472='Landbrugsareal - resultat'!$B$32:$B$45)*(INDEX('Landbrugsareal - resultat'!$O$32:$Q$45,,MATCH(E472,'Landbrugsareal - resultat'!$O$4:$Q$4,0)))),SUMPRODUCT((B472='Landbrugsareal - resultat'!$B$32:$B$45)*(INDEX('Landbrugsareal - resultat'!$R$32:$T$45,,MATCH(E472,'Landbrugsareal - resultat'!$R$4:$T$4,0))))))))</f>
        <v>1.7037680777194875</v>
      </c>
      <c r="H472" s="172">
        <f>G472*VLOOKUP(B472,[1]Afgrødedata!$A$5:$F$18,2,FALSE)*IF(D472="Økologisk",VLOOKUP(B472,[1]Afgrødedata!$A$5:$F$18,4,FALSE),1)*IF(E472&lt;&gt;Jordbund1,IF(E472=Organ6,VLOOKUP(B472,[1]Afgrødedata!$A$5:$F$18,5,FALSE),VLOOKUP(B472,[1]Afgrødedata!$A$5:$F$18,6,FALSE)),1)*0.1</f>
        <v>11.543062801911082</v>
      </c>
      <c r="I472" s="172">
        <f>G472*VLOOKUP(B472,[1]Afgrødedata!$A$5:$F$18,3,FALSE)*IF(D472="Økologisk",VLOOKUP(B472,[1]Afgrødedata!$A$5:$F$18,4,FALSE),1)*IF(E472&lt;&gt;Jordbund1,IF(E472=Organ6,VLOOKUP(B472,[1]Afgrødedata!$A$5:$F$18,5,FALSE),VLOOKUP(B472,[1]Afgrødedata!$A$5:$F$18,6,FALSE)),1)*HLOOKUP(C472,Landbrug!$C$15:$E$17,2,FALSE)*HLOOKUP(C472,Landbrug!$C$15:$E$17,3,FALSE)*0.1</f>
        <v>0</v>
      </c>
      <c r="J472" s="76">
        <f t="shared" si="68"/>
        <v>11.543062801911082</v>
      </c>
    </row>
    <row r="473" spans="1:10" x14ac:dyDescent="0.55000000000000004">
      <c r="A473" t="s">
        <v>24</v>
      </c>
      <c r="B473" s="1" t="str">
        <f>[1]Afgrødefordeling!$C$11</f>
        <v>Øvrige</v>
      </c>
      <c r="C473">
        <v>2019</v>
      </c>
      <c r="D473" t="s">
        <v>8</v>
      </c>
      <c r="E473" s="172" t="str">
        <f t="shared" si="66"/>
        <v>OC12</v>
      </c>
      <c r="F473" t="str">
        <f t="shared" si="67"/>
        <v>Øvrige</v>
      </c>
      <c r="G473" s="76" cm="1">
        <f t="array" ref="G473">IF(A473="Vestdanmark",IF(D473="Konventionel",IF(C473=2019,SUMPRODUCT((B473='Landbrugsareal - resultat'!$B$5:$B$18)*(INDEX('Landbrugsareal - resultat'!$C$5:$E$18,,MATCH(E473,'Landbrugsareal - resultat'!$C$4:$E$4,0)))),IF(C473=2030,SUMPRODUCT((B473='Landbrugsareal - resultat'!$B$5:$B$18)*(INDEX('Landbrugsareal - resultat'!$F$5:$H$18,,MATCH(E473,'Landbrugsareal - resultat'!$F$4:$H$4,0)))),SUMPRODUCT((B473='Landbrugsareal - resultat'!$B$5:$B$18)*(INDEX('Landbrugsareal - resultat'!$I$5:$K$18,,MATCH(E473,'Landbrugsareal - resultat'!$I$4:$K$4,0)))))),IF(C473=2019,SUMPRODUCT((B473='Landbrugsareal - resultat'!$B$5:$B$18)*(INDEX('Landbrugsareal - resultat'!$L$5:$N$18,,MATCH(E473,'Landbrugsareal - resultat'!$L$4:$N$4,0)))),IF(C473=2030,SUMPRODUCT((B473='Landbrugsareal - resultat'!$B$5:$B$18)*(INDEX('Landbrugsareal - resultat'!$O$5:$Q$18,,MATCH(E473,'Landbrugsareal - resultat'!$O$4:$Q$4,0)))),SUMPRODUCT((B473='Landbrugsareal - resultat'!$B$5:$B$18)*(INDEX('Landbrugsareal - resultat'!$R$5:$T$18,,MATCH(E473,'Landbrugsareal - resultat'!$R$4:$T$4,0))))))),IF(D473="Konventionel",IF(C473=2019,SUMPRODUCT((B473='Landbrugsareal - resultat'!$B$32:$B$45)*(INDEX('Landbrugsareal - resultat'!$C$32:$E$45,,MATCH(E473,'Landbrugsareal - resultat'!$C$4:$E$4,0)))),IF(C473=2030,SUMPRODUCT((B473='Landbrugsareal - resultat'!$B$32:$B$45)*(INDEX('Landbrugsareal - resultat'!$F$32:$H$45,,MATCH(E473,'Landbrugsareal - resultat'!$F$4:$H$4,0)))),SUMPRODUCT((B473='Landbrugsareal - resultat'!$B$32:$B$45)*(INDEX('Landbrugsareal - resultat'!$I$32:$K$45,,MATCH(E473,'Landbrugsareal - resultat'!$I$4:$K$4,0)))))),IF(C473=2019,SUMPRODUCT((B473='Landbrugsareal - resultat'!$B$32:$B$45)*(INDEX('Landbrugsareal - resultat'!$L$32:$N$45,,MATCH(E473,'Landbrugsareal - resultat'!$L$4:$N$4,0)))),IF(C473=2030,SUMPRODUCT((B473='Landbrugsareal - resultat'!$B$32:$B$45)*(INDEX('Landbrugsareal - resultat'!$O$32:$Q$45,,MATCH(E473,'Landbrugsareal - resultat'!$O$4:$Q$4,0)))),SUMPRODUCT((B473='Landbrugsareal - resultat'!$B$32:$B$45)*(INDEX('Landbrugsareal - resultat'!$R$32:$T$45,,MATCH(E473,'Landbrugsareal - resultat'!$R$4:$T$4,0))))))))</f>
        <v>12.1657304223686</v>
      </c>
      <c r="H473" s="172">
        <f>G473*VLOOKUP(B473,[1]Afgrødedata!$A$5:$F$18,2,FALSE)*IF(D473="Økologisk",VLOOKUP(B473,[1]Afgrødedata!$A$5:$F$18,4,FALSE),1)*IF(E473&lt;&gt;Jordbund1,IF(E473=Organ6,VLOOKUP(B473,[1]Afgrødedata!$A$5:$F$18,5,FALSE),VLOOKUP(B473,[1]Afgrødedata!$A$5:$F$18,6,FALSE)),1)*0.1</f>
        <v>289.2665542877732</v>
      </c>
      <c r="I473" s="172">
        <f>G473*VLOOKUP(B473,[1]Afgrødedata!$A$5:$F$18,3,FALSE)*IF(D473="Økologisk",VLOOKUP(B473,[1]Afgrødedata!$A$5:$F$18,4,FALSE),1)*IF(E473&lt;&gt;Jordbund1,IF(E473=Organ6,VLOOKUP(B473,[1]Afgrødedata!$A$5:$F$18,5,FALSE),VLOOKUP(B473,[1]Afgrødedata!$A$5:$F$18,6,FALSE)),1)*HLOOKUP(C473,Landbrug!$C$15:$E$17,2,FALSE)*HLOOKUP(C473,Landbrug!$C$15:$E$17,3,FALSE)*0.1</f>
        <v>0</v>
      </c>
      <c r="J473" s="76">
        <f t="shared" si="68"/>
        <v>289.2665542877732</v>
      </c>
    </row>
    <row r="474" spans="1:10" x14ac:dyDescent="0.55000000000000004">
      <c r="A474" t="s">
        <v>24</v>
      </c>
      <c r="B474" s="1" t="str">
        <f>[1]Afgrødefordeling!$C$12</f>
        <v>Frø</v>
      </c>
      <c r="C474">
        <v>2019</v>
      </c>
      <c r="D474" t="s">
        <v>8</v>
      </c>
      <c r="E474" s="172" t="str">
        <f t="shared" si="66"/>
        <v>OC12</v>
      </c>
      <c r="F474" t="str">
        <f t="shared" si="67"/>
        <v>Halm</v>
      </c>
      <c r="G474" s="76" cm="1">
        <f t="array" ref="G474">IF(A474="Vestdanmark",IF(D474="Konventionel",IF(C474=2019,SUMPRODUCT((B474='Landbrugsareal - resultat'!$B$5:$B$18)*(INDEX('Landbrugsareal - resultat'!$C$5:$E$18,,MATCH(E474,'Landbrugsareal - resultat'!$C$4:$E$4,0)))),IF(C474=2030,SUMPRODUCT((B474='Landbrugsareal - resultat'!$B$5:$B$18)*(INDEX('Landbrugsareal - resultat'!$F$5:$H$18,,MATCH(E474,'Landbrugsareal - resultat'!$F$4:$H$4,0)))),SUMPRODUCT((B474='Landbrugsareal - resultat'!$B$5:$B$18)*(INDEX('Landbrugsareal - resultat'!$I$5:$K$18,,MATCH(E474,'Landbrugsareal - resultat'!$I$4:$K$4,0)))))),IF(C474=2019,SUMPRODUCT((B474='Landbrugsareal - resultat'!$B$5:$B$18)*(INDEX('Landbrugsareal - resultat'!$L$5:$N$18,,MATCH(E474,'Landbrugsareal - resultat'!$L$4:$N$4,0)))),IF(C474=2030,SUMPRODUCT((B474='Landbrugsareal - resultat'!$B$5:$B$18)*(INDEX('Landbrugsareal - resultat'!$O$5:$Q$18,,MATCH(E474,'Landbrugsareal - resultat'!$O$4:$Q$4,0)))),SUMPRODUCT((B474='Landbrugsareal - resultat'!$B$5:$B$18)*(INDEX('Landbrugsareal - resultat'!$R$5:$T$18,,MATCH(E474,'Landbrugsareal - resultat'!$R$4:$T$4,0))))))),IF(D474="Konventionel",IF(C474=2019,SUMPRODUCT((B474='Landbrugsareal - resultat'!$B$32:$B$45)*(INDEX('Landbrugsareal - resultat'!$C$32:$E$45,,MATCH(E474,'Landbrugsareal - resultat'!$C$4:$E$4,0)))),IF(C474=2030,SUMPRODUCT((B474='Landbrugsareal - resultat'!$B$32:$B$45)*(INDEX('Landbrugsareal - resultat'!$F$32:$H$45,,MATCH(E474,'Landbrugsareal - resultat'!$F$4:$H$4,0)))),SUMPRODUCT((B474='Landbrugsareal - resultat'!$B$32:$B$45)*(INDEX('Landbrugsareal - resultat'!$I$32:$K$45,,MATCH(E474,'Landbrugsareal - resultat'!$I$4:$K$4,0)))))),IF(C474=2019,SUMPRODUCT((B474='Landbrugsareal - resultat'!$B$32:$B$45)*(INDEX('Landbrugsareal - resultat'!$L$32:$N$45,,MATCH(E474,'Landbrugsareal - resultat'!$L$4:$N$4,0)))),IF(C474=2030,SUMPRODUCT((B474='Landbrugsareal - resultat'!$B$32:$B$45)*(INDEX('Landbrugsareal - resultat'!$O$32:$Q$45,,MATCH(E474,'Landbrugsareal - resultat'!$O$4:$Q$4,0)))),SUMPRODUCT((B474='Landbrugsareal - resultat'!$B$32:$B$45)*(INDEX('Landbrugsareal - resultat'!$R$32:$T$45,,MATCH(E474,'Landbrugsareal - resultat'!$R$4:$T$4,0))))))))</f>
        <v>113.84906495358277</v>
      </c>
      <c r="H474" s="172">
        <f>G474*VLOOKUP(B474,[1]Afgrødedata!$A$5:$F$18,2,FALSE)*IF(D474="Økologisk",VLOOKUP(B474,[1]Afgrødedata!$A$5:$F$18,4,FALSE),1)*IF(E474&lt;&gt;Jordbund1,IF(E474=Organ6,VLOOKUP(B474,[1]Afgrødedata!$A$5:$F$18,5,FALSE),VLOOKUP(B474,[1]Afgrødedata!$A$5:$F$18,6,FALSE)),1)*0.1</f>
        <v>1298.1652025027952</v>
      </c>
      <c r="I474" s="172">
        <f>G474*VLOOKUP(B474,[1]Afgrødedata!$A$5:$F$18,3,FALSE)*IF(D474="Økologisk",VLOOKUP(B474,[1]Afgrødedata!$A$5:$F$18,4,FALSE),1)*IF(E474&lt;&gt;Jordbund1,IF(E474=Organ6,VLOOKUP(B474,[1]Afgrødedata!$A$5:$F$18,5,FALSE),VLOOKUP(B474,[1]Afgrødedata!$A$5:$F$18,6,FALSE)),1)*HLOOKUP(C474,Landbrug!$C$15:$E$17,2,FALSE)*HLOOKUP(C474,Landbrug!$C$15:$E$17,3,FALSE)*0.1</f>
        <v>215.66341848867819</v>
      </c>
      <c r="J474" s="76">
        <f t="shared" si="68"/>
        <v>215.66341848867819</v>
      </c>
    </row>
    <row r="475" spans="1:10" x14ac:dyDescent="0.55000000000000004">
      <c r="A475" t="s">
        <v>24</v>
      </c>
      <c r="B475" s="1" t="str">
        <f>[1]Afgrødefordeling!$C$13</f>
        <v>Juletræer</v>
      </c>
      <c r="C475">
        <v>2019</v>
      </c>
      <c r="D475" t="s">
        <v>8</v>
      </c>
      <c r="E475" s="172" t="str">
        <f t="shared" si="66"/>
        <v>OC12</v>
      </c>
      <c r="F475" t="str">
        <f t="shared" si="67"/>
        <v>Juletræer</v>
      </c>
      <c r="G475" s="76" cm="1">
        <f t="array" ref="G475">IF(A475="Vestdanmark",IF(D475="Konventionel",IF(C475=2019,SUMPRODUCT((B475='Landbrugsareal - resultat'!$B$5:$B$18)*(INDEX('Landbrugsareal - resultat'!$C$5:$E$18,,MATCH(E475,'Landbrugsareal - resultat'!$C$4:$E$4,0)))),IF(C475=2030,SUMPRODUCT((B475='Landbrugsareal - resultat'!$B$5:$B$18)*(INDEX('Landbrugsareal - resultat'!$F$5:$H$18,,MATCH(E475,'Landbrugsareal - resultat'!$F$4:$H$4,0)))),SUMPRODUCT((B475='Landbrugsareal - resultat'!$B$5:$B$18)*(INDEX('Landbrugsareal - resultat'!$I$5:$K$18,,MATCH(E475,'Landbrugsareal - resultat'!$I$4:$K$4,0)))))),IF(C475=2019,SUMPRODUCT((B475='Landbrugsareal - resultat'!$B$5:$B$18)*(INDEX('Landbrugsareal - resultat'!$L$5:$N$18,,MATCH(E475,'Landbrugsareal - resultat'!$L$4:$N$4,0)))),IF(C475=2030,SUMPRODUCT((B475='Landbrugsareal - resultat'!$B$5:$B$18)*(INDEX('Landbrugsareal - resultat'!$O$5:$Q$18,,MATCH(E475,'Landbrugsareal - resultat'!$O$4:$Q$4,0)))),SUMPRODUCT((B475='Landbrugsareal - resultat'!$B$5:$B$18)*(INDEX('Landbrugsareal - resultat'!$R$5:$T$18,,MATCH(E475,'Landbrugsareal - resultat'!$R$4:$T$4,0))))))),IF(D475="Konventionel",IF(C475=2019,SUMPRODUCT((B475='Landbrugsareal - resultat'!$B$32:$B$45)*(INDEX('Landbrugsareal - resultat'!$C$32:$E$45,,MATCH(E475,'Landbrugsareal - resultat'!$C$4:$E$4,0)))),IF(C475=2030,SUMPRODUCT((B475='Landbrugsareal - resultat'!$B$32:$B$45)*(INDEX('Landbrugsareal - resultat'!$F$32:$H$45,,MATCH(E475,'Landbrugsareal - resultat'!$F$4:$H$4,0)))),SUMPRODUCT((B475='Landbrugsareal - resultat'!$B$32:$B$45)*(INDEX('Landbrugsareal - resultat'!$I$32:$K$45,,MATCH(E475,'Landbrugsareal - resultat'!$I$4:$K$4,0)))))),IF(C475=2019,SUMPRODUCT((B475='Landbrugsareal - resultat'!$B$32:$B$45)*(INDEX('Landbrugsareal - resultat'!$L$32:$N$45,,MATCH(E475,'Landbrugsareal - resultat'!$L$4:$N$4,0)))),IF(C475=2030,SUMPRODUCT((B475='Landbrugsareal - resultat'!$B$32:$B$45)*(INDEX('Landbrugsareal - resultat'!$O$32:$Q$45,,MATCH(E475,'Landbrugsareal - resultat'!$O$4:$Q$4,0)))),SUMPRODUCT((B475='Landbrugsareal - resultat'!$B$32:$B$45)*(INDEX('Landbrugsareal - resultat'!$R$32:$T$45,,MATCH(E475,'Landbrugsareal - resultat'!$R$4:$T$4,0))))))))</f>
        <v>2.6697948822619382</v>
      </c>
      <c r="H475" s="172">
        <f>G475*VLOOKUP(B475,[1]Afgrødedata!$A$5:$F$18,2,FALSE)*IF(D475="Økologisk",VLOOKUP(B475,[1]Afgrødedata!$A$5:$F$18,4,FALSE),1)*IF(E475&lt;&gt;Jordbund1,IF(E475=Organ6,VLOOKUP(B475,[1]Afgrødedata!$A$5:$F$18,5,FALSE),VLOOKUP(B475,[1]Afgrødedata!$A$5:$F$18,6,FALSE)),1)*0.1</f>
        <v>106.52481580225134</v>
      </c>
      <c r="I475" s="172">
        <f>G475*VLOOKUP(B475,[1]Afgrødedata!$A$5:$F$18,3,FALSE)*IF(D475="Økologisk",VLOOKUP(B475,[1]Afgrødedata!$A$5:$F$18,4,FALSE),1)*IF(E475&lt;&gt;Jordbund1,IF(E475=Organ6,VLOOKUP(B475,[1]Afgrødedata!$A$5:$F$18,5,FALSE),VLOOKUP(B475,[1]Afgrødedata!$A$5:$F$18,6,FALSE)),1)*HLOOKUP(C475,Landbrug!$C$15:$E$17,2,FALSE)*HLOOKUP(C475,Landbrug!$C$15:$E$17,3,FALSE)*0.1</f>
        <v>0</v>
      </c>
      <c r="J475" s="76">
        <f t="shared" si="68"/>
        <v>106.52481580225134</v>
      </c>
    </row>
    <row r="476" spans="1:10" x14ac:dyDescent="0.55000000000000004">
      <c r="A476" t="s">
        <v>24</v>
      </c>
      <c r="B476" s="1" t="str">
        <f>[1]Afgrødefordeling!$C$14</f>
        <v>Pil &amp; poppel</v>
      </c>
      <c r="C476">
        <v>2019</v>
      </c>
      <c r="D476" t="s">
        <v>8</v>
      </c>
      <c r="E476" s="172" t="str">
        <f t="shared" si="66"/>
        <v>OC12</v>
      </c>
      <c r="F476" t="str">
        <f t="shared" si="67"/>
        <v>Pil &amp; poppel</v>
      </c>
      <c r="G476" s="76" cm="1">
        <f t="array" ref="G476">IF(A476="Vestdanmark",IF(D476="Konventionel",IF(C476=2019,SUMPRODUCT((B476='Landbrugsareal - resultat'!$B$5:$B$18)*(INDEX('Landbrugsareal - resultat'!$C$5:$E$18,,MATCH(E476,'Landbrugsareal - resultat'!$C$4:$E$4,0)))),IF(C476=2030,SUMPRODUCT((B476='Landbrugsareal - resultat'!$B$5:$B$18)*(INDEX('Landbrugsareal - resultat'!$F$5:$H$18,,MATCH(E476,'Landbrugsareal - resultat'!$F$4:$H$4,0)))),SUMPRODUCT((B476='Landbrugsareal - resultat'!$B$5:$B$18)*(INDEX('Landbrugsareal - resultat'!$I$5:$K$18,,MATCH(E476,'Landbrugsareal - resultat'!$I$4:$K$4,0)))))),IF(C476=2019,SUMPRODUCT((B476='Landbrugsareal - resultat'!$B$5:$B$18)*(INDEX('Landbrugsareal - resultat'!$L$5:$N$18,,MATCH(E476,'Landbrugsareal - resultat'!$L$4:$N$4,0)))),IF(C476=2030,SUMPRODUCT((B476='Landbrugsareal - resultat'!$B$5:$B$18)*(INDEX('Landbrugsareal - resultat'!$O$5:$Q$18,,MATCH(E476,'Landbrugsareal - resultat'!$O$4:$Q$4,0)))),SUMPRODUCT((B476='Landbrugsareal - resultat'!$B$5:$B$18)*(INDEX('Landbrugsareal - resultat'!$R$5:$T$18,,MATCH(E476,'Landbrugsareal - resultat'!$R$4:$T$4,0))))))),IF(D476="Konventionel",IF(C476=2019,SUMPRODUCT((B476='Landbrugsareal - resultat'!$B$32:$B$45)*(INDEX('Landbrugsareal - resultat'!$C$32:$E$45,,MATCH(E476,'Landbrugsareal - resultat'!$C$4:$E$4,0)))),IF(C476=2030,SUMPRODUCT((B476='Landbrugsareal - resultat'!$B$32:$B$45)*(INDEX('Landbrugsareal - resultat'!$F$32:$H$45,,MATCH(E476,'Landbrugsareal - resultat'!$F$4:$H$4,0)))),SUMPRODUCT((B476='Landbrugsareal - resultat'!$B$32:$B$45)*(INDEX('Landbrugsareal - resultat'!$I$32:$K$45,,MATCH(E476,'Landbrugsareal - resultat'!$I$4:$K$4,0)))))),IF(C476=2019,SUMPRODUCT((B476='Landbrugsareal - resultat'!$B$32:$B$45)*(INDEX('Landbrugsareal - resultat'!$L$32:$N$45,,MATCH(E476,'Landbrugsareal - resultat'!$L$4:$N$4,0)))),IF(C476=2030,SUMPRODUCT((B476='Landbrugsareal - resultat'!$B$32:$B$45)*(INDEX('Landbrugsareal - resultat'!$O$32:$Q$45,,MATCH(E476,'Landbrugsareal - resultat'!$O$4:$Q$4,0)))),SUMPRODUCT((B476='Landbrugsareal - resultat'!$B$32:$B$45)*(INDEX('Landbrugsareal - resultat'!$R$32:$T$45,,MATCH(E476,'Landbrugsareal - resultat'!$R$4:$T$4,0))))))))</f>
        <v>8.1439937126999205</v>
      </c>
      <c r="H476" s="172">
        <f>G476*VLOOKUP(B476,[1]Afgrødedata!$A$5:$F$18,2,FALSE)*IF(D476="Økologisk",VLOOKUP(B476,[1]Afgrødedata!$A$5:$F$18,4,FALSE),1)*IF(E476&lt;&gt;Jordbund1,IF(E476=Organ6,VLOOKUP(B476,[1]Afgrødedata!$A$5:$F$18,5,FALSE),VLOOKUP(B476,[1]Afgrødedata!$A$5:$F$18,6,FALSE)),1)*0.1</f>
        <v>158.5099264081594</v>
      </c>
      <c r="I476" s="172">
        <f>G476*VLOOKUP(B476,[1]Afgrødedata!$A$5:$F$18,3,FALSE)*IF(D476="Økologisk",VLOOKUP(B476,[1]Afgrødedata!$A$5:$F$18,4,FALSE),1)*IF(E476&lt;&gt;Jordbund1,IF(E476=Organ6,VLOOKUP(B476,[1]Afgrødedata!$A$5:$F$18,5,FALSE),VLOOKUP(B476,[1]Afgrødedata!$A$5:$F$18,6,FALSE)),1)*HLOOKUP(C476,Landbrug!$C$15:$E$17,2,FALSE)*HLOOKUP(C476,Landbrug!$C$15:$E$17,3,FALSE)*0.1</f>
        <v>0</v>
      </c>
      <c r="J476" s="76">
        <f t="shared" si="68"/>
        <v>158.5099264081594</v>
      </c>
    </row>
    <row r="477" spans="1:10" x14ac:dyDescent="0.55000000000000004">
      <c r="A477" t="s">
        <v>24</v>
      </c>
      <c r="B477" s="1" t="str">
        <f>[1]Afgrødefordeling!$C$15</f>
        <v>Permanent græs</v>
      </c>
      <c r="C477">
        <v>2019</v>
      </c>
      <c r="D477" t="s">
        <v>8</v>
      </c>
      <c r="E477" s="172" t="str">
        <f t="shared" si="66"/>
        <v>OC12</v>
      </c>
      <c r="F477" t="str">
        <f t="shared" si="67"/>
        <v>Græs</v>
      </c>
      <c r="G477" s="76" cm="1">
        <f t="array" ref="G477">IF(A477="Vestdanmark",IF(D477="Konventionel",IF(C477=2019,SUMPRODUCT((B477='Landbrugsareal - resultat'!$B$5:$B$18)*(INDEX('Landbrugsareal - resultat'!$C$5:$E$18,,MATCH(E477,'Landbrugsareal - resultat'!$C$4:$E$4,0)))),IF(C477=2030,SUMPRODUCT((B477='Landbrugsareal - resultat'!$B$5:$B$18)*(INDEX('Landbrugsareal - resultat'!$F$5:$H$18,,MATCH(E477,'Landbrugsareal - resultat'!$F$4:$H$4,0)))),SUMPRODUCT((B477='Landbrugsareal - resultat'!$B$5:$B$18)*(INDEX('Landbrugsareal - resultat'!$I$5:$K$18,,MATCH(E477,'Landbrugsareal - resultat'!$I$4:$K$4,0)))))),IF(C477=2019,SUMPRODUCT((B477='Landbrugsareal - resultat'!$B$5:$B$18)*(INDEX('Landbrugsareal - resultat'!$L$5:$N$18,,MATCH(E477,'Landbrugsareal - resultat'!$L$4:$N$4,0)))),IF(C477=2030,SUMPRODUCT((B477='Landbrugsareal - resultat'!$B$5:$B$18)*(INDEX('Landbrugsareal - resultat'!$O$5:$Q$18,,MATCH(E477,'Landbrugsareal - resultat'!$O$4:$Q$4,0)))),SUMPRODUCT((B477='Landbrugsareal - resultat'!$B$5:$B$18)*(INDEX('Landbrugsareal - resultat'!$R$5:$T$18,,MATCH(E477,'Landbrugsareal - resultat'!$R$4:$T$4,0))))))),IF(D477="Konventionel",IF(C477=2019,SUMPRODUCT((B477='Landbrugsareal - resultat'!$B$32:$B$45)*(INDEX('Landbrugsareal - resultat'!$C$32:$E$45,,MATCH(E477,'Landbrugsareal - resultat'!$C$4:$E$4,0)))),IF(C477=2030,SUMPRODUCT((B477='Landbrugsareal - resultat'!$B$32:$B$45)*(INDEX('Landbrugsareal - resultat'!$F$32:$H$45,,MATCH(E477,'Landbrugsareal - resultat'!$F$4:$H$4,0)))),SUMPRODUCT((B477='Landbrugsareal - resultat'!$B$32:$B$45)*(INDEX('Landbrugsareal - resultat'!$I$32:$K$45,,MATCH(E477,'Landbrugsareal - resultat'!$I$4:$K$4,0)))))),IF(C477=2019,SUMPRODUCT((B477='Landbrugsareal - resultat'!$B$32:$B$45)*(INDEX('Landbrugsareal - resultat'!$L$32:$N$45,,MATCH(E477,'Landbrugsareal - resultat'!$L$4:$N$4,0)))),IF(C477=2030,SUMPRODUCT((B477='Landbrugsareal - resultat'!$B$32:$B$45)*(INDEX('Landbrugsareal - resultat'!$O$32:$Q$45,,MATCH(E477,'Landbrugsareal - resultat'!$O$4:$Q$4,0)))),SUMPRODUCT((B477='Landbrugsareal - resultat'!$B$32:$B$45)*(INDEX('Landbrugsareal - resultat'!$R$32:$T$45,,MATCH(E477,'Landbrugsareal - resultat'!$R$4:$T$4,0))))))))</f>
        <v>311.25083330735572</v>
      </c>
      <c r="H477" s="172">
        <f>G477*VLOOKUP(B477,[1]Afgrødedata!$A$5:$F$18,2,FALSE)*IF(D477="Økologisk",VLOOKUP(B477,[1]Afgrødedata!$A$5:$F$18,4,FALSE),1)*IF(E477&lt;&gt;Jordbund1,IF(E477=Organ6,VLOOKUP(B477,[1]Afgrødedata!$A$5:$F$18,5,FALSE),VLOOKUP(B477,[1]Afgrødedata!$A$5:$F$18,6,FALSE)),1)*0.1</f>
        <v>6009.0085878318096</v>
      </c>
      <c r="I477" s="172">
        <f>G477*VLOOKUP(B477,[1]Afgrødedata!$A$5:$F$18,3,FALSE)*IF(D477="Økologisk",VLOOKUP(B477,[1]Afgrødedata!$A$5:$F$18,4,FALSE),1)*IF(E477&lt;&gt;Jordbund1,IF(E477=Organ6,VLOOKUP(B477,[1]Afgrødedata!$A$5:$F$18,5,FALSE),VLOOKUP(B477,[1]Afgrødedata!$A$5:$F$18,6,FALSE)),1)*HLOOKUP(C477,Landbrug!$C$15:$E$17,2,FALSE)*HLOOKUP(C477,Landbrug!$C$15:$E$17,3,FALSE)*0.1</f>
        <v>0</v>
      </c>
      <c r="J477" s="76">
        <f t="shared" si="68"/>
        <v>6009.0085878318096</v>
      </c>
    </row>
    <row r="478" spans="1:10" x14ac:dyDescent="0.55000000000000004">
      <c r="A478" t="s">
        <v>24</v>
      </c>
      <c r="B478" s="1" t="str">
        <f>[1]Afgrødefordeling!$C$2</f>
        <v>Korn</v>
      </c>
      <c r="C478">
        <v>2030</v>
      </c>
      <c r="D478" t="s">
        <v>8</v>
      </c>
      <c r="E478" s="172" t="str">
        <f t="shared" si="66"/>
        <v>OC12</v>
      </c>
      <c r="F478" t="str">
        <f t="shared" si="67"/>
        <v>Halm</v>
      </c>
      <c r="G478" s="76" cm="1">
        <f t="array" ref="G478">IF(A478="Vestdanmark",IF(D478="Konventionel",IF(C478=2019,SUMPRODUCT((B478='Landbrugsareal - resultat'!$B$5:$B$18)*(INDEX('Landbrugsareal - resultat'!$C$5:$E$18,,MATCH(E478,'Landbrugsareal - resultat'!$C$4:$E$4,0)))),IF(C478=2030,SUMPRODUCT((B478='Landbrugsareal - resultat'!$B$5:$B$18)*(INDEX('Landbrugsareal - resultat'!$F$5:$H$18,,MATCH(E478,'Landbrugsareal - resultat'!$F$4:$H$4,0)))),SUMPRODUCT((B478='Landbrugsareal - resultat'!$B$5:$B$18)*(INDEX('Landbrugsareal - resultat'!$I$5:$K$18,,MATCH(E478,'Landbrugsareal - resultat'!$I$4:$K$4,0)))))),IF(C478=2019,SUMPRODUCT((B478='Landbrugsareal - resultat'!$B$5:$B$18)*(INDEX('Landbrugsareal - resultat'!$L$5:$N$18,,MATCH(E478,'Landbrugsareal - resultat'!$L$4:$N$4,0)))),IF(C478=2030,SUMPRODUCT((B478='Landbrugsareal - resultat'!$B$5:$B$18)*(INDEX('Landbrugsareal - resultat'!$O$5:$Q$18,,MATCH(E478,'Landbrugsareal - resultat'!$O$4:$Q$4,0)))),SUMPRODUCT((B478='Landbrugsareal - resultat'!$B$5:$B$18)*(INDEX('Landbrugsareal - resultat'!$R$5:$T$18,,MATCH(E478,'Landbrugsareal - resultat'!$R$4:$T$4,0))))))),IF(D478="Konventionel",IF(C478=2019,SUMPRODUCT((B478='Landbrugsareal - resultat'!$B$32:$B$45)*(INDEX('Landbrugsareal - resultat'!$C$32:$E$45,,MATCH(E478,'Landbrugsareal - resultat'!$C$4:$E$4,0)))),IF(C478=2030,SUMPRODUCT((B478='Landbrugsareal - resultat'!$B$32:$B$45)*(INDEX('Landbrugsareal - resultat'!$F$32:$H$45,,MATCH(E478,'Landbrugsareal - resultat'!$F$4:$H$4,0)))),SUMPRODUCT((B478='Landbrugsareal - resultat'!$B$32:$B$45)*(INDEX('Landbrugsareal - resultat'!$I$32:$K$45,,MATCH(E478,'Landbrugsareal - resultat'!$I$4:$K$4,0)))))),IF(C478=2019,SUMPRODUCT((B478='Landbrugsareal - resultat'!$B$32:$B$45)*(INDEX('Landbrugsareal - resultat'!$L$32:$N$45,,MATCH(E478,'Landbrugsareal - resultat'!$L$4:$N$4,0)))),IF(C478=2030,SUMPRODUCT((B478='Landbrugsareal - resultat'!$B$32:$B$45)*(INDEX('Landbrugsareal - resultat'!$O$32:$Q$45,,MATCH(E478,'Landbrugsareal - resultat'!$O$4:$Q$4,0)))),SUMPRODUCT((B478='Landbrugsareal - resultat'!$B$32:$B$45)*(INDEX('Landbrugsareal - resultat'!$R$32:$T$45,,MATCH(E478,'Landbrugsareal - resultat'!$R$4:$T$4,0))))))))</f>
        <v>252.54660423967633</v>
      </c>
      <c r="H478" s="172">
        <f>G478*VLOOKUP(B478,[1]Afgrødedata!$A$5:$F$18,2,FALSE)*IF(D478="Økologisk",VLOOKUP(B478,[1]Afgrødedata!$A$5:$F$18,4,FALSE),1)*IF(E478&lt;&gt;Jordbund1,IF(E478=Organ6,VLOOKUP(B478,[1]Afgrødedata!$A$5:$F$18,5,FALSE),VLOOKUP(B478,[1]Afgrødedata!$A$5:$F$18,6,FALSE)),1)*0.1</f>
        <v>1660.5898905854829</v>
      </c>
      <c r="I478" s="172">
        <f>G478*VLOOKUP(B478,[1]Afgrødedata!$A$5:$F$18,3,FALSE)*IF(D478="Økologisk",VLOOKUP(B478,[1]Afgrødedata!$A$5:$F$18,4,FALSE),1)*IF(E478&lt;&gt;Jordbund1,IF(E478=Organ6,VLOOKUP(B478,[1]Afgrødedata!$A$5:$F$18,5,FALSE),VLOOKUP(B478,[1]Afgrødedata!$A$5:$F$18,6,FALSE)),1)*HLOOKUP(C478,Landbrug!$C$15:$E$17,2,FALSE)*HLOOKUP(C478,Landbrug!$C$15:$E$17,3,FALSE)*0.1</f>
        <v>538.86141949498926</v>
      </c>
      <c r="J478" s="76">
        <f t="shared" si="68"/>
        <v>538.86141949498926</v>
      </c>
    </row>
    <row r="479" spans="1:10" x14ac:dyDescent="0.55000000000000004">
      <c r="A479" t="s">
        <v>24</v>
      </c>
      <c r="B479" s="1" t="str">
        <f>[1]Afgrødefordeling!$C$3</f>
        <v>Bælgsæd</v>
      </c>
      <c r="C479">
        <v>2030</v>
      </c>
      <c r="D479" t="s">
        <v>8</v>
      </c>
      <c r="E479" s="172" t="str">
        <f t="shared" si="66"/>
        <v>OC12</v>
      </c>
      <c r="F479" t="str">
        <f t="shared" si="67"/>
        <v>Halm</v>
      </c>
      <c r="G479" s="76" cm="1">
        <f t="array" ref="G479">IF(A479="Vestdanmark",IF(D479="Konventionel",IF(C479=2019,SUMPRODUCT((B479='Landbrugsareal - resultat'!$B$5:$B$18)*(INDEX('Landbrugsareal - resultat'!$C$5:$E$18,,MATCH(E479,'Landbrugsareal - resultat'!$C$4:$E$4,0)))),IF(C479=2030,SUMPRODUCT((B479='Landbrugsareal - resultat'!$B$5:$B$18)*(INDEX('Landbrugsareal - resultat'!$F$5:$H$18,,MATCH(E479,'Landbrugsareal - resultat'!$F$4:$H$4,0)))),SUMPRODUCT((B479='Landbrugsareal - resultat'!$B$5:$B$18)*(INDEX('Landbrugsareal - resultat'!$I$5:$K$18,,MATCH(E479,'Landbrugsareal - resultat'!$I$4:$K$4,0)))))),IF(C479=2019,SUMPRODUCT((B479='Landbrugsareal - resultat'!$B$5:$B$18)*(INDEX('Landbrugsareal - resultat'!$L$5:$N$18,,MATCH(E479,'Landbrugsareal - resultat'!$L$4:$N$4,0)))),IF(C479=2030,SUMPRODUCT((B479='Landbrugsareal - resultat'!$B$5:$B$18)*(INDEX('Landbrugsareal - resultat'!$O$5:$Q$18,,MATCH(E479,'Landbrugsareal - resultat'!$O$4:$Q$4,0)))),SUMPRODUCT((B479='Landbrugsareal - resultat'!$B$5:$B$18)*(INDEX('Landbrugsareal - resultat'!$R$5:$T$18,,MATCH(E479,'Landbrugsareal - resultat'!$R$4:$T$4,0))))))),IF(D479="Konventionel",IF(C479=2019,SUMPRODUCT((B479='Landbrugsareal - resultat'!$B$32:$B$45)*(INDEX('Landbrugsareal - resultat'!$C$32:$E$45,,MATCH(E479,'Landbrugsareal - resultat'!$C$4:$E$4,0)))),IF(C479=2030,SUMPRODUCT((B479='Landbrugsareal - resultat'!$B$32:$B$45)*(INDEX('Landbrugsareal - resultat'!$F$32:$H$45,,MATCH(E479,'Landbrugsareal - resultat'!$F$4:$H$4,0)))),SUMPRODUCT((B479='Landbrugsareal - resultat'!$B$32:$B$45)*(INDEX('Landbrugsareal - resultat'!$I$32:$K$45,,MATCH(E479,'Landbrugsareal - resultat'!$I$4:$K$4,0)))))),IF(C479=2019,SUMPRODUCT((B479='Landbrugsareal - resultat'!$B$32:$B$45)*(INDEX('Landbrugsareal - resultat'!$L$32:$N$45,,MATCH(E479,'Landbrugsareal - resultat'!$L$4:$N$4,0)))),IF(C479=2030,SUMPRODUCT((B479='Landbrugsareal - resultat'!$B$32:$B$45)*(INDEX('Landbrugsareal - resultat'!$O$32:$Q$45,,MATCH(E479,'Landbrugsareal - resultat'!$O$4:$Q$4,0)))),SUMPRODUCT((B479='Landbrugsareal - resultat'!$B$32:$B$45)*(INDEX('Landbrugsareal - resultat'!$R$32:$T$45,,MATCH(E479,'Landbrugsareal - resultat'!$R$4:$T$4,0))))))))</f>
        <v>4.5870791299379068</v>
      </c>
      <c r="H479" s="172">
        <f>G479*VLOOKUP(B479,[1]Afgrødedata!$A$5:$F$18,2,FALSE)*IF(D479="Økologisk",VLOOKUP(B479,[1]Afgrødedata!$A$5:$F$18,4,FALSE),1)*IF(E479&lt;&gt;Jordbund1,IF(E479=Organ6,VLOOKUP(B479,[1]Afgrødedata!$A$5:$F$18,5,FALSE),VLOOKUP(B479,[1]Afgrødedata!$A$5:$F$18,6,FALSE)),1)*0.1</f>
        <v>14.129488102365134</v>
      </c>
      <c r="I479" s="172">
        <f>G479*VLOOKUP(B479,[1]Afgrødedata!$A$5:$F$18,3,FALSE)*IF(D479="Økologisk",VLOOKUP(B479,[1]Afgrødedata!$A$5:$F$18,4,FALSE),1)*IF(E479&lt;&gt;Jordbund1,IF(E479=Organ6,VLOOKUP(B479,[1]Afgrødedata!$A$5:$F$18,5,FALSE),VLOOKUP(B479,[1]Afgrødedata!$A$5:$F$18,6,FALSE)),1)*HLOOKUP(C479,Landbrug!$C$15:$E$17,2,FALSE)*HLOOKUP(C479,Landbrug!$C$15:$E$17,3,FALSE)*0.1</f>
        <v>4.1703586787936713</v>
      </c>
      <c r="J479" s="76">
        <f t="shared" si="68"/>
        <v>4.1703586787936713</v>
      </c>
    </row>
    <row r="480" spans="1:10" x14ac:dyDescent="0.55000000000000004">
      <c r="A480" t="s">
        <v>24</v>
      </c>
      <c r="B480" s="1" t="str">
        <f>[1]Afgrødefordeling!$C$4</f>
        <v>Raps</v>
      </c>
      <c r="C480">
        <v>2030</v>
      </c>
      <c r="D480" t="s">
        <v>8</v>
      </c>
      <c r="E480" s="172" t="str">
        <f t="shared" si="66"/>
        <v>OC12</v>
      </c>
      <c r="F480" t="str">
        <f t="shared" si="67"/>
        <v>Halm</v>
      </c>
      <c r="G480" s="76" cm="1">
        <f t="array" ref="G480">IF(A480="Vestdanmark",IF(D480="Konventionel",IF(C480=2019,SUMPRODUCT((B480='Landbrugsareal - resultat'!$B$5:$B$18)*(INDEX('Landbrugsareal - resultat'!$C$5:$E$18,,MATCH(E480,'Landbrugsareal - resultat'!$C$4:$E$4,0)))),IF(C480=2030,SUMPRODUCT((B480='Landbrugsareal - resultat'!$B$5:$B$18)*(INDEX('Landbrugsareal - resultat'!$F$5:$H$18,,MATCH(E480,'Landbrugsareal - resultat'!$F$4:$H$4,0)))),SUMPRODUCT((B480='Landbrugsareal - resultat'!$B$5:$B$18)*(INDEX('Landbrugsareal - resultat'!$I$5:$K$18,,MATCH(E480,'Landbrugsareal - resultat'!$I$4:$K$4,0)))))),IF(C480=2019,SUMPRODUCT((B480='Landbrugsareal - resultat'!$B$5:$B$18)*(INDEX('Landbrugsareal - resultat'!$L$5:$N$18,,MATCH(E480,'Landbrugsareal - resultat'!$L$4:$N$4,0)))),IF(C480=2030,SUMPRODUCT((B480='Landbrugsareal - resultat'!$B$5:$B$18)*(INDEX('Landbrugsareal - resultat'!$O$5:$Q$18,,MATCH(E480,'Landbrugsareal - resultat'!$O$4:$Q$4,0)))),SUMPRODUCT((B480='Landbrugsareal - resultat'!$B$5:$B$18)*(INDEX('Landbrugsareal - resultat'!$R$5:$T$18,,MATCH(E480,'Landbrugsareal - resultat'!$R$4:$T$4,0))))))),IF(D480="Konventionel",IF(C480=2019,SUMPRODUCT((B480='Landbrugsareal - resultat'!$B$32:$B$45)*(INDEX('Landbrugsareal - resultat'!$C$32:$E$45,,MATCH(E480,'Landbrugsareal - resultat'!$C$4:$E$4,0)))),IF(C480=2030,SUMPRODUCT((B480='Landbrugsareal - resultat'!$B$32:$B$45)*(INDEX('Landbrugsareal - resultat'!$F$32:$H$45,,MATCH(E480,'Landbrugsareal - resultat'!$F$4:$H$4,0)))),SUMPRODUCT((B480='Landbrugsareal - resultat'!$B$32:$B$45)*(INDEX('Landbrugsareal - resultat'!$I$32:$K$45,,MATCH(E480,'Landbrugsareal - resultat'!$I$4:$K$4,0)))))),IF(C480=2019,SUMPRODUCT((B480='Landbrugsareal - resultat'!$B$32:$B$45)*(INDEX('Landbrugsareal - resultat'!$L$32:$N$45,,MATCH(E480,'Landbrugsareal - resultat'!$L$4:$N$4,0)))),IF(C480=2030,SUMPRODUCT((B480='Landbrugsareal - resultat'!$B$32:$B$45)*(INDEX('Landbrugsareal - resultat'!$O$32:$Q$45,,MATCH(E480,'Landbrugsareal - resultat'!$O$4:$Q$4,0)))),SUMPRODUCT((B480='Landbrugsareal - resultat'!$B$32:$B$45)*(INDEX('Landbrugsareal - resultat'!$R$32:$T$45,,MATCH(E480,'Landbrugsareal - resultat'!$R$4:$T$4,0))))))))</f>
        <v>22.406808213133761</v>
      </c>
      <c r="H480" s="172">
        <f>G480*VLOOKUP(B480,[1]Afgrødedata!$A$5:$F$18,2,FALSE)*IF(D480="Økologisk",VLOOKUP(B480,[1]Afgrødedata!$A$5:$F$18,4,FALSE),1)*IF(E480&lt;&gt;Jordbund1,IF(E480=Organ6,VLOOKUP(B480,[1]Afgrødedata!$A$5:$F$18,5,FALSE),VLOOKUP(B480,[1]Afgrødedata!$A$5:$F$18,6,FALSE)),1)*0.1</f>
        <v>75.914266226097183</v>
      </c>
      <c r="I480" s="172">
        <f>G480*VLOOKUP(B480,[1]Afgrødedata!$A$5:$F$18,3,FALSE)*IF(D480="Økologisk",VLOOKUP(B480,[1]Afgrødedata!$A$5:$F$18,4,FALSE),1)*IF(E480&lt;&gt;Jordbund1,IF(E480=Organ6,VLOOKUP(B480,[1]Afgrødedata!$A$5:$F$18,5,FALSE),VLOOKUP(B480,[1]Afgrødedata!$A$5:$F$18,6,FALSE)),1)*HLOOKUP(C480,Landbrug!$C$15:$E$17,2,FALSE)*HLOOKUP(C480,Landbrug!$C$15:$E$17,3,FALSE)*0.1</f>
        <v>40.310475366057602</v>
      </c>
      <c r="J480" s="76">
        <f t="shared" si="68"/>
        <v>40.310475366057602</v>
      </c>
    </row>
    <row r="481" spans="1:10" x14ac:dyDescent="0.55000000000000004">
      <c r="A481" t="s">
        <v>24</v>
      </c>
      <c r="B481" s="1" t="str">
        <f>[1]Afgrødefordeling!$C$5</f>
        <v>Græs</v>
      </c>
      <c r="C481">
        <v>2030</v>
      </c>
      <c r="D481" t="s">
        <v>8</v>
      </c>
      <c r="E481" s="172" t="str">
        <f t="shared" si="66"/>
        <v>OC12</v>
      </c>
      <c r="F481" t="str">
        <f t="shared" si="67"/>
        <v>Græs</v>
      </c>
      <c r="G481" s="76" cm="1">
        <f t="array" ref="G481">IF(A481="Vestdanmark",IF(D481="Konventionel",IF(C481=2019,SUMPRODUCT((B481='Landbrugsareal - resultat'!$B$5:$B$18)*(INDEX('Landbrugsareal - resultat'!$C$5:$E$18,,MATCH(E481,'Landbrugsareal - resultat'!$C$4:$E$4,0)))),IF(C481=2030,SUMPRODUCT((B481='Landbrugsareal - resultat'!$B$5:$B$18)*(INDEX('Landbrugsareal - resultat'!$F$5:$H$18,,MATCH(E481,'Landbrugsareal - resultat'!$F$4:$H$4,0)))),SUMPRODUCT((B481='Landbrugsareal - resultat'!$B$5:$B$18)*(INDEX('Landbrugsareal - resultat'!$I$5:$K$18,,MATCH(E481,'Landbrugsareal - resultat'!$I$4:$K$4,0)))))),IF(C481=2019,SUMPRODUCT((B481='Landbrugsareal - resultat'!$B$5:$B$18)*(INDEX('Landbrugsareal - resultat'!$L$5:$N$18,,MATCH(E481,'Landbrugsareal - resultat'!$L$4:$N$4,0)))),IF(C481=2030,SUMPRODUCT((B481='Landbrugsareal - resultat'!$B$5:$B$18)*(INDEX('Landbrugsareal - resultat'!$O$5:$Q$18,,MATCH(E481,'Landbrugsareal - resultat'!$O$4:$Q$4,0)))),SUMPRODUCT((B481='Landbrugsareal - resultat'!$B$5:$B$18)*(INDEX('Landbrugsareal - resultat'!$R$5:$T$18,,MATCH(E481,'Landbrugsareal - resultat'!$R$4:$T$4,0))))))),IF(D481="Konventionel",IF(C481=2019,SUMPRODUCT((B481='Landbrugsareal - resultat'!$B$32:$B$45)*(INDEX('Landbrugsareal - resultat'!$C$32:$E$45,,MATCH(E481,'Landbrugsareal - resultat'!$C$4:$E$4,0)))),IF(C481=2030,SUMPRODUCT((B481='Landbrugsareal - resultat'!$B$32:$B$45)*(INDEX('Landbrugsareal - resultat'!$F$32:$H$45,,MATCH(E481,'Landbrugsareal - resultat'!$F$4:$H$4,0)))),SUMPRODUCT((B481='Landbrugsareal - resultat'!$B$32:$B$45)*(INDEX('Landbrugsareal - resultat'!$I$32:$K$45,,MATCH(E481,'Landbrugsareal - resultat'!$I$4:$K$4,0)))))),IF(C481=2019,SUMPRODUCT((B481='Landbrugsareal - resultat'!$B$32:$B$45)*(INDEX('Landbrugsareal - resultat'!$L$32:$N$45,,MATCH(E481,'Landbrugsareal - resultat'!$L$4:$N$4,0)))),IF(C481=2030,SUMPRODUCT((B481='Landbrugsareal - resultat'!$B$32:$B$45)*(INDEX('Landbrugsareal - resultat'!$O$32:$Q$45,,MATCH(E481,'Landbrugsareal - resultat'!$O$4:$Q$4,0)))),SUMPRODUCT((B481='Landbrugsareal - resultat'!$B$32:$B$45)*(INDEX('Landbrugsareal - resultat'!$R$32:$T$45,,MATCH(E481,'Landbrugsareal - resultat'!$R$4:$T$4,0))))))))</f>
        <v>164.65835427785956</v>
      </c>
      <c r="H481" s="172">
        <f>G481*VLOOKUP(B481,[1]Afgrødedata!$A$5:$F$18,2,FALSE)*IF(D481="Økologisk",VLOOKUP(B481,[1]Afgrødedata!$A$5:$F$18,4,FALSE),1)*IF(E481&lt;&gt;Jordbund1,IF(E481=Organ6,VLOOKUP(B481,[1]Afgrødedata!$A$5:$F$18,5,FALSE),VLOOKUP(B481,[1]Afgrødedata!$A$5:$F$18,6,FALSE)),1)*0.1</f>
        <v>8922.0195128799915</v>
      </c>
      <c r="I481" s="172">
        <f>G481*VLOOKUP(B481,[1]Afgrødedata!$A$5:$F$18,3,FALSE)*IF(D481="Økologisk",VLOOKUP(B481,[1]Afgrødedata!$A$5:$F$18,4,FALSE),1)*IF(E481&lt;&gt;Jordbund1,IF(E481=Organ6,VLOOKUP(B481,[1]Afgrødedata!$A$5:$F$18,5,FALSE),VLOOKUP(B481,[1]Afgrødedata!$A$5:$F$18,6,FALSE)),1)*HLOOKUP(C481,Landbrug!$C$15:$E$17,2,FALSE)*HLOOKUP(C481,Landbrug!$C$15:$E$17,3,FALSE)*0.1</f>
        <v>0</v>
      </c>
      <c r="J481" s="76">
        <f t="shared" si="68"/>
        <v>8922.0195128799915</v>
      </c>
    </row>
    <row r="482" spans="1:10" x14ac:dyDescent="0.55000000000000004">
      <c r="A482" t="s">
        <v>24</v>
      </c>
      <c r="B482" s="1" t="str">
        <f>[1]Afgrødefordeling!$C$6</f>
        <v>Grøntsager</v>
      </c>
      <c r="C482">
        <v>2030</v>
      </c>
      <c r="D482" t="s">
        <v>8</v>
      </c>
      <c r="E482" s="172" t="str">
        <f t="shared" si="66"/>
        <v>OC12</v>
      </c>
      <c r="F482" t="str">
        <f t="shared" si="67"/>
        <v>Grøntsager</v>
      </c>
      <c r="G482" s="76" cm="1">
        <f t="array" ref="G482">IF(A482="Vestdanmark",IF(D482="Konventionel",IF(C482=2019,SUMPRODUCT((B482='Landbrugsareal - resultat'!$B$5:$B$18)*(INDEX('Landbrugsareal - resultat'!$C$5:$E$18,,MATCH(E482,'Landbrugsareal - resultat'!$C$4:$E$4,0)))),IF(C482=2030,SUMPRODUCT((B482='Landbrugsareal - resultat'!$B$5:$B$18)*(INDEX('Landbrugsareal - resultat'!$F$5:$H$18,,MATCH(E482,'Landbrugsareal - resultat'!$F$4:$H$4,0)))),SUMPRODUCT((B482='Landbrugsareal - resultat'!$B$5:$B$18)*(INDEX('Landbrugsareal - resultat'!$I$5:$K$18,,MATCH(E482,'Landbrugsareal - resultat'!$I$4:$K$4,0)))))),IF(C482=2019,SUMPRODUCT((B482='Landbrugsareal - resultat'!$B$5:$B$18)*(INDEX('Landbrugsareal - resultat'!$L$5:$N$18,,MATCH(E482,'Landbrugsareal - resultat'!$L$4:$N$4,0)))),IF(C482=2030,SUMPRODUCT((B482='Landbrugsareal - resultat'!$B$5:$B$18)*(INDEX('Landbrugsareal - resultat'!$O$5:$Q$18,,MATCH(E482,'Landbrugsareal - resultat'!$O$4:$Q$4,0)))),SUMPRODUCT((B482='Landbrugsareal - resultat'!$B$5:$B$18)*(INDEX('Landbrugsareal - resultat'!$R$5:$T$18,,MATCH(E482,'Landbrugsareal - resultat'!$R$4:$T$4,0))))))),IF(D482="Konventionel",IF(C482=2019,SUMPRODUCT((B482='Landbrugsareal - resultat'!$B$32:$B$45)*(INDEX('Landbrugsareal - resultat'!$C$32:$E$45,,MATCH(E482,'Landbrugsareal - resultat'!$C$4:$E$4,0)))),IF(C482=2030,SUMPRODUCT((B482='Landbrugsareal - resultat'!$B$32:$B$45)*(INDEX('Landbrugsareal - resultat'!$F$32:$H$45,,MATCH(E482,'Landbrugsareal - resultat'!$F$4:$H$4,0)))),SUMPRODUCT((B482='Landbrugsareal - resultat'!$B$32:$B$45)*(INDEX('Landbrugsareal - resultat'!$I$32:$K$45,,MATCH(E482,'Landbrugsareal - resultat'!$I$4:$K$4,0)))))),IF(C482=2019,SUMPRODUCT((B482='Landbrugsareal - resultat'!$B$32:$B$45)*(INDEX('Landbrugsareal - resultat'!$L$32:$N$45,,MATCH(E482,'Landbrugsareal - resultat'!$L$4:$N$4,0)))),IF(C482=2030,SUMPRODUCT((B482='Landbrugsareal - resultat'!$B$32:$B$45)*(INDEX('Landbrugsareal - resultat'!$O$32:$Q$45,,MATCH(E482,'Landbrugsareal - resultat'!$O$4:$Q$4,0)))),SUMPRODUCT((B482='Landbrugsareal - resultat'!$B$32:$B$45)*(INDEX('Landbrugsareal - resultat'!$R$32:$T$45,,MATCH(E482,'Landbrugsareal - resultat'!$R$4:$T$4,0))))))))</f>
        <v>0.7749808310286167</v>
      </c>
      <c r="H482" s="172">
        <f>G482*VLOOKUP(B482,[1]Afgrødedata!$A$5:$F$18,2,FALSE)*IF(D482="Økologisk",VLOOKUP(B482,[1]Afgrødedata!$A$5:$F$18,4,FALSE),1)*IF(E482&lt;&gt;Jordbund1,IF(E482=Organ6,VLOOKUP(B482,[1]Afgrødedata!$A$5:$F$18,5,FALSE),VLOOKUP(B482,[1]Afgrødedata!$A$5:$F$18,6,FALSE)),1)*0.1</f>
        <v>12.832520090587346</v>
      </c>
      <c r="I482" s="172">
        <f>G482*VLOOKUP(B482,[1]Afgrødedata!$A$5:$F$18,3,FALSE)*IF(D482="Økologisk",VLOOKUP(B482,[1]Afgrødedata!$A$5:$F$18,4,FALSE),1)*IF(E482&lt;&gt;Jordbund1,IF(E482=Organ6,VLOOKUP(B482,[1]Afgrødedata!$A$5:$F$18,5,FALSE),VLOOKUP(B482,[1]Afgrødedata!$A$5:$F$18,6,FALSE)),1)*HLOOKUP(C482,Landbrug!$C$15:$E$17,2,FALSE)*HLOOKUP(C482,Landbrug!$C$15:$E$17,3,FALSE)*0.1</f>
        <v>0</v>
      </c>
      <c r="J482" s="76">
        <f t="shared" si="68"/>
        <v>12.832520090587346</v>
      </c>
    </row>
    <row r="483" spans="1:10" x14ac:dyDescent="0.55000000000000004">
      <c r="A483" t="s">
        <v>24</v>
      </c>
      <c r="B483" s="1" t="str">
        <f>[1]Afgrødefordeling!$C$7</f>
        <v>Kartofler</v>
      </c>
      <c r="C483">
        <v>2030</v>
      </c>
      <c r="D483" t="s">
        <v>8</v>
      </c>
      <c r="E483" s="172" t="str">
        <f t="shared" si="66"/>
        <v>OC12</v>
      </c>
      <c r="F483" t="str">
        <f t="shared" si="67"/>
        <v>Kartofler</v>
      </c>
      <c r="G483" s="76" cm="1">
        <f t="array" ref="G483">IF(A483="Vestdanmark",IF(D483="Konventionel",IF(C483=2019,SUMPRODUCT((B483='Landbrugsareal - resultat'!$B$5:$B$18)*(INDEX('Landbrugsareal - resultat'!$C$5:$E$18,,MATCH(E483,'Landbrugsareal - resultat'!$C$4:$E$4,0)))),IF(C483=2030,SUMPRODUCT((B483='Landbrugsareal - resultat'!$B$5:$B$18)*(INDEX('Landbrugsareal - resultat'!$F$5:$H$18,,MATCH(E483,'Landbrugsareal - resultat'!$F$4:$H$4,0)))),SUMPRODUCT((B483='Landbrugsareal - resultat'!$B$5:$B$18)*(INDEX('Landbrugsareal - resultat'!$I$5:$K$18,,MATCH(E483,'Landbrugsareal - resultat'!$I$4:$K$4,0)))))),IF(C483=2019,SUMPRODUCT((B483='Landbrugsareal - resultat'!$B$5:$B$18)*(INDEX('Landbrugsareal - resultat'!$L$5:$N$18,,MATCH(E483,'Landbrugsareal - resultat'!$L$4:$N$4,0)))),IF(C483=2030,SUMPRODUCT((B483='Landbrugsareal - resultat'!$B$5:$B$18)*(INDEX('Landbrugsareal - resultat'!$O$5:$Q$18,,MATCH(E483,'Landbrugsareal - resultat'!$O$4:$Q$4,0)))),SUMPRODUCT((B483='Landbrugsareal - resultat'!$B$5:$B$18)*(INDEX('Landbrugsareal - resultat'!$R$5:$T$18,,MATCH(E483,'Landbrugsareal - resultat'!$R$4:$T$4,0))))))),IF(D483="Konventionel",IF(C483=2019,SUMPRODUCT((B483='Landbrugsareal - resultat'!$B$32:$B$45)*(INDEX('Landbrugsareal - resultat'!$C$32:$E$45,,MATCH(E483,'Landbrugsareal - resultat'!$C$4:$E$4,0)))),IF(C483=2030,SUMPRODUCT((B483='Landbrugsareal - resultat'!$B$32:$B$45)*(INDEX('Landbrugsareal - resultat'!$F$32:$H$45,,MATCH(E483,'Landbrugsareal - resultat'!$F$4:$H$4,0)))),SUMPRODUCT((B483='Landbrugsareal - resultat'!$B$32:$B$45)*(INDEX('Landbrugsareal - resultat'!$I$32:$K$45,,MATCH(E483,'Landbrugsareal - resultat'!$I$4:$K$4,0)))))),IF(C483=2019,SUMPRODUCT((B483='Landbrugsareal - resultat'!$B$32:$B$45)*(INDEX('Landbrugsareal - resultat'!$L$32:$N$45,,MATCH(E483,'Landbrugsareal - resultat'!$L$4:$N$4,0)))),IF(C483=2030,SUMPRODUCT((B483='Landbrugsareal - resultat'!$B$32:$B$45)*(INDEX('Landbrugsareal - resultat'!$O$32:$Q$45,,MATCH(E483,'Landbrugsareal - resultat'!$O$4:$Q$4,0)))),SUMPRODUCT((B483='Landbrugsareal - resultat'!$B$32:$B$45)*(INDEX('Landbrugsareal - resultat'!$R$32:$T$45,,MATCH(E483,'Landbrugsareal - resultat'!$R$4:$T$4,0))))))))</f>
        <v>4.4172982876675793</v>
      </c>
      <c r="H483" s="172">
        <f>G483*VLOOKUP(B483,[1]Afgrødedata!$A$5:$F$18,2,FALSE)*IF(D483="Økologisk",VLOOKUP(B483,[1]Afgrødedata!$A$5:$F$18,4,FALSE),1)*IF(E483&lt;&gt;Jordbund1,IF(E483=Organ6,VLOOKUP(B483,[1]Afgrødedata!$A$5:$F$18,5,FALSE),VLOOKUP(B483,[1]Afgrødedata!$A$5:$F$18,6,FALSE)),1)*0.1</f>
        <v>149.71009194378786</v>
      </c>
      <c r="I483" s="172">
        <f>G483*VLOOKUP(B483,[1]Afgrødedata!$A$5:$F$18,3,FALSE)*IF(D483="Økologisk",VLOOKUP(B483,[1]Afgrødedata!$A$5:$F$18,4,FALSE),1)*IF(E483&lt;&gt;Jordbund1,IF(E483=Organ6,VLOOKUP(B483,[1]Afgrødedata!$A$5:$F$18,5,FALSE),VLOOKUP(B483,[1]Afgrødedata!$A$5:$F$18,6,FALSE)),1)*HLOOKUP(C483,Landbrug!$C$15:$E$17,2,FALSE)*HLOOKUP(C483,Landbrug!$C$15:$E$17,3,FALSE)*0.1</f>
        <v>0</v>
      </c>
      <c r="J483" s="76">
        <f t="shared" si="68"/>
        <v>149.71009194378786</v>
      </c>
    </row>
    <row r="484" spans="1:10" x14ac:dyDescent="0.55000000000000004">
      <c r="A484" t="s">
        <v>24</v>
      </c>
      <c r="B484" s="1" t="str">
        <f>[1]Afgrødefordeling!$C$8</f>
        <v>Roer</v>
      </c>
      <c r="C484">
        <v>2030</v>
      </c>
      <c r="D484" t="s">
        <v>8</v>
      </c>
      <c r="E484" s="172" t="str">
        <f t="shared" si="66"/>
        <v>OC12</v>
      </c>
      <c r="F484" t="str">
        <f t="shared" si="67"/>
        <v>Roer</v>
      </c>
      <c r="G484" s="76" cm="1">
        <f t="array" ref="G484">IF(A484="Vestdanmark",IF(D484="Konventionel",IF(C484=2019,SUMPRODUCT((B484='Landbrugsareal - resultat'!$B$5:$B$18)*(INDEX('Landbrugsareal - resultat'!$C$5:$E$18,,MATCH(E484,'Landbrugsareal - resultat'!$C$4:$E$4,0)))),IF(C484=2030,SUMPRODUCT((B484='Landbrugsareal - resultat'!$B$5:$B$18)*(INDEX('Landbrugsareal - resultat'!$F$5:$H$18,,MATCH(E484,'Landbrugsareal - resultat'!$F$4:$H$4,0)))),SUMPRODUCT((B484='Landbrugsareal - resultat'!$B$5:$B$18)*(INDEX('Landbrugsareal - resultat'!$I$5:$K$18,,MATCH(E484,'Landbrugsareal - resultat'!$I$4:$K$4,0)))))),IF(C484=2019,SUMPRODUCT((B484='Landbrugsareal - resultat'!$B$5:$B$18)*(INDEX('Landbrugsareal - resultat'!$L$5:$N$18,,MATCH(E484,'Landbrugsareal - resultat'!$L$4:$N$4,0)))),IF(C484=2030,SUMPRODUCT((B484='Landbrugsareal - resultat'!$B$5:$B$18)*(INDEX('Landbrugsareal - resultat'!$O$5:$Q$18,,MATCH(E484,'Landbrugsareal - resultat'!$O$4:$Q$4,0)))),SUMPRODUCT((B484='Landbrugsareal - resultat'!$B$5:$B$18)*(INDEX('Landbrugsareal - resultat'!$R$5:$T$18,,MATCH(E484,'Landbrugsareal - resultat'!$R$4:$T$4,0))))))),IF(D484="Konventionel",IF(C484=2019,SUMPRODUCT((B484='Landbrugsareal - resultat'!$B$32:$B$45)*(INDEX('Landbrugsareal - resultat'!$C$32:$E$45,,MATCH(E484,'Landbrugsareal - resultat'!$C$4:$E$4,0)))),IF(C484=2030,SUMPRODUCT((B484='Landbrugsareal - resultat'!$B$32:$B$45)*(INDEX('Landbrugsareal - resultat'!$F$32:$H$45,,MATCH(E484,'Landbrugsareal - resultat'!$F$4:$H$4,0)))),SUMPRODUCT((B484='Landbrugsareal - resultat'!$B$32:$B$45)*(INDEX('Landbrugsareal - resultat'!$I$32:$K$45,,MATCH(E484,'Landbrugsareal - resultat'!$I$4:$K$4,0)))))),IF(C484=2019,SUMPRODUCT((B484='Landbrugsareal - resultat'!$B$32:$B$45)*(INDEX('Landbrugsareal - resultat'!$L$32:$N$45,,MATCH(E484,'Landbrugsareal - resultat'!$L$4:$N$4,0)))),IF(C484=2030,SUMPRODUCT((B484='Landbrugsareal - resultat'!$B$32:$B$45)*(INDEX('Landbrugsareal - resultat'!$O$32:$Q$45,,MATCH(E484,'Landbrugsareal - resultat'!$O$4:$Q$4,0)))),SUMPRODUCT((B484='Landbrugsareal - resultat'!$B$32:$B$45)*(INDEX('Landbrugsareal - resultat'!$R$32:$T$45,,MATCH(E484,'Landbrugsareal - resultat'!$R$4:$T$4,0))))))))</f>
        <v>5.0868970898945518</v>
      </c>
      <c r="H484" s="172">
        <f>G484*VLOOKUP(B484,[1]Afgrødedata!$A$5:$F$18,2,FALSE)*IF(D484="Økologisk",VLOOKUP(B484,[1]Afgrødedata!$A$5:$F$18,4,FALSE),1)*IF(E484&lt;&gt;Jordbund1,IF(E484=Organ6,VLOOKUP(B484,[1]Afgrødedata!$A$5:$F$18,5,FALSE),VLOOKUP(B484,[1]Afgrødedata!$A$5:$F$18,6,FALSE)),1)*0.1</f>
        <v>329.8368368715519</v>
      </c>
      <c r="I484" s="172">
        <f>G484*VLOOKUP(B484,[1]Afgrødedata!$A$5:$F$18,3,FALSE)*IF(D484="Økologisk",VLOOKUP(B484,[1]Afgrødedata!$A$5:$F$18,4,FALSE),1)*IF(E484&lt;&gt;Jordbund1,IF(E484=Organ6,VLOOKUP(B484,[1]Afgrødedata!$A$5:$F$18,5,FALSE),VLOOKUP(B484,[1]Afgrødedata!$A$5:$F$18,6,FALSE)),1)*HLOOKUP(C484,Landbrug!$C$15:$E$17,2,FALSE)*HLOOKUP(C484,Landbrug!$C$15:$E$17,3,FALSE)*0.1</f>
        <v>0</v>
      </c>
      <c r="J484" s="76">
        <f t="shared" si="68"/>
        <v>329.8368368715519</v>
      </c>
    </row>
    <row r="485" spans="1:10" x14ac:dyDescent="0.55000000000000004">
      <c r="A485" t="s">
        <v>24</v>
      </c>
      <c r="B485" s="1" t="str">
        <f>[1]Afgrødefordeling!$C$9</f>
        <v>Majs</v>
      </c>
      <c r="C485">
        <v>2030</v>
      </c>
      <c r="D485" t="s">
        <v>8</v>
      </c>
      <c r="E485" s="172" t="str">
        <f t="shared" si="66"/>
        <v>OC12</v>
      </c>
      <c r="F485" t="str">
        <f t="shared" si="67"/>
        <v>Majs</v>
      </c>
      <c r="G485" s="76" cm="1">
        <f t="array" ref="G485">IF(A485="Vestdanmark",IF(D485="Konventionel",IF(C485=2019,SUMPRODUCT((B485='Landbrugsareal - resultat'!$B$5:$B$18)*(INDEX('Landbrugsareal - resultat'!$C$5:$E$18,,MATCH(E485,'Landbrugsareal - resultat'!$C$4:$E$4,0)))),IF(C485=2030,SUMPRODUCT((B485='Landbrugsareal - resultat'!$B$5:$B$18)*(INDEX('Landbrugsareal - resultat'!$F$5:$H$18,,MATCH(E485,'Landbrugsareal - resultat'!$F$4:$H$4,0)))),SUMPRODUCT((B485='Landbrugsareal - resultat'!$B$5:$B$18)*(INDEX('Landbrugsareal - resultat'!$I$5:$K$18,,MATCH(E485,'Landbrugsareal - resultat'!$I$4:$K$4,0)))))),IF(C485=2019,SUMPRODUCT((B485='Landbrugsareal - resultat'!$B$5:$B$18)*(INDEX('Landbrugsareal - resultat'!$L$5:$N$18,,MATCH(E485,'Landbrugsareal - resultat'!$L$4:$N$4,0)))),IF(C485=2030,SUMPRODUCT((B485='Landbrugsareal - resultat'!$B$5:$B$18)*(INDEX('Landbrugsareal - resultat'!$O$5:$Q$18,,MATCH(E485,'Landbrugsareal - resultat'!$O$4:$Q$4,0)))),SUMPRODUCT((B485='Landbrugsareal - resultat'!$B$5:$B$18)*(INDEX('Landbrugsareal - resultat'!$R$5:$T$18,,MATCH(E485,'Landbrugsareal - resultat'!$R$4:$T$4,0))))))),IF(D485="Konventionel",IF(C485=2019,SUMPRODUCT((B485='Landbrugsareal - resultat'!$B$32:$B$45)*(INDEX('Landbrugsareal - resultat'!$C$32:$E$45,,MATCH(E485,'Landbrugsareal - resultat'!$C$4:$E$4,0)))),IF(C485=2030,SUMPRODUCT((B485='Landbrugsareal - resultat'!$B$32:$B$45)*(INDEX('Landbrugsareal - resultat'!$F$32:$H$45,,MATCH(E485,'Landbrugsareal - resultat'!$F$4:$H$4,0)))),SUMPRODUCT((B485='Landbrugsareal - resultat'!$B$32:$B$45)*(INDEX('Landbrugsareal - resultat'!$I$32:$K$45,,MATCH(E485,'Landbrugsareal - resultat'!$I$4:$K$4,0)))))),IF(C485=2019,SUMPRODUCT((B485='Landbrugsareal - resultat'!$B$32:$B$45)*(INDEX('Landbrugsareal - resultat'!$L$32:$N$45,,MATCH(E485,'Landbrugsareal - resultat'!$L$4:$N$4,0)))),IF(C485=2030,SUMPRODUCT((B485='Landbrugsareal - resultat'!$B$32:$B$45)*(INDEX('Landbrugsareal - resultat'!$O$32:$Q$45,,MATCH(E485,'Landbrugsareal - resultat'!$O$4:$Q$4,0)))),SUMPRODUCT((B485='Landbrugsareal - resultat'!$B$32:$B$45)*(INDEX('Landbrugsareal - resultat'!$R$32:$T$45,,MATCH(E485,'Landbrugsareal - resultat'!$R$4:$T$4,0))))))))</f>
        <v>5.2248919480326963</v>
      </c>
      <c r="H485" s="172">
        <f>G485*VLOOKUP(B485,[1]Afgrødedata!$A$5:$F$18,2,FALSE)*IF(D485="Økologisk",VLOOKUP(B485,[1]Afgrødedata!$A$5:$F$18,4,FALSE),1)*IF(E485&lt;&gt;Jordbund1,IF(E485=Organ6,VLOOKUP(B485,[1]Afgrødedata!$A$5:$F$18,5,FALSE),VLOOKUP(B485,[1]Afgrødedata!$A$5:$F$18,6,FALSE)),1)*0.1</f>
        <v>270.23465098525884</v>
      </c>
      <c r="I485" s="172">
        <f>G485*VLOOKUP(B485,[1]Afgrødedata!$A$5:$F$18,3,FALSE)*IF(D485="Økologisk",VLOOKUP(B485,[1]Afgrødedata!$A$5:$F$18,4,FALSE),1)*IF(E485&lt;&gt;Jordbund1,IF(E485=Organ6,VLOOKUP(B485,[1]Afgrødedata!$A$5:$F$18,5,FALSE),VLOOKUP(B485,[1]Afgrødedata!$A$5:$F$18,6,FALSE)),1)*HLOOKUP(C485,Landbrug!$C$15:$E$17,2,FALSE)*HLOOKUP(C485,Landbrug!$C$15:$E$17,3,FALSE)*0.1</f>
        <v>0</v>
      </c>
      <c r="J485" s="76">
        <f t="shared" si="68"/>
        <v>270.23465098525884</v>
      </c>
    </row>
    <row r="486" spans="1:10" x14ac:dyDescent="0.55000000000000004">
      <c r="A486" t="s">
        <v>24</v>
      </c>
      <c r="B486" s="1" t="str">
        <f>[1]Afgrødefordeling!$C$10</f>
        <v>Frugt</v>
      </c>
      <c r="C486">
        <v>2030</v>
      </c>
      <c r="D486" t="s">
        <v>8</v>
      </c>
      <c r="E486" s="172" t="str">
        <f t="shared" ref="E486:E505" si="69">Organ12</f>
        <v>OC12</v>
      </c>
      <c r="F486" t="str">
        <f t="shared" si="67"/>
        <v>Frugt</v>
      </c>
      <c r="G486" s="76" cm="1">
        <f t="array" ref="G486">IF(A486="Vestdanmark",IF(D486="Konventionel",IF(C486=2019,SUMPRODUCT((B486='Landbrugsareal - resultat'!$B$5:$B$18)*(INDEX('Landbrugsareal - resultat'!$C$5:$E$18,,MATCH(E486,'Landbrugsareal - resultat'!$C$4:$E$4,0)))),IF(C486=2030,SUMPRODUCT((B486='Landbrugsareal - resultat'!$B$5:$B$18)*(INDEX('Landbrugsareal - resultat'!$F$5:$H$18,,MATCH(E486,'Landbrugsareal - resultat'!$F$4:$H$4,0)))),SUMPRODUCT((B486='Landbrugsareal - resultat'!$B$5:$B$18)*(INDEX('Landbrugsareal - resultat'!$I$5:$K$18,,MATCH(E486,'Landbrugsareal - resultat'!$I$4:$K$4,0)))))),IF(C486=2019,SUMPRODUCT((B486='Landbrugsareal - resultat'!$B$5:$B$18)*(INDEX('Landbrugsareal - resultat'!$L$5:$N$18,,MATCH(E486,'Landbrugsareal - resultat'!$L$4:$N$4,0)))),IF(C486=2030,SUMPRODUCT((B486='Landbrugsareal - resultat'!$B$5:$B$18)*(INDEX('Landbrugsareal - resultat'!$O$5:$Q$18,,MATCH(E486,'Landbrugsareal - resultat'!$O$4:$Q$4,0)))),SUMPRODUCT((B486='Landbrugsareal - resultat'!$B$5:$B$18)*(INDEX('Landbrugsareal - resultat'!$R$5:$T$18,,MATCH(E486,'Landbrugsareal - resultat'!$R$4:$T$4,0))))))),IF(D486="Konventionel",IF(C486=2019,SUMPRODUCT((B486='Landbrugsareal - resultat'!$B$32:$B$45)*(INDEX('Landbrugsareal - resultat'!$C$32:$E$45,,MATCH(E486,'Landbrugsareal - resultat'!$C$4:$E$4,0)))),IF(C486=2030,SUMPRODUCT((B486='Landbrugsareal - resultat'!$B$32:$B$45)*(INDEX('Landbrugsareal - resultat'!$F$32:$H$45,,MATCH(E486,'Landbrugsareal - resultat'!$F$4:$H$4,0)))),SUMPRODUCT((B486='Landbrugsareal - resultat'!$B$32:$B$45)*(INDEX('Landbrugsareal - resultat'!$I$32:$K$45,,MATCH(E486,'Landbrugsareal - resultat'!$I$4:$K$4,0)))))),IF(C486=2019,SUMPRODUCT((B486='Landbrugsareal - resultat'!$B$32:$B$45)*(INDEX('Landbrugsareal - resultat'!$L$32:$N$45,,MATCH(E486,'Landbrugsareal - resultat'!$L$4:$N$4,0)))),IF(C486=2030,SUMPRODUCT((B486='Landbrugsareal - resultat'!$B$32:$B$45)*(INDEX('Landbrugsareal - resultat'!$O$32:$Q$45,,MATCH(E486,'Landbrugsareal - resultat'!$O$4:$Q$4,0)))),SUMPRODUCT((B486='Landbrugsareal - resultat'!$B$32:$B$45)*(INDEX('Landbrugsareal - resultat'!$R$32:$T$45,,MATCH(E486,'Landbrugsareal - resultat'!$R$4:$T$4,0))))))))</f>
        <v>1.8959851334853384</v>
      </c>
      <c r="H486" s="172">
        <f>G486*VLOOKUP(B486,[1]Afgrødedata!$A$5:$F$18,2,FALSE)*IF(D486="Økologisk",VLOOKUP(B486,[1]Afgrødedata!$A$5:$F$18,4,FALSE),1)*IF(E486&lt;&gt;Jordbund1,IF(E486=Organ6,VLOOKUP(B486,[1]Afgrødedata!$A$5:$F$18,5,FALSE),VLOOKUP(B486,[1]Afgrødedata!$A$5:$F$18,6,FALSE)),1)*0.1</f>
        <v>12.845337199065836</v>
      </c>
      <c r="I486" s="172">
        <f>G486*VLOOKUP(B486,[1]Afgrødedata!$A$5:$F$18,3,FALSE)*IF(D486="Økologisk",VLOOKUP(B486,[1]Afgrødedata!$A$5:$F$18,4,FALSE),1)*IF(E486&lt;&gt;Jordbund1,IF(E486=Organ6,VLOOKUP(B486,[1]Afgrødedata!$A$5:$F$18,5,FALSE),VLOOKUP(B486,[1]Afgrødedata!$A$5:$F$18,6,FALSE)),1)*HLOOKUP(C486,Landbrug!$C$15:$E$17,2,FALSE)*HLOOKUP(C486,Landbrug!$C$15:$E$17,3,FALSE)*0.1</f>
        <v>0</v>
      </c>
      <c r="J486" s="76">
        <f t="shared" si="68"/>
        <v>12.845337199065836</v>
      </c>
    </row>
    <row r="487" spans="1:10" x14ac:dyDescent="0.55000000000000004">
      <c r="A487" t="s">
        <v>24</v>
      </c>
      <c r="B487" s="1" t="str">
        <f>[1]Afgrødefordeling!$C$11</f>
        <v>Øvrige</v>
      </c>
      <c r="C487">
        <v>2030</v>
      </c>
      <c r="D487" t="s">
        <v>8</v>
      </c>
      <c r="E487" s="172" t="str">
        <f t="shared" si="69"/>
        <v>OC12</v>
      </c>
      <c r="F487" t="str">
        <f t="shared" si="67"/>
        <v>Øvrige</v>
      </c>
      <c r="G487" s="76" cm="1">
        <f t="array" ref="G487">IF(A487="Vestdanmark",IF(D487="Konventionel",IF(C487=2019,SUMPRODUCT((B487='Landbrugsareal - resultat'!$B$5:$B$18)*(INDEX('Landbrugsareal - resultat'!$C$5:$E$18,,MATCH(E487,'Landbrugsareal - resultat'!$C$4:$E$4,0)))),IF(C487=2030,SUMPRODUCT((B487='Landbrugsareal - resultat'!$B$5:$B$18)*(INDEX('Landbrugsareal - resultat'!$F$5:$H$18,,MATCH(E487,'Landbrugsareal - resultat'!$F$4:$H$4,0)))),SUMPRODUCT((B487='Landbrugsareal - resultat'!$B$5:$B$18)*(INDEX('Landbrugsareal - resultat'!$I$5:$K$18,,MATCH(E487,'Landbrugsareal - resultat'!$I$4:$K$4,0)))))),IF(C487=2019,SUMPRODUCT((B487='Landbrugsareal - resultat'!$B$5:$B$18)*(INDEX('Landbrugsareal - resultat'!$L$5:$N$18,,MATCH(E487,'Landbrugsareal - resultat'!$L$4:$N$4,0)))),IF(C487=2030,SUMPRODUCT((B487='Landbrugsareal - resultat'!$B$5:$B$18)*(INDEX('Landbrugsareal - resultat'!$O$5:$Q$18,,MATCH(E487,'Landbrugsareal - resultat'!$O$4:$Q$4,0)))),SUMPRODUCT((B487='Landbrugsareal - resultat'!$B$5:$B$18)*(INDEX('Landbrugsareal - resultat'!$R$5:$T$18,,MATCH(E487,'Landbrugsareal - resultat'!$R$4:$T$4,0))))))),IF(D487="Konventionel",IF(C487=2019,SUMPRODUCT((B487='Landbrugsareal - resultat'!$B$32:$B$45)*(INDEX('Landbrugsareal - resultat'!$C$32:$E$45,,MATCH(E487,'Landbrugsareal - resultat'!$C$4:$E$4,0)))),IF(C487=2030,SUMPRODUCT((B487='Landbrugsareal - resultat'!$B$32:$B$45)*(INDEX('Landbrugsareal - resultat'!$F$32:$H$45,,MATCH(E487,'Landbrugsareal - resultat'!$F$4:$H$4,0)))),SUMPRODUCT((B487='Landbrugsareal - resultat'!$B$32:$B$45)*(INDEX('Landbrugsareal - resultat'!$I$32:$K$45,,MATCH(E487,'Landbrugsareal - resultat'!$I$4:$K$4,0)))))),IF(C487=2019,SUMPRODUCT((B487='Landbrugsareal - resultat'!$B$32:$B$45)*(INDEX('Landbrugsareal - resultat'!$L$32:$N$45,,MATCH(E487,'Landbrugsareal - resultat'!$L$4:$N$4,0)))),IF(C487=2030,SUMPRODUCT((B487='Landbrugsareal - resultat'!$B$32:$B$45)*(INDEX('Landbrugsareal - resultat'!$O$32:$Q$45,,MATCH(E487,'Landbrugsareal - resultat'!$O$4:$Q$4,0)))),SUMPRODUCT((B487='Landbrugsareal - resultat'!$B$32:$B$45)*(INDEX('Landbrugsareal - resultat'!$R$32:$T$45,,MATCH(E487,'Landbrugsareal - resultat'!$R$4:$T$4,0))))))))</f>
        <v>13.538253428057727</v>
      </c>
      <c r="H487" s="172">
        <f>G487*VLOOKUP(B487,[1]Afgrødedata!$A$5:$F$18,2,FALSE)*IF(D487="Økologisk",VLOOKUP(B487,[1]Afgrødedata!$A$5:$F$18,4,FALSE),1)*IF(E487&lt;&gt;Jordbund1,IF(E487=Organ6,VLOOKUP(B487,[1]Afgrødedata!$A$5:$F$18,5,FALSE),VLOOKUP(B487,[1]Afgrødedata!$A$5:$F$18,6,FALSE)),1)*0.1</f>
        <v>321.90125740485024</v>
      </c>
      <c r="I487" s="172">
        <f>G487*VLOOKUP(B487,[1]Afgrødedata!$A$5:$F$18,3,FALSE)*IF(D487="Økologisk",VLOOKUP(B487,[1]Afgrødedata!$A$5:$F$18,4,FALSE),1)*IF(E487&lt;&gt;Jordbund1,IF(E487=Organ6,VLOOKUP(B487,[1]Afgrødedata!$A$5:$F$18,5,FALSE),VLOOKUP(B487,[1]Afgrødedata!$A$5:$F$18,6,FALSE)),1)*HLOOKUP(C487,Landbrug!$C$15:$E$17,2,FALSE)*HLOOKUP(C487,Landbrug!$C$15:$E$17,3,FALSE)*0.1</f>
        <v>0</v>
      </c>
      <c r="J487" s="76">
        <f t="shared" si="68"/>
        <v>321.90125740485024</v>
      </c>
    </row>
    <row r="488" spans="1:10" x14ac:dyDescent="0.55000000000000004">
      <c r="A488" t="s">
        <v>24</v>
      </c>
      <c r="B488" s="1" t="str">
        <f>[1]Afgrødefordeling!$C$12</f>
        <v>Frø</v>
      </c>
      <c r="C488">
        <v>2030</v>
      </c>
      <c r="D488" t="s">
        <v>8</v>
      </c>
      <c r="E488" s="172" t="str">
        <f t="shared" si="69"/>
        <v>OC12</v>
      </c>
      <c r="F488" t="str">
        <f t="shared" si="67"/>
        <v>Halm</v>
      </c>
      <c r="G488" s="76" cm="1">
        <f t="array" ref="G488">IF(A488="Vestdanmark",IF(D488="Konventionel",IF(C488=2019,SUMPRODUCT((B488='Landbrugsareal - resultat'!$B$5:$B$18)*(INDEX('Landbrugsareal - resultat'!$C$5:$E$18,,MATCH(E488,'Landbrugsareal - resultat'!$C$4:$E$4,0)))),IF(C488=2030,SUMPRODUCT((B488='Landbrugsareal - resultat'!$B$5:$B$18)*(INDEX('Landbrugsareal - resultat'!$F$5:$H$18,,MATCH(E488,'Landbrugsareal - resultat'!$F$4:$H$4,0)))),SUMPRODUCT((B488='Landbrugsareal - resultat'!$B$5:$B$18)*(INDEX('Landbrugsareal - resultat'!$I$5:$K$18,,MATCH(E488,'Landbrugsareal - resultat'!$I$4:$K$4,0)))))),IF(C488=2019,SUMPRODUCT((B488='Landbrugsareal - resultat'!$B$5:$B$18)*(INDEX('Landbrugsareal - resultat'!$L$5:$N$18,,MATCH(E488,'Landbrugsareal - resultat'!$L$4:$N$4,0)))),IF(C488=2030,SUMPRODUCT((B488='Landbrugsareal - resultat'!$B$5:$B$18)*(INDEX('Landbrugsareal - resultat'!$O$5:$Q$18,,MATCH(E488,'Landbrugsareal - resultat'!$O$4:$Q$4,0)))),SUMPRODUCT((B488='Landbrugsareal - resultat'!$B$5:$B$18)*(INDEX('Landbrugsareal - resultat'!$R$5:$T$18,,MATCH(E488,'Landbrugsareal - resultat'!$R$4:$T$4,0))))))),IF(D488="Konventionel",IF(C488=2019,SUMPRODUCT((B488='Landbrugsareal - resultat'!$B$32:$B$45)*(INDEX('Landbrugsareal - resultat'!$C$32:$E$45,,MATCH(E488,'Landbrugsareal - resultat'!$C$4:$E$4,0)))),IF(C488=2030,SUMPRODUCT((B488='Landbrugsareal - resultat'!$B$32:$B$45)*(INDEX('Landbrugsareal - resultat'!$F$32:$H$45,,MATCH(E488,'Landbrugsareal - resultat'!$F$4:$H$4,0)))),SUMPRODUCT((B488='Landbrugsareal - resultat'!$B$32:$B$45)*(INDEX('Landbrugsareal - resultat'!$I$32:$K$45,,MATCH(E488,'Landbrugsareal - resultat'!$I$4:$K$4,0)))))),IF(C488=2019,SUMPRODUCT((B488='Landbrugsareal - resultat'!$B$32:$B$45)*(INDEX('Landbrugsareal - resultat'!$L$32:$N$45,,MATCH(E488,'Landbrugsareal - resultat'!$L$4:$N$4,0)))),IF(C488=2030,SUMPRODUCT((B488='Landbrugsareal - resultat'!$B$32:$B$45)*(INDEX('Landbrugsareal - resultat'!$O$32:$Q$45,,MATCH(E488,'Landbrugsareal - resultat'!$O$4:$Q$4,0)))),SUMPRODUCT((B488='Landbrugsareal - resultat'!$B$32:$B$45)*(INDEX('Landbrugsareal - resultat'!$R$32:$T$45,,MATCH(E488,'Landbrugsareal - resultat'!$R$4:$T$4,0))))))))</f>
        <v>126.69337889117246</v>
      </c>
      <c r="H488" s="172">
        <f>G488*VLOOKUP(B488,[1]Afgrødedata!$A$5:$F$18,2,FALSE)*IF(D488="Økologisk",VLOOKUP(B488,[1]Afgrødedata!$A$5:$F$18,4,FALSE),1)*IF(E488&lt;&gt;Jordbund1,IF(E488=Organ6,VLOOKUP(B488,[1]Afgrødedata!$A$5:$F$18,5,FALSE),VLOOKUP(B488,[1]Afgrødedata!$A$5:$F$18,6,FALSE)),1)*0.1</f>
        <v>1444.6226320003389</v>
      </c>
      <c r="I488" s="172">
        <f>G488*VLOOKUP(B488,[1]Afgrødedata!$A$5:$F$18,3,FALSE)*IF(D488="Økologisk",VLOOKUP(B488,[1]Afgrødedata!$A$5:$F$18,4,FALSE),1)*IF(E488&lt;&gt;Jordbund1,IF(E488=Organ6,VLOOKUP(B488,[1]Afgrødedata!$A$5:$F$18,5,FALSE),VLOOKUP(B488,[1]Afgrødedata!$A$5:$F$18,6,FALSE)),1)*HLOOKUP(C488,Landbrug!$C$15:$E$17,2,FALSE)*HLOOKUP(C488,Landbrug!$C$15:$E$17,3,FALSE)*0.1</f>
        <v>238.59910659816725</v>
      </c>
      <c r="J488" s="76">
        <f t="shared" ref="J488:J505" si="70">IF(I488&lt;&gt;0,I488,H488)</f>
        <v>238.59910659816725</v>
      </c>
    </row>
    <row r="489" spans="1:10" x14ac:dyDescent="0.55000000000000004">
      <c r="A489" t="s">
        <v>24</v>
      </c>
      <c r="B489" s="1" t="str">
        <f>[1]Afgrødefordeling!$C$13</f>
        <v>Juletræer</v>
      </c>
      <c r="C489">
        <v>2030</v>
      </c>
      <c r="D489" t="s">
        <v>8</v>
      </c>
      <c r="E489" s="172" t="str">
        <f t="shared" si="69"/>
        <v>OC12</v>
      </c>
      <c r="F489" t="str">
        <f t="shared" si="67"/>
        <v>Juletræer</v>
      </c>
      <c r="G489" s="76" cm="1">
        <f t="array" ref="G489">IF(A489="Vestdanmark",IF(D489="Konventionel",IF(C489=2019,SUMPRODUCT((B489='Landbrugsareal - resultat'!$B$5:$B$18)*(INDEX('Landbrugsareal - resultat'!$C$5:$E$18,,MATCH(E489,'Landbrugsareal - resultat'!$C$4:$E$4,0)))),IF(C489=2030,SUMPRODUCT((B489='Landbrugsareal - resultat'!$B$5:$B$18)*(INDEX('Landbrugsareal - resultat'!$F$5:$H$18,,MATCH(E489,'Landbrugsareal - resultat'!$F$4:$H$4,0)))),SUMPRODUCT((B489='Landbrugsareal - resultat'!$B$5:$B$18)*(INDEX('Landbrugsareal - resultat'!$I$5:$K$18,,MATCH(E489,'Landbrugsareal - resultat'!$I$4:$K$4,0)))))),IF(C489=2019,SUMPRODUCT((B489='Landbrugsareal - resultat'!$B$5:$B$18)*(INDEX('Landbrugsareal - resultat'!$L$5:$N$18,,MATCH(E489,'Landbrugsareal - resultat'!$L$4:$N$4,0)))),IF(C489=2030,SUMPRODUCT((B489='Landbrugsareal - resultat'!$B$5:$B$18)*(INDEX('Landbrugsareal - resultat'!$O$5:$Q$18,,MATCH(E489,'Landbrugsareal - resultat'!$O$4:$Q$4,0)))),SUMPRODUCT((B489='Landbrugsareal - resultat'!$B$5:$B$18)*(INDEX('Landbrugsareal - resultat'!$R$5:$T$18,,MATCH(E489,'Landbrugsareal - resultat'!$R$4:$T$4,0))))))),IF(D489="Konventionel",IF(C489=2019,SUMPRODUCT((B489='Landbrugsareal - resultat'!$B$32:$B$45)*(INDEX('Landbrugsareal - resultat'!$C$32:$E$45,,MATCH(E489,'Landbrugsareal - resultat'!$C$4:$E$4,0)))),IF(C489=2030,SUMPRODUCT((B489='Landbrugsareal - resultat'!$B$32:$B$45)*(INDEX('Landbrugsareal - resultat'!$F$32:$H$45,,MATCH(E489,'Landbrugsareal - resultat'!$F$4:$H$4,0)))),SUMPRODUCT((B489='Landbrugsareal - resultat'!$B$32:$B$45)*(INDEX('Landbrugsareal - resultat'!$I$32:$K$45,,MATCH(E489,'Landbrugsareal - resultat'!$I$4:$K$4,0)))))),IF(C489=2019,SUMPRODUCT((B489='Landbrugsareal - resultat'!$B$32:$B$45)*(INDEX('Landbrugsareal - resultat'!$L$32:$N$45,,MATCH(E489,'Landbrugsareal - resultat'!$L$4:$N$4,0)))),IF(C489=2030,SUMPRODUCT((B489='Landbrugsareal - resultat'!$B$32:$B$45)*(INDEX('Landbrugsareal - resultat'!$O$32:$Q$45,,MATCH(E489,'Landbrugsareal - resultat'!$O$4:$Q$4,0)))),SUMPRODUCT((B489='Landbrugsareal - resultat'!$B$32:$B$45)*(INDEX('Landbrugsareal - resultat'!$R$32:$T$45,,MATCH(E489,'Landbrugsareal - resultat'!$R$4:$T$4,0))))))))</f>
        <v>2.9709979148096681</v>
      </c>
      <c r="H489" s="172">
        <f>G489*VLOOKUP(B489,[1]Afgrødedata!$A$5:$F$18,2,FALSE)*IF(D489="Økologisk",VLOOKUP(B489,[1]Afgrødedata!$A$5:$F$18,4,FALSE),1)*IF(E489&lt;&gt;Jordbund1,IF(E489=Organ6,VLOOKUP(B489,[1]Afgrødedata!$A$5:$F$18,5,FALSE),VLOOKUP(B489,[1]Afgrødedata!$A$5:$F$18,6,FALSE)),1)*0.1</f>
        <v>118.54281680090574</v>
      </c>
      <c r="I489" s="172">
        <f>G489*VLOOKUP(B489,[1]Afgrødedata!$A$5:$F$18,3,FALSE)*IF(D489="Økologisk",VLOOKUP(B489,[1]Afgrødedata!$A$5:$F$18,4,FALSE),1)*IF(E489&lt;&gt;Jordbund1,IF(E489=Organ6,VLOOKUP(B489,[1]Afgrødedata!$A$5:$F$18,5,FALSE),VLOOKUP(B489,[1]Afgrødedata!$A$5:$F$18,6,FALSE)),1)*HLOOKUP(C489,Landbrug!$C$15:$E$17,2,FALSE)*HLOOKUP(C489,Landbrug!$C$15:$E$17,3,FALSE)*0.1</f>
        <v>0</v>
      </c>
      <c r="J489" s="76">
        <f t="shared" si="70"/>
        <v>118.54281680090574</v>
      </c>
    </row>
    <row r="490" spans="1:10" x14ac:dyDescent="0.55000000000000004">
      <c r="A490" t="s">
        <v>24</v>
      </c>
      <c r="B490" s="1" t="str">
        <f>[1]Afgrødefordeling!$C$14</f>
        <v>Pil &amp; poppel</v>
      </c>
      <c r="C490">
        <v>2030</v>
      </c>
      <c r="D490" t="s">
        <v>8</v>
      </c>
      <c r="E490" s="172" t="str">
        <f t="shared" si="69"/>
        <v>OC12</v>
      </c>
      <c r="F490" t="str">
        <f t="shared" si="67"/>
        <v>Pil &amp; poppel</v>
      </c>
      <c r="G490" s="76" cm="1">
        <f t="array" ref="G490">IF(A490="Vestdanmark",IF(D490="Konventionel",IF(C490=2019,SUMPRODUCT((B490='Landbrugsareal - resultat'!$B$5:$B$18)*(INDEX('Landbrugsareal - resultat'!$C$5:$E$18,,MATCH(E490,'Landbrugsareal - resultat'!$C$4:$E$4,0)))),IF(C490=2030,SUMPRODUCT((B490='Landbrugsareal - resultat'!$B$5:$B$18)*(INDEX('Landbrugsareal - resultat'!$F$5:$H$18,,MATCH(E490,'Landbrugsareal - resultat'!$F$4:$H$4,0)))),SUMPRODUCT((B490='Landbrugsareal - resultat'!$B$5:$B$18)*(INDEX('Landbrugsareal - resultat'!$I$5:$K$18,,MATCH(E490,'Landbrugsareal - resultat'!$I$4:$K$4,0)))))),IF(C490=2019,SUMPRODUCT((B490='Landbrugsareal - resultat'!$B$5:$B$18)*(INDEX('Landbrugsareal - resultat'!$L$5:$N$18,,MATCH(E490,'Landbrugsareal - resultat'!$L$4:$N$4,0)))),IF(C490=2030,SUMPRODUCT((B490='Landbrugsareal - resultat'!$B$5:$B$18)*(INDEX('Landbrugsareal - resultat'!$O$5:$Q$18,,MATCH(E490,'Landbrugsareal - resultat'!$O$4:$Q$4,0)))),SUMPRODUCT((B490='Landbrugsareal - resultat'!$B$5:$B$18)*(INDEX('Landbrugsareal - resultat'!$R$5:$T$18,,MATCH(E490,'Landbrugsareal - resultat'!$R$4:$T$4,0))))))),IF(D490="Konventionel",IF(C490=2019,SUMPRODUCT((B490='Landbrugsareal - resultat'!$B$32:$B$45)*(INDEX('Landbrugsareal - resultat'!$C$32:$E$45,,MATCH(E490,'Landbrugsareal - resultat'!$C$4:$E$4,0)))),IF(C490=2030,SUMPRODUCT((B490='Landbrugsareal - resultat'!$B$32:$B$45)*(INDEX('Landbrugsareal - resultat'!$F$32:$H$45,,MATCH(E490,'Landbrugsareal - resultat'!$F$4:$H$4,0)))),SUMPRODUCT((B490='Landbrugsareal - resultat'!$B$32:$B$45)*(INDEX('Landbrugsareal - resultat'!$I$32:$K$45,,MATCH(E490,'Landbrugsareal - resultat'!$I$4:$K$4,0)))))),IF(C490=2019,SUMPRODUCT((B490='Landbrugsareal - resultat'!$B$32:$B$45)*(INDEX('Landbrugsareal - resultat'!$L$32:$N$45,,MATCH(E490,'Landbrugsareal - resultat'!$L$4:$N$4,0)))),IF(C490=2030,SUMPRODUCT((B490='Landbrugsareal - resultat'!$B$32:$B$45)*(INDEX('Landbrugsareal - resultat'!$O$32:$Q$45,,MATCH(E490,'Landbrugsareal - resultat'!$O$4:$Q$4,0)))),SUMPRODUCT((B490='Landbrugsareal - resultat'!$B$32:$B$45)*(INDEX('Landbrugsareal - resultat'!$R$32:$T$45,,MATCH(E490,'Landbrugsareal - resultat'!$R$4:$T$4,0))))))))</f>
        <v>9.0627892425035448</v>
      </c>
      <c r="H490" s="172">
        <f>G490*VLOOKUP(B490,[1]Afgrødedata!$A$5:$F$18,2,FALSE)*IF(D490="Økologisk",VLOOKUP(B490,[1]Afgrødedata!$A$5:$F$18,4,FALSE),1)*IF(E490&lt;&gt;Jordbund1,IF(E490=Organ6,VLOOKUP(B490,[1]Afgrødedata!$A$5:$F$18,5,FALSE),VLOOKUP(B490,[1]Afgrødedata!$A$5:$F$18,6,FALSE)),1)*0.1</f>
        <v>176.39282476872751</v>
      </c>
      <c r="I490" s="172">
        <f>G490*VLOOKUP(B490,[1]Afgrødedata!$A$5:$F$18,3,FALSE)*IF(D490="Økologisk",VLOOKUP(B490,[1]Afgrødedata!$A$5:$F$18,4,FALSE),1)*IF(E490&lt;&gt;Jordbund1,IF(E490=Organ6,VLOOKUP(B490,[1]Afgrødedata!$A$5:$F$18,5,FALSE),VLOOKUP(B490,[1]Afgrødedata!$A$5:$F$18,6,FALSE)),1)*HLOOKUP(C490,Landbrug!$C$15:$E$17,2,FALSE)*HLOOKUP(C490,Landbrug!$C$15:$E$17,3,FALSE)*0.1</f>
        <v>0</v>
      </c>
      <c r="J490" s="76">
        <f t="shared" si="70"/>
        <v>176.39282476872751</v>
      </c>
    </row>
    <row r="491" spans="1:10" x14ac:dyDescent="0.55000000000000004">
      <c r="A491" t="s">
        <v>24</v>
      </c>
      <c r="B491" s="1" t="str">
        <f>[1]Afgrødefordeling!$C$15</f>
        <v>Permanent græs</v>
      </c>
      <c r="C491">
        <v>2030</v>
      </c>
      <c r="D491" t="s">
        <v>8</v>
      </c>
      <c r="E491" s="172" t="str">
        <f t="shared" si="69"/>
        <v>OC12</v>
      </c>
      <c r="F491" t="str">
        <f t="shared" si="67"/>
        <v>Græs</v>
      </c>
      <c r="G491" s="76" cm="1">
        <f t="array" ref="G491">IF(A491="Vestdanmark",IF(D491="Konventionel",IF(C491=2019,SUMPRODUCT((B491='Landbrugsareal - resultat'!$B$5:$B$18)*(INDEX('Landbrugsareal - resultat'!$C$5:$E$18,,MATCH(E491,'Landbrugsareal - resultat'!$C$4:$E$4,0)))),IF(C491=2030,SUMPRODUCT((B491='Landbrugsareal - resultat'!$B$5:$B$18)*(INDEX('Landbrugsareal - resultat'!$F$5:$H$18,,MATCH(E491,'Landbrugsareal - resultat'!$F$4:$H$4,0)))),SUMPRODUCT((B491='Landbrugsareal - resultat'!$B$5:$B$18)*(INDEX('Landbrugsareal - resultat'!$I$5:$K$18,,MATCH(E491,'Landbrugsareal - resultat'!$I$4:$K$4,0)))))),IF(C491=2019,SUMPRODUCT((B491='Landbrugsareal - resultat'!$B$5:$B$18)*(INDEX('Landbrugsareal - resultat'!$L$5:$N$18,,MATCH(E491,'Landbrugsareal - resultat'!$L$4:$N$4,0)))),IF(C491=2030,SUMPRODUCT((B491='Landbrugsareal - resultat'!$B$5:$B$18)*(INDEX('Landbrugsareal - resultat'!$O$5:$Q$18,,MATCH(E491,'Landbrugsareal - resultat'!$O$4:$Q$4,0)))),SUMPRODUCT((B491='Landbrugsareal - resultat'!$B$5:$B$18)*(INDEX('Landbrugsareal - resultat'!$R$5:$T$18,,MATCH(E491,'Landbrugsareal - resultat'!$R$4:$T$4,0))))))),IF(D491="Konventionel",IF(C491=2019,SUMPRODUCT((B491='Landbrugsareal - resultat'!$B$32:$B$45)*(INDEX('Landbrugsareal - resultat'!$C$32:$E$45,,MATCH(E491,'Landbrugsareal - resultat'!$C$4:$E$4,0)))),IF(C491=2030,SUMPRODUCT((B491='Landbrugsareal - resultat'!$B$32:$B$45)*(INDEX('Landbrugsareal - resultat'!$F$32:$H$45,,MATCH(E491,'Landbrugsareal - resultat'!$F$4:$H$4,0)))),SUMPRODUCT((B491='Landbrugsareal - resultat'!$B$32:$B$45)*(INDEX('Landbrugsareal - resultat'!$I$32:$K$45,,MATCH(E491,'Landbrugsareal - resultat'!$I$4:$K$4,0)))))),IF(C491=2019,SUMPRODUCT((B491='Landbrugsareal - resultat'!$B$32:$B$45)*(INDEX('Landbrugsareal - resultat'!$L$32:$N$45,,MATCH(E491,'Landbrugsareal - resultat'!$L$4:$N$4,0)))),IF(C491=2030,SUMPRODUCT((B491='Landbrugsareal - resultat'!$B$32:$B$45)*(INDEX('Landbrugsareal - resultat'!$O$32:$Q$45,,MATCH(E491,'Landbrugsareal - resultat'!$O$4:$Q$4,0)))),SUMPRODUCT((B491='Landbrugsareal - resultat'!$B$32:$B$45)*(INDEX('Landbrugsareal - resultat'!$R$32:$T$45,,MATCH(E491,'Landbrugsareal - resultat'!$R$4:$T$4,0))))))))</f>
        <v>315.17066941348531</v>
      </c>
      <c r="H491" s="172">
        <f>G491*VLOOKUP(B491,[1]Afgrødedata!$A$5:$F$18,2,FALSE)*IF(D491="Økologisk",VLOOKUP(B491,[1]Afgrødedata!$A$5:$F$18,4,FALSE),1)*IF(E491&lt;&gt;Jordbund1,IF(E491=Organ6,VLOOKUP(B491,[1]Afgrødedata!$A$5:$F$18,5,FALSE),VLOOKUP(B491,[1]Afgrødedata!$A$5:$F$18,6,FALSE)),1)*0.1</f>
        <v>6084.6849436967468</v>
      </c>
      <c r="I491" s="172">
        <f>G491*VLOOKUP(B491,[1]Afgrødedata!$A$5:$F$18,3,FALSE)*IF(D491="Økologisk",VLOOKUP(B491,[1]Afgrødedata!$A$5:$F$18,4,FALSE),1)*IF(E491&lt;&gt;Jordbund1,IF(E491=Organ6,VLOOKUP(B491,[1]Afgrødedata!$A$5:$F$18,5,FALSE),VLOOKUP(B491,[1]Afgrødedata!$A$5:$F$18,6,FALSE)),1)*HLOOKUP(C491,Landbrug!$C$15:$E$17,2,FALSE)*HLOOKUP(C491,Landbrug!$C$15:$E$17,3,FALSE)*0.1</f>
        <v>0</v>
      </c>
      <c r="J491" s="76">
        <f t="shared" si="70"/>
        <v>6084.6849436967468</v>
      </c>
    </row>
    <row r="492" spans="1:10" x14ac:dyDescent="0.55000000000000004">
      <c r="A492" t="s">
        <v>24</v>
      </c>
      <c r="B492" s="1" t="str">
        <f>[1]Afgrødefordeling!$C$2</f>
        <v>Korn</v>
      </c>
      <c r="C492">
        <v>2050</v>
      </c>
      <c r="D492" t="s">
        <v>8</v>
      </c>
      <c r="E492" s="172" t="str">
        <f t="shared" si="69"/>
        <v>OC12</v>
      </c>
      <c r="F492" t="str">
        <f t="shared" si="67"/>
        <v>Halm</v>
      </c>
      <c r="G492" s="76" cm="1">
        <f t="array" ref="G492">IF(A492="Vestdanmark",IF(D492="Konventionel",IF(C492=2019,SUMPRODUCT((B492='Landbrugsareal - resultat'!$B$5:$B$18)*(INDEX('Landbrugsareal - resultat'!$C$5:$E$18,,MATCH(E492,'Landbrugsareal - resultat'!$C$4:$E$4,0)))),IF(C492=2030,SUMPRODUCT((B492='Landbrugsareal - resultat'!$B$5:$B$18)*(INDEX('Landbrugsareal - resultat'!$F$5:$H$18,,MATCH(E492,'Landbrugsareal - resultat'!$F$4:$H$4,0)))),SUMPRODUCT((B492='Landbrugsareal - resultat'!$B$5:$B$18)*(INDEX('Landbrugsareal - resultat'!$I$5:$K$18,,MATCH(E492,'Landbrugsareal - resultat'!$I$4:$K$4,0)))))),IF(C492=2019,SUMPRODUCT((B492='Landbrugsareal - resultat'!$B$5:$B$18)*(INDEX('Landbrugsareal - resultat'!$L$5:$N$18,,MATCH(E492,'Landbrugsareal - resultat'!$L$4:$N$4,0)))),IF(C492=2030,SUMPRODUCT((B492='Landbrugsareal - resultat'!$B$5:$B$18)*(INDEX('Landbrugsareal - resultat'!$O$5:$Q$18,,MATCH(E492,'Landbrugsareal - resultat'!$O$4:$Q$4,0)))),SUMPRODUCT((B492='Landbrugsareal - resultat'!$B$5:$B$18)*(INDEX('Landbrugsareal - resultat'!$R$5:$T$18,,MATCH(E492,'Landbrugsareal - resultat'!$R$4:$T$4,0))))))),IF(D492="Konventionel",IF(C492=2019,SUMPRODUCT((B492='Landbrugsareal - resultat'!$B$32:$B$45)*(INDEX('Landbrugsareal - resultat'!$C$32:$E$45,,MATCH(E492,'Landbrugsareal - resultat'!$C$4:$E$4,0)))),IF(C492=2030,SUMPRODUCT((B492='Landbrugsareal - resultat'!$B$32:$B$45)*(INDEX('Landbrugsareal - resultat'!$F$32:$H$45,,MATCH(E492,'Landbrugsareal - resultat'!$F$4:$H$4,0)))),SUMPRODUCT((B492='Landbrugsareal - resultat'!$B$32:$B$45)*(INDEX('Landbrugsareal - resultat'!$I$32:$K$45,,MATCH(E492,'Landbrugsareal - resultat'!$I$4:$K$4,0)))))),IF(C492=2019,SUMPRODUCT((B492='Landbrugsareal - resultat'!$B$32:$B$45)*(INDEX('Landbrugsareal - resultat'!$L$32:$N$45,,MATCH(E492,'Landbrugsareal - resultat'!$L$4:$N$4,0)))),IF(C492=2030,SUMPRODUCT((B492='Landbrugsareal - resultat'!$B$32:$B$45)*(INDEX('Landbrugsareal - resultat'!$O$32:$Q$45,,MATCH(E492,'Landbrugsareal - resultat'!$O$4:$Q$4,0)))),SUMPRODUCT((B492='Landbrugsareal - resultat'!$B$32:$B$45)*(INDEX('Landbrugsareal - resultat'!$R$32:$T$45,,MATCH(E492,'Landbrugsareal - resultat'!$R$4:$T$4,0))))))))</f>
        <v>327.37522771809893</v>
      </c>
      <c r="H492" s="172">
        <f>G492*VLOOKUP(B492,[1]Afgrødedata!$A$5:$F$18,2,FALSE)*IF(D492="Økologisk",VLOOKUP(B492,[1]Afgrødedata!$A$5:$F$18,4,FALSE),1)*IF(E492&lt;&gt;Jordbund1,IF(E492=Organ6,VLOOKUP(B492,[1]Afgrødedata!$A$5:$F$18,5,FALSE),VLOOKUP(B492,[1]Afgrødedata!$A$5:$F$18,6,FALSE)),1)*0.1</f>
        <v>2152.6165248330335</v>
      </c>
      <c r="I492" s="172">
        <f>G492*VLOOKUP(B492,[1]Afgrødedata!$A$5:$F$18,3,FALSE)*IF(D492="Økologisk",VLOOKUP(B492,[1]Afgrødedata!$A$5:$F$18,4,FALSE),1)*IF(E492&lt;&gt;Jordbund1,IF(E492=Organ6,VLOOKUP(B492,[1]Afgrødedata!$A$5:$F$18,5,FALSE),VLOOKUP(B492,[1]Afgrødedata!$A$5:$F$18,6,FALSE)),1)*HLOOKUP(C492,Landbrug!$C$15:$E$17,2,FALSE)*HLOOKUP(C492,Landbrug!$C$15:$E$17,3,FALSE)*0.1</f>
        <v>698.52406230831946</v>
      </c>
      <c r="J492" s="76">
        <f t="shared" si="70"/>
        <v>698.52406230831946</v>
      </c>
    </row>
    <row r="493" spans="1:10" x14ac:dyDescent="0.55000000000000004">
      <c r="A493" t="s">
        <v>24</v>
      </c>
      <c r="B493" s="1" t="str">
        <f>[1]Afgrødefordeling!$C$3</f>
        <v>Bælgsæd</v>
      </c>
      <c r="C493">
        <v>2050</v>
      </c>
      <c r="D493" t="s">
        <v>8</v>
      </c>
      <c r="E493" s="172" t="str">
        <f t="shared" si="69"/>
        <v>OC12</v>
      </c>
      <c r="F493" t="str">
        <f t="shared" si="67"/>
        <v>Halm</v>
      </c>
      <c r="G493" s="76" cm="1">
        <f t="array" ref="G493">IF(A493="Vestdanmark",IF(D493="Konventionel",IF(C493=2019,SUMPRODUCT((B493='Landbrugsareal - resultat'!$B$5:$B$18)*(INDEX('Landbrugsareal - resultat'!$C$5:$E$18,,MATCH(E493,'Landbrugsareal - resultat'!$C$4:$E$4,0)))),IF(C493=2030,SUMPRODUCT((B493='Landbrugsareal - resultat'!$B$5:$B$18)*(INDEX('Landbrugsareal - resultat'!$F$5:$H$18,,MATCH(E493,'Landbrugsareal - resultat'!$F$4:$H$4,0)))),SUMPRODUCT((B493='Landbrugsareal - resultat'!$B$5:$B$18)*(INDEX('Landbrugsareal - resultat'!$I$5:$K$18,,MATCH(E493,'Landbrugsareal - resultat'!$I$4:$K$4,0)))))),IF(C493=2019,SUMPRODUCT((B493='Landbrugsareal - resultat'!$B$5:$B$18)*(INDEX('Landbrugsareal - resultat'!$L$5:$N$18,,MATCH(E493,'Landbrugsareal - resultat'!$L$4:$N$4,0)))),IF(C493=2030,SUMPRODUCT((B493='Landbrugsareal - resultat'!$B$5:$B$18)*(INDEX('Landbrugsareal - resultat'!$O$5:$Q$18,,MATCH(E493,'Landbrugsareal - resultat'!$O$4:$Q$4,0)))),SUMPRODUCT((B493='Landbrugsareal - resultat'!$B$5:$B$18)*(INDEX('Landbrugsareal - resultat'!$R$5:$T$18,,MATCH(E493,'Landbrugsareal - resultat'!$R$4:$T$4,0))))))),IF(D493="Konventionel",IF(C493=2019,SUMPRODUCT((B493='Landbrugsareal - resultat'!$B$32:$B$45)*(INDEX('Landbrugsareal - resultat'!$C$32:$E$45,,MATCH(E493,'Landbrugsareal - resultat'!$C$4:$E$4,0)))),IF(C493=2030,SUMPRODUCT((B493='Landbrugsareal - resultat'!$B$32:$B$45)*(INDEX('Landbrugsareal - resultat'!$F$32:$H$45,,MATCH(E493,'Landbrugsareal - resultat'!$F$4:$H$4,0)))),SUMPRODUCT((B493='Landbrugsareal - resultat'!$B$32:$B$45)*(INDEX('Landbrugsareal - resultat'!$I$32:$K$45,,MATCH(E493,'Landbrugsareal - resultat'!$I$4:$K$4,0)))))),IF(C493=2019,SUMPRODUCT((B493='Landbrugsareal - resultat'!$B$32:$B$45)*(INDEX('Landbrugsareal - resultat'!$L$32:$N$45,,MATCH(E493,'Landbrugsareal - resultat'!$L$4:$N$4,0)))),IF(C493=2030,SUMPRODUCT((B493='Landbrugsareal - resultat'!$B$32:$B$45)*(INDEX('Landbrugsareal - resultat'!$O$32:$Q$45,,MATCH(E493,'Landbrugsareal - resultat'!$O$4:$Q$4,0)))),SUMPRODUCT((B493='Landbrugsareal - resultat'!$B$32:$B$45)*(INDEX('Landbrugsareal - resultat'!$R$32:$T$45,,MATCH(E493,'Landbrugsareal - resultat'!$R$4:$T$4,0))))))))</f>
        <v>5.9462136869565443</v>
      </c>
      <c r="H493" s="172">
        <f>G493*VLOOKUP(B493,[1]Afgrødedata!$A$5:$F$18,2,FALSE)*IF(D493="Økologisk",VLOOKUP(B493,[1]Afgrødedata!$A$5:$F$18,4,FALSE),1)*IF(E493&lt;&gt;Jordbund1,IF(E493=Organ6,VLOOKUP(B493,[1]Afgrødedata!$A$5:$F$18,5,FALSE),VLOOKUP(B493,[1]Afgrødedata!$A$5:$F$18,6,FALSE)),1)*0.1</f>
        <v>18.316003095658502</v>
      </c>
      <c r="I493" s="172">
        <f>G493*VLOOKUP(B493,[1]Afgrødedata!$A$5:$F$18,3,FALSE)*IF(D493="Økologisk",VLOOKUP(B493,[1]Afgrødedata!$A$5:$F$18,4,FALSE),1)*IF(E493&lt;&gt;Jordbund1,IF(E493=Organ6,VLOOKUP(B493,[1]Afgrødedata!$A$5:$F$18,5,FALSE),VLOOKUP(B493,[1]Afgrødedata!$A$5:$F$18,6,FALSE)),1)*HLOOKUP(C493,Landbrug!$C$15:$E$17,2,FALSE)*HLOOKUP(C493,Landbrug!$C$15:$E$17,3,FALSE)*0.1</f>
        <v>5.4060205095473508</v>
      </c>
      <c r="J493" s="76">
        <f t="shared" si="70"/>
        <v>5.4060205095473508</v>
      </c>
    </row>
    <row r="494" spans="1:10" x14ac:dyDescent="0.55000000000000004">
      <c r="A494" t="s">
        <v>24</v>
      </c>
      <c r="B494" s="1" t="str">
        <f>[1]Afgrødefordeling!$C$4</f>
        <v>Raps</v>
      </c>
      <c r="C494">
        <v>2050</v>
      </c>
      <c r="D494" t="s">
        <v>8</v>
      </c>
      <c r="E494" s="172" t="str">
        <f t="shared" si="69"/>
        <v>OC12</v>
      </c>
      <c r="F494" t="str">
        <f t="shared" si="67"/>
        <v>Halm</v>
      </c>
      <c r="G494" s="76" cm="1">
        <f t="array" ref="G494">IF(A494="Vestdanmark",IF(D494="Konventionel",IF(C494=2019,SUMPRODUCT((B494='Landbrugsareal - resultat'!$B$5:$B$18)*(INDEX('Landbrugsareal - resultat'!$C$5:$E$18,,MATCH(E494,'Landbrugsareal - resultat'!$C$4:$E$4,0)))),IF(C494=2030,SUMPRODUCT((B494='Landbrugsareal - resultat'!$B$5:$B$18)*(INDEX('Landbrugsareal - resultat'!$F$5:$H$18,,MATCH(E494,'Landbrugsareal - resultat'!$F$4:$H$4,0)))),SUMPRODUCT((B494='Landbrugsareal - resultat'!$B$5:$B$18)*(INDEX('Landbrugsareal - resultat'!$I$5:$K$18,,MATCH(E494,'Landbrugsareal - resultat'!$I$4:$K$4,0)))))),IF(C494=2019,SUMPRODUCT((B494='Landbrugsareal - resultat'!$B$5:$B$18)*(INDEX('Landbrugsareal - resultat'!$L$5:$N$18,,MATCH(E494,'Landbrugsareal - resultat'!$L$4:$N$4,0)))),IF(C494=2030,SUMPRODUCT((B494='Landbrugsareal - resultat'!$B$5:$B$18)*(INDEX('Landbrugsareal - resultat'!$O$5:$Q$18,,MATCH(E494,'Landbrugsareal - resultat'!$O$4:$Q$4,0)))),SUMPRODUCT((B494='Landbrugsareal - resultat'!$B$5:$B$18)*(INDEX('Landbrugsareal - resultat'!$R$5:$T$18,,MATCH(E494,'Landbrugsareal - resultat'!$R$4:$T$4,0))))))),IF(D494="Konventionel",IF(C494=2019,SUMPRODUCT((B494='Landbrugsareal - resultat'!$B$32:$B$45)*(INDEX('Landbrugsareal - resultat'!$C$32:$E$45,,MATCH(E494,'Landbrugsareal - resultat'!$C$4:$E$4,0)))),IF(C494=2030,SUMPRODUCT((B494='Landbrugsareal - resultat'!$B$32:$B$45)*(INDEX('Landbrugsareal - resultat'!$F$32:$H$45,,MATCH(E494,'Landbrugsareal - resultat'!$F$4:$H$4,0)))),SUMPRODUCT((B494='Landbrugsareal - resultat'!$B$32:$B$45)*(INDEX('Landbrugsareal - resultat'!$I$32:$K$45,,MATCH(E494,'Landbrugsareal - resultat'!$I$4:$K$4,0)))))),IF(C494=2019,SUMPRODUCT((B494='Landbrugsareal - resultat'!$B$32:$B$45)*(INDEX('Landbrugsareal - resultat'!$L$32:$N$45,,MATCH(E494,'Landbrugsareal - resultat'!$L$4:$N$4,0)))),IF(C494=2030,SUMPRODUCT((B494='Landbrugsareal - resultat'!$B$32:$B$45)*(INDEX('Landbrugsareal - resultat'!$O$32:$Q$45,,MATCH(E494,'Landbrugsareal - resultat'!$O$4:$Q$4,0)))),SUMPRODUCT((B494='Landbrugsareal - resultat'!$B$32:$B$45)*(INDEX('Landbrugsareal - resultat'!$R$32:$T$45,,MATCH(E494,'Landbrugsareal - resultat'!$R$4:$T$4,0))))))))</f>
        <v>29.045862498506725</v>
      </c>
      <c r="H494" s="172">
        <f>G494*VLOOKUP(B494,[1]Afgrødedata!$A$5:$F$18,2,FALSE)*IF(D494="Økologisk",VLOOKUP(B494,[1]Afgrødedata!$A$5:$F$18,4,FALSE),1)*IF(E494&lt;&gt;Jordbund1,IF(E494=Organ6,VLOOKUP(B494,[1]Afgrødedata!$A$5:$F$18,5,FALSE),VLOOKUP(B494,[1]Afgrødedata!$A$5:$F$18,6,FALSE)),1)*0.1</f>
        <v>98.407382144940797</v>
      </c>
      <c r="I494" s="172">
        <f>G494*VLOOKUP(B494,[1]Afgrødedata!$A$5:$F$18,3,FALSE)*IF(D494="Økologisk",VLOOKUP(B494,[1]Afgrødedata!$A$5:$F$18,4,FALSE),1)*IF(E494&lt;&gt;Jordbund1,IF(E494=Organ6,VLOOKUP(B494,[1]Afgrødedata!$A$5:$F$18,5,FALSE),VLOOKUP(B494,[1]Afgrødedata!$A$5:$F$18,6,FALSE)),1)*HLOOKUP(C494,Landbrug!$C$15:$E$17,2,FALSE)*HLOOKUP(C494,Landbrug!$C$15:$E$17,3,FALSE)*0.1</f>
        <v>52.254319918963553</v>
      </c>
      <c r="J494" s="76">
        <f t="shared" si="70"/>
        <v>52.254319918963553</v>
      </c>
    </row>
    <row r="495" spans="1:10" x14ac:dyDescent="0.55000000000000004">
      <c r="A495" t="s">
        <v>24</v>
      </c>
      <c r="B495" s="1" t="str">
        <f>[1]Afgrødefordeling!$C$5</f>
        <v>Græs</v>
      </c>
      <c r="C495">
        <v>2050</v>
      </c>
      <c r="D495" t="s">
        <v>8</v>
      </c>
      <c r="E495" s="172" t="str">
        <f t="shared" si="69"/>
        <v>OC12</v>
      </c>
      <c r="F495" t="str">
        <f t="shared" si="67"/>
        <v>Græs</v>
      </c>
      <c r="G495" s="76" cm="1">
        <f t="array" ref="G495">IF(A495="Vestdanmark",IF(D495="Konventionel",IF(C495=2019,SUMPRODUCT((B495='Landbrugsareal - resultat'!$B$5:$B$18)*(INDEX('Landbrugsareal - resultat'!$C$5:$E$18,,MATCH(E495,'Landbrugsareal - resultat'!$C$4:$E$4,0)))),IF(C495=2030,SUMPRODUCT((B495='Landbrugsareal - resultat'!$B$5:$B$18)*(INDEX('Landbrugsareal - resultat'!$F$5:$H$18,,MATCH(E495,'Landbrugsareal - resultat'!$F$4:$H$4,0)))),SUMPRODUCT((B495='Landbrugsareal - resultat'!$B$5:$B$18)*(INDEX('Landbrugsareal - resultat'!$I$5:$K$18,,MATCH(E495,'Landbrugsareal - resultat'!$I$4:$K$4,0)))))),IF(C495=2019,SUMPRODUCT((B495='Landbrugsareal - resultat'!$B$5:$B$18)*(INDEX('Landbrugsareal - resultat'!$L$5:$N$18,,MATCH(E495,'Landbrugsareal - resultat'!$L$4:$N$4,0)))),IF(C495=2030,SUMPRODUCT((B495='Landbrugsareal - resultat'!$B$5:$B$18)*(INDEX('Landbrugsareal - resultat'!$O$5:$Q$18,,MATCH(E495,'Landbrugsareal - resultat'!$O$4:$Q$4,0)))),SUMPRODUCT((B495='Landbrugsareal - resultat'!$B$5:$B$18)*(INDEX('Landbrugsareal - resultat'!$R$5:$T$18,,MATCH(E495,'Landbrugsareal - resultat'!$R$4:$T$4,0))))))),IF(D495="Konventionel",IF(C495=2019,SUMPRODUCT((B495='Landbrugsareal - resultat'!$B$32:$B$45)*(INDEX('Landbrugsareal - resultat'!$C$32:$E$45,,MATCH(E495,'Landbrugsareal - resultat'!$C$4:$E$4,0)))),IF(C495=2030,SUMPRODUCT((B495='Landbrugsareal - resultat'!$B$32:$B$45)*(INDEX('Landbrugsareal - resultat'!$F$32:$H$45,,MATCH(E495,'Landbrugsareal - resultat'!$F$4:$H$4,0)))),SUMPRODUCT((B495='Landbrugsareal - resultat'!$B$32:$B$45)*(INDEX('Landbrugsareal - resultat'!$I$32:$K$45,,MATCH(E495,'Landbrugsareal - resultat'!$I$4:$K$4,0)))))),IF(C495=2019,SUMPRODUCT((B495='Landbrugsareal - resultat'!$B$32:$B$45)*(INDEX('Landbrugsareal - resultat'!$L$32:$N$45,,MATCH(E495,'Landbrugsareal - resultat'!$L$4:$N$4,0)))),IF(C495=2030,SUMPRODUCT((B495='Landbrugsareal - resultat'!$B$32:$B$45)*(INDEX('Landbrugsareal - resultat'!$O$32:$Q$45,,MATCH(E495,'Landbrugsareal - resultat'!$O$4:$Q$4,0)))),SUMPRODUCT((B495='Landbrugsareal - resultat'!$B$32:$B$45)*(INDEX('Landbrugsareal - resultat'!$R$32:$T$45,,MATCH(E495,'Landbrugsareal - resultat'!$R$4:$T$4,0))))))))</f>
        <v>213.44601480463271</v>
      </c>
      <c r="H495" s="172">
        <f>G495*VLOOKUP(B495,[1]Afgrødedata!$A$5:$F$18,2,FALSE)*IF(D495="Økologisk",VLOOKUP(B495,[1]Afgrødedata!$A$5:$F$18,4,FALSE),1)*IF(E495&lt;&gt;Jordbund1,IF(E495=Organ6,VLOOKUP(B495,[1]Afgrødedata!$A$5:$F$18,5,FALSE),VLOOKUP(B495,[1]Afgrødedata!$A$5:$F$18,6,FALSE)),1)*0.1</f>
        <v>11565.580850029617</v>
      </c>
      <c r="I495" s="172">
        <f>G495*VLOOKUP(B495,[1]Afgrødedata!$A$5:$F$18,3,FALSE)*IF(D495="Økologisk",VLOOKUP(B495,[1]Afgrødedata!$A$5:$F$18,4,FALSE),1)*IF(E495&lt;&gt;Jordbund1,IF(E495=Organ6,VLOOKUP(B495,[1]Afgrødedata!$A$5:$F$18,5,FALSE),VLOOKUP(B495,[1]Afgrødedata!$A$5:$F$18,6,FALSE)),1)*HLOOKUP(C495,Landbrug!$C$15:$E$17,2,FALSE)*HLOOKUP(C495,Landbrug!$C$15:$E$17,3,FALSE)*0.1</f>
        <v>0</v>
      </c>
      <c r="J495" s="76">
        <f t="shared" si="70"/>
        <v>11565.580850029617</v>
      </c>
    </row>
    <row r="496" spans="1:10" x14ac:dyDescent="0.55000000000000004">
      <c r="A496" t="s">
        <v>24</v>
      </c>
      <c r="B496" s="1" t="str">
        <f>[1]Afgrødefordeling!$C$6</f>
        <v>Grøntsager</v>
      </c>
      <c r="C496">
        <v>2050</v>
      </c>
      <c r="D496" t="s">
        <v>8</v>
      </c>
      <c r="E496" s="172" t="str">
        <f t="shared" si="69"/>
        <v>OC12</v>
      </c>
      <c r="F496" t="str">
        <f t="shared" si="67"/>
        <v>Grøntsager</v>
      </c>
      <c r="G496" s="76" cm="1">
        <f t="array" ref="G496">IF(A496="Vestdanmark",IF(D496="Konventionel",IF(C496=2019,SUMPRODUCT((B496='Landbrugsareal - resultat'!$B$5:$B$18)*(INDEX('Landbrugsareal - resultat'!$C$5:$E$18,,MATCH(E496,'Landbrugsareal - resultat'!$C$4:$E$4,0)))),IF(C496=2030,SUMPRODUCT((B496='Landbrugsareal - resultat'!$B$5:$B$18)*(INDEX('Landbrugsareal - resultat'!$F$5:$H$18,,MATCH(E496,'Landbrugsareal - resultat'!$F$4:$H$4,0)))),SUMPRODUCT((B496='Landbrugsareal - resultat'!$B$5:$B$18)*(INDEX('Landbrugsareal - resultat'!$I$5:$K$18,,MATCH(E496,'Landbrugsareal - resultat'!$I$4:$K$4,0)))))),IF(C496=2019,SUMPRODUCT((B496='Landbrugsareal - resultat'!$B$5:$B$18)*(INDEX('Landbrugsareal - resultat'!$L$5:$N$18,,MATCH(E496,'Landbrugsareal - resultat'!$L$4:$N$4,0)))),IF(C496=2030,SUMPRODUCT((B496='Landbrugsareal - resultat'!$B$5:$B$18)*(INDEX('Landbrugsareal - resultat'!$O$5:$Q$18,,MATCH(E496,'Landbrugsareal - resultat'!$O$4:$Q$4,0)))),SUMPRODUCT((B496='Landbrugsareal - resultat'!$B$5:$B$18)*(INDEX('Landbrugsareal - resultat'!$R$5:$T$18,,MATCH(E496,'Landbrugsareal - resultat'!$R$4:$T$4,0))))))),IF(D496="Konventionel",IF(C496=2019,SUMPRODUCT((B496='Landbrugsareal - resultat'!$B$32:$B$45)*(INDEX('Landbrugsareal - resultat'!$C$32:$E$45,,MATCH(E496,'Landbrugsareal - resultat'!$C$4:$E$4,0)))),IF(C496=2030,SUMPRODUCT((B496='Landbrugsareal - resultat'!$B$32:$B$45)*(INDEX('Landbrugsareal - resultat'!$F$32:$H$45,,MATCH(E496,'Landbrugsareal - resultat'!$F$4:$H$4,0)))),SUMPRODUCT((B496='Landbrugsareal - resultat'!$B$32:$B$45)*(INDEX('Landbrugsareal - resultat'!$I$32:$K$45,,MATCH(E496,'Landbrugsareal - resultat'!$I$4:$K$4,0)))))),IF(C496=2019,SUMPRODUCT((B496='Landbrugsareal - resultat'!$B$32:$B$45)*(INDEX('Landbrugsareal - resultat'!$L$32:$N$45,,MATCH(E496,'Landbrugsareal - resultat'!$L$4:$N$4,0)))),IF(C496=2030,SUMPRODUCT((B496='Landbrugsareal - resultat'!$B$32:$B$45)*(INDEX('Landbrugsareal - resultat'!$O$32:$Q$45,,MATCH(E496,'Landbrugsareal - resultat'!$O$4:$Q$4,0)))),SUMPRODUCT((B496='Landbrugsareal - resultat'!$B$32:$B$45)*(INDEX('Landbrugsareal - resultat'!$R$32:$T$45,,MATCH(E496,'Landbrugsareal - resultat'!$R$4:$T$4,0))))))))</f>
        <v>1.0046047809630216</v>
      </c>
      <c r="H496" s="172">
        <f>G496*VLOOKUP(B496,[1]Afgrødedata!$A$5:$F$18,2,FALSE)*IF(D496="Økologisk",VLOOKUP(B496,[1]Afgrødedata!$A$5:$F$18,4,FALSE),1)*IF(E496&lt;&gt;Jordbund1,IF(E496=Organ6,VLOOKUP(B496,[1]Afgrødedata!$A$5:$F$18,5,FALSE),VLOOKUP(B496,[1]Afgrødedata!$A$5:$F$18,6,FALSE)),1)*0.1</f>
        <v>16.634748265576192</v>
      </c>
      <c r="I496" s="172">
        <f>G496*VLOOKUP(B496,[1]Afgrødedata!$A$5:$F$18,3,FALSE)*IF(D496="Økologisk",VLOOKUP(B496,[1]Afgrødedata!$A$5:$F$18,4,FALSE),1)*IF(E496&lt;&gt;Jordbund1,IF(E496=Organ6,VLOOKUP(B496,[1]Afgrødedata!$A$5:$F$18,5,FALSE),VLOOKUP(B496,[1]Afgrødedata!$A$5:$F$18,6,FALSE)),1)*HLOOKUP(C496,Landbrug!$C$15:$E$17,2,FALSE)*HLOOKUP(C496,Landbrug!$C$15:$E$17,3,FALSE)*0.1</f>
        <v>0</v>
      </c>
      <c r="J496" s="76">
        <f t="shared" si="70"/>
        <v>16.634748265576192</v>
      </c>
    </row>
    <row r="497" spans="1:10" x14ac:dyDescent="0.55000000000000004">
      <c r="A497" t="s">
        <v>24</v>
      </c>
      <c r="B497" s="1" t="str">
        <f>[1]Afgrødefordeling!$C$7</f>
        <v>Kartofler</v>
      </c>
      <c r="C497">
        <v>2050</v>
      </c>
      <c r="D497" t="s">
        <v>8</v>
      </c>
      <c r="E497" s="172" t="str">
        <f t="shared" si="69"/>
        <v>OC12</v>
      </c>
      <c r="F497" t="str">
        <f t="shared" si="67"/>
        <v>Kartofler</v>
      </c>
      <c r="G497" s="76" cm="1">
        <f t="array" ref="G497">IF(A497="Vestdanmark",IF(D497="Konventionel",IF(C497=2019,SUMPRODUCT((B497='Landbrugsareal - resultat'!$B$5:$B$18)*(INDEX('Landbrugsareal - resultat'!$C$5:$E$18,,MATCH(E497,'Landbrugsareal - resultat'!$C$4:$E$4,0)))),IF(C497=2030,SUMPRODUCT((B497='Landbrugsareal - resultat'!$B$5:$B$18)*(INDEX('Landbrugsareal - resultat'!$F$5:$H$18,,MATCH(E497,'Landbrugsareal - resultat'!$F$4:$H$4,0)))),SUMPRODUCT((B497='Landbrugsareal - resultat'!$B$5:$B$18)*(INDEX('Landbrugsareal - resultat'!$I$5:$K$18,,MATCH(E497,'Landbrugsareal - resultat'!$I$4:$K$4,0)))))),IF(C497=2019,SUMPRODUCT((B497='Landbrugsareal - resultat'!$B$5:$B$18)*(INDEX('Landbrugsareal - resultat'!$L$5:$N$18,,MATCH(E497,'Landbrugsareal - resultat'!$L$4:$N$4,0)))),IF(C497=2030,SUMPRODUCT((B497='Landbrugsareal - resultat'!$B$5:$B$18)*(INDEX('Landbrugsareal - resultat'!$O$5:$Q$18,,MATCH(E497,'Landbrugsareal - resultat'!$O$4:$Q$4,0)))),SUMPRODUCT((B497='Landbrugsareal - resultat'!$B$5:$B$18)*(INDEX('Landbrugsareal - resultat'!$R$5:$T$18,,MATCH(E497,'Landbrugsareal - resultat'!$R$4:$T$4,0))))))),IF(D497="Konventionel",IF(C497=2019,SUMPRODUCT((B497='Landbrugsareal - resultat'!$B$32:$B$45)*(INDEX('Landbrugsareal - resultat'!$C$32:$E$45,,MATCH(E497,'Landbrugsareal - resultat'!$C$4:$E$4,0)))),IF(C497=2030,SUMPRODUCT((B497='Landbrugsareal - resultat'!$B$32:$B$45)*(INDEX('Landbrugsareal - resultat'!$F$32:$H$45,,MATCH(E497,'Landbrugsareal - resultat'!$F$4:$H$4,0)))),SUMPRODUCT((B497='Landbrugsareal - resultat'!$B$32:$B$45)*(INDEX('Landbrugsareal - resultat'!$I$32:$K$45,,MATCH(E497,'Landbrugsareal - resultat'!$I$4:$K$4,0)))))),IF(C497=2019,SUMPRODUCT((B497='Landbrugsareal - resultat'!$B$32:$B$45)*(INDEX('Landbrugsareal - resultat'!$L$32:$N$45,,MATCH(E497,'Landbrugsareal - resultat'!$L$4:$N$4,0)))),IF(C497=2030,SUMPRODUCT((B497='Landbrugsareal - resultat'!$B$32:$B$45)*(INDEX('Landbrugsareal - resultat'!$O$32:$Q$45,,MATCH(E497,'Landbrugsareal - resultat'!$O$4:$Q$4,0)))),SUMPRODUCT((B497='Landbrugsareal - resultat'!$B$32:$B$45)*(INDEX('Landbrugsareal - resultat'!$R$32:$T$45,,MATCH(E497,'Landbrugsareal - resultat'!$R$4:$T$4,0))))))))</f>
        <v>5.7261274099394539</v>
      </c>
      <c r="H497" s="172">
        <f>G497*VLOOKUP(B497,[1]Afgrødedata!$A$5:$F$18,2,FALSE)*IF(D497="Økologisk",VLOOKUP(B497,[1]Afgrødedata!$A$5:$F$18,4,FALSE),1)*IF(E497&lt;&gt;Jordbund1,IF(E497=Organ6,VLOOKUP(B497,[1]Afgrødedata!$A$5:$F$18,5,FALSE),VLOOKUP(B497,[1]Afgrødedata!$A$5:$F$18,6,FALSE)),1)*0.1</f>
        <v>194.06863770491017</v>
      </c>
      <c r="I497" s="172">
        <f>G497*VLOOKUP(B497,[1]Afgrødedata!$A$5:$F$18,3,FALSE)*IF(D497="Økologisk",VLOOKUP(B497,[1]Afgrødedata!$A$5:$F$18,4,FALSE),1)*IF(E497&lt;&gt;Jordbund1,IF(E497=Organ6,VLOOKUP(B497,[1]Afgrødedata!$A$5:$F$18,5,FALSE),VLOOKUP(B497,[1]Afgrødedata!$A$5:$F$18,6,FALSE)),1)*HLOOKUP(C497,Landbrug!$C$15:$E$17,2,FALSE)*HLOOKUP(C497,Landbrug!$C$15:$E$17,3,FALSE)*0.1</f>
        <v>0</v>
      </c>
      <c r="J497" s="76">
        <f t="shared" si="70"/>
        <v>194.06863770491017</v>
      </c>
    </row>
    <row r="498" spans="1:10" x14ac:dyDescent="0.55000000000000004">
      <c r="A498" t="s">
        <v>24</v>
      </c>
      <c r="B498" s="1" t="str">
        <f>[1]Afgrødefordeling!$C$8</f>
        <v>Roer</v>
      </c>
      <c r="C498">
        <v>2050</v>
      </c>
      <c r="D498" t="s">
        <v>8</v>
      </c>
      <c r="E498" s="172" t="str">
        <f t="shared" si="69"/>
        <v>OC12</v>
      </c>
      <c r="F498" t="str">
        <f t="shared" si="67"/>
        <v>Roer</v>
      </c>
      <c r="G498" s="76" cm="1">
        <f t="array" ref="G498">IF(A498="Vestdanmark",IF(D498="Konventionel",IF(C498=2019,SUMPRODUCT((B498='Landbrugsareal - resultat'!$B$5:$B$18)*(INDEX('Landbrugsareal - resultat'!$C$5:$E$18,,MATCH(E498,'Landbrugsareal - resultat'!$C$4:$E$4,0)))),IF(C498=2030,SUMPRODUCT((B498='Landbrugsareal - resultat'!$B$5:$B$18)*(INDEX('Landbrugsareal - resultat'!$F$5:$H$18,,MATCH(E498,'Landbrugsareal - resultat'!$F$4:$H$4,0)))),SUMPRODUCT((B498='Landbrugsareal - resultat'!$B$5:$B$18)*(INDEX('Landbrugsareal - resultat'!$I$5:$K$18,,MATCH(E498,'Landbrugsareal - resultat'!$I$4:$K$4,0)))))),IF(C498=2019,SUMPRODUCT((B498='Landbrugsareal - resultat'!$B$5:$B$18)*(INDEX('Landbrugsareal - resultat'!$L$5:$N$18,,MATCH(E498,'Landbrugsareal - resultat'!$L$4:$N$4,0)))),IF(C498=2030,SUMPRODUCT((B498='Landbrugsareal - resultat'!$B$5:$B$18)*(INDEX('Landbrugsareal - resultat'!$O$5:$Q$18,,MATCH(E498,'Landbrugsareal - resultat'!$O$4:$Q$4,0)))),SUMPRODUCT((B498='Landbrugsareal - resultat'!$B$5:$B$18)*(INDEX('Landbrugsareal - resultat'!$R$5:$T$18,,MATCH(E498,'Landbrugsareal - resultat'!$R$4:$T$4,0))))))),IF(D498="Konventionel",IF(C498=2019,SUMPRODUCT((B498='Landbrugsareal - resultat'!$B$32:$B$45)*(INDEX('Landbrugsareal - resultat'!$C$32:$E$45,,MATCH(E498,'Landbrugsareal - resultat'!$C$4:$E$4,0)))),IF(C498=2030,SUMPRODUCT((B498='Landbrugsareal - resultat'!$B$32:$B$45)*(INDEX('Landbrugsareal - resultat'!$F$32:$H$45,,MATCH(E498,'Landbrugsareal - resultat'!$F$4:$H$4,0)))),SUMPRODUCT((B498='Landbrugsareal - resultat'!$B$32:$B$45)*(INDEX('Landbrugsareal - resultat'!$I$32:$K$45,,MATCH(E498,'Landbrugsareal - resultat'!$I$4:$K$4,0)))))),IF(C498=2019,SUMPRODUCT((B498='Landbrugsareal - resultat'!$B$32:$B$45)*(INDEX('Landbrugsareal - resultat'!$L$32:$N$45,,MATCH(E498,'Landbrugsareal - resultat'!$L$4:$N$4,0)))),IF(C498=2030,SUMPRODUCT((B498='Landbrugsareal - resultat'!$B$32:$B$45)*(INDEX('Landbrugsareal - resultat'!$O$32:$Q$45,,MATCH(E498,'Landbrugsareal - resultat'!$O$4:$Q$4,0)))),SUMPRODUCT((B498='Landbrugsareal - resultat'!$B$32:$B$45)*(INDEX('Landbrugsareal - resultat'!$R$32:$T$45,,MATCH(E498,'Landbrugsareal - resultat'!$R$4:$T$4,0))))))))</f>
        <v>6.594125857270714</v>
      </c>
      <c r="H498" s="172">
        <f>G498*VLOOKUP(B498,[1]Afgrødedata!$A$5:$F$18,2,FALSE)*IF(D498="Økologisk",VLOOKUP(B498,[1]Afgrødedata!$A$5:$F$18,4,FALSE),1)*IF(E498&lt;&gt;Jordbund1,IF(E498=Organ6,VLOOKUP(B498,[1]Afgrødedata!$A$5:$F$18,5,FALSE),VLOOKUP(B498,[1]Afgrødedata!$A$5:$F$18,6,FALSE)),1)*0.1</f>
        <v>427.56627001867832</v>
      </c>
      <c r="I498" s="172">
        <f>G498*VLOOKUP(B498,[1]Afgrødedata!$A$5:$F$18,3,FALSE)*IF(D498="Økologisk",VLOOKUP(B498,[1]Afgrødedata!$A$5:$F$18,4,FALSE),1)*IF(E498&lt;&gt;Jordbund1,IF(E498=Organ6,VLOOKUP(B498,[1]Afgrødedata!$A$5:$F$18,5,FALSE),VLOOKUP(B498,[1]Afgrødedata!$A$5:$F$18,6,FALSE)),1)*HLOOKUP(C498,Landbrug!$C$15:$E$17,2,FALSE)*HLOOKUP(C498,Landbrug!$C$15:$E$17,3,FALSE)*0.1</f>
        <v>0</v>
      </c>
      <c r="J498" s="76">
        <f t="shared" si="70"/>
        <v>427.56627001867832</v>
      </c>
    </row>
    <row r="499" spans="1:10" x14ac:dyDescent="0.55000000000000004">
      <c r="A499" t="s">
        <v>24</v>
      </c>
      <c r="B499" s="1" t="str">
        <f>[1]Afgrødefordeling!$C$9</f>
        <v>Majs</v>
      </c>
      <c r="C499">
        <v>2050</v>
      </c>
      <c r="D499" t="s">
        <v>8</v>
      </c>
      <c r="E499" s="172" t="str">
        <f t="shared" si="69"/>
        <v>OC12</v>
      </c>
      <c r="F499" t="str">
        <f t="shared" si="67"/>
        <v>Majs</v>
      </c>
      <c r="G499" s="76" cm="1">
        <f t="array" ref="G499">IF(A499="Vestdanmark",IF(D499="Konventionel",IF(C499=2019,SUMPRODUCT((B499='Landbrugsareal - resultat'!$B$5:$B$18)*(INDEX('Landbrugsareal - resultat'!$C$5:$E$18,,MATCH(E499,'Landbrugsareal - resultat'!$C$4:$E$4,0)))),IF(C499=2030,SUMPRODUCT((B499='Landbrugsareal - resultat'!$B$5:$B$18)*(INDEX('Landbrugsareal - resultat'!$F$5:$H$18,,MATCH(E499,'Landbrugsareal - resultat'!$F$4:$H$4,0)))),SUMPRODUCT((B499='Landbrugsareal - resultat'!$B$5:$B$18)*(INDEX('Landbrugsareal - resultat'!$I$5:$K$18,,MATCH(E499,'Landbrugsareal - resultat'!$I$4:$K$4,0)))))),IF(C499=2019,SUMPRODUCT((B499='Landbrugsareal - resultat'!$B$5:$B$18)*(INDEX('Landbrugsareal - resultat'!$L$5:$N$18,,MATCH(E499,'Landbrugsareal - resultat'!$L$4:$N$4,0)))),IF(C499=2030,SUMPRODUCT((B499='Landbrugsareal - resultat'!$B$5:$B$18)*(INDEX('Landbrugsareal - resultat'!$O$5:$Q$18,,MATCH(E499,'Landbrugsareal - resultat'!$O$4:$Q$4,0)))),SUMPRODUCT((B499='Landbrugsareal - resultat'!$B$5:$B$18)*(INDEX('Landbrugsareal - resultat'!$R$5:$T$18,,MATCH(E499,'Landbrugsareal - resultat'!$R$4:$T$4,0))))))),IF(D499="Konventionel",IF(C499=2019,SUMPRODUCT((B499='Landbrugsareal - resultat'!$B$32:$B$45)*(INDEX('Landbrugsareal - resultat'!$C$32:$E$45,,MATCH(E499,'Landbrugsareal - resultat'!$C$4:$E$4,0)))),IF(C499=2030,SUMPRODUCT((B499='Landbrugsareal - resultat'!$B$32:$B$45)*(INDEX('Landbrugsareal - resultat'!$F$32:$H$45,,MATCH(E499,'Landbrugsareal - resultat'!$F$4:$H$4,0)))),SUMPRODUCT((B499='Landbrugsareal - resultat'!$B$32:$B$45)*(INDEX('Landbrugsareal - resultat'!$I$32:$K$45,,MATCH(E499,'Landbrugsareal - resultat'!$I$4:$K$4,0)))))),IF(C499=2019,SUMPRODUCT((B499='Landbrugsareal - resultat'!$B$32:$B$45)*(INDEX('Landbrugsareal - resultat'!$L$32:$N$45,,MATCH(E499,'Landbrugsareal - resultat'!$L$4:$N$4,0)))),IF(C499=2030,SUMPRODUCT((B499='Landbrugsareal - resultat'!$B$32:$B$45)*(INDEX('Landbrugsareal - resultat'!$O$32:$Q$45,,MATCH(E499,'Landbrugsareal - resultat'!$O$4:$Q$4,0)))),SUMPRODUCT((B499='Landbrugsareal - resultat'!$B$32:$B$45)*(INDEX('Landbrugsareal - resultat'!$R$32:$T$45,,MATCH(E499,'Landbrugsareal - resultat'!$R$4:$T$4,0))))))))</f>
        <v>6.7730080807831241</v>
      </c>
      <c r="H499" s="172">
        <f>G499*VLOOKUP(B499,[1]Afgrødedata!$A$5:$F$18,2,FALSE)*IF(D499="Økologisk",VLOOKUP(B499,[1]Afgrødedata!$A$5:$F$18,4,FALSE),1)*IF(E499&lt;&gt;Jordbund1,IF(E499=Organ6,VLOOKUP(B499,[1]Afgrødedata!$A$5:$F$18,5,FALSE),VLOOKUP(B499,[1]Afgrødedata!$A$5:$F$18,6,FALSE)),1)*0.1</f>
        <v>350.30417720311328</v>
      </c>
      <c r="I499" s="172">
        <f>G499*VLOOKUP(B499,[1]Afgrødedata!$A$5:$F$18,3,FALSE)*IF(D499="Økologisk",VLOOKUP(B499,[1]Afgrødedata!$A$5:$F$18,4,FALSE),1)*IF(E499&lt;&gt;Jordbund1,IF(E499=Organ6,VLOOKUP(B499,[1]Afgrødedata!$A$5:$F$18,5,FALSE),VLOOKUP(B499,[1]Afgrødedata!$A$5:$F$18,6,FALSE)),1)*HLOOKUP(C499,Landbrug!$C$15:$E$17,2,FALSE)*HLOOKUP(C499,Landbrug!$C$15:$E$17,3,FALSE)*0.1</f>
        <v>0</v>
      </c>
      <c r="J499" s="76">
        <f t="shared" si="70"/>
        <v>350.30417720311328</v>
      </c>
    </row>
    <row r="500" spans="1:10" x14ac:dyDescent="0.55000000000000004">
      <c r="A500" t="s">
        <v>24</v>
      </c>
      <c r="B500" s="1" t="str">
        <f>[1]Afgrødefordeling!$C$10</f>
        <v>Frugt</v>
      </c>
      <c r="C500">
        <v>2050</v>
      </c>
      <c r="D500" t="s">
        <v>8</v>
      </c>
      <c r="E500" s="172" t="str">
        <f t="shared" si="69"/>
        <v>OC12</v>
      </c>
      <c r="F500" t="str">
        <f t="shared" si="67"/>
        <v>Frugt</v>
      </c>
      <c r="G500" s="76" cm="1">
        <f t="array" ref="G500">IF(A500="Vestdanmark",IF(D500="Konventionel",IF(C500=2019,SUMPRODUCT((B500='Landbrugsareal - resultat'!$B$5:$B$18)*(INDEX('Landbrugsareal - resultat'!$C$5:$E$18,,MATCH(E500,'Landbrugsareal - resultat'!$C$4:$E$4,0)))),IF(C500=2030,SUMPRODUCT((B500='Landbrugsareal - resultat'!$B$5:$B$18)*(INDEX('Landbrugsareal - resultat'!$F$5:$H$18,,MATCH(E500,'Landbrugsareal - resultat'!$F$4:$H$4,0)))),SUMPRODUCT((B500='Landbrugsareal - resultat'!$B$5:$B$18)*(INDEX('Landbrugsareal - resultat'!$I$5:$K$18,,MATCH(E500,'Landbrugsareal - resultat'!$I$4:$K$4,0)))))),IF(C500=2019,SUMPRODUCT((B500='Landbrugsareal - resultat'!$B$5:$B$18)*(INDEX('Landbrugsareal - resultat'!$L$5:$N$18,,MATCH(E500,'Landbrugsareal - resultat'!$L$4:$N$4,0)))),IF(C500=2030,SUMPRODUCT((B500='Landbrugsareal - resultat'!$B$5:$B$18)*(INDEX('Landbrugsareal - resultat'!$O$5:$Q$18,,MATCH(E500,'Landbrugsareal - resultat'!$O$4:$Q$4,0)))),SUMPRODUCT((B500='Landbrugsareal - resultat'!$B$5:$B$18)*(INDEX('Landbrugsareal - resultat'!$R$5:$T$18,,MATCH(E500,'Landbrugsareal - resultat'!$R$4:$T$4,0))))))),IF(D500="Konventionel",IF(C500=2019,SUMPRODUCT((B500='Landbrugsareal - resultat'!$B$32:$B$45)*(INDEX('Landbrugsareal - resultat'!$C$32:$E$45,,MATCH(E500,'Landbrugsareal - resultat'!$C$4:$E$4,0)))),IF(C500=2030,SUMPRODUCT((B500='Landbrugsareal - resultat'!$B$32:$B$45)*(INDEX('Landbrugsareal - resultat'!$F$32:$H$45,,MATCH(E500,'Landbrugsareal - resultat'!$F$4:$H$4,0)))),SUMPRODUCT((B500='Landbrugsareal - resultat'!$B$32:$B$45)*(INDEX('Landbrugsareal - resultat'!$I$32:$K$45,,MATCH(E500,'Landbrugsareal - resultat'!$I$4:$K$4,0)))))),IF(C500=2019,SUMPRODUCT((B500='Landbrugsareal - resultat'!$B$32:$B$45)*(INDEX('Landbrugsareal - resultat'!$L$32:$N$45,,MATCH(E500,'Landbrugsareal - resultat'!$L$4:$N$4,0)))),IF(C500=2030,SUMPRODUCT((B500='Landbrugsareal - resultat'!$B$32:$B$45)*(INDEX('Landbrugsareal - resultat'!$O$32:$Q$45,,MATCH(E500,'Landbrugsareal - resultat'!$O$4:$Q$4,0)))),SUMPRODUCT((B500='Landbrugsareal - resultat'!$B$32:$B$45)*(INDEX('Landbrugsareal - resultat'!$R$32:$T$45,,MATCH(E500,'Landbrugsareal - resultat'!$R$4:$T$4,0))))))))</f>
        <v>2.4577585063698826</v>
      </c>
      <c r="H500" s="172">
        <f>G500*VLOOKUP(B500,[1]Afgrødedata!$A$5:$F$18,2,FALSE)*IF(D500="Økologisk",VLOOKUP(B500,[1]Afgrødedata!$A$5:$F$18,4,FALSE),1)*IF(E500&lt;&gt;Jordbund1,IF(E500=Organ6,VLOOKUP(B500,[1]Afgrødedata!$A$5:$F$18,5,FALSE),VLOOKUP(B500,[1]Afgrødedata!$A$5:$F$18,6,FALSE)),1)*0.1</f>
        <v>16.65136303582608</v>
      </c>
      <c r="I500" s="172">
        <f>G500*VLOOKUP(B500,[1]Afgrødedata!$A$5:$F$18,3,FALSE)*IF(D500="Økologisk",VLOOKUP(B500,[1]Afgrødedata!$A$5:$F$18,4,FALSE),1)*IF(E500&lt;&gt;Jordbund1,IF(E500=Organ6,VLOOKUP(B500,[1]Afgrødedata!$A$5:$F$18,5,FALSE),VLOOKUP(B500,[1]Afgrødedata!$A$5:$F$18,6,FALSE)),1)*HLOOKUP(C500,Landbrug!$C$15:$E$17,2,FALSE)*HLOOKUP(C500,Landbrug!$C$15:$E$17,3,FALSE)*0.1</f>
        <v>0</v>
      </c>
      <c r="J500" s="76">
        <f t="shared" si="70"/>
        <v>16.65136303582608</v>
      </c>
    </row>
    <row r="501" spans="1:10" x14ac:dyDescent="0.55000000000000004">
      <c r="A501" t="s">
        <v>24</v>
      </c>
      <c r="B501" s="1" t="str">
        <f>[1]Afgrødefordeling!$C$11</f>
        <v>Øvrige</v>
      </c>
      <c r="C501">
        <v>2050</v>
      </c>
      <c r="D501" t="s">
        <v>8</v>
      </c>
      <c r="E501" s="172" t="str">
        <f t="shared" si="69"/>
        <v>OC12</v>
      </c>
      <c r="F501" t="str">
        <f t="shared" si="67"/>
        <v>Øvrige</v>
      </c>
      <c r="G501" s="76" cm="1">
        <f t="array" ref="G501">IF(A501="Vestdanmark",IF(D501="Konventionel",IF(C501=2019,SUMPRODUCT((B501='Landbrugsareal - resultat'!$B$5:$B$18)*(INDEX('Landbrugsareal - resultat'!$C$5:$E$18,,MATCH(E501,'Landbrugsareal - resultat'!$C$4:$E$4,0)))),IF(C501=2030,SUMPRODUCT((B501='Landbrugsareal - resultat'!$B$5:$B$18)*(INDEX('Landbrugsareal - resultat'!$F$5:$H$18,,MATCH(E501,'Landbrugsareal - resultat'!$F$4:$H$4,0)))),SUMPRODUCT((B501='Landbrugsareal - resultat'!$B$5:$B$18)*(INDEX('Landbrugsareal - resultat'!$I$5:$K$18,,MATCH(E501,'Landbrugsareal - resultat'!$I$4:$K$4,0)))))),IF(C501=2019,SUMPRODUCT((B501='Landbrugsareal - resultat'!$B$5:$B$18)*(INDEX('Landbrugsareal - resultat'!$L$5:$N$18,,MATCH(E501,'Landbrugsareal - resultat'!$L$4:$N$4,0)))),IF(C501=2030,SUMPRODUCT((B501='Landbrugsareal - resultat'!$B$5:$B$18)*(INDEX('Landbrugsareal - resultat'!$O$5:$Q$18,,MATCH(E501,'Landbrugsareal - resultat'!$O$4:$Q$4,0)))),SUMPRODUCT((B501='Landbrugsareal - resultat'!$B$5:$B$18)*(INDEX('Landbrugsareal - resultat'!$R$5:$T$18,,MATCH(E501,'Landbrugsareal - resultat'!$R$4:$T$4,0))))))),IF(D501="Konventionel",IF(C501=2019,SUMPRODUCT((B501='Landbrugsareal - resultat'!$B$32:$B$45)*(INDEX('Landbrugsareal - resultat'!$C$32:$E$45,,MATCH(E501,'Landbrugsareal - resultat'!$C$4:$E$4,0)))),IF(C501=2030,SUMPRODUCT((B501='Landbrugsareal - resultat'!$B$32:$B$45)*(INDEX('Landbrugsareal - resultat'!$F$32:$H$45,,MATCH(E501,'Landbrugsareal - resultat'!$F$4:$H$4,0)))),SUMPRODUCT((B501='Landbrugsareal - resultat'!$B$32:$B$45)*(INDEX('Landbrugsareal - resultat'!$I$32:$K$45,,MATCH(E501,'Landbrugsareal - resultat'!$I$4:$K$4,0)))))),IF(C501=2019,SUMPRODUCT((B501='Landbrugsareal - resultat'!$B$32:$B$45)*(INDEX('Landbrugsareal - resultat'!$L$32:$N$45,,MATCH(E501,'Landbrugsareal - resultat'!$L$4:$N$4,0)))),IF(C501=2030,SUMPRODUCT((B501='Landbrugsareal - resultat'!$B$32:$B$45)*(INDEX('Landbrugsareal - resultat'!$O$32:$Q$45,,MATCH(E501,'Landbrugsareal - resultat'!$O$4:$Q$4,0)))),SUMPRODUCT((B501='Landbrugsareal - resultat'!$B$32:$B$45)*(INDEX('Landbrugsareal - resultat'!$R$32:$T$45,,MATCH(E501,'Landbrugsareal - resultat'!$R$4:$T$4,0))))))))</f>
        <v>17.549587777111867</v>
      </c>
      <c r="H501" s="172">
        <f>G501*VLOOKUP(B501,[1]Afgrødedata!$A$5:$F$18,2,FALSE)*IF(D501="Økologisk",VLOOKUP(B501,[1]Afgrødedata!$A$5:$F$18,4,FALSE),1)*IF(E501&lt;&gt;Jordbund1,IF(E501=Organ6,VLOOKUP(B501,[1]Afgrødedata!$A$5:$F$18,5,FALSE),VLOOKUP(B501,[1]Afgrødedata!$A$5:$F$18,6,FALSE)),1)*0.1</f>
        <v>417.27940774702802</v>
      </c>
      <c r="I501" s="172">
        <f>G501*VLOOKUP(B501,[1]Afgrødedata!$A$5:$F$18,3,FALSE)*IF(D501="Økologisk",VLOOKUP(B501,[1]Afgrødedata!$A$5:$F$18,4,FALSE),1)*IF(E501&lt;&gt;Jordbund1,IF(E501=Organ6,VLOOKUP(B501,[1]Afgrødedata!$A$5:$F$18,5,FALSE),VLOOKUP(B501,[1]Afgrødedata!$A$5:$F$18,6,FALSE)),1)*HLOOKUP(C501,Landbrug!$C$15:$E$17,2,FALSE)*HLOOKUP(C501,Landbrug!$C$15:$E$17,3,FALSE)*0.1</f>
        <v>0</v>
      </c>
      <c r="J501" s="76">
        <f t="shared" si="70"/>
        <v>417.27940774702802</v>
      </c>
    </row>
    <row r="502" spans="1:10" x14ac:dyDescent="0.55000000000000004">
      <c r="A502" t="s">
        <v>24</v>
      </c>
      <c r="B502" s="1" t="str">
        <f>[1]Afgrødefordeling!$C$12</f>
        <v>Frø</v>
      </c>
      <c r="C502">
        <v>2050</v>
      </c>
      <c r="D502" t="s">
        <v>8</v>
      </c>
      <c r="E502" s="172" t="str">
        <f t="shared" si="69"/>
        <v>OC12</v>
      </c>
      <c r="F502" t="str">
        <f t="shared" si="67"/>
        <v>Halm</v>
      </c>
      <c r="G502" s="76" cm="1">
        <f t="array" ref="G502">IF(A502="Vestdanmark",IF(D502="Konventionel",IF(C502=2019,SUMPRODUCT((B502='Landbrugsareal - resultat'!$B$5:$B$18)*(INDEX('Landbrugsareal - resultat'!$C$5:$E$18,,MATCH(E502,'Landbrugsareal - resultat'!$C$4:$E$4,0)))),IF(C502=2030,SUMPRODUCT((B502='Landbrugsareal - resultat'!$B$5:$B$18)*(INDEX('Landbrugsareal - resultat'!$F$5:$H$18,,MATCH(E502,'Landbrugsareal - resultat'!$F$4:$H$4,0)))),SUMPRODUCT((B502='Landbrugsareal - resultat'!$B$5:$B$18)*(INDEX('Landbrugsareal - resultat'!$I$5:$K$18,,MATCH(E502,'Landbrugsareal - resultat'!$I$4:$K$4,0)))))),IF(C502=2019,SUMPRODUCT((B502='Landbrugsareal - resultat'!$B$5:$B$18)*(INDEX('Landbrugsareal - resultat'!$L$5:$N$18,,MATCH(E502,'Landbrugsareal - resultat'!$L$4:$N$4,0)))),IF(C502=2030,SUMPRODUCT((B502='Landbrugsareal - resultat'!$B$5:$B$18)*(INDEX('Landbrugsareal - resultat'!$O$5:$Q$18,,MATCH(E502,'Landbrugsareal - resultat'!$O$4:$Q$4,0)))),SUMPRODUCT((B502='Landbrugsareal - resultat'!$B$5:$B$18)*(INDEX('Landbrugsareal - resultat'!$R$5:$T$18,,MATCH(E502,'Landbrugsareal - resultat'!$R$4:$T$4,0))))))),IF(D502="Konventionel",IF(C502=2019,SUMPRODUCT((B502='Landbrugsareal - resultat'!$B$32:$B$45)*(INDEX('Landbrugsareal - resultat'!$C$32:$E$45,,MATCH(E502,'Landbrugsareal - resultat'!$C$4:$E$4,0)))),IF(C502=2030,SUMPRODUCT((B502='Landbrugsareal - resultat'!$B$32:$B$45)*(INDEX('Landbrugsareal - resultat'!$F$32:$H$45,,MATCH(E502,'Landbrugsareal - resultat'!$F$4:$H$4,0)))),SUMPRODUCT((B502='Landbrugsareal - resultat'!$B$32:$B$45)*(INDEX('Landbrugsareal - resultat'!$I$32:$K$45,,MATCH(E502,'Landbrugsareal - resultat'!$I$4:$K$4,0)))))),IF(C502=2019,SUMPRODUCT((B502='Landbrugsareal - resultat'!$B$32:$B$45)*(INDEX('Landbrugsareal - resultat'!$L$32:$N$45,,MATCH(E502,'Landbrugsareal - resultat'!$L$4:$N$4,0)))),IF(C502=2030,SUMPRODUCT((B502='Landbrugsareal - resultat'!$B$32:$B$45)*(INDEX('Landbrugsareal - resultat'!$O$32:$Q$45,,MATCH(E502,'Landbrugsareal - resultat'!$O$4:$Q$4,0)))),SUMPRODUCT((B502='Landbrugsareal - resultat'!$B$32:$B$45)*(INDEX('Landbrugsareal - resultat'!$R$32:$T$45,,MATCH(E502,'Landbrugsareal - resultat'!$R$4:$T$4,0))))))))</f>
        <v>164.23215782189024</v>
      </c>
      <c r="H502" s="172">
        <f>G502*VLOOKUP(B502,[1]Afgrødedata!$A$5:$F$18,2,FALSE)*IF(D502="Økologisk",VLOOKUP(B502,[1]Afgrødedata!$A$5:$F$18,4,FALSE),1)*IF(E502&lt;&gt;Jordbund1,IF(E502=Organ6,VLOOKUP(B502,[1]Afgrødedata!$A$5:$F$18,5,FALSE),VLOOKUP(B502,[1]Afgrødedata!$A$5:$F$18,6,FALSE)),1)*0.1</f>
        <v>1872.6589674078468</v>
      </c>
      <c r="I502" s="172">
        <f>G502*VLOOKUP(B502,[1]Afgrødedata!$A$5:$F$18,3,FALSE)*IF(D502="Økologisk",VLOOKUP(B502,[1]Afgrødedata!$A$5:$F$18,4,FALSE),1)*IF(E502&lt;&gt;Jordbund1,IF(E502=Organ6,VLOOKUP(B502,[1]Afgrødedata!$A$5:$F$18,5,FALSE),VLOOKUP(B502,[1]Afgrødedata!$A$5:$F$18,6,FALSE)),1)*HLOOKUP(C502,Landbrug!$C$15:$E$17,2,FALSE)*HLOOKUP(C502,Landbrug!$C$15:$E$17,3,FALSE)*0.1</f>
        <v>309.29513818280947</v>
      </c>
      <c r="J502" s="76">
        <f t="shared" si="70"/>
        <v>309.29513818280947</v>
      </c>
    </row>
    <row r="503" spans="1:10" x14ac:dyDescent="0.55000000000000004">
      <c r="A503" t="s">
        <v>24</v>
      </c>
      <c r="B503" s="1" t="str">
        <f>[1]Afgrødefordeling!$C$13</f>
        <v>Juletræer</v>
      </c>
      <c r="C503">
        <v>2050</v>
      </c>
      <c r="D503" t="s">
        <v>8</v>
      </c>
      <c r="E503" s="172" t="str">
        <f t="shared" si="69"/>
        <v>OC12</v>
      </c>
      <c r="F503" t="str">
        <f t="shared" si="67"/>
        <v>Juletræer</v>
      </c>
      <c r="G503" s="76" cm="1">
        <f t="array" ref="G503">IF(A503="Vestdanmark",IF(D503="Konventionel",IF(C503=2019,SUMPRODUCT((B503='Landbrugsareal - resultat'!$B$5:$B$18)*(INDEX('Landbrugsareal - resultat'!$C$5:$E$18,,MATCH(E503,'Landbrugsareal - resultat'!$C$4:$E$4,0)))),IF(C503=2030,SUMPRODUCT((B503='Landbrugsareal - resultat'!$B$5:$B$18)*(INDEX('Landbrugsareal - resultat'!$F$5:$H$18,,MATCH(E503,'Landbrugsareal - resultat'!$F$4:$H$4,0)))),SUMPRODUCT((B503='Landbrugsareal - resultat'!$B$5:$B$18)*(INDEX('Landbrugsareal - resultat'!$I$5:$K$18,,MATCH(E503,'Landbrugsareal - resultat'!$I$4:$K$4,0)))))),IF(C503=2019,SUMPRODUCT((B503='Landbrugsareal - resultat'!$B$5:$B$18)*(INDEX('Landbrugsareal - resultat'!$L$5:$N$18,,MATCH(E503,'Landbrugsareal - resultat'!$L$4:$N$4,0)))),IF(C503=2030,SUMPRODUCT((B503='Landbrugsareal - resultat'!$B$5:$B$18)*(INDEX('Landbrugsareal - resultat'!$O$5:$Q$18,,MATCH(E503,'Landbrugsareal - resultat'!$O$4:$Q$4,0)))),SUMPRODUCT((B503='Landbrugsareal - resultat'!$B$5:$B$18)*(INDEX('Landbrugsareal - resultat'!$R$5:$T$18,,MATCH(E503,'Landbrugsareal - resultat'!$R$4:$T$4,0))))))),IF(D503="Konventionel",IF(C503=2019,SUMPRODUCT((B503='Landbrugsareal - resultat'!$B$32:$B$45)*(INDEX('Landbrugsareal - resultat'!$C$32:$E$45,,MATCH(E503,'Landbrugsareal - resultat'!$C$4:$E$4,0)))),IF(C503=2030,SUMPRODUCT((B503='Landbrugsareal - resultat'!$B$32:$B$45)*(INDEX('Landbrugsareal - resultat'!$F$32:$H$45,,MATCH(E503,'Landbrugsareal - resultat'!$F$4:$H$4,0)))),SUMPRODUCT((B503='Landbrugsareal - resultat'!$B$32:$B$45)*(INDEX('Landbrugsareal - resultat'!$I$32:$K$45,,MATCH(E503,'Landbrugsareal - resultat'!$I$4:$K$4,0)))))),IF(C503=2019,SUMPRODUCT((B503='Landbrugsareal - resultat'!$B$32:$B$45)*(INDEX('Landbrugsareal - resultat'!$L$32:$N$45,,MATCH(E503,'Landbrugsareal - resultat'!$L$4:$N$4,0)))),IF(C503=2030,SUMPRODUCT((B503='Landbrugsareal - resultat'!$B$32:$B$45)*(INDEX('Landbrugsareal - resultat'!$O$32:$Q$45,,MATCH(E503,'Landbrugsareal - resultat'!$O$4:$Q$4,0)))),SUMPRODUCT((B503='Landbrugsareal - resultat'!$B$32:$B$45)*(INDEX('Landbrugsareal - resultat'!$R$32:$T$45,,MATCH(E503,'Landbrugsareal - resultat'!$R$4:$T$4,0))))))))</f>
        <v>3.8512935932717913</v>
      </c>
      <c r="H503" s="172">
        <f>G503*VLOOKUP(B503,[1]Afgrødedata!$A$5:$F$18,2,FALSE)*IF(D503="Økologisk",VLOOKUP(B503,[1]Afgrødedata!$A$5:$F$18,4,FALSE),1)*IF(E503&lt;&gt;Jordbund1,IF(E503=Organ6,VLOOKUP(B503,[1]Afgrødedata!$A$5:$F$18,5,FALSE),VLOOKUP(B503,[1]Afgrødedata!$A$5:$F$18,6,FALSE)),1)*0.1</f>
        <v>153.66661437154448</v>
      </c>
      <c r="I503" s="172">
        <f>G503*VLOOKUP(B503,[1]Afgrødedata!$A$5:$F$18,3,FALSE)*IF(D503="Økologisk",VLOOKUP(B503,[1]Afgrødedata!$A$5:$F$18,4,FALSE),1)*IF(E503&lt;&gt;Jordbund1,IF(E503=Organ6,VLOOKUP(B503,[1]Afgrødedata!$A$5:$F$18,5,FALSE),VLOOKUP(B503,[1]Afgrødedata!$A$5:$F$18,6,FALSE)),1)*HLOOKUP(C503,Landbrug!$C$15:$E$17,2,FALSE)*HLOOKUP(C503,Landbrug!$C$15:$E$17,3,FALSE)*0.1</f>
        <v>0</v>
      </c>
      <c r="J503" s="76">
        <f t="shared" si="70"/>
        <v>153.66661437154448</v>
      </c>
    </row>
    <row r="504" spans="1:10" x14ac:dyDescent="0.55000000000000004">
      <c r="A504" t="s">
        <v>24</v>
      </c>
      <c r="B504" s="1" t="str">
        <f>[1]Afgrødefordeling!$C$14</f>
        <v>Pil &amp; poppel</v>
      </c>
      <c r="C504">
        <v>2050</v>
      </c>
      <c r="D504" t="s">
        <v>8</v>
      </c>
      <c r="E504" s="172" t="str">
        <f t="shared" si="69"/>
        <v>OC12</v>
      </c>
      <c r="F504" t="str">
        <f t="shared" si="67"/>
        <v>Pil &amp; poppel</v>
      </c>
      <c r="G504" s="76" cm="1">
        <f t="array" ref="G504">IF(A504="Vestdanmark",IF(D504="Konventionel",IF(C504=2019,SUMPRODUCT((B504='Landbrugsareal - resultat'!$B$5:$B$18)*(INDEX('Landbrugsareal - resultat'!$C$5:$E$18,,MATCH(E504,'Landbrugsareal - resultat'!$C$4:$E$4,0)))),IF(C504=2030,SUMPRODUCT((B504='Landbrugsareal - resultat'!$B$5:$B$18)*(INDEX('Landbrugsareal - resultat'!$F$5:$H$18,,MATCH(E504,'Landbrugsareal - resultat'!$F$4:$H$4,0)))),SUMPRODUCT((B504='Landbrugsareal - resultat'!$B$5:$B$18)*(INDEX('Landbrugsareal - resultat'!$I$5:$K$18,,MATCH(E504,'Landbrugsareal - resultat'!$I$4:$K$4,0)))))),IF(C504=2019,SUMPRODUCT((B504='Landbrugsareal - resultat'!$B$5:$B$18)*(INDEX('Landbrugsareal - resultat'!$L$5:$N$18,,MATCH(E504,'Landbrugsareal - resultat'!$L$4:$N$4,0)))),IF(C504=2030,SUMPRODUCT((B504='Landbrugsareal - resultat'!$B$5:$B$18)*(INDEX('Landbrugsareal - resultat'!$O$5:$Q$18,,MATCH(E504,'Landbrugsareal - resultat'!$O$4:$Q$4,0)))),SUMPRODUCT((B504='Landbrugsareal - resultat'!$B$5:$B$18)*(INDEX('Landbrugsareal - resultat'!$R$5:$T$18,,MATCH(E504,'Landbrugsareal - resultat'!$R$4:$T$4,0))))))),IF(D504="Konventionel",IF(C504=2019,SUMPRODUCT((B504='Landbrugsareal - resultat'!$B$32:$B$45)*(INDEX('Landbrugsareal - resultat'!$C$32:$E$45,,MATCH(E504,'Landbrugsareal - resultat'!$C$4:$E$4,0)))),IF(C504=2030,SUMPRODUCT((B504='Landbrugsareal - resultat'!$B$32:$B$45)*(INDEX('Landbrugsareal - resultat'!$F$32:$H$45,,MATCH(E504,'Landbrugsareal - resultat'!$F$4:$H$4,0)))),SUMPRODUCT((B504='Landbrugsareal - resultat'!$B$32:$B$45)*(INDEX('Landbrugsareal - resultat'!$I$32:$K$45,,MATCH(E504,'Landbrugsareal - resultat'!$I$4:$K$4,0)))))),IF(C504=2019,SUMPRODUCT((B504='Landbrugsareal - resultat'!$B$32:$B$45)*(INDEX('Landbrugsareal - resultat'!$L$32:$N$45,,MATCH(E504,'Landbrugsareal - resultat'!$L$4:$N$4,0)))),IF(C504=2030,SUMPRODUCT((B504='Landbrugsareal - resultat'!$B$32:$B$45)*(INDEX('Landbrugsareal - resultat'!$O$32:$Q$45,,MATCH(E504,'Landbrugsareal - resultat'!$O$4:$Q$4,0)))),SUMPRODUCT((B504='Landbrugsareal - resultat'!$B$32:$B$45)*(INDEX('Landbrugsareal - resultat'!$R$32:$T$45,,MATCH(E504,'Landbrugsareal - resultat'!$R$4:$T$4,0))))))))</f>
        <v>11.748060129171261</v>
      </c>
      <c r="H504" s="172">
        <f>G504*VLOOKUP(B504,[1]Afgrødedata!$A$5:$F$18,2,FALSE)*IF(D504="Økologisk",VLOOKUP(B504,[1]Afgrødedata!$A$5:$F$18,4,FALSE),1)*IF(E504&lt;&gt;Jordbund1,IF(E504=Organ6,VLOOKUP(B504,[1]Afgrødedata!$A$5:$F$18,5,FALSE),VLOOKUP(B504,[1]Afgrødedata!$A$5:$F$18,6,FALSE)),1)*0.1</f>
        <v>228.65736544094307</v>
      </c>
      <c r="I504" s="172">
        <f>G504*VLOOKUP(B504,[1]Afgrødedata!$A$5:$F$18,3,FALSE)*IF(D504="Økologisk",VLOOKUP(B504,[1]Afgrødedata!$A$5:$F$18,4,FALSE),1)*IF(E504&lt;&gt;Jordbund1,IF(E504=Organ6,VLOOKUP(B504,[1]Afgrødedata!$A$5:$F$18,5,FALSE),VLOOKUP(B504,[1]Afgrødedata!$A$5:$F$18,6,FALSE)),1)*HLOOKUP(C504,Landbrug!$C$15:$E$17,2,FALSE)*HLOOKUP(C504,Landbrug!$C$15:$E$17,3,FALSE)*0.1</f>
        <v>0</v>
      </c>
      <c r="J504" s="76">
        <f t="shared" si="70"/>
        <v>228.65736544094307</v>
      </c>
    </row>
    <row r="505" spans="1:10" x14ac:dyDescent="0.55000000000000004">
      <c r="A505" t="s">
        <v>24</v>
      </c>
      <c r="B505" s="1" t="str">
        <f>[1]Afgrødefordeling!$C$15</f>
        <v>Permanent græs</v>
      </c>
      <c r="C505">
        <v>2050</v>
      </c>
      <c r="D505" t="s">
        <v>8</v>
      </c>
      <c r="E505" s="172" t="str">
        <f t="shared" si="69"/>
        <v>OC12</v>
      </c>
      <c r="F505" t="str">
        <f t="shared" si="67"/>
        <v>Græs</v>
      </c>
      <c r="G505" s="76" cm="1">
        <f t="array" ref="G505">IF(A505="Vestdanmark",IF(D505="Konventionel",IF(C505=2019,SUMPRODUCT((B505='Landbrugsareal - resultat'!$B$5:$B$18)*(INDEX('Landbrugsareal - resultat'!$C$5:$E$18,,MATCH(E505,'Landbrugsareal - resultat'!$C$4:$E$4,0)))),IF(C505=2030,SUMPRODUCT((B505='Landbrugsareal - resultat'!$B$5:$B$18)*(INDEX('Landbrugsareal - resultat'!$F$5:$H$18,,MATCH(E505,'Landbrugsareal - resultat'!$F$4:$H$4,0)))),SUMPRODUCT((B505='Landbrugsareal - resultat'!$B$5:$B$18)*(INDEX('Landbrugsareal - resultat'!$I$5:$K$18,,MATCH(E505,'Landbrugsareal - resultat'!$I$4:$K$4,0)))))),IF(C505=2019,SUMPRODUCT((B505='Landbrugsareal - resultat'!$B$5:$B$18)*(INDEX('Landbrugsareal - resultat'!$L$5:$N$18,,MATCH(E505,'Landbrugsareal - resultat'!$L$4:$N$4,0)))),IF(C505=2030,SUMPRODUCT((B505='Landbrugsareal - resultat'!$B$5:$B$18)*(INDEX('Landbrugsareal - resultat'!$O$5:$Q$18,,MATCH(E505,'Landbrugsareal - resultat'!$O$4:$Q$4,0)))),SUMPRODUCT((B505='Landbrugsareal - resultat'!$B$5:$B$18)*(INDEX('Landbrugsareal - resultat'!$R$5:$T$18,,MATCH(E505,'Landbrugsareal - resultat'!$R$4:$T$4,0))))))),IF(D505="Konventionel",IF(C505=2019,SUMPRODUCT((B505='Landbrugsareal - resultat'!$B$32:$B$45)*(INDEX('Landbrugsareal - resultat'!$C$32:$E$45,,MATCH(E505,'Landbrugsareal - resultat'!$C$4:$E$4,0)))),IF(C505=2030,SUMPRODUCT((B505='Landbrugsareal - resultat'!$B$32:$B$45)*(INDEX('Landbrugsareal - resultat'!$F$32:$H$45,,MATCH(E505,'Landbrugsareal - resultat'!$F$4:$H$4,0)))),SUMPRODUCT((B505='Landbrugsareal - resultat'!$B$32:$B$45)*(INDEX('Landbrugsareal - resultat'!$I$32:$K$45,,MATCH(E505,'Landbrugsareal - resultat'!$I$4:$K$4,0)))))),IF(C505=2019,SUMPRODUCT((B505='Landbrugsareal - resultat'!$B$32:$B$45)*(INDEX('Landbrugsareal - resultat'!$L$32:$N$45,,MATCH(E505,'Landbrugsareal - resultat'!$L$4:$N$4,0)))),IF(C505=2030,SUMPRODUCT((B505='Landbrugsareal - resultat'!$B$32:$B$45)*(INDEX('Landbrugsareal - resultat'!$O$32:$Q$45,,MATCH(E505,'Landbrugsareal - resultat'!$O$4:$Q$4,0)))),SUMPRODUCT((B505='Landbrugsareal - resultat'!$B$32:$B$45)*(INDEX('Landbrugsareal - resultat'!$R$32:$T$45,,MATCH(E505,'Landbrugsareal - resultat'!$R$4:$T$4,0))))))))</f>
        <v>408.55457146192538</v>
      </c>
      <c r="H505" s="172">
        <f>G505*VLOOKUP(B505,[1]Afgrødedata!$A$5:$F$18,2,FALSE)*IF(D505="Økologisk",VLOOKUP(B505,[1]Afgrødedata!$A$5:$F$18,4,FALSE),1)*IF(E505&lt;&gt;Jordbund1,IF(E505=Organ6,VLOOKUP(B505,[1]Afgrødedata!$A$5:$F$18,5,FALSE),VLOOKUP(B505,[1]Afgrødedata!$A$5:$F$18,6,FALSE)),1)*0.1</f>
        <v>7887.5545566439314</v>
      </c>
      <c r="I505" s="172">
        <f>G505*VLOOKUP(B505,[1]Afgrødedata!$A$5:$F$18,3,FALSE)*IF(D505="Økologisk",VLOOKUP(B505,[1]Afgrødedata!$A$5:$F$18,4,FALSE),1)*IF(E505&lt;&gt;Jordbund1,IF(E505=Organ6,VLOOKUP(B505,[1]Afgrødedata!$A$5:$F$18,5,FALSE),VLOOKUP(B505,[1]Afgrødedata!$A$5:$F$18,6,FALSE)),1)*HLOOKUP(C505,Landbrug!$C$15:$E$17,2,FALSE)*HLOOKUP(C505,Landbrug!$C$15:$E$17,3,FALSE)*0.1</f>
        <v>0</v>
      </c>
      <c r="J505" s="76">
        <f t="shared" si="70"/>
        <v>7887.5545566439314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1E4ED4D6B5344984C5B5CBC1A28781" ma:contentTypeVersion="11" ma:contentTypeDescription="Create a new document." ma:contentTypeScope="" ma:versionID="6129dfabd03ca9686a3d2c58bff7356e">
  <xsd:schema xmlns:xsd="http://www.w3.org/2001/XMLSchema" xmlns:xs="http://www.w3.org/2001/XMLSchema" xmlns:p="http://schemas.microsoft.com/office/2006/metadata/properties" xmlns:ns2="6218e30f-ac19-4e1a-9d42-0577826d9887" targetNamespace="http://schemas.microsoft.com/office/2006/metadata/properties" ma:root="true" ma:fieldsID="28dd46cb4ddeb90599831bf538af6adb" ns2:_="">
    <xsd:import namespace="6218e30f-ac19-4e1a-9d42-0577826d98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CF57D01-7EE4-413F-9FD1-5B6762C9FAC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8D72BDC-B539-4F4F-A179-126F297EF09D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6218e30f-ac19-4e1a-9d42-0577826d9887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011CAA52-018A-46C7-A011-4BD61685FE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11</vt:i4>
      </vt:variant>
    </vt:vector>
  </HeadingPairs>
  <TitlesOfParts>
    <vt:vector size="46" baseType="lpstr">
      <vt:lpstr>Overblik</vt:lpstr>
      <vt:lpstr>Resume</vt:lpstr>
      <vt:lpstr>Arealanvendelse</vt:lpstr>
      <vt:lpstr>Landbrug</vt:lpstr>
      <vt:lpstr>Fodersammensætning</vt:lpstr>
      <vt:lpstr>Skovbrug</vt:lpstr>
      <vt:lpstr>Havbrug</vt:lpstr>
      <vt:lpstr>Adfærd</vt:lpstr>
      <vt:lpstr>Biogasanlæg</vt:lpstr>
      <vt:lpstr>Forbrug til andet</vt:lpstr>
      <vt:lpstr>Avanceret</vt:lpstr>
      <vt:lpstr>Direkte input</vt:lpstr>
      <vt:lpstr>Forbrug af biomasse</vt:lpstr>
      <vt:lpstr>Restprodukter</vt:lpstr>
      <vt:lpstr>Resultater - Vestdanmark</vt:lpstr>
      <vt:lpstr>Resultater - Østdanmark</vt:lpstr>
      <vt:lpstr>Resultater - Danmark</vt:lpstr>
      <vt:lpstr>Resultat-Produktion &amp; forbrug</vt:lpstr>
      <vt:lpstr>Pivot tabeller og data</vt:lpstr>
      <vt:lpstr>Resultat-Forbrug af biomasse</vt:lpstr>
      <vt:lpstr>Resultat-Import</vt:lpstr>
      <vt:lpstr>Resultat-Eksport</vt:lpstr>
      <vt:lpstr>Landbrugsareal - resultat</vt:lpstr>
      <vt:lpstr>Resultat-Potentiale til energi</vt:lpstr>
      <vt:lpstr>Resultat-Tørstof til energi</vt:lpstr>
      <vt:lpstr>CO2-pivot</vt:lpstr>
      <vt:lpstr>CO2-udledning</vt:lpstr>
      <vt:lpstr>Produktion afgrøder-pivot</vt:lpstr>
      <vt:lpstr>Produktion af afgrøder</vt:lpstr>
      <vt:lpstr>Produkt skovbrug</vt:lpstr>
      <vt:lpstr>Produkt havbrug</vt:lpstr>
      <vt:lpstr>Arealanvendelse - pivot</vt:lpstr>
      <vt:lpstr>Pivot chart - landbrug</vt:lpstr>
      <vt:lpstr>Arealanvendelsesresultater-big</vt:lpstr>
      <vt:lpstr>Landbrugsresultater - pivot</vt:lpstr>
      <vt:lpstr>Afgrøder</vt:lpstr>
      <vt:lpstr>År1</vt:lpstr>
      <vt:lpstr>År2</vt:lpstr>
      <vt:lpstr>År3</vt:lpstr>
      <vt:lpstr>Bebyg</vt:lpstr>
      <vt:lpstr>IKareal</vt:lpstr>
      <vt:lpstr>Jordbund1</vt:lpstr>
      <vt:lpstr>NaturAreal</vt:lpstr>
      <vt:lpstr>Organ12</vt:lpstr>
      <vt:lpstr>Organ6</vt:lpstr>
      <vt:lpstr>SkovAreal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Jensen</dc:creator>
  <cp:lastModifiedBy>Ida Græsted Jensen</cp:lastModifiedBy>
  <dcterms:created xsi:type="dcterms:W3CDTF">2020-09-21T06:52:26Z</dcterms:created>
  <dcterms:modified xsi:type="dcterms:W3CDTF">2021-09-09T08:41:50Z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0x010100391E4ED4D6B5344984C5B5CBC1A28781</vt:lpwstr>
  </property>
  <property fmtid="{D5CDD505-2E9C-101B-9397-08002B2CF9AE}" pid="3" name="SaveCode">
    <vt:r8>235220611095428</vt:r8>
  </property>
</Properties>
</file>