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6684614-F98E-45CC-B5D5-3983E13CC2A9}" xr6:coauthVersionLast="47" xr6:coauthVersionMax="47" xr10:uidLastSave="{00000000-0000-0000-0000-000000000000}"/>
  <bookViews>
    <workbookView xWindow="28680" yWindow="-120" windowWidth="29040" windowHeight="15840" tabRatio="945" firstSheet="1" activeTab="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92" r:id="rId37"/>
    <pivotCache cacheId="193" r:id="rId38"/>
    <pivotCache cacheId="194" r:id="rId39"/>
    <pivotCache cacheId="195" r:id="rId40"/>
    <pivotCache cacheId="196" r:id="rId41"/>
    <pivotCache cacheId="197" r:id="rId42"/>
    <pivotCache cacheId="198" r:id="rId43"/>
    <pivotCache cacheId="19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0" i="26" l="1"/>
  <c r="B59" i="26"/>
  <c r="K167" i="70" l="1"/>
  <c r="J167" i="70"/>
  <c r="C341" i="38" l="1"/>
  <c r="C347" i="38"/>
  <c r="C329" i="38"/>
  <c r="C335" i="38"/>
  <c r="C317" i="38"/>
  <c r="C323" i="38"/>
  <c r="C305" i="38"/>
  <c r="C311" i="38"/>
  <c r="C293" i="38"/>
  <c r="C299" i="38"/>
  <c r="E34" i="17"/>
  <c r="D14" i="34"/>
  <c r="C60" i="26"/>
  <c r="D60" i="26" s="1"/>
  <c r="C33" i="17"/>
  <c r="E33" i="17" s="1"/>
  <c r="C34" i="17"/>
  <c r="C35" i="17"/>
  <c r="C36" i="17"/>
  <c r="E36" i="17" s="1"/>
  <c r="C37" i="17"/>
  <c r="E37" i="17" s="1"/>
  <c r="C38" i="17"/>
  <c r="E38" i="17" s="1"/>
  <c r="C39" i="17"/>
  <c r="E39" i="17" s="1"/>
  <c r="C40" i="17"/>
  <c r="E40" i="17" s="1"/>
  <c r="C41" i="17"/>
  <c r="D41" i="17" s="1"/>
  <c r="E41" i="17" s="1"/>
  <c r="C42" i="17"/>
  <c r="D42" i="17" s="1"/>
  <c r="E42" i="17" s="1"/>
  <c r="C43" i="17"/>
  <c r="C44" i="17"/>
  <c r="D44" i="17" s="1"/>
  <c r="E44" i="17" s="1"/>
  <c r="C45" i="17"/>
  <c r="C32" i="17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43" i="17" l="1"/>
  <c r="D43" i="17"/>
  <c r="B61" i="26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51" i="26" l="1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E17" i="34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85" i="38" l="1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Y3" i="20"/>
  <c r="P5" i="18"/>
  <c r="Y6" i="20"/>
  <c r="P14" i="18"/>
  <c r="A24" i="53"/>
  <c r="A20" i="53"/>
  <c r="C238" i="38"/>
  <c r="A27" i="53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1" i="53" l="1"/>
  <c r="D23" i="53"/>
  <c r="D35" i="53"/>
  <c r="M204" i="66" l="1"/>
  <c r="M56" i="66"/>
  <c r="M272" i="66"/>
  <c r="M143" i="66"/>
  <c r="M59" i="66"/>
  <c r="M210" i="66"/>
  <c r="M92" i="66"/>
  <c r="M238" i="66"/>
  <c r="M63" i="66"/>
  <c r="M78" i="66"/>
  <c r="M70" i="66"/>
  <c r="M195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198" i="66"/>
  <c r="M113" i="66"/>
  <c r="M268" i="66"/>
  <c r="M90" i="66"/>
  <c r="M109" i="66"/>
  <c r="M139" i="66"/>
  <c r="M286" i="66"/>
  <c r="M96" i="66"/>
  <c r="M117" i="66"/>
  <c r="M71" i="66"/>
  <c r="M61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17" i="66"/>
  <c r="M176" i="66"/>
  <c r="M150" i="66"/>
  <c r="M283" i="66"/>
  <c r="M102" i="66"/>
  <c r="M248" i="66"/>
  <c r="M246" i="66"/>
  <c r="M175" i="66"/>
  <c r="M177" i="66"/>
  <c r="M138" i="66"/>
  <c r="M158" i="66"/>
  <c r="M14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157" i="66"/>
  <c r="M8" i="66"/>
  <c r="M250" i="66"/>
  <c r="M188" i="66"/>
  <c r="M4" i="66"/>
  <c r="M180" i="66"/>
  <c r="M257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47" i="66"/>
  <c r="M162" i="66"/>
  <c r="M181" i="66"/>
  <c r="M103" i="66"/>
  <c r="M12" i="66"/>
  <c r="M110" i="66"/>
  <c r="M251" i="66"/>
  <c r="M37" i="66"/>
  <c r="M273" i="66"/>
  <c r="M32" i="66"/>
  <c r="M244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22" i="66"/>
  <c r="M263" i="66"/>
  <c r="M165" i="66"/>
  <c r="M155" i="66"/>
  <c r="M179" i="66"/>
  <c r="M7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J33" i="66"/>
  <c r="J198" i="66"/>
  <c r="G226" i="66"/>
  <c r="L137" i="66"/>
  <c r="I290" i="66"/>
  <c r="I137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204" i="66"/>
  <c r="K283" i="66"/>
  <c r="L66" i="66"/>
  <c r="K164" i="66"/>
  <c r="I274" i="66"/>
  <c r="J288" i="66"/>
  <c r="L195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K61" i="66"/>
  <c r="G150" i="66"/>
  <c r="K39" i="66"/>
  <c r="G48" i="66"/>
  <c r="K174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J85" i="66"/>
  <c r="L277" i="66"/>
  <c r="J55" i="66"/>
  <c r="L261" i="66"/>
  <c r="G270" i="66"/>
  <c r="J81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G109" i="66"/>
  <c r="I104" i="66"/>
  <c r="L152" i="66"/>
  <c r="K256" i="66"/>
  <c r="K41" i="66"/>
  <c r="G193" i="66"/>
  <c r="J3" i="66"/>
  <c r="L270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E4" i="34"/>
  <c r="E5" i="34"/>
  <c r="E6" i="34"/>
  <c r="E7" i="34"/>
  <c r="E8" i="34"/>
  <c r="E9" i="34"/>
  <c r="E10" i="34"/>
  <c r="E11" i="34"/>
  <c r="E12" i="34"/>
  <c r="E13" i="34"/>
  <c r="E16" i="34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8" i="37" l="1"/>
  <c r="H117" i="37"/>
  <c r="H119" i="37"/>
  <c r="H96" i="37"/>
  <c r="H100" i="37"/>
  <c r="H98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H97" i="37" s="1"/>
  <c r="G180" i="35" a="1"/>
  <c r="G180" i="35" s="1"/>
  <c r="G179" i="35" a="1"/>
  <c r="G179" i="35" s="1"/>
  <c r="G176" i="35" a="1"/>
  <c r="G176" i="35" s="1"/>
  <c r="G175" i="35" a="1"/>
  <c r="G175" i="35" s="1"/>
  <c r="H116" i="37" s="1"/>
  <c r="H115" i="37" l="1"/>
  <c r="H112" i="37"/>
  <c r="H113" i="37"/>
  <c r="H114" i="37"/>
  <c r="H104" i="37"/>
  <c r="H105" i="37"/>
  <c r="H107" i="37"/>
  <c r="H106" i="37"/>
  <c r="H110" i="37"/>
  <c r="H109" i="37"/>
  <c r="H111" i="37"/>
  <c r="H108" i="37"/>
  <c r="H95" i="37"/>
  <c r="I181" i="35"/>
  <c r="H181" i="35"/>
  <c r="I179" i="35"/>
  <c r="H179" i="35"/>
  <c r="I180" i="35"/>
  <c r="I182" i="35"/>
  <c r="H182" i="35"/>
  <c r="I117" i="58" s="1"/>
  <c r="H180" i="35"/>
  <c r="I110" i="58" s="1"/>
  <c r="I178" i="35"/>
  <c r="H178" i="35"/>
  <c r="H176" i="35"/>
  <c r="I176" i="35"/>
  <c r="H171" i="35"/>
  <c r="I173" i="35"/>
  <c r="H173" i="35"/>
  <c r="I171" i="35"/>
  <c r="I175" i="35"/>
  <c r="H175" i="35"/>
  <c r="I177" i="35"/>
  <c r="H177" i="35"/>
  <c r="I172" i="35"/>
  <c r="H172" i="35"/>
  <c r="H174" i="35"/>
  <c r="I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18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H115" i="58"/>
  <c r="H114" i="58"/>
  <c r="I98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01" i="58" l="1"/>
  <c r="J113" i="58"/>
  <c r="J112" i="58"/>
  <c r="J114" i="58"/>
  <c r="J118" i="58"/>
  <c r="J117" i="58"/>
  <c r="I115" i="58"/>
  <c r="I112" i="58"/>
  <c r="I113" i="58"/>
  <c r="I116" i="58"/>
  <c r="I118" i="58"/>
  <c r="J96" i="58"/>
  <c r="J99" i="58"/>
  <c r="J98" i="58"/>
  <c r="J97" i="58"/>
  <c r="J118" i="37"/>
  <c r="J118" i="41" s="1"/>
  <c r="J115" i="37"/>
  <c r="J117" i="37"/>
  <c r="J119" i="37"/>
  <c r="J112" i="37"/>
  <c r="J114" i="37"/>
  <c r="J113" i="37"/>
  <c r="J113" i="41" s="1"/>
  <c r="J116" i="37"/>
  <c r="I99" i="37"/>
  <c r="I99" i="41" s="1"/>
  <c r="I97" i="37"/>
  <c r="I97" i="41" s="1"/>
  <c r="I103" i="37"/>
  <c r="I101" i="37"/>
  <c r="I101" i="41" s="1"/>
  <c r="I100" i="37"/>
  <c r="I96" i="37"/>
  <c r="I96" i="41" s="1"/>
  <c r="I102" i="37"/>
  <c r="I102" i="41" s="1"/>
  <c r="I98" i="37"/>
  <c r="I98" i="41" s="1"/>
  <c r="J99" i="37"/>
  <c r="J99" i="41" s="1"/>
  <c r="J103" i="37"/>
  <c r="J101" i="37"/>
  <c r="J101" i="41" s="1"/>
  <c r="J98" i="37"/>
  <c r="J102" i="37"/>
  <c r="J100" i="37"/>
  <c r="J96" i="37"/>
  <c r="J97" i="37"/>
  <c r="I95" i="37"/>
  <c r="J95" i="37"/>
  <c r="I107" i="37"/>
  <c r="I109" i="37"/>
  <c r="I106" i="37"/>
  <c r="I110" i="37"/>
  <c r="I110" i="41" s="1"/>
  <c r="I111" i="37"/>
  <c r="I108" i="37"/>
  <c r="I105" i="37"/>
  <c r="I104" i="37"/>
  <c r="J110" i="37"/>
  <c r="J109" i="37"/>
  <c r="J109" i="41" s="1"/>
  <c r="J105" i="37"/>
  <c r="J108" i="37"/>
  <c r="J108" i="41" s="1"/>
  <c r="J107" i="37"/>
  <c r="J104" i="37"/>
  <c r="J111" i="37"/>
  <c r="J111" i="41" s="1"/>
  <c r="J106" i="37"/>
  <c r="I113" i="37"/>
  <c r="I112" i="37"/>
  <c r="I119" i="37"/>
  <c r="I114" i="37"/>
  <c r="I117" i="37"/>
  <c r="I117" i="41" s="1"/>
  <c r="I116" i="37"/>
  <c r="I115" i="37"/>
  <c r="I118" i="37"/>
  <c r="T63" i="66"/>
  <c r="T240" i="66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14" i="41"/>
  <c r="H115" i="41"/>
  <c r="H117" i="41"/>
  <c r="H109" i="41"/>
  <c r="H98" i="41"/>
  <c r="H110" i="41"/>
  <c r="H113" i="41"/>
  <c r="H108" i="41"/>
  <c r="I111" i="58"/>
  <c r="H111" i="58"/>
  <c r="C211" i="41"/>
  <c r="C321" i="41"/>
  <c r="H96" i="41"/>
  <c r="H119" i="58"/>
  <c r="J110" i="58"/>
  <c r="H95" i="58"/>
  <c r="J119" i="58"/>
  <c r="J115" i="58"/>
  <c r="I119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J102" i="58"/>
  <c r="J116" i="58"/>
  <c r="I109" i="58"/>
  <c r="H116" i="58"/>
  <c r="J95" i="58"/>
  <c r="H102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117" i="41" l="1"/>
  <c r="I113" i="41"/>
  <c r="J112" i="41"/>
  <c r="I116" i="41"/>
  <c r="J114" i="41"/>
  <c r="I115" i="41"/>
  <c r="I112" i="41"/>
  <c r="J96" i="41"/>
  <c r="J97" i="41"/>
  <c r="I118" i="41"/>
  <c r="J98" i="41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K55" i="39"/>
  <c r="E153" i="38" s="1"/>
  <c r="J191" i="66" s="1"/>
  <c r="J95" i="41"/>
  <c r="I95" i="41"/>
  <c r="I108" i="41"/>
  <c r="I114" i="41"/>
  <c r="J110" i="41"/>
  <c r="H119" i="41"/>
  <c r="I103" i="58"/>
  <c r="J271" i="66"/>
  <c r="J107" i="58"/>
  <c r="J103" i="58"/>
  <c r="I107" i="58"/>
  <c r="H103" i="58"/>
  <c r="H105" i="58"/>
  <c r="I105" i="58"/>
  <c r="J105" i="58"/>
  <c r="H107" i="58"/>
  <c r="P79" i="66"/>
  <c r="S79" i="66"/>
  <c r="S143" i="66"/>
  <c r="P143" i="66"/>
  <c r="K54" i="39"/>
  <c r="E152" i="38" s="1"/>
  <c r="J31" i="66"/>
  <c r="J116" i="41"/>
  <c r="J47" i="66"/>
  <c r="J102" i="41"/>
  <c r="H102" i="41"/>
  <c r="H116" i="41"/>
  <c r="H111" i="41"/>
  <c r="I119" i="41"/>
  <c r="J115" i="41"/>
  <c r="J119" i="41"/>
  <c r="H95" i="41"/>
  <c r="P95" i="66"/>
  <c r="S95" i="66"/>
  <c r="S223" i="66" l="1"/>
  <c r="J239" i="66"/>
  <c r="H106" i="58"/>
  <c r="J106" i="58"/>
  <c r="J104" i="58"/>
  <c r="P127" i="66"/>
  <c r="S127" i="66"/>
  <c r="I454" i="37"/>
  <c r="E370" i="38"/>
  <c r="K155" i="66" s="1"/>
  <c r="I104" i="58"/>
  <c r="J454" i="37"/>
  <c r="H104" i="58"/>
  <c r="S47" i="66"/>
  <c r="P47" i="66"/>
  <c r="R47" i="66"/>
  <c r="F45" i="66"/>
  <c r="F189" i="66"/>
  <c r="J175" i="66"/>
  <c r="F93" i="66"/>
  <c r="D39" i="39"/>
  <c r="E103" i="38" s="1"/>
  <c r="R191" i="66"/>
  <c r="P191" i="66"/>
  <c r="S191" i="66"/>
  <c r="F237" i="66"/>
  <c r="L39" i="39"/>
  <c r="E154" i="38" s="1"/>
  <c r="I106" i="58"/>
  <c r="R31" i="66"/>
  <c r="P31" i="66"/>
  <c r="S31" i="66"/>
  <c r="P287" i="66"/>
  <c r="S287" i="66"/>
  <c r="J103" i="41"/>
  <c r="S271" i="66"/>
  <c r="P271" i="66"/>
  <c r="J105" i="41"/>
  <c r="H107" i="41"/>
  <c r="I105" i="41"/>
  <c r="I107" i="41"/>
  <c r="J107" i="41"/>
  <c r="I103" i="41"/>
  <c r="F285" i="66"/>
  <c r="M39" i="39"/>
  <c r="E171" i="38" s="1"/>
  <c r="H103" i="41"/>
  <c r="E39" i="39"/>
  <c r="E120" i="38" s="1"/>
  <c r="F141" i="66"/>
  <c r="H105" i="41"/>
  <c r="J106" i="41" l="1"/>
  <c r="P239" i="66"/>
  <c r="S239" i="66"/>
  <c r="I106" i="41"/>
  <c r="T191" i="66"/>
  <c r="I100" i="58"/>
  <c r="M40" i="39"/>
  <c r="E172" i="38" s="1"/>
  <c r="F267" i="66"/>
  <c r="I104" i="41"/>
  <c r="T31" i="66"/>
  <c r="L40" i="39"/>
  <c r="E155" i="38" s="1"/>
  <c r="F219" i="66"/>
  <c r="J104" i="41"/>
  <c r="D40" i="39"/>
  <c r="E104" i="38" s="1"/>
  <c r="F75" i="66"/>
  <c r="H100" i="58"/>
  <c r="J437" i="58"/>
  <c r="J285" i="66"/>
  <c r="J437" i="37"/>
  <c r="J141" i="66"/>
  <c r="T47" i="66"/>
  <c r="H106" i="41"/>
  <c r="B3" i="39"/>
  <c r="I437" i="37"/>
  <c r="J93" i="66"/>
  <c r="F27" i="66"/>
  <c r="E40" i="39"/>
  <c r="E121" i="38" s="1"/>
  <c r="F123" i="66"/>
  <c r="F171" i="66"/>
  <c r="H104" i="41"/>
  <c r="E352" i="38"/>
  <c r="K11" i="66" s="1"/>
  <c r="I437" i="58"/>
  <c r="J237" i="66"/>
  <c r="J100" i="58"/>
  <c r="R175" i="66"/>
  <c r="S175" i="66"/>
  <c r="P175" i="66"/>
  <c r="H454" i="37" l="1"/>
  <c r="E351" i="38" s="1"/>
  <c r="C12" i="39"/>
  <c r="P12" i="39" s="1"/>
  <c r="T175" i="66"/>
  <c r="J100" i="41"/>
  <c r="I439" i="37"/>
  <c r="J75" i="66"/>
  <c r="J439" i="37"/>
  <c r="J123" i="66"/>
  <c r="J439" i="58"/>
  <c r="J267" i="66"/>
  <c r="I100" i="41"/>
  <c r="E369" i="38"/>
  <c r="K171" i="66" s="1"/>
  <c r="I437" i="41"/>
  <c r="H100" i="41"/>
  <c r="S237" i="66"/>
  <c r="I439" i="58"/>
  <c r="J219" i="66"/>
  <c r="C39" i="39"/>
  <c r="E86" i="38" s="1"/>
  <c r="E368" i="38"/>
  <c r="K189" i="66" s="1"/>
  <c r="K39" i="39"/>
  <c r="E137" i="38" s="1"/>
  <c r="S285" i="66"/>
  <c r="S93" i="66"/>
  <c r="S141" i="66"/>
  <c r="J437" i="41"/>
  <c r="O12" i="39" l="1"/>
  <c r="H438" i="37"/>
  <c r="F12" i="66" s="1"/>
  <c r="N12" i="66" s="1"/>
  <c r="I439" i="41"/>
  <c r="K27" i="66"/>
  <c r="S123" i="66"/>
  <c r="J439" i="41"/>
  <c r="S219" i="66"/>
  <c r="S75" i="66"/>
  <c r="H439" i="37"/>
  <c r="J189" i="66"/>
  <c r="H437" i="58"/>
  <c r="E353" i="38"/>
  <c r="K9" i="66" s="1"/>
  <c r="S267" i="66"/>
  <c r="Q12" i="39"/>
  <c r="J45" i="66"/>
  <c r="H437" i="37"/>
  <c r="H437" i="41" l="1"/>
  <c r="S189" i="66"/>
  <c r="S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P13" i="9" s="1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1" i="26" l="1"/>
  <c r="R7" i="9"/>
  <c r="E32" i="22"/>
  <c r="E35" i="26"/>
  <c r="I198" i="35" s="1"/>
  <c r="R40" i="9"/>
  <c r="E39" i="26"/>
  <c r="E23" i="26"/>
  <c r="O40" i="9"/>
  <c r="O30" i="9"/>
  <c r="E36" i="26"/>
  <c r="I199" i="35" s="1"/>
  <c r="E39" i="22"/>
  <c r="P9" i="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125" i="37" l="1"/>
  <c r="H129" i="37"/>
  <c r="H13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I137" i="37"/>
  <c r="H162" i="37"/>
  <c r="J129" i="37"/>
  <c r="J137" i="37"/>
  <c r="I125" i="37"/>
  <c r="I129" i="37"/>
  <c r="H121" i="37"/>
  <c r="H1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H406" i="58" s="1"/>
  <c r="G406" i="37"/>
  <c r="G6" i="58"/>
  <c r="G6" i="37"/>
  <c r="G6" i="41" s="1"/>
  <c r="G406" i="41" l="1"/>
  <c r="H406" i="37"/>
  <c r="H406" i="41" s="1"/>
  <c r="I406" i="58"/>
  <c r="J406" i="58"/>
  <c r="G68" i="18" a="1"/>
  <c r="G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I69" i="18" s="1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I406" i="37" l="1"/>
  <c r="I406" i="41" s="1"/>
  <c r="H69" i="18"/>
  <c r="H16" i="18"/>
  <c r="H61" i="18"/>
  <c r="I59" i="18"/>
  <c r="F59" i="18" s="1"/>
  <c r="I121" i="37"/>
  <c r="I162" i="37"/>
  <c r="J162" i="37"/>
  <c r="I133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J406" i="37" l="1"/>
  <c r="J406" i="41" s="1"/>
  <c r="J415" i="37"/>
  <c r="J414" i="37"/>
  <c r="J59" i="18"/>
  <c r="J27" i="18"/>
  <c r="F25" i="18"/>
  <c r="F18" i="18"/>
  <c r="F71" i="18"/>
  <c r="J165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58"/>
  <c r="G167" i="58"/>
  <c r="G167" i="37"/>
  <c r="J167" i="37" s="1"/>
  <c r="G414" i="58"/>
  <c r="G414" i="37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H438" i="58"/>
  <c r="I440" i="37"/>
  <c r="I440" i="58"/>
  <c r="G86" i="58"/>
  <c r="G86" i="37"/>
  <c r="G341" i="37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J405" i="37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108" i="58"/>
  <c r="G108" i="37"/>
  <c r="G108" i="41" s="1"/>
  <c r="G137" i="58"/>
  <c r="G137" i="37"/>
  <c r="G137" i="41" s="1"/>
  <c r="G333" i="58"/>
  <c r="G333" i="37"/>
  <c r="G415" i="58"/>
  <c r="G415" i="37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J205" i="37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H447" i="37"/>
  <c r="H447" i="58"/>
  <c r="H436" i="37"/>
  <c r="H436" i="58"/>
  <c r="I438" i="58"/>
  <c r="I438" i="37"/>
  <c r="F60" i="66" s="1"/>
  <c r="N60" i="66" s="1"/>
  <c r="G78" i="37"/>
  <c r="G78" i="58"/>
  <c r="G309" i="37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83" i="58"/>
  <c r="G83" i="37"/>
  <c r="G133" i="37"/>
  <c r="G133" i="41" s="1"/>
  <c r="G133" i="58"/>
  <c r="G329" i="37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58"/>
  <c r="G92" i="37"/>
  <c r="G92" i="58"/>
  <c r="G100" i="58"/>
  <c r="G100" i="37"/>
  <c r="G100" i="41" s="1"/>
  <c r="G116" i="37"/>
  <c r="G116" i="41" s="1"/>
  <c r="G116" i="58"/>
  <c r="G301" i="37"/>
  <c r="G301" i="58"/>
  <c r="G407" i="58"/>
  <c r="G407" i="37"/>
  <c r="G5" i="58"/>
  <c r="G5" i="37"/>
  <c r="G5" i="41" s="1"/>
  <c r="G77" i="58"/>
  <c r="G77" i="37"/>
  <c r="G85" i="58"/>
  <c r="G85" i="37"/>
  <c r="G93" i="58"/>
  <c r="G93" i="37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305" i="37"/>
  <c r="J305" i="37" s="1"/>
  <c r="G305" i="58"/>
  <c r="G337" i="58"/>
  <c r="G337" i="37"/>
  <c r="G408" i="37"/>
  <c r="G408" i="58"/>
  <c r="G416" i="37"/>
  <c r="J416" i="37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58"/>
  <c r="E221" i="58"/>
  <c r="E221" i="37"/>
  <c r="E221" i="41" s="1"/>
  <c r="J441" i="37"/>
  <c r="J441" i="58"/>
  <c r="H451" i="37"/>
  <c r="H451" i="58"/>
  <c r="H446" i="37"/>
  <c r="H446" i="58"/>
  <c r="G9" i="66"/>
  <c r="I436" i="37"/>
  <c r="I436" i="58"/>
  <c r="I430" i="41"/>
  <c r="G94" i="58"/>
  <c r="G94" i="37"/>
  <c r="G409" i="37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J313" i="37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58"/>
  <c r="E205" i="37"/>
  <c r="E205" i="41" s="1"/>
  <c r="E205" i="58"/>
  <c r="I447" i="37"/>
  <c r="I447" i="58"/>
  <c r="J447" i="37"/>
  <c r="J447" i="58"/>
  <c r="J438" i="37"/>
  <c r="F108" i="66" s="1"/>
  <c r="N108" i="66" s="1"/>
  <c r="J438" i="5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J440" i="58"/>
  <c r="J440" i="37"/>
  <c r="G11" i="66"/>
  <c r="G87" i="37"/>
  <c r="G87" i="58"/>
  <c r="G111" i="58"/>
  <c r="G111" i="37"/>
  <c r="G111" i="41" s="1"/>
  <c r="G345" i="58"/>
  <c r="G345" i="37"/>
  <c r="G455" i="58"/>
  <c r="G455" i="37"/>
  <c r="G455" i="41" s="1"/>
  <c r="G377" i="58"/>
  <c r="G377" i="37"/>
  <c r="G88" i="37"/>
  <c r="G88" i="58"/>
  <c r="G112" i="58"/>
  <c r="G112" i="37"/>
  <c r="G112" i="41" s="1"/>
  <c r="G164" i="37"/>
  <c r="G164" i="58"/>
  <c r="G411" i="58"/>
  <c r="G411" i="37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58"/>
  <c r="E471" i="58"/>
  <c r="E471" i="37"/>
  <c r="E471" i="41" s="1"/>
  <c r="I446" i="37"/>
  <c r="I446" i="58"/>
  <c r="J446" i="58"/>
  <c r="J446" i="37"/>
  <c r="J436" i="58"/>
  <c r="J436" i="37"/>
  <c r="G27" i="66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163" i="37"/>
  <c r="G163" i="58"/>
  <c r="I163" i="58" s="1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58"/>
  <c r="G10" i="58"/>
  <c r="G10" i="37"/>
  <c r="G10" i="41" s="1"/>
  <c r="G89" i="37"/>
  <c r="G89" i="58"/>
  <c r="G113" i="58"/>
  <c r="G113" i="37"/>
  <c r="G113" i="41" s="1"/>
  <c r="G165" i="58"/>
  <c r="G165" i="37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471" i="58"/>
  <c r="G471" i="37"/>
  <c r="G471" i="41" s="1"/>
  <c r="H441" i="37"/>
  <c r="H441" i="58"/>
  <c r="G22" i="66"/>
  <c r="G7" i="37"/>
  <c r="G7" i="41" s="1"/>
  <c r="G7" i="58"/>
  <c r="G102" i="37"/>
  <c r="G102" i="41" s="1"/>
  <c r="G102" i="58"/>
  <c r="G417" i="58"/>
  <c r="G417" i="37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G8" i="37"/>
  <c r="G8" i="41" s="1"/>
  <c r="G8" i="58"/>
  <c r="G103" i="58"/>
  <c r="G103" i="37"/>
  <c r="G103" i="41" s="1"/>
  <c r="G119" i="37"/>
  <c r="G119" i="41" s="1"/>
  <c r="G119" i="58"/>
  <c r="G410" i="37"/>
  <c r="G410" i="58"/>
  <c r="G436" i="37"/>
  <c r="G436" i="41" s="1"/>
  <c r="G436" i="58"/>
  <c r="G401" i="58"/>
  <c r="G401" i="37"/>
  <c r="G369" i="37"/>
  <c r="G369" i="58"/>
  <c r="G80" i="58"/>
  <c r="G80" i="37"/>
  <c r="G96" i="37"/>
  <c r="G96" i="41" s="1"/>
  <c r="G96" i="58"/>
  <c r="G121" i="37"/>
  <c r="G121" i="41" s="1"/>
  <c r="G121" i="58"/>
  <c r="G402" i="58"/>
  <c r="G402" i="37"/>
  <c r="G402" i="41" s="1"/>
  <c r="G81" i="58"/>
  <c r="G81" i="37"/>
  <c r="G97" i="37"/>
  <c r="G97" i="41" s="1"/>
  <c r="G97" i="58"/>
  <c r="G105" i="37"/>
  <c r="G105" i="41" s="1"/>
  <c r="G105" i="58"/>
  <c r="G125" i="37"/>
  <c r="G125" i="41" s="1"/>
  <c r="G125" i="58"/>
  <c r="G321" i="37"/>
  <c r="G321" i="58"/>
  <c r="G412" i="58"/>
  <c r="G412" i="37"/>
  <c r="G428" i="58"/>
  <c r="G428" i="37"/>
  <c r="G428" i="41" s="1"/>
  <c r="G74" i="58"/>
  <c r="G74" i="37"/>
  <c r="G82" i="58"/>
  <c r="G82" i="37"/>
  <c r="G90" i="37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J166" i="37" s="1"/>
  <c r="G166" i="58"/>
  <c r="G325" i="58"/>
  <c r="G325" i="37"/>
  <c r="J325" i="37" s="1"/>
  <c r="G404" i="58"/>
  <c r="G404" i="37"/>
  <c r="G413" i="37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F133" i="66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H440" i="58"/>
  <c r="H440" i="37"/>
  <c r="G5" i="66"/>
  <c r="G45" i="66"/>
  <c r="I441" i="37"/>
  <c r="I441" i="58"/>
  <c r="I90" i="58" l="1"/>
  <c r="H90" i="58"/>
  <c r="J90" i="58"/>
  <c r="G76" i="41"/>
  <c r="H76" i="37"/>
  <c r="I76" i="37"/>
  <c r="J76" i="37"/>
  <c r="G79" i="41"/>
  <c r="H79" i="37"/>
  <c r="I79" i="37"/>
  <c r="J79" i="37"/>
  <c r="G141" i="41"/>
  <c r="H141" i="37"/>
  <c r="I141" i="37"/>
  <c r="G77" i="41"/>
  <c r="H77" i="37"/>
  <c r="I77" i="37"/>
  <c r="J77" i="37"/>
  <c r="H92" i="58"/>
  <c r="I92" i="58"/>
  <c r="J92" i="58"/>
  <c r="G75" i="41"/>
  <c r="H75" i="37"/>
  <c r="I75" i="37"/>
  <c r="J75" i="37"/>
  <c r="J163" i="58"/>
  <c r="J141" i="37"/>
  <c r="G413" i="41"/>
  <c r="H413" i="37"/>
  <c r="J413" i="37"/>
  <c r="I413" i="37"/>
  <c r="H412" i="58"/>
  <c r="I412" i="58"/>
  <c r="J412" i="58"/>
  <c r="G404" i="41"/>
  <c r="H404" i="37"/>
  <c r="J404" i="37"/>
  <c r="I404" i="37"/>
  <c r="H410" i="58"/>
  <c r="I410" i="58"/>
  <c r="J410" i="58"/>
  <c r="H79" i="58"/>
  <c r="I79" i="58"/>
  <c r="J79" i="58"/>
  <c r="I409" i="58"/>
  <c r="J409" i="58"/>
  <c r="H409" i="58"/>
  <c r="H77" i="58"/>
  <c r="I77" i="58"/>
  <c r="J77" i="58"/>
  <c r="G92" i="41"/>
  <c r="H92" i="37"/>
  <c r="I92" i="37"/>
  <c r="I92" i="41" s="1"/>
  <c r="J92" i="37"/>
  <c r="J92" i="41" s="1"/>
  <c r="H75" i="58"/>
  <c r="I75" i="58"/>
  <c r="J75" i="58"/>
  <c r="G309" i="41"/>
  <c r="H309" i="37"/>
  <c r="J309" i="37"/>
  <c r="I309" i="37"/>
  <c r="G321" i="41"/>
  <c r="H321" i="37"/>
  <c r="I321" i="37"/>
  <c r="G410" i="41"/>
  <c r="H410" i="37"/>
  <c r="H410" i="41" s="1"/>
  <c r="I410" i="37"/>
  <c r="I410" i="41" s="1"/>
  <c r="J410" i="37"/>
  <c r="G165" i="41"/>
  <c r="H165" i="37"/>
  <c r="I165" i="37"/>
  <c r="G409" i="41"/>
  <c r="H409" i="37"/>
  <c r="I409" i="37"/>
  <c r="J409" i="37"/>
  <c r="I76" i="58"/>
  <c r="H76" i="58"/>
  <c r="J76" i="58"/>
  <c r="I78" i="58"/>
  <c r="H78" i="58"/>
  <c r="J78" i="58"/>
  <c r="G84" i="41"/>
  <c r="H84" i="37"/>
  <c r="I84" i="37"/>
  <c r="J84" i="37"/>
  <c r="G411" i="41"/>
  <c r="H411" i="37"/>
  <c r="I411" i="37"/>
  <c r="J411" i="37"/>
  <c r="J411" i="41" s="1"/>
  <c r="G345" i="41"/>
  <c r="H345" i="37"/>
  <c r="I345" i="37"/>
  <c r="H414" i="58"/>
  <c r="I414" i="58"/>
  <c r="J414" i="58"/>
  <c r="J414" i="41" s="1"/>
  <c r="H416" i="58"/>
  <c r="F156" i="66" s="1"/>
  <c r="N156" i="66" s="1"/>
  <c r="J416" i="58"/>
  <c r="F252" i="66" s="1"/>
  <c r="N252" i="66" s="1"/>
  <c r="I416" i="58"/>
  <c r="F204" i="66" s="1"/>
  <c r="N204" i="66" s="1"/>
  <c r="G407" i="41"/>
  <c r="H407" i="37"/>
  <c r="I407" i="37"/>
  <c r="I407" i="41" s="1"/>
  <c r="H411" i="58"/>
  <c r="I411" i="58"/>
  <c r="J411" i="58"/>
  <c r="G217" i="41"/>
  <c r="H217" i="37"/>
  <c r="I217" i="37"/>
  <c r="G209" i="41"/>
  <c r="H209" i="37"/>
  <c r="I209" i="37"/>
  <c r="G416" i="41"/>
  <c r="H416" i="37"/>
  <c r="I416" i="37"/>
  <c r="I416" i="41" s="1"/>
  <c r="H407" i="58"/>
  <c r="I407" i="58"/>
  <c r="J407" i="58"/>
  <c r="G167" i="41"/>
  <c r="H167" i="37"/>
  <c r="I167" i="37"/>
  <c r="J345" i="37"/>
  <c r="G94" i="41"/>
  <c r="H94" i="37"/>
  <c r="I94" i="37"/>
  <c r="J94" i="37"/>
  <c r="G414" i="41"/>
  <c r="H414" i="37"/>
  <c r="H414" i="41" s="1"/>
  <c r="I414" i="37"/>
  <c r="G82" i="41"/>
  <c r="H82" i="37"/>
  <c r="I82" i="37"/>
  <c r="J82" i="37"/>
  <c r="G166" i="41"/>
  <c r="H166" i="37"/>
  <c r="I166" i="37"/>
  <c r="I89" i="58"/>
  <c r="I454" i="58" s="1"/>
  <c r="H89" i="58"/>
  <c r="J89" i="58"/>
  <c r="J454" i="58" s="1"/>
  <c r="G213" i="41"/>
  <c r="H213" i="37"/>
  <c r="J213" i="37"/>
  <c r="I213" i="37"/>
  <c r="H408" i="58"/>
  <c r="J408" i="58"/>
  <c r="I408" i="58"/>
  <c r="Y204" i="66"/>
  <c r="Z60" i="66"/>
  <c r="Y60" i="66"/>
  <c r="Z204" i="66"/>
  <c r="G415" i="41"/>
  <c r="H415" i="37"/>
  <c r="I415" i="37"/>
  <c r="G325" i="41"/>
  <c r="H325" i="37"/>
  <c r="I325" i="37"/>
  <c r="G90" i="41"/>
  <c r="H90" i="37"/>
  <c r="H90" i="41" s="1"/>
  <c r="I90" i="37"/>
  <c r="I90" i="41" s="1"/>
  <c r="J90" i="37"/>
  <c r="J90" i="41" s="1"/>
  <c r="H82" i="58"/>
  <c r="I82" i="58"/>
  <c r="J82" i="58"/>
  <c r="H80" i="58"/>
  <c r="I80" i="58"/>
  <c r="J80" i="58"/>
  <c r="G74" i="41"/>
  <c r="H74" i="37"/>
  <c r="I74" i="37"/>
  <c r="J74" i="37"/>
  <c r="G89" i="41"/>
  <c r="H89" i="37"/>
  <c r="H89" i="41" s="1"/>
  <c r="B4" i="39" s="1"/>
  <c r="I89" i="37"/>
  <c r="I89" i="41" s="1"/>
  <c r="D13" i="39" s="1"/>
  <c r="J89" i="37"/>
  <c r="J89" i="41" s="1"/>
  <c r="E13" i="39" s="1"/>
  <c r="G164" i="41"/>
  <c r="H164" i="37"/>
  <c r="J164" i="37"/>
  <c r="I164" i="37"/>
  <c r="G313" i="41"/>
  <c r="H313" i="37"/>
  <c r="I313" i="37"/>
  <c r="G408" i="41"/>
  <c r="H408" i="37"/>
  <c r="I408" i="37"/>
  <c r="I408" i="41" s="1"/>
  <c r="J408" i="37"/>
  <c r="J408" i="41" s="1"/>
  <c r="G301" i="41"/>
  <c r="H301" i="37"/>
  <c r="I301" i="37"/>
  <c r="G329" i="41"/>
  <c r="H329" i="37"/>
  <c r="J329" i="37"/>
  <c r="I329" i="37"/>
  <c r="H415" i="58"/>
  <c r="J415" i="58"/>
  <c r="J415" i="41" s="1"/>
  <c r="I415" i="58"/>
  <c r="I91" i="58"/>
  <c r="H91" i="58"/>
  <c r="J91" i="58"/>
  <c r="G80" i="41"/>
  <c r="H80" i="37"/>
  <c r="H80" i="41" s="1"/>
  <c r="I80" i="37"/>
  <c r="I80" i="41" s="1"/>
  <c r="J80" i="37"/>
  <c r="J80" i="41" s="1"/>
  <c r="G225" i="41"/>
  <c r="H225" i="37"/>
  <c r="I225" i="37"/>
  <c r="H74" i="58"/>
  <c r="I74" i="58"/>
  <c r="J74" i="58"/>
  <c r="H87" i="58"/>
  <c r="I87" i="58"/>
  <c r="J87" i="58"/>
  <c r="G337" i="41"/>
  <c r="H337" i="37"/>
  <c r="I337" i="37"/>
  <c r="G93" i="41"/>
  <c r="H93" i="37"/>
  <c r="I93" i="37"/>
  <c r="J93" i="37"/>
  <c r="G333" i="41"/>
  <c r="H333" i="37"/>
  <c r="I333" i="37"/>
  <c r="G91" i="41"/>
  <c r="H91" i="37"/>
  <c r="I91" i="37"/>
  <c r="J91" i="37"/>
  <c r="J407" i="37"/>
  <c r="J407" i="41" s="1"/>
  <c r="G78" i="41"/>
  <c r="H78" i="37"/>
  <c r="H78" i="41" s="1"/>
  <c r="I78" i="37"/>
  <c r="I78" i="41" s="1"/>
  <c r="J78" i="37"/>
  <c r="J78" i="41" s="1"/>
  <c r="G205" i="41"/>
  <c r="H205" i="37"/>
  <c r="I205" i="37"/>
  <c r="I94" i="58"/>
  <c r="H94" i="58"/>
  <c r="J94" i="58"/>
  <c r="G417" i="41"/>
  <c r="H417" i="37"/>
  <c r="J417" i="37"/>
  <c r="I417" i="37"/>
  <c r="G87" i="41"/>
  <c r="H87" i="37"/>
  <c r="I87" i="37"/>
  <c r="J87" i="37"/>
  <c r="J87" i="41" s="1"/>
  <c r="O4" i="41" s="1"/>
  <c r="Y108" i="66"/>
  <c r="Z108" i="66"/>
  <c r="Z252" i="66"/>
  <c r="Y252" i="66"/>
  <c r="H93" i="58"/>
  <c r="I93" i="58"/>
  <c r="J93" i="58"/>
  <c r="G341" i="41"/>
  <c r="H341" i="37"/>
  <c r="J341" i="37"/>
  <c r="I341" i="37"/>
  <c r="J337" i="37"/>
  <c r="J321" i="37"/>
  <c r="H84" i="58"/>
  <c r="J84" i="58"/>
  <c r="I84" i="58"/>
  <c r="G81" i="41"/>
  <c r="H81" i="37"/>
  <c r="I81" i="37"/>
  <c r="J81" i="37"/>
  <c r="H81" i="58"/>
  <c r="I81" i="58"/>
  <c r="J81" i="58"/>
  <c r="I417" i="58"/>
  <c r="J417" i="58"/>
  <c r="H417" i="58"/>
  <c r="I88" i="58"/>
  <c r="H88" i="58"/>
  <c r="J88" i="58"/>
  <c r="G85" i="41"/>
  <c r="H85" i="37"/>
  <c r="I85" i="37"/>
  <c r="J85" i="37"/>
  <c r="G83" i="41"/>
  <c r="H83" i="37"/>
  <c r="I83" i="37"/>
  <c r="J83" i="37"/>
  <c r="H405" i="58"/>
  <c r="I405" i="58"/>
  <c r="J405" i="58"/>
  <c r="J405" i="41" s="1"/>
  <c r="G86" i="41"/>
  <c r="H86" i="37"/>
  <c r="I86" i="37"/>
  <c r="J86" i="37"/>
  <c r="J301" i="37"/>
  <c r="J333" i="37"/>
  <c r="I413" i="58"/>
  <c r="J413" i="58"/>
  <c r="H413" i="58"/>
  <c r="G412" i="41"/>
  <c r="H412" i="37"/>
  <c r="H412" i="41" s="1"/>
  <c r="J412" i="37"/>
  <c r="J412" i="41" s="1"/>
  <c r="I412" i="37"/>
  <c r="I412" i="41" s="1"/>
  <c r="K219" i="66"/>
  <c r="D22" i="53"/>
  <c r="D21" i="53"/>
  <c r="G317" i="41"/>
  <c r="H317" i="37"/>
  <c r="J317" i="37"/>
  <c r="I317" i="37"/>
  <c r="G163" i="41"/>
  <c r="H163" i="37"/>
  <c r="I163" i="37"/>
  <c r="J163" i="37"/>
  <c r="G221" i="41"/>
  <c r="H221" i="37"/>
  <c r="J221" i="37"/>
  <c r="I221" i="37"/>
  <c r="G88" i="41"/>
  <c r="H88" i="37"/>
  <c r="H88" i="41" s="1"/>
  <c r="I88" i="37"/>
  <c r="I88" i="41" s="1"/>
  <c r="J88" i="37"/>
  <c r="G305" i="41"/>
  <c r="H305" i="37"/>
  <c r="I305" i="37"/>
  <c r="H85" i="58"/>
  <c r="J85" i="58"/>
  <c r="I85" i="58"/>
  <c r="H83" i="58"/>
  <c r="J83" i="58"/>
  <c r="I83" i="58"/>
  <c r="G405" i="41"/>
  <c r="H405" i="37"/>
  <c r="H405" i="41" s="1"/>
  <c r="I405" i="37"/>
  <c r="I405" i="41" s="1"/>
  <c r="H86" i="58"/>
  <c r="J86" i="58"/>
  <c r="I86" i="58"/>
  <c r="J217" i="37"/>
  <c r="J209" i="37"/>
  <c r="J225" i="37"/>
  <c r="G64" i="4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E219" i="38" s="1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F37" i="66" s="1"/>
  <c r="I120" i="37"/>
  <c r="F85" i="66" s="1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F9" i="66" s="1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G93" i="66"/>
  <c r="G59" i="66"/>
  <c r="G57" i="66"/>
  <c r="G53" i="66"/>
  <c r="G75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F28" i="66" s="1"/>
  <c r="G112" i="66"/>
  <c r="J427" i="37"/>
  <c r="J428" i="37"/>
  <c r="G124" i="66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H431" i="58"/>
  <c r="E358" i="38"/>
  <c r="K59" i="66" s="1"/>
  <c r="G223" i="66"/>
  <c r="I426" i="58"/>
  <c r="G165" i="66"/>
  <c r="N165" i="66" s="1"/>
  <c r="H432" i="58"/>
  <c r="H453" i="58" s="1"/>
  <c r="G183" i="66"/>
  <c r="H424" i="58"/>
  <c r="G46" i="41"/>
  <c r="G29" i="66"/>
  <c r="H423" i="37"/>
  <c r="H430" i="37"/>
  <c r="F46" i="66" s="1"/>
  <c r="N46" i="66" s="1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F142" i="66" s="1"/>
  <c r="N142" i="66" s="1"/>
  <c r="H418" i="37"/>
  <c r="G25" i="66"/>
  <c r="J423" i="58"/>
  <c r="G269" i="66"/>
  <c r="G95" i="66"/>
  <c r="I425" i="37"/>
  <c r="G16" i="66"/>
  <c r="H427" i="37"/>
  <c r="F44" i="66" s="1"/>
  <c r="G261" i="66"/>
  <c r="N261" i="66" s="1"/>
  <c r="J432" i="58"/>
  <c r="G117" i="66"/>
  <c r="N117" i="66" s="1"/>
  <c r="J432" i="37"/>
  <c r="G139" i="66"/>
  <c r="J431" i="37"/>
  <c r="J11" i="58"/>
  <c r="I11" i="58"/>
  <c r="H11" i="58"/>
  <c r="G160" i="66"/>
  <c r="H427" i="58"/>
  <c r="F188" i="66" s="1"/>
  <c r="I357" i="58"/>
  <c r="G77" i="66"/>
  <c r="I423" i="37"/>
  <c r="I419" i="58"/>
  <c r="G211" i="66"/>
  <c r="E359" i="38"/>
  <c r="K57" i="66" s="1"/>
  <c r="E382" i="38"/>
  <c r="K251" i="66" s="1"/>
  <c r="E380" i="38"/>
  <c r="K285" i="66" s="1"/>
  <c r="E381" i="38"/>
  <c r="J456" i="37"/>
  <c r="G69" i="66"/>
  <c r="I432" i="37"/>
  <c r="G256" i="66"/>
  <c r="J427" i="58"/>
  <c r="G268" i="66"/>
  <c r="J428" i="58"/>
  <c r="J441" i="41"/>
  <c r="G31" i="66"/>
  <c r="N31" i="66" s="1"/>
  <c r="H426" i="37"/>
  <c r="G283" i="66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F94" i="66" s="1"/>
  <c r="N94" i="66" s="1"/>
  <c r="I427" i="37"/>
  <c r="G64" i="66"/>
  <c r="G15" i="41"/>
  <c r="G235" i="66"/>
  <c r="I431" i="58"/>
  <c r="H428" i="58"/>
  <c r="G172" i="66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I414" i="41" l="1"/>
  <c r="I93" i="41"/>
  <c r="J82" i="41"/>
  <c r="J86" i="41"/>
  <c r="I417" i="41"/>
  <c r="H74" i="41"/>
  <c r="I81" i="41"/>
  <c r="J417" i="41"/>
  <c r="H86" i="41"/>
  <c r="H79" i="41"/>
  <c r="I411" i="41"/>
  <c r="H94" i="41"/>
  <c r="E220" i="38"/>
  <c r="G141" i="66" s="1"/>
  <c r="H83" i="41"/>
  <c r="I87" i="41"/>
  <c r="N4" i="41" s="1"/>
  <c r="I455" i="37"/>
  <c r="F99" i="66"/>
  <c r="N99" i="66" s="1"/>
  <c r="E207" i="38"/>
  <c r="E209" i="38"/>
  <c r="E215" i="38"/>
  <c r="E205" i="38"/>
  <c r="E203" i="38"/>
  <c r="E208" i="38"/>
  <c r="E204" i="38"/>
  <c r="E212" i="38"/>
  <c r="E206" i="38"/>
  <c r="E217" i="38"/>
  <c r="E216" i="38"/>
  <c r="E213" i="38"/>
  <c r="E210" i="38"/>
  <c r="E211" i="38"/>
  <c r="G85" i="66" s="1"/>
  <c r="F190" i="66"/>
  <c r="N190" i="66" s="1"/>
  <c r="Z190" i="66" s="1"/>
  <c r="Z156" i="66"/>
  <c r="Z12" i="66"/>
  <c r="Y156" i="66"/>
  <c r="Y12" i="66"/>
  <c r="H413" i="41"/>
  <c r="D43" i="39"/>
  <c r="E109" i="38" s="1"/>
  <c r="J57" i="66" s="1"/>
  <c r="F57" i="66"/>
  <c r="H455" i="37"/>
  <c r="F3" i="66"/>
  <c r="N3" i="66" s="1"/>
  <c r="E195" i="38"/>
  <c r="E196" i="38"/>
  <c r="G37" i="66" s="1"/>
  <c r="N37" i="66" s="1"/>
  <c r="E188" i="38"/>
  <c r="E197" i="38"/>
  <c r="E189" i="38"/>
  <c r="E198" i="38"/>
  <c r="E201" i="38"/>
  <c r="E200" i="38"/>
  <c r="E190" i="38"/>
  <c r="R189" i="38"/>
  <c r="E202" i="38"/>
  <c r="E194" i="38"/>
  <c r="E191" i="38"/>
  <c r="E192" i="38"/>
  <c r="E193" i="38"/>
  <c r="E199" i="38"/>
  <c r="J91" i="41"/>
  <c r="E228" i="38"/>
  <c r="G101" i="66" s="1"/>
  <c r="I82" i="41"/>
  <c r="J84" i="41"/>
  <c r="J409" i="41"/>
  <c r="H92" i="41"/>
  <c r="J77" i="41"/>
  <c r="J453" i="37"/>
  <c r="F139" i="66"/>
  <c r="N139" i="66" s="1"/>
  <c r="F105" i="66"/>
  <c r="E43" i="39"/>
  <c r="E126" i="38" s="1"/>
  <c r="J105" i="66" s="1"/>
  <c r="I91" i="41"/>
  <c r="H82" i="41"/>
  <c r="F283" i="66"/>
  <c r="I84" i="41"/>
  <c r="I409" i="41"/>
  <c r="I77" i="41"/>
  <c r="J76" i="41"/>
  <c r="H453" i="37"/>
  <c r="F43" i="66"/>
  <c r="N43" i="66" s="1"/>
  <c r="L42" i="39"/>
  <c r="E157" i="38" s="1"/>
  <c r="J236" i="66" s="1"/>
  <c r="F236" i="66"/>
  <c r="M42" i="39"/>
  <c r="E174" i="38" s="1"/>
  <c r="J284" i="66" s="1"/>
  <c r="F284" i="66"/>
  <c r="E230" i="38"/>
  <c r="H91" i="41"/>
  <c r="E222" i="38"/>
  <c r="G123" i="66" s="1"/>
  <c r="I415" i="41"/>
  <c r="F235" i="66"/>
  <c r="H84" i="41"/>
  <c r="H409" i="41"/>
  <c r="H77" i="41"/>
  <c r="I76" i="41"/>
  <c r="E41" i="39"/>
  <c r="E122" i="38" s="1"/>
  <c r="J107" i="66" s="1"/>
  <c r="F107" i="66"/>
  <c r="E231" i="38"/>
  <c r="E225" i="38"/>
  <c r="G105" i="66" s="1"/>
  <c r="E226" i="38"/>
  <c r="G133" i="66" s="1"/>
  <c r="N133" i="66" s="1"/>
  <c r="E218" i="38"/>
  <c r="J88" i="41"/>
  <c r="J83" i="41"/>
  <c r="H415" i="41"/>
  <c r="F187" i="66"/>
  <c r="N187" i="66" s="1"/>
  <c r="E232" i="38"/>
  <c r="H76" i="41"/>
  <c r="D42" i="39"/>
  <c r="E106" i="38" s="1"/>
  <c r="J92" i="66" s="1"/>
  <c r="F92" i="66"/>
  <c r="I453" i="37"/>
  <c r="F91" i="66"/>
  <c r="N28" i="66"/>
  <c r="F59" i="66"/>
  <c r="D41" i="39"/>
  <c r="E105" i="38" s="1"/>
  <c r="J59" i="66" s="1"/>
  <c r="I83" i="41"/>
  <c r="F172" i="66"/>
  <c r="N172" i="66" s="1"/>
  <c r="E223" i="38"/>
  <c r="E221" i="38"/>
  <c r="I456" i="37"/>
  <c r="K75" i="66"/>
  <c r="N75" i="66" s="1"/>
  <c r="Z75" i="66" s="1"/>
  <c r="D15" i="53"/>
  <c r="D16" i="53"/>
  <c r="C41" i="39"/>
  <c r="E88" i="38" s="1"/>
  <c r="J11" i="66" s="1"/>
  <c r="F11" i="66"/>
  <c r="J75" i="41"/>
  <c r="E12" i="39" s="1"/>
  <c r="H87" i="41"/>
  <c r="M4" i="41" s="1"/>
  <c r="J94" i="41"/>
  <c r="H416" i="41"/>
  <c r="I75" i="41"/>
  <c r="D12" i="39" s="1"/>
  <c r="C21" i="63"/>
  <c r="J85" i="41"/>
  <c r="J93" i="41"/>
  <c r="H454" i="58"/>
  <c r="H454" i="41" s="1"/>
  <c r="K40" i="39"/>
  <c r="E138" i="38" s="1"/>
  <c r="C13" i="39"/>
  <c r="C40" i="39"/>
  <c r="E87" i="38" s="1"/>
  <c r="I94" i="41"/>
  <c r="H407" i="41"/>
  <c r="J453" i="58"/>
  <c r="H75" i="41"/>
  <c r="N283" i="66"/>
  <c r="K267" i="66"/>
  <c r="D34" i="53"/>
  <c r="D33" i="53"/>
  <c r="F140" i="66"/>
  <c r="E42" i="39"/>
  <c r="E123" i="38" s="1"/>
  <c r="J140" i="66" s="1"/>
  <c r="J455" i="37"/>
  <c r="C12" i="63"/>
  <c r="I85" i="41"/>
  <c r="J81" i="41"/>
  <c r="H408" i="41"/>
  <c r="J410" i="41"/>
  <c r="I453" i="58"/>
  <c r="E227" i="38"/>
  <c r="J416" i="41"/>
  <c r="C3" i="63"/>
  <c r="I86" i="41"/>
  <c r="H85" i="41"/>
  <c r="H93" i="41"/>
  <c r="J74" i="41"/>
  <c r="F238" i="66"/>
  <c r="N238" i="66" s="1"/>
  <c r="Y238" i="66" s="1"/>
  <c r="H411" i="41"/>
  <c r="I413" i="41"/>
  <c r="J79" i="41"/>
  <c r="E224" i="38"/>
  <c r="G107" i="66" s="1"/>
  <c r="N85" i="66"/>
  <c r="F51" i="66"/>
  <c r="N51" i="66" s="1"/>
  <c r="H81" i="41"/>
  <c r="H417" i="41"/>
  <c r="I74" i="41"/>
  <c r="F286" i="66"/>
  <c r="N286" i="66" s="1"/>
  <c r="Z142" i="66" s="1"/>
  <c r="J413" i="41"/>
  <c r="I79" i="41"/>
  <c r="J403" i="37"/>
  <c r="J402" i="37"/>
  <c r="I403" i="37"/>
  <c r="I402" i="37"/>
  <c r="H403" i="37"/>
  <c r="H402" i="37"/>
  <c r="N57" i="66"/>
  <c r="G27" i="39"/>
  <c r="N59" i="66"/>
  <c r="Y203" i="66" s="1"/>
  <c r="H6" i="6"/>
  <c r="G28" i="39"/>
  <c r="N93" i="66"/>
  <c r="Y237" i="66" s="1"/>
  <c r="H7" i="6"/>
  <c r="M65" i="66"/>
  <c r="M209" i="66"/>
  <c r="M169" i="66"/>
  <c r="M25" i="66"/>
  <c r="G70" i="66"/>
  <c r="I424" i="41"/>
  <c r="G73" i="66"/>
  <c r="I418" i="58"/>
  <c r="I418" i="41" s="1"/>
  <c r="G217" i="66"/>
  <c r="J419" i="41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D15" i="39" s="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Z117" i="66"/>
  <c r="Z261" i="66"/>
  <c r="Y261" i="66"/>
  <c r="Y117" i="66"/>
  <c r="J276" i="41"/>
  <c r="M256" i="66"/>
  <c r="J470" i="58"/>
  <c r="J469" i="58"/>
  <c r="F250" i="66" s="1"/>
  <c r="J468" i="58"/>
  <c r="F257" i="66" s="1"/>
  <c r="N257" i="66" s="1"/>
  <c r="O175" i="66"/>
  <c r="I395" i="41"/>
  <c r="J427" i="41"/>
  <c r="E15" i="39" s="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F181" i="66" s="1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18" i="34"/>
  <c r="N143" i="66"/>
  <c r="H13" i="41"/>
  <c r="I419" i="41"/>
  <c r="I11" i="41"/>
  <c r="E363" i="38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F76" i="66" s="1"/>
  <c r="J426" i="41"/>
  <c r="I13" i="41"/>
  <c r="H11" i="41"/>
  <c r="I432" i="41"/>
  <c r="H427" i="41"/>
  <c r="B6" i="39" s="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F277" i="66" s="1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E274" i="38" s="1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J11" i="41"/>
  <c r="E364" i="38"/>
  <c r="K107" i="66" s="1"/>
  <c r="N107" i="66" s="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C30" i="63" s="1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F220" i="66" s="1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F229" i="66" s="1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I157" i="41"/>
  <c r="J162" i="41"/>
  <c r="I162" i="41"/>
  <c r="Y139" i="66" l="1"/>
  <c r="Y283" i="66"/>
  <c r="Z283" i="66"/>
  <c r="Z139" i="66"/>
  <c r="Y187" i="66"/>
  <c r="Z187" i="66"/>
  <c r="Z43" i="66"/>
  <c r="Y43" i="66"/>
  <c r="Z46" i="66"/>
  <c r="Z37" i="66"/>
  <c r="Z181" i="66"/>
  <c r="Y37" i="66"/>
  <c r="Y181" i="66"/>
  <c r="Z28" i="66"/>
  <c r="Y172" i="66"/>
  <c r="Z172" i="66"/>
  <c r="Y28" i="66"/>
  <c r="F147" i="66"/>
  <c r="N147" i="66" s="1"/>
  <c r="Z147" i="66" s="1"/>
  <c r="Y94" i="66"/>
  <c r="D4" i="53"/>
  <c r="D3" i="53"/>
  <c r="J27" i="66"/>
  <c r="N92" i="66"/>
  <c r="P92" i="66"/>
  <c r="S92" i="66"/>
  <c r="N140" i="66"/>
  <c r="S140" i="66"/>
  <c r="P140" i="66"/>
  <c r="P13" i="39"/>
  <c r="Q13" i="39" s="1"/>
  <c r="O13" i="39"/>
  <c r="S107" i="66"/>
  <c r="P107" i="66"/>
  <c r="K41" i="39"/>
  <c r="E139" i="38" s="1"/>
  <c r="J155" i="66" s="1"/>
  <c r="F155" i="66"/>
  <c r="G15" i="39"/>
  <c r="H439" i="58"/>
  <c r="H439" i="41" s="1"/>
  <c r="D9" i="53"/>
  <c r="D10" i="53"/>
  <c r="J171" i="66"/>
  <c r="N284" i="66"/>
  <c r="P284" i="66"/>
  <c r="S284" i="66"/>
  <c r="S105" i="66"/>
  <c r="S57" i="66"/>
  <c r="M41" i="39"/>
  <c r="E173" i="38" s="1"/>
  <c r="J251" i="66" s="1"/>
  <c r="F251" i="66"/>
  <c r="E238" i="38"/>
  <c r="E244" i="38"/>
  <c r="G166" i="66" s="1"/>
  <c r="E241" i="38"/>
  <c r="G181" i="66" s="1"/>
  <c r="N181" i="66" s="1"/>
  <c r="E247" i="38"/>
  <c r="E242" i="38"/>
  <c r="E233" i="38"/>
  <c r="E246" i="38"/>
  <c r="E234" i="38"/>
  <c r="E237" i="38"/>
  <c r="G171" i="66" s="1"/>
  <c r="N171" i="66" s="1"/>
  <c r="E236" i="38"/>
  <c r="E245" i="38"/>
  <c r="E239" i="38"/>
  <c r="G155" i="66" s="1"/>
  <c r="N155" i="66" s="1"/>
  <c r="E235" i="38"/>
  <c r="G189" i="66" s="1"/>
  <c r="N189" i="66" s="1"/>
  <c r="E243" i="38"/>
  <c r="G149" i="66" s="1"/>
  <c r="E240" i="38"/>
  <c r="G153" i="66" s="1"/>
  <c r="F195" i="66"/>
  <c r="N195" i="66" s="1"/>
  <c r="Y195" i="66" s="1"/>
  <c r="F243" i="66"/>
  <c r="N243" i="66" s="1"/>
  <c r="P59" i="66"/>
  <c r="S59" i="66"/>
  <c r="N236" i="66"/>
  <c r="O236" i="66" s="1"/>
  <c r="Q236" i="66" s="1"/>
  <c r="R236" i="66" s="1"/>
  <c r="P236" i="66"/>
  <c r="S236" i="66"/>
  <c r="Y286" i="66"/>
  <c r="Y99" i="66"/>
  <c r="Y243" i="66"/>
  <c r="Z243" i="66"/>
  <c r="Z99" i="66"/>
  <c r="C15" i="39"/>
  <c r="K42" i="39"/>
  <c r="E140" i="38" s="1"/>
  <c r="J188" i="66" s="1"/>
  <c r="C42" i="39"/>
  <c r="E89" i="38" s="1"/>
  <c r="J44" i="66" s="1"/>
  <c r="J456" i="58"/>
  <c r="E263" i="38"/>
  <c r="E269" i="38"/>
  <c r="G251" i="66" s="1"/>
  <c r="E275" i="38"/>
  <c r="E264" i="38"/>
  <c r="E268" i="38"/>
  <c r="E267" i="38"/>
  <c r="G267" i="66" s="1"/>
  <c r="N267" i="66" s="1"/>
  <c r="E265" i="38"/>
  <c r="G285" i="66" s="1"/>
  <c r="E270" i="38"/>
  <c r="G249" i="66" s="1"/>
  <c r="E273" i="38"/>
  <c r="G245" i="66" s="1"/>
  <c r="E266" i="38"/>
  <c r="E276" i="38"/>
  <c r="E271" i="38"/>
  <c r="G277" i="66" s="1"/>
  <c r="E272" i="38"/>
  <c r="Y51" i="66"/>
  <c r="Z195" i="66"/>
  <c r="E277" i="38"/>
  <c r="Z286" i="66"/>
  <c r="Y190" i="66"/>
  <c r="Z229" i="66"/>
  <c r="Y85" i="66"/>
  <c r="Y229" i="66"/>
  <c r="Z85" i="66"/>
  <c r="N11" i="66"/>
  <c r="E350" i="38"/>
  <c r="K45" i="66" s="1"/>
  <c r="N45" i="66" s="1"/>
  <c r="H453" i="41"/>
  <c r="Y142" i="66"/>
  <c r="Y46" i="66"/>
  <c r="E260" i="38"/>
  <c r="E252" i="38"/>
  <c r="G219" i="66" s="1"/>
  <c r="E250" i="38"/>
  <c r="G237" i="66" s="1"/>
  <c r="E253" i="38"/>
  <c r="E251" i="38"/>
  <c r="E261" i="38"/>
  <c r="E248" i="38"/>
  <c r="E257" i="38"/>
  <c r="E262" i="38"/>
  <c r="E249" i="38"/>
  <c r="E258" i="38"/>
  <c r="G197" i="66" s="1"/>
  <c r="E255" i="38"/>
  <c r="G201" i="66" s="1"/>
  <c r="E256" i="38"/>
  <c r="G229" i="66" s="1"/>
  <c r="N229" i="66" s="1"/>
  <c r="E254" i="38"/>
  <c r="G203" i="66" s="1"/>
  <c r="E259" i="38"/>
  <c r="G214" i="66" s="1"/>
  <c r="N277" i="66"/>
  <c r="C39" i="63"/>
  <c r="R11" i="66"/>
  <c r="P11" i="66"/>
  <c r="S11" i="66"/>
  <c r="C48" i="63"/>
  <c r="Z238" i="66"/>
  <c r="Y133" i="66"/>
  <c r="Y277" i="66"/>
  <c r="Z133" i="66"/>
  <c r="Z277" i="66"/>
  <c r="F203" i="66"/>
  <c r="L41" i="39"/>
  <c r="E156" i="38" s="1"/>
  <c r="J203" i="66" s="1"/>
  <c r="H456" i="58"/>
  <c r="E371" i="38" s="1"/>
  <c r="K153" i="66" s="1"/>
  <c r="K123" i="66"/>
  <c r="N123" i="66" s="1"/>
  <c r="D27" i="53"/>
  <c r="D28" i="53"/>
  <c r="Z94" i="66"/>
  <c r="I453" i="41"/>
  <c r="I456" i="58"/>
  <c r="E377" i="38" s="1"/>
  <c r="K201" i="66" s="1"/>
  <c r="F15" i="39"/>
  <c r="Y57" i="66"/>
  <c r="Z201" i="66"/>
  <c r="Z57" i="66"/>
  <c r="Y201" i="66"/>
  <c r="Z219" i="66"/>
  <c r="Y75" i="66"/>
  <c r="Y219" i="66"/>
  <c r="Y59" i="66"/>
  <c r="Z59" i="66"/>
  <c r="Z203" i="66"/>
  <c r="N209" i="66"/>
  <c r="Z93" i="66"/>
  <c r="Y93" i="66"/>
  <c r="Z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F124" i="66" s="1"/>
  <c r="N124" i="66" s="1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Z107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E8" i="53"/>
  <c r="E32" i="53"/>
  <c r="I267" i="41"/>
  <c r="H393" i="41"/>
  <c r="H286" i="41"/>
  <c r="I268" i="41"/>
  <c r="H165" i="41"/>
  <c r="I355" i="41"/>
  <c r="I286" i="41"/>
  <c r="J260" i="41"/>
  <c r="I166" i="41"/>
  <c r="E20" i="53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O5" i="41" s="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F208" i="66"/>
  <c r="D57" i="57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M5" i="41" s="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E22" i="53"/>
  <c r="F22" i="53" s="1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366" i="41"/>
  <c r="E34" i="53"/>
  <c r="F34" i="53" s="1"/>
  <c r="F100" i="66"/>
  <c r="N100" i="66" s="1"/>
  <c r="D29" i="57"/>
  <c r="J204" i="41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53" i="66" s="1"/>
  <c r="F104" i="66"/>
  <c r="E44" i="39"/>
  <c r="E127" i="38" s="1"/>
  <c r="J470" i="41"/>
  <c r="E17" i="39" s="1"/>
  <c r="I390" i="41"/>
  <c r="J131" i="58"/>
  <c r="F259" i="66" s="1"/>
  <c r="H131" i="58"/>
  <c r="J157" i="41"/>
  <c r="I240" i="41"/>
  <c r="J400" i="41"/>
  <c r="I158" i="41"/>
  <c r="J381" i="41"/>
  <c r="I221" i="41"/>
  <c r="J320" i="41"/>
  <c r="I250" i="41"/>
  <c r="I167" i="41"/>
  <c r="I132" i="41"/>
  <c r="N6" i="41" s="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E10" i="53"/>
  <c r="F10" i="53" s="1"/>
  <c r="J233" i="41"/>
  <c r="J366" i="41"/>
  <c r="F130" i="66"/>
  <c r="D40" i="57"/>
  <c r="E28" i="53"/>
  <c r="F28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F268" i="66" s="1"/>
  <c r="N268" i="66" s="1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N5" i="41" s="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O123" i="66" l="1"/>
  <c r="Z51" i="66"/>
  <c r="G14" i="39"/>
  <c r="O284" i="66"/>
  <c r="Q284" i="66" s="1"/>
  <c r="R284" i="66" s="1"/>
  <c r="Y147" i="66"/>
  <c r="H259" i="66"/>
  <c r="P15" i="39"/>
  <c r="Q15" i="39" s="1"/>
  <c r="O15" i="39"/>
  <c r="Z140" i="66"/>
  <c r="O140" i="66"/>
  <c r="Q140" i="66" s="1"/>
  <c r="R140" i="66" s="1"/>
  <c r="T140" i="66" s="1"/>
  <c r="Y284" i="66"/>
  <c r="Z284" i="66"/>
  <c r="Y140" i="66"/>
  <c r="M43" i="39"/>
  <c r="E177" i="38" s="1"/>
  <c r="J249" i="66" s="1"/>
  <c r="Z3" i="66"/>
  <c r="N285" i="66"/>
  <c r="F249" i="66"/>
  <c r="C14" i="39"/>
  <c r="O6" i="41"/>
  <c r="Y3" i="66"/>
  <c r="F211" i="66"/>
  <c r="O45" i="66"/>
  <c r="Q45" i="66" s="1"/>
  <c r="Y189" i="66"/>
  <c r="Z189" i="66"/>
  <c r="Y45" i="66"/>
  <c r="Z45" i="66"/>
  <c r="T284" i="66"/>
  <c r="R155" i="66"/>
  <c r="S155" i="66"/>
  <c r="P155" i="66"/>
  <c r="E14" i="39"/>
  <c r="AC3" i="39" s="1"/>
  <c r="O267" i="66"/>
  <c r="Q267" i="66" s="1"/>
  <c r="T11" i="66"/>
  <c r="Y155" i="66"/>
  <c r="O11" i="66"/>
  <c r="Q11" i="66" s="1"/>
  <c r="Y11" i="66"/>
  <c r="Z155" i="66"/>
  <c r="Z11" i="66"/>
  <c r="O189" i="66"/>
  <c r="Q189" i="66" s="1"/>
  <c r="F163" i="66"/>
  <c r="F201" i="66"/>
  <c r="L43" i="39"/>
  <c r="E160" i="38" s="1"/>
  <c r="J201" i="66" s="1"/>
  <c r="O155" i="66"/>
  <c r="Q155" i="66" s="1"/>
  <c r="S171" i="66"/>
  <c r="H211" i="66"/>
  <c r="Z268" i="66"/>
  <c r="Y268" i="66"/>
  <c r="Y124" i="66"/>
  <c r="Z124" i="66"/>
  <c r="S203" i="66"/>
  <c r="P203" i="66"/>
  <c r="D14" i="39"/>
  <c r="AB3" i="39" s="1"/>
  <c r="N203" i="66"/>
  <c r="T236" i="66"/>
  <c r="N251" i="66"/>
  <c r="Z92" i="66"/>
  <c r="Z236" i="66"/>
  <c r="Y92" i="66"/>
  <c r="Y236" i="66"/>
  <c r="O92" i="66"/>
  <c r="Q92" i="66" s="1"/>
  <c r="R92" i="66" s="1"/>
  <c r="T92" i="66" s="1"/>
  <c r="H163" i="66"/>
  <c r="N237" i="66"/>
  <c r="E383" i="38"/>
  <c r="K249" i="66" s="1"/>
  <c r="N249" i="66" s="1"/>
  <c r="J456" i="41"/>
  <c r="S251" i="66"/>
  <c r="P251" i="66"/>
  <c r="I456" i="41"/>
  <c r="M6" i="41"/>
  <c r="N219" i="66"/>
  <c r="P44" i="66"/>
  <c r="S44" i="66"/>
  <c r="R44" i="66"/>
  <c r="N44" i="66"/>
  <c r="S27" i="66"/>
  <c r="N27" i="66"/>
  <c r="S188" i="66"/>
  <c r="P188" i="66"/>
  <c r="R188" i="66"/>
  <c r="T188" i="66" s="1"/>
  <c r="N188" i="66"/>
  <c r="F14" i="39"/>
  <c r="N216" i="66"/>
  <c r="N231" i="66"/>
  <c r="N58" i="66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F128" i="66" s="1"/>
  <c r="N128" i="66" s="1"/>
  <c r="H143" i="41"/>
  <c r="K49" i="39"/>
  <c r="E147" i="38" s="1"/>
  <c r="J160" i="66" s="1"/>
  <c r="M48" i="39"/>
  <c r="E180" i="38" s="1"/>
  <c r="J434" i="58" s="1"/>
  <c r="F272" i="66" s="1"/>
  <c r="N272" i="66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H135" i="41"/>
  <c r="N230" i="66"/>
  <c r="C51" i="39"/>
  <c r="E98" i="38" s="1"/>
  <c r="H443" i="37" s="1"/>
  <c r="K50" i="39"/>
  <c r="E148" i="38" s="1"/>
  <c r="H442" i="58" s="1"/>
  <c r="L51" i="39"/>
  <c r="E166" i="38" s="1"/>
  <c r="J233" i="66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H28" i="53" s="1"/>
  <c r="G28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H139" i="41"/>
  <c r="N86" i="66"/>
  <c r="D48" i="39"/>
  <c r="E112" i="38" s="1"/>
  <c r="P17" i="39"/>
  <c r="G10" i="53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I135" i="41"/>
  <c r="L47" i="39"/>
  <c r="E162" i="38" s="1"/>
  <c r="F87" i="66"/>
  <c r="N87" i="66" s="1"/>
  <c r="I471" i="41"/>
  <c r="J429" i="41"/>
  <c r="Z216" i="66"/>
  <c r="H449" i="37"/>
  <c r="J8" i="66"/>
  <c r="N278" i="66"/>
  <c r="J471" i="41"/>
  <c r="F135" i="66"/>
  <c r="N135" i="66" s="1"/>
  <c r="Y222" i="66"/>
  <c r="Y78" i="66"/>
  <c r="Z78" i="66"/>
  <c r="Z222" i="66"/>
  <c r="D49" i="39"/>
  <c r="E113" i="38" s="1"/>
  <c r="J449" i="58"/>
  <c r="J248" i="66"/>
  <c r="N248" i="66" s="1"/>
  <c r="J135" i="41"/>
  <c r="E16" i="39" s="1"/>
  <c r="C4" i="63"/>
  <c r="Q123" i="66"/>
  <c r="E9" i="53"/>
  <c r="F9" i="53" s="1"/>
  <c r="H4" i="53" s="1"/>
  <c r="G4" i="53" s="1"/>
  <c r="F184" i="66"/>
  <c r="C32" i="63"/>
  <c r="Y66" i="66"/>
  <c r="Z66" i="66"/>
  <c r="Z210" i="66"/>
  <c r="Y210" i="66"/>
  <c r="E27" i="53"/>
  <c r="F27" i="53" s="1"/>
  <c r="H33" i="53" s="1"/>
  <c r="J472" i="41"/>
  <c r="F136" i="66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D16" i="39" s="1"/>
  <c r="D29" i="39" s="1"/>
  <c r="E399" i="38" l="1"/>
  <c r="E47" i="39"/>
  <c r="E128" i="38" s="1"/>
  <c r="M47" i="39"/>
  <c r="E179" i="38" s="1"/>
  <c r="E403" i="38"/>
  <c r="J475" i="58" s="1"/>
  <c r="J455" i="58" s="1"/>
  <c r="J455" i="41" s="1"/>
  <c r="E401" i="38"/>
  <c r="H474" i="58" s="1"/>
  <c r="T155" i="66"/>
  <c r="E29" i="39"/>
  <c r="L17" i="39" s="1"/>
  <c r="E32" i="39"/>
  <c r="E33" i="39" s="1"/>
  <c r="H10" i="53"/>
  <c r="H22" i="53"/>
  <c r="H34" i="53"/>
  <c r="Z27" i="66"/>
  <c r="Y27" i="66"/>
  <c r="O27" i="66"/>
  <c r="Q27" i="66" s="1"/>
  <c r="Y171" i="66"/>
  <c r="Z171" i="66"/>
  <c r="C47" i="39"/>
  <c r="E94" i="38" s="1"/>
  <c r="J19" i="66" s="1"/>
  <c r="S249" i="66"/>
  <c r="E402" i="38"/>
  <c r="I475" i="58" s="1"/>
  <c r="I455" i="58" s="1"/>
  <c r="I455" i="41" s="1"/>
  <c r="D47" i="39"/>
  <c r="E111" i="38" s="1"/>
  <c r="I433" i="37" s="1"/>
  <c r="F90" i="66" s="1"/>
  <c r="N90" i="66" s="1"/>
  <c r="O171" i="66"/>
  <c r="Q171" i="66" s="1"/>
  <c r="O251" i="66"/>
  <c r="Q251" i="66" s="1"/>
  <c r="R251" i="66" s="1"/>
  <c r="T251" i="66" s="1"/>
  <c r="O107" i="66"/>
  <c r="Q107" i="66" s="1"/>
  <c r="R107" i="66" s="1"/>
  <c r="T107" i="66" s="1"/>
  <c r="D32" i="39"/>
  <c r="D33" i="39" s="1"/>
  <c r="Y44" i="66"/>
  <c r="Z188" i="66"/>
  <c r="Y188" i="66"/>
  <c r="Z44" i="66"/>
  <c r="O44" i="66"/>
  <c r="Q44" i="66" s="1"/>
  <c r="T44" i="66"/>
  <c r="O249" i="66"/>
  <c r="Q249" i="66" s="1"/>
  <c r="O105" i="66"/>
  <c r="Q105" i="66" s="1"/>
  <c r="O203" i="66"/>
  <c r="Q203" i="66" s="1"/>
  <c r="R203" i="66" s="1"/>
  <c r="T203" i="66" s="1"/>
  <c r="O59" i="66"/>
  <c r="Q59" i="66" s="1"/>
  <c r="R59" i="66" s="1"/>
  <c r="T59" i="66" s="1"/>
  <c r="S201" i="66"/>
  <c r="Z128" i="66"/>
  <c r="Z272" i="66"/>
  <c r="Y272" i="66"/>
  <c r="Y128" i="66"/>
  <c r="B7" i="39"/>
  <c r="K47" i="39"/>
  <c r="E145" i="38" s="1"/>
  <c r="O188" i="66"/>
  <c r="Q188" i="66" s="1"/>
  <c r="O93" i="66"/>
  <c r="Q93" i="66" s="1"/>
  <c r="O237" i="66"/>
  <c r="Q237" i="66" s="1"/>
  <c r="N201" i="66"/>
  <c r="O14" i="39"/>
  <c r="P14" i="39"/>
  <c r="Q14" i="39" s="1"/>
  <c r="E400" i="38"/>
  <c r="O75" i="66"/>
  <c r="Q75" i="66" s="1"/>
  <c r="O219" i="66"/>
  <c r="Q219" i="66" s="1"/>
  <c r="O141" i="66"/>
  <c r="Q141" i="66" s="1"/>
  <c r="O285" i="66"/>
  <c r="Q285" i="66" s="1"/>
  <c r="AA3" i="39"/>
  <c r="H16" i="53"/>
  <c r="Y216" i="66"/>
  <c r="F17" i="39"/>
  <c r="Z72" i="66"/>
  <c r="Y72" i="66"/>
  <c r="I442" i="58"/>
  <c r="I442" i="37"/>
  <c r="Y52" i="66"/>
  <c r="Z52" i="66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6" i="38" s="1"/>
  <c r="L226" i="66" s="1"/>
  <c r="Y182" i="66"/>
  <c r="H473" i="58"/>
  <c r="C37" i="63" s="1"/>
  <c r="H433" i="37"/>
  <c r="F42" i="66" s="1"/>
  <c r="N42" i="66" s="1"/>
  <c r="J473" i="58"/>
  <c r="I474" i="58"/>
  <c r="F228" i="66" s="1"/>
  <c r="I434" i="58"/>
  <c r="F224" i="66" s="1"/>
  <c r="N224" i="66" s="1"/>
  <c r="N8" i="41"/>
  <c r="J67" i="66"/>
  <c r="J112" i="66"/>
  <c r="H434" i="58"/>
  <c r="F176" i="66" s="1"/>
  <c r="N176" i="66" s="1"/>
  <c r="I443" i="58"/>
  <c r="J173" i="66"/>
  <c r="H449" i="41"/>
  <c r="J41" i="66"/>
  <c r="N41" i="66" s="1"/>
  <c r="O185" i="66" s="1"/>
  <c r="E30" i="39"/>
  <c r="I435" i="58"/>
  <c r="H475" i="58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S29" i="66"/>
  <c r="J25" i="66"/>
  <c r="H434" i="37"/>
  <c r="F32" i="66" s="1"/>
  <c r="N32" i="66" s="1"/>
  <c r="N152" i="66"/>
  <c r="R152" i="66"/>
  <c r="S152" i="66"/>
  <c r="P152" i="66"/>
  <c r="P16" i="66"/>
  <c r="R16" i="66"/>
  <c r="S16" i="66"/>
  <c r="F275" i="66"/>
  <c r="E414" i="38"/>
  <c r="J433" i="58"/>
  <c r="F282" i="66" s="1"/>
  <c r="N282" i="66" s="1"/>
  <c r="J259" i="66"/>
  <c r="D32" i="53"/>
  <c r="F32" i="53" s="1"/>
  <c r="H26" i="53" s="1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S77" i="66"/>
  <c r="K17" i="39"/>
  <c r="F227" i="66"/>
  <c r="E412" i="38"/>
  <c r="J433" i="37"/>
  <c r="F138" i="66" s="1"/>
  <c r="N138" i="66" s="1"/>
  <c r="D26" i="53"/>
  <c r="F26" i="53" s="1"/>
  <c r="J115" i="66"/>
  <c r="I434" i="37"/>
  <c r="F80" i="66" s="1"/>
  <c r="N80" i="66" s="1"/>
  <c r="J73" i="66"/>
  <c r="F21" i="39" s="1"/>
  <c r="M8" i="41"/>
  <c r="J442" i="41"/>
  <c r="N217" i="66"/>
  <c r="P217" i="66"/>
  <c r="S217" i="66"/>
  <c r="Y126" i="66"/>
  <c r="Z270" i="66"/>
  <c r="Z126" i="66"/>
  <c r="Y270" i="66"/>
  <c r="N8" i="66"/>
  <c r="R8" i="66"/>
  <c r="S8" i="66"/>
  <c r="P8" i="66"/>
  <c r="D20" i="53"/>
  <c r="F20" i="53" s="1"/>
  <c r="H14" i="53" s="1"/>
  <c r="I433" i="58"/>
  <c r="J211" i="66"/>
  <c r="N200" i="66"/>
  <c r="S200" i="66"/>
  <c r="P200" i="66"/>
  <c r="G15" i="53"/>
  <c r="E304" i="38" s="1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M274" i="66"/>
  <c r="P256" i="66"/>
  <c r="S256" i="66"/>
  <c r="Z183" i="66"/>
  <c r="Y39" i="66"/>
  <c r="Y183" i="66"/>
  <c r="Z39" i="66"/>
  <c r="S208" i="66"/>
  <c r="P208" i="66"/>
  <c r="G9" i="53"/>
  <c r="E292" i="38" s="1"/>
  <c r="H3" i="53"/>
  <c r="G3" i="53" s="1"/>
  <c r="E280" i="38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F186" i="66" s="1"/>
  <c r="N186" i="66" s="1"/>
  <c r="J163" i="66"/>
  <c r="G33" i="53"/>
  <c r="E346" i="38" s="1"/>
  <c r="H27" i="53"/>
  <c r="G27" i="53" s="1"/>
  <c r="E328" i="38" s="1"/>
  <c r="J434" i="41"/>
  <c r="S137" i="66"/>
  <c r="P137" i="66"/>
  <c r="E322" i="38" l="1"/>
  <c r="M226" i="66" s="1"/>
  <c r="E310" i="38"/>
  <c r="Y186" i="66"/>
  <c r="Z186" i="66"/>
  <c r="Y42" i="66"/>
  <c r="Z42" i="66"/>
  <c r="I433" i="41"/>
  <c r="F234" i="66"/>
  <c r="N234" i="66" s="1"/>
  <c r="E334" i="38"/>
  <c r="Y224" i="66"/>
  <c r="Y80" i="66"/>
  <c r="Z80" i="66"/>
  <c r="Z224" i="66"/>
  <c r="Y282" i="66"/>
  <c r="Z282" i="66"/>
  <c r="Y138" i="66"/>
  <c r="Z138" i="66"/>
  <c r="Y176" i="66"/>
  <c r="Z32" i="66"/>
  <c r="Z176" i="66"/>
  <c r="Y32" i="66"/>
  <c r="O201" i="66"/>
  <c r="Q201" i="66" s="1"/>
  <c r="O57" i="66"/>
  <c r="Q57" i="66" s="1"/>
  <c r="E340" i="38"/>
  <c r="E298" i="38"/>
  <c r="M178" i="66" s="1"/>
  <c r="Y234" i="66"/>
  <c r="Z90" i="66"/>
  <c r="Z234" i="66"/>
  <c r="Y90" i="66"/>
  <c r="H456" i="37"/>
  <c r="H456" i="41" s="1"/>
  <c r="C16" i="39"/>
  <c r="K43" i="39"/>
  <c r="E143" i="38" s="1"/>
  <c r="J153" i="66" s="1"/>
  <c r="C43" i="39"/>
  <c r="E92" i="38" s="1"/>
  <c r="J9" i="66" s="1"/>
  <c r="E286" i="38"/>
  <c r="F179" i="66"/>
  <c r="H455" i="58"/>
  <c r="H455" i="41" s="1"/>
  <c r="I442" i="41"/>
  <c r="E303" i="38"/>
  <c r="L75" i="66" s="1"/>
  <c r="P75" i="66" s="1"/>
  <c r="E309" i="38"/>
  <c r="M75" i="66" s="1"/>
  <c r="F13" i="39" s="1"/>
  <c r="E291" i="38"/>
  <c r="L171" i="66" s="1"/>
  <c r="E297" i="38"/>
  <c r="E315" i="38"/>
  <c r="E321" i="38"/>
  <c r="E327" i="38"/>
  <c r="L123" i="66" s="1"/>
  <c r="E333" i="38"/>
  <c r="M123" i="66" s="1"/>
  <c r="G13" i="39" s="1"/>
  <c r="E339" i="38"/>
  <c r="L267" i="66" s="1"/>
  <c r="E345" i="38"/>
  <c r="M267" i="66" s="1"/>
  <c r="E279" i="38"/>
  <c r="L27" i="66" s="1"/>
  <c r="E285" i="38"/>
  <c r="M27" i="66" s="1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J474" i="41"/>
  <c r="G2" i="53"/>
  <c r="E284" i="38" s="1"/>
  <c r="M45" i="66" s="1"/>
  <c r="S125" i="66"/>
  <c r="J443" i="41"/>
  <c r="H475" i="41"/>
  <c r="E410" i="38"/>
  <c r="L179" i="66" s="1"/>
  <c r="G14" i="53"/>
  <c r="E415" i="38"/>
  <c r="L276" i="66" s="1"/>
  <c r="P276" i="66" s="1"/>
  <c r="S269" i="66"/>
  <c r="H435" i="41"/>
  <c r="S173" i="66"/>
  <c r="P121" i="66"/>
  <c r="E413" i="38"/>
  <c r="S121" i="66"/>
  <c r="S112" i="66"/>
  <c r="P112" i="66"/>
  <c r="P41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Q281" i="66"/>
  <c r="R281" i="66" s="1"/>
  <c r="T281" i="66" s="1"/>
  <c r="M130" i="66"/>
  <c r="D18" i="8"/>
  <c r="L180" i="66"/>
  <c r="N180" i="66" s="1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R27" i="66" l="1"/>
  <c r="T27" i="66" s="1"/>
  <c r="P27" i="66"/>
  <c r="P267" i="66"/>
  <c r="R267" i="66"/>
  <c r="T267" i="66" s="1"/>
  <c r="R75" i="66"/>
  <c r="T75" i="66" s="1"/>
  <c r="P123" i="66"/>
  <c r="R123" i="66"/>
  <c r="T123" i="66" s="1"/>
  <c r="S9" i="66"/>
  <c r="N9" i="66"/>
  <c r="M232" i="66"/>
  <c r="M219" i="66"/>
  <c r="S153" i="66"/>
  <c r="N153" i="66"/>
  <c r="O153" i="66" s="1"/>
  <c r="Q153" i="66" s="1"/>
  <c r="L232" i="66"/>
  <c r="L219" i="66"/>
  <c r="O16" i="39"/>
  <c r="P16" i="39"/>
  <c r="C29" i="39"/>
  <c r="C32" i="39"/>
  <c r="C33" i="39" s="1"/>
  <c r="M184" i="66"/>
  <c r="M171" i="66"/>
  <c r="R171" i="66"/>
  <c r="T171" i="66" s="1"/>
  <c r="P171" i="66"/>
  <c r="T265" i="66"/>
  <c r="E332" i="38"/>
  <c r="M141" i="66" s="1"/>
  <c r="G12" i="39" s="1"/>
  <c r="E326" i="38"/>
  <c r="L141" i="66" s="1"/>
  <c r="E344" i="38"/>
  <c r="M285" i="66" s="1"/>
  <c r="E338" i="38"/>
  <c r="L285" i="66" s="1"/>
  <c r="E296" i="38"/>
  <c r="E290" i="38"/>
  <c r="L189" i="66" s="1"/>
  <c r="E308" i="38"/>
  <c r="E302" i="38"/>
  <c r="L93" i="66" s="1"/>
  <c r="E320" i="38"/>
  <c r="E314" i="38"/>
  <c r="L237" i="66" s="1"/>
  <c r="E278" i="38"/>
  <c r="M19" i="66"/>
  <c r="Z121" i="66"/>
  <c r="O121" i="66"/>
  <c r="Q121" i="66" s="1"/>
  <c r="R121" i="66" s="1"/>
  <c r="T121" i="66" s="1"/>
  <c r="Y121" i="66"/>
  <c r="Z265" i="66"/>
  <c r="Y265" i="66"/>
  <c r="O217" i="66"/>
  <c r="O233" i="66"/>
  <c r="Q233" i="66" s="1"/>
  <c r="R233" i="66" s="1"/>
  <c r="T233" i="66" s="1"/>
  <c r="O208" i="66"/>
  <c r="Q208" i="66" s="1"/>
  <c r="R208" i="66" s="1"/>
  <c r="T208" i="66" s="1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L36" i="66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M163" i="66" l="1"/>
  <c r="M189" i="66"/>
  <c r="J17" i="39"/>
  <c r="J27" i="39"/>
  <c r="C31" i="39"/>
  <c r="J22" i="39"/>
  <c r="J15" i="39"/>
  <c r="J12" i="39"/>
  <c r="J28" i="39"/>
  <c r="J18" i="39"/>
  <c r="J14" i="39"/>
  <c r="J21" i="39"/>
  <c r="J13" i="39"/>
  <c r="J19" i="39"/>
  <c r="J24" i="39"/>
  <c r="J20" i="39"/>
  <c r="J25" i="39"/>
  <c r="C30" i="39"/>
  <c r="AA5" i="39"/>
  <c r="AA6" i="39"/>
  <c r="J26" i="39"/>
  <c r="J23" i="39"/>
  <c r="P285" i="66"/>
  <c r="R285" i="66"/>
  <c r="T285" i="66" s="1"/>
  <c r="Q16" i="39"/>
  <c r="P29" i="39"/>
  <c r="Q29" i="39" s="1"/>
  <c r="P141" i="66"/>
  <c r="R141" i="66"/>
  <c r="T141" i="66" s="1"/>
  <c r="P219" i="66"/>
  <c r="R219" i="66"/>
  <c r="T219" i="66" s="1"/>
  <c r="L19" i="66"/>
  <c r="L45" i="66"/>
  <c r="P237" i="66"/>
  <c r="R237" i="66"/>
  <c r="T237" i="66" s="1"/>
  <c r="M211" i="66"/>
  <c r="F20" i="39" s="1"/>
  <c r="C5" i="8" s="1"/>
  <c r="M237" i="66"/>
  <c r="P93" i="66"/>
  <c r="R93" i="66"/>
  <c r="T93" i="66" s="1"/>
  <c r="M67" i="66"/>
  <c r="N67" i="66" s="1"/>
  <c r="M93" i="66"/>
  <c r="F12" i="39" s="1"/>
  <c r="J16" i="39"/>
  <c r="R189" i="66"/>
  <c r="T189" i="66" s="1"/>
  <c r="P189" i="66"/>
  <c r="Y153" i="66"/>
  <c r="Z9" i="66"/>
  <c r="Z153" i="66"/>
  <c r="O9" i="66"/>
  <c r="Q9" i="66" s="1"/>
  <c r="Y9" i="66"/>
  <c r="C16" i="8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O34" i="66"/>
  <c r="N131" i="66"/>
  <c r="M115" i="66"/>
  <c r="G20" i="39" s="1"/>
  <c r="D5" i="8" s="1"/>
  <c r="D16" i="8"/>
  <c r="P88" i="66"/>
  <c r="N88" i="66"/>
  <c r="O232" i="66" s="1"/>
  <c r="O82" i="66"/>
  <c r="L115" i="66"/>
  <c r="Q169" i="66"/>
  <c r="Q89" i="66"/>
  <c r="R89" i="66" s="1"/>
  <c r="T89" i="66" s="1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R45" i="66" l="1"/>
  <c r="T45" i="66" s="1"/>
  <c r="P45" i="66"/>
  <c r="J29" i="39"/>
  <c r="O228" i="66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5" i="58" l="1"/>
  <c r="J465" i="37"/>
  <c r="I465" i="58"/>
  <c r="I465" i="37"/>
  <c r="H465" i="58"/>
  <c r="H465" i="37"/>
  <c r="H465" i="41" l="1"/>
  <c r="J465" i="41"/>
  <c r="I465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N214" i="66" s="1"/>
  <c r="O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P214" i="66"/>
  <c r="S214" i="66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Q214" i="66"/>
  <c r="R214" i="66" s="1"/>
  <c r="H459" i="37"/>
  <c r="C9" i="63" s="1"/>
  <c r="H459" i="58"/>
  <c r="C36" i="63" s="1"/>
  <c r="I459" i="37"/>
  <c r="C18" i="63" s="1"/>
  <c r="I459" i="58"/>
  <c r="C45" i="63" s="1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C27" i="63" s="1"/>
  <c r="J459" i="58"/>
  <c r="C54" i="63" s="1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14" i="66" l="1"/>
  <c r="T262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L249" i="66" s="1"/>
  <c r="E348" i="38"/>
  <c r="E330" i="38"/>
  <c r="L105" i="66" s="1"/>
  <c r="E336" i="38"/>
  <c r="M105" i="66" s="1"/>
  <c r="G16" i="39" s="1"/>
  <c r="E318" i="38"/>
  <c r="L201" i="66" s="1"/>
  <c r="E324" i="38"/>
  <c r="S116" i="66"/>
  <c r="G18" i="53"/>
  <c r="S20" i="66"/>
  <c r="H12" i="53"/>
  <c r="G12" i="53" s="1"/>
  <c r="G6" i="53"/>
  <c r="P249" i="66" l="1"/>
  <c r="R249" i="66"/>
  <c r="T249" i="66" s="1"/>
  <c r="P201" i="66"/>
  <c r="R201" i="66"/>
  <c r="T201" i="66" s="1"/>
  <c r="P105" i="66"/>
  <c r="R105" i="66"/>
  <c r="T105" i="66" s="1"/>
  <c r="M260" i="66"/>
  <c r="M249" i="66"/>
  <c r="M212" i="66"/>
  <c r="M201" i="66"/>
  <c r="E294" i="38"/>
  <c r="L153" i="66" s="1"/>
  <c r="E300" i="38"/>
  <c r="E306" i="38"/>
  <c r="E312" i="38"/>
  <c r="E282" i="38"/>
  <c r="L9" i="66" s="1"/>
  <c r="E288" i="38"/>
  <c r="M9" i="66" s="1"/>
  <c r="L260" i="66"/>
  <c r="J463" i="58"/>
  <c r="L212" i="66"/>
  <c r="I463" i="58"/>
  <c r="L116" i="66"/>
  <c r="J463" i="37"/>
  <c r="M116" i="66"/>
  <c r="G25" i="39" s="1"/>
  <c r="D19" i="8"/>
  <c r="M164" i="66" l="1"/>
  <c r="M153" i="66"/>
  <c r="R153" i="66"/>
  <c r="T153" i="66" s="1"/>
  <c r="P153" i="66"/>
  <c r="M68" i="66"/>
  <c r="F25" i="39" s="1"/>
  <c r="M57" i="66"/>
  <c r="F16" i="39" s="1"/>
  <c r="P9" i="66"/>
  <c r="R9" i="66"/>
  <c r="T9" i="66" s="1"/>
  <c r="I463" i="37"/>
  <c r="L57" i="66"/>
  <c r="C19" i="8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P57" i="66" l="1"/>
  <c r="R57" i="66"/>
  <c r="T57" i="66" s="1"/>
  <c r="N68" i="66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W125" i="66"/>
  <c r="W269" i="66"/>
  <c r="W173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39" i="66"/>
  <c r="X255" i="66"/>
  <c r="X127" i="66"/>
  <c r="X278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57" i="66"/>
  <c r="X25" i="66"/>
  <c r="X183" i="66"/>
  <c r="X233" i="66"/>
  <c r="X92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73" i="66"/>
  <c r="X15" i="66"/>
  <c r="X24" i="66"/>
  <c r="X100" i="66"/>
  <c r="X11" i="66"/>
  <c r="X281" i="66"/>
  <c r="X20" i="66"/>
  <c r="X166" i="66"/>
  <c r="X143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H57" i="58"/>
  <c r="E287" i="38"/>
  <c r="H50" i="58"/>
  <c r="H403" i="58" s="1"/>
  <c r="H62" i="41"/>
  <c r="I57" i="58"/>
  <c r="I50" i="58"/>
  <c r="I402" i="58" s="1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C53" i="63" s="1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C35" i="63" l="1"/>
  <c r="C44" i="63"/>
  <c r="D66" i="57"/>
  <c r="F226" i="66"/>
  <c r="N226" i="66" s="1"/>
  <c r="C38" i="63"/>
  <c r="C29" i="63"/>
  <c r="C47" i="63"/>
  <c r="I403" i="58"/>
  <c r="I403" i="41" s="1"/>
  <c r="F242" i="66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N3" i="41" l="1"/>
  <c r="D53" i="57"/>
  <c r="F178" i="66"/>
  <c r="N178" i="66" s="1"/>
  <c r="F274" i="66"/>
  <c r="N274" i="66" s="1"/>
  <c r="D79" i="57"/>
  <c r="Y82" i="66"/>
  <c r="Z82" i="66"/>
  <c r="Z226" i="66"/>
  <c r="Y226" i="66"/>
  <c r="F241" i="66"/>
  <c r="E23" i="53"/>
  <c r="F23" i="53" s="1"/>
  <c r="H17" i="53" s="1"/>
  <c r="G17" i="53" s="1"/>
  <c r="E305" i="38" s="1"/>
  <c r="F290" i="66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Y130" i="66" l="1"/>
  <c r="Y274" i="66"/>
  <c r="Z130" i="66"/>
  <c r="Z274" i="66"/>
  <c r="Y178" i="66"/>
  <c r="Z34" i="66"/>
  <c r="Y34" i="66"/>
  <c r="Z178" i="66"/>
  <c r="G23" i="53"/>
  <c r="E317" i="38" s="1"/>
  <c r="I462" i="58" s="1"/>
  <c r="L290" i="66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98" i="66"/>
  <c r="L146" i="66"/>
  <c r="L241" i="66" l="1"/>
  <c r="P241" i="66" s="1"/>
  <c r="P289" i="66"/>
  <c r="N289" i="66"/>
  <c r="P290" i="66"/>
  <c r="V290" i="66" s="1"/>
  <c r="X290" i="66" s="1"/>
  <c r="R290" i="66"/>
  <c r="T290" i="66" s="1"/>
  <c r="J462" i="37"/>
  <c r="J462" i="41" s="1"/>
  <c r="M241" i="66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N241" i="66" l="1"/>
  <c r="O241" i="66" s="1"/>
  <c r="U241" i="66" s="1"/>
  <c r="R193" i="66"/>
  <c r="T193" i="66" s="1"/>
  <c r="N193" i="66"/>
  <c r="O193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Y290" i="66"/>
  <c r="Z146" i="66"/>
  <c r="Z290" i="66"/>
  <c r="Y146" i="66"/>
  <c r="Z97" i="66" l="1"/>
  <c r="Y241" i="66"/>
  <c r="Z241" i="66"/>
  <c r="Y97" i="66"/>
  <c r="O97" i="66"/>
  <c r="V97" i="66" s="1"/>
  <c r="X97" i="66" s="1"/>
  <c r="Q241" i="66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 l="1"/>
  <c r="R97" i="66" s="1"/>
  <c r="T97" i="66" s="1"/>
  <c r="U97" i="66"/>
  <c r="Q49" i="66"/>
  <c r="E19" i="53" l="1"/>
  <c r="E25" i="53"/>
  <c r="E31" i="53"/>
  <c r="E37" i="53"/>
  <c r="E13" i="53" l="1"/>
  <c r="E7" i="53"/>
  <c r="D25" i="53" l="1"/>
  <c r="F25" i="53" s="1"/>
  <c r="I444" i="58"/>
  <c r="D31" i="53"/>
  <c r="F31" i="53" s="1"/>
  <c r="H37" i="53" s="1"/>
  <c r="J444" i="37"/>
  <c r="I444" i="37"/>
  <c r="D19" i="53"/>
  <c r="F19" i="53" s="1"/>
  <c r="H25" i="53" s="1"/>
  <c r="J444" i="58" l="1"/>
  <c r="J444" i="41" s="1"/>
  <c r="F199" i="66"/>
  <c r="F55" i="66"/>
  <c r="D13" i="53"/>
  <c r="F13" i="53" s="1"/>
  <c r="H7" i="53" s="1"/>
  <c r="H444" i="58"/>
  <c r="J467" i="37"/>
  <c r="F103" i="66"/>
  <c r="I467" i="37"/>
  <c r="I444" i="41"/>
  <c r="I467" i="58"/>
  <c r="G25" i="53"/>
  <c r="H19" i="53"/>
  <c r="G19" i="53" s="1"/>
  <c r="D7" i="53" l="1"/>
  <c r="F7" i="53" s="1"/>
  <c r="G7" i="53" s="1"/>
  <c r="J467" i="58"/>
  <c r="J467" i="41" s="1"/>
  <c r="O3" i="41" s="1"/>
  <c r="I458" i="37"/>
  <c r="E360" i="38"/>
  <c r="K55" i="66" s="1"/>
  <c r="N55" i="66" s="1"/>
  <c r="F151" i="66"/>
  <c r="H467" i="58"/>
  <c r="F7" i="66"/>
  <c r="I467" i="41"/>
  <c r="E307" i="38"/>
  <c r="L77" i="66" s="1"/>
  <c r="E313" i="38"/>
  <c r="M77" i="66" s="1"/>
  <c r="E319" i="38"/>
  <c r="L221" i="66" s="1"/>
  <c r="E325" i="38"/>
  <c r="E366" i="38"/>
  <c r="K103" i="66" s="1"/>
  <c r="N103" i="66" s="1"/>
  <c r="J458" i="37"/>
  <c r="E378" i="38"/>
  <c r="K199" i="66" s="1"/>
  <c r="N199" i="66" s="1"/>
  <c r="I458" i="58"/>
  <c r="E379" i="38" s="1"/>
  <c r="K218" i="66" s="1"/>
  <c r="N218" i="66" s="1"/>
  <c r="J168" i="70" l="1"/>
  <c r="M197" i="66"/>
  <c r="M221" i="66"/>
  <c r="N221" i="66" s="1"/>
  <c r="O221" i="66" s="1"/>
  <c r="P221" i="66"/>
  <c r="N77" i="66"/>
  <c r="P77" i="66"/>
  <c r="F23" i="39"/>
  <c r="H168" i="70"/>
  <c r="E384" i="38"/>
  <c r="K247" i="66" s="1"/>
  <c r="J458" i="58"/>
  <c r="E385" i="38" s="1"/>
  <c r="K266" i="66" s="1"/>
  <c r="N266" i="66" s="1"/>
  <c r="H13" i="53"/>
  <c r="G13" i="53" s="1"/>
  <c r="E301" i="38" s="1"/>
  <c r="H458" i="58"/>
  <c r="E373" i="38" s="1"/>
  <c r="K170" i="66" s="1"/>
  <c r="N170" i="66" s="1"/>
  <c r="E372" i="38"/>
  <c r="K151" i="66" s="1"/>
  <c r="N151" i="66" s="1"/>
  <c r="E283" i="38"/>
  <c r="L29" i="66" s="1"/>
  <c r="E289" i="38"/>
  <c r="M29" i="66" s="1"/>
  <c r="M101" i="66"/>
  <c r="E367" i="38"/>
  <c r="K122" i="66" s="1"/>
  <c r="N122" i="66" s="1"/>
  <c r="J464" i="37"/>
  <c r="L101" i="66"/>
  <c r="Y55" i="66"/>
  <c r="Y199" i="66"/>
  <c r="Z55" i="66"/>
  <c r="Z199" i="66"/>
  <c r="C20" i="8"/>
  <c r="M53" i="66"/>
  <c r="E361" i="38"/>
  <c r="K74" i="66" s="1"/>
  <c r="N74" i="66" s="1"/>
  <c r="I458" i="41"/>
  <c r="H458" i="37"/>
  <c r="E354" i="38"/>
  <c r="K7" i="66" s="1"/>
  <c r="N7" i="66" s="1"/>
  <c r="O102" i="66"/>
  <c r="L245" i="66"/>
  <c r="J464" i="58"/>
  <c r="I464" i="58"/>
  <c r="L197" i="66"/>
  <c r="L53" i="66"/>
  <c r="I464" i="37"/>
  <c r="E295" i="38"/>
  <c r="L173" i="66" s="1"/>
  <c r="Q221" i="66" l="1"/>
  <c r="R221" i="66" s="1"/>
  <c r="T221" i="66" s="1"/>
  <c r="V221" i="66"/>
  <c r="X221" i="66" s="1"/>
  <c r="U221" i="66"/>
  <c r="P173" i="66"/>
  <c r="V173" i="66" s="1"/>
  <c r="X173" i="66" s="1"/>
  <c r="R173" i="66"/>
  <c r="T173" i="66" s="1"/>
  <c r="M149" i="66"/>
  <c r="M173" i="66"/>
  <c r="N173" i="66" s="1"/>
  <c r="O173" i="66" s="1"/>
  <c r="N29" i="66"/>
  <c r="R29" i="66"/>
  <c r="T29" i="66" s="1"/>
  <c r="P29" i="66"/>
  <c r="V29" i="66" s="1"/>
  <c r="X29" i="66" s="1"/>
  <c r="Y221" i="66"/>
  <c r="Y77" i="66"/>
  <c r="Z221" i="66"/>
  <c r="Z77" i="66"/>
  <c r="O77" i="66"/>
  <c r="Y103" i="66"/>
  <c r="Z103" i="66"/>
  <c r="Y247" i="66"/>
  <c r="J458" i="41"/>
  <c r="O54" i="66"/>
  <c r="Q54" i="66" s="1"/>
  <c r="O198" i="66"/>
  <c r="Q198" i="66" s="1"/>
  <c r="O246" i="66"/>
  <c r="Y218" i="66"/>
  <c r="Y74" i="66"/>
  <c r="Z74" i="66"/>
  <c r="Z218" i="66"/>
  <c r="U102" i="66"/>
  <c r="Q102" i="66"/>
  <c r="L149" i="66"/>
  <c r="H464" i="58"/>
  <c r="J464" i="41"/>
  <c r="I464" i="41"/>
  <c r="Y122" i="66"/>
  <c r="Z122" i="66"/>
  <c r="Y266" i="66"/>
  <c r="Z266" i="66"/>
  <c r="E355" i="38"/>
  <c r="K26" i="66" s="1"/>
  <c r="N26" i="66" s="1"/>
  <c r="H458" i="41"/>
  <c r="Y151" i="66"/>
  <c r="Y7" i="66"/>
  <c r="Z7" i="66"/>
  <c r="Z151" i="66"/>
  <c r="M5" i="66"/>
  <c r="B20" i="8"/>
  <c r="L5" i="66"/>
  <c r="H464" i="37"/>
  <c r="Q173" i="66" l="1"/>
  <c r="U173" i="66"/>
  <c r="Y29" i="66"/>
  <c r="Y173" i="66"/>
  <c r="Z29" i="66"/>
  <c r="Z173" i="66"/>
  <c r="O29" i="66"/>
  <c r="Q77" i="66"/>
  <c r="R77" i="66" s="1"/>
  <c r="T77" i="66" s="1"/>
  <c r="V77" i="66"/>
  <c r="X77" i="66" s="1"/>
  <c r="U77" i="66"/>
  <c r="U198" i="66"/>
  <c r="U54" i="66"/>
  <c r="H464" i="41"/>
  <c r="O6" i="66"/>
  <c r="U6" i="66" s="1"/>
  <c r="O150" i="66"/>
  <c r="U150" i="66" s="1"/>
  <c r="Q246" i="66"/>
  <c r="U246" i="66"/>
  <c r="Y26" i="66"/>
  <c r="Z26" i="66"/>
  <c r="Z170" i="66"/>
  <c r="Y170" i="66"/>
  <c r="Q29" i="66" l="1"/>
  <c r="U29" i="66"/>
  <c r="Q6" i="66"/>
  <c r="Q150" i="66"/>
  <c r="I4" i="58" l="1"/>
  <c r="I4" i="37"/>
  <c r="J4" i="58"/>
  <c r="J4" i="37"/>
  <c r="H4" i="37" l="1"/>
  <c r="H4" i="58"/>
  <c r="J4" i="41"/>
  <c r="E45" i="39" s="1"/>
  <c r="F101" i="66"/>
  <c r="O4" i="58"/>
  <c r="F245" i="66"/>
  <c r="I4" i="41"/>
  <c r="D45" i="39" s="1"/>
  <c r="F53" i="66"/>
  <c r="F197" i="66"/>
  <c r="N4" i="58"/>
  <c r="M45" i="39" l="1"/>
  <c r="E175" i="38" s="1"/>
  <c r="L45" i="39"/>
  <c r="E158" i="38" s="1"/>
  <c r="E107" i="38"/>
  <c r="D56" i="39"/>
  <c r="D59" i="39"/>
  <c r="D60" i="39" s="1"/>
  <c r="E56" i="39"/>
  <c r="E124" i="38"/>
  <c r="E59" i="39"/>
  <c r="E60" i="39" s="1"/>
  <c r="M4" i="58"/>
  <c r="F149" i="66"/>
  <c r="F5" i="66"/>
  <c r="H4" i="41"/>
  <c r="K45" i="39" s="1"/>
  <c r="M56" i="39" l="1"/>
  <c r="M58" i="39" s="1"/>
  <c r="M59" i="39"/>
  <c r="M60" i="39" s="1"/>
  <c r="C45" i="39"/>
  <c r="C56" i="39" s="1"/>
  <c r="L59" i="39"/>
  <c r="L60" i="39" s="1"/>
  <c r="L56" i="39"/>
  <c r="L57" i="39" s="1"/>
  <c r="D37" i="53"/>
  <c r="F37" i="53" s="1"/>
  <c r="J466" i="58"/>
  <c r="J245" i="66"/>
  <c r="J452" i="58"/>
  <c r="K59" i="39"/>
  <c r="K60" i="39" s="1"/>
  <c r="K56" i="39"/>
  <c r="E141" i="38"/>
  <c r="D57" i="39"/>
  <c r="D58" i="39"/>
  <c r="I466" i="37"/>
  <c r="J53" i="66"/>
  <c r="I452" i="37"/>
  <c r="J466" i="37"/>
  <c r="J452" i="37"/>
  <c r="J101" i="66"/>
  <c r="E57" i="39"/>
  <c r="E58" i="39"/>
  <c r="I466" i="58"/>
  <c r="J197" i="66"/>
  <c r="I452" i="58"/>
  <c r="I457" i="58" s="1"/>
  <c r="M57" i="39" l="1"/>
  <c r="L58" i="39"/>
  <c r="E90" i="38"/>
  <c r="C59" i="39"/>
  <c r="C60" i="39" s="1"/>
  <c r="J466" i="41"/>
  <c r="F198" i="66"/>
  <c r="L198" i="66" s="1"/>
  <c r="P198" i="66" s="1"/>
  <c r="V198" i="66" s="1"/>
  <c r="X198" i="66" s="1"/>
  <c r="H466" i="58"/>
  <c r="J149" i="66"/>
  <c r="H452" i="58"/>
  <c r="H457" i="58" s="1"/>
  <c r="K58" i="39"/>
  <c r="K57" i="39"/>
  <c r="S101" i="66"/>
  <c r="W101" i="66"/>
  <c r="P101" i="66"/>
  <c r="N101" i="66"/>
  <c r="J457" i="37"/>
  <c r="F102" i="66" s="1"/>
  <c r="J452" i="41"/>
  <c r="I452" i="41"/>
  <c r="I457" i="37"/>
  <c r="H444" i="37"/>
  <c r="H466" i="37"/>
  <c r="H452" i="37"/>
  <c r="J5" i="66"/>
  <c r="S53" i="66"/>
  <c r="W53" i="66"/>
  <c r="P53" i="66"/>
  <c r="F18" i="39"/>
  <c r="N53" i="66"/>
  <c r="S197" i="66"/>
  <c r="W197" i="66"/>
  <c r="P197" i="66"/>
  <c r="N197" i="66"/>
  <c r="I466" i="41"/>
  <c r="C57" i="39"/>
  <c r="C58" i="39"/>
  <c r="F247" i="66"/>
  <c r="N247" i="66" s="1"/>
  <c r="Z247" i="66" s="1"/>
  <c r="J457" i="58"/>
  <c r="W245" i="66"/>
  <c r="S245" i="66"/>
  <c r="P245" i="66"/>
  <c r="G37" i="53"/>
  <c r="H31" i="53"/>
  <c r="G31" i="53" s="1"/>
  <c r="F150" i="66" l="1"/>
  <c r="L150" i="66" s="1"/>
  <c r="P150" i="66" s="1"/>
  <c r="V150" i="66" s="1"/>
  <c r="X150" i="66" s="1"/>
  <c r="H466" i="41"/>
  <c r="J457" i="41"/>
  <c r="F246" i="66"/>
  <c r="N198" i="66"/>
  <c r="S5" i="66"/>
  <c r="W5" i="66"/>
  <c r="R5" i="66"/>
  <c r="P5" i="66"/>
  <c r="V5" i="66" s="1"/>
  <c r="N5" i="66"/>
  <c r="O197" i="66"/>
  <c r="H457" i="37"/>
  <c r="H452" i="41"/>
  <c r="E337" i="38"/>
  <c r="E331" i="38"/>
  <c r="L125" i="66" s="1"/>
  <c r="E343" i="38"/>
  <c r="L269" i="66" s="1"/>
  <c r="E349" i="38"/>
  <c r="H467" i="37"/>
  <c r="H467" i="41" s="1"/>
  <c r="M3" i="41" s="1"/>
  <c r="H444" i="41"/>
  <c r="F54" i="66"/>
  <c r="I457" i="41"/>
  <c r="O53" i="66"/>
  <c r="Y197" i="66"/>
  <c r="Z197" i="66"/>
  <c r="Z53" i="66"/>
  <c r="Y53" i="66"/>
  <c r="W149" i="66"/>
  <c r="S149" i="66"/>
  <c r="P149" i="66"/>
  <c r="V149" i="66" s="1"/>
  <c r="R149" i="66"/>
  <c r="N149" i="66"/>
  <c r="L102" i="66"/>
  <c r="P102" i="66" s="1"/>
  <c r="V102" i="66" s="1"/>
  <c r="X102" i="66" s="1"/>
  <c r="T5" i="66" l="1"/>
  <c r="O149" i="66"/>
  <c r="X5" i="66"/>
  <c r="T149" i="66"/>
  <c r="L54" i="66"/>
  <c r="P54" i="66" s="1"/>
  <c r="V54" i="66" s="1"/>
  <c r="X54" i="66" s="1"/>
  <c r="X149" i="66"/>
  <c r="M245" i="66"/>
  <c r="M269" i="66"/>
  <c r="N269" i="66" s="1"/>
  <c r="N150" i="66"/>
  <c r="P269" i="66"/>
  <c r="P125" i="66"/>
  <c r="M125" i="66"/>
  <c r="G23" i="39" s="1"/>
  <c r="D20" i="8"/>
  <c r="N102" i="66"/>
  <c r="F6" i="66"/>
  <c r="H457" i="41"/>
  <c r="U197" i="66"/>
  <c r="Q197" i="66"/>
  <c r="R197" i="66" s="1"/>
  <c r="T197" i="66" s="1"/>
  <c r="V197" i="66"/>
  <c r="X197" i="66" s="1"/>
  <c r="L246" i="66"/>
  <c r="P246" i="66" s="1"/>
  <c r="V246" i="66" s="1"/>
  <c r="X246" i="66" s="1"/>
  <c r="U53" i="66"/>
  <c r="V53" i="66"/>
  <c r="X53" i="66" s="1"/>
  <c r="Q53" i="66"/>
  <c r="R53" i="66" s="1"/>
  <c r="T53" i="66" s="1"/>
  <c r="Y149" i="66"/>
  <c r="O5" i="66"/>
  <c r="Y5" i="66"/>
  <c r="Z149" i="66"/>
  <c r="Z5" i="66"/>
  <c r="N54" i="66" l="1"/>
  <c r="Y54" i="66" s="1"/>
  <c r="N246" i="66"/>
  <c r="Z246" i="66" s="1"/>
  <c r="N245" i="66"/>
  <c r="G18" i="39"/>
  <c r="Q5" i="66"/>
  <c r="U5" i="66"/>
  <c r="L6" i="66"/>
  <c r="P6" i="66" s="1"/>
  <c r="V6" i="66" s="1"/>
  <c r="X6" i="66" s="1"/>
  <c r="Y102" i="66"/>
  <c r="Z102" i="66"/>
  <c r="Y246" i="66"/>
  <c r="Y198" i="66"/>
  <c r="N125" i="66"/>
  <c r="U149" i="66"/>
  <c r="Q149" i="66"/>
  <c r="Z198" i="66" l="1"/>
  <c r="Z54" i="66"/>
  <c r="N6" i="66"/>
  <c r="Z125" i="66"/>
  <c r="Z269" i="66"/>
  <c r="O125" i="66"/>
  <c r="Y269" i="66"/>
  <c r="Y125" i="66"/>
  <c r="O245" i="66"/>
  <c r="Y101" i="66"/>
  <c r="Y245" i="66"/>
  <c r="O101" i="66"/>
  <c r="Z101" i="66"/>
  <c r="Z245" i="66"/>
  <c r="O269" i="66"/>
  <c r="Q125" i="66" l="1"/>
  <c r="R125" i="66" s="1"/>
  <c r="T125" i="66" s="1"/>
  <c r="V125" i="66"/>
  <c r="X125" i="66" s="1"/>
  <c r="U125" i="66"/>
  <c r="Q269" i="66"/>
  <c r="R269" i="66" s="1"/>
  <c r="T269" i="66" s="1"/>
  <c r="V269" i="66"/>
  <c r="X269" i="66" s="1"/>
  <c r="U269" i="66"/>
  <c r="Y6" i="66"/>
  <c r="Y150" i="66"/>
  <c r="Z6" i="66"/>
  <c r="Z150" i="66"/>
  <c r="U101" i="66"/>
  <c r="Q101" i="66"/>
  <c r="R101" i="66" s="1"/>
  <c r="T101" i="66" s="1"/>
  <c r="V101" i="66"/>
  <c r="X101" i="66" s="1"/>
  <c r="U245" i="66"/>
  <c r="Q245" i="66"/>
  <c r="R245" i="66" s="1"/>
  <c r="T245" i="66" s="1"/>
  <c r="V245" i="66"/>
  <c r="X2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<sst xmlns="http://schemas.openxmlformats.org/spreadsheetml/2006/main" count="4052" uniqueCount="345">
  <si>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</si>
  <si>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</si>
  <si>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</si>
  <si>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</si>
  <si>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</si>
  <si>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</si>
  <si>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</si>
  <si>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</si>
  <si>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</si>
  <si>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</si>
  <si>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</si>
  <si>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</si>
  <si>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</si>
  <si>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</si>
  <si>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</si>
  <si>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</si>
  <si>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</si>
  <si>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</si>
  <si>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</si>
  <si>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</si>
  <si>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</si>
  <si>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</si>
  <si>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</si>
  <si>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</si>
  <si>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</si>
  <si>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</si>
  <si>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</si>
  <si>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</si>
  <si>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</si>
  <si>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</si>
  <si>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</si>
  <si>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</si>
  <si>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</si>
  <si>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</si>
  <si>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</si>
  <si>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</si>
  <si>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</si>
  <si>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</si>
  <si>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</si>
  <si>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</si>
  <si>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</si>
  <si>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</si>
  <si>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</si>
  <si>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</si>
  <si>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</si>
  <si>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</si>
  <si>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</si>
  <si>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</si>
  <si>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</si>
  <si>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</si>
  <si>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</si>
  <si>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</si>
  <si>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</si>
  <si>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</si>
  <si>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</si>
  <si>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</si>
  <si>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</si>
  <si>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</si>
  <si>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</si>
  <si>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</si>
  <si>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</si>
  <si>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</si>
  <si>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</si>
  <si>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</si>
  <si>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</si>
  <si>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</si>
  <si>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</si>
  <si>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</si>
  <si>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</si>
  <si>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</si>
  <si>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</si>
  <si>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</si>
  <si>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</si>
  <si>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</si>
  <si>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</si>
  <si>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</si>
  <si>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</si>
  <si>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</si>
  <si>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</si>
  <si>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</si>
  <si>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</si>
  <si>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</si>
  <si>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</si>
  <si>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</si>
  <si>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</si>
  <si>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</si>
  <si>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</si>
  <si>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</si>
  <si>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</si>
  <si>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</si>
  <si>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</si>
  <si>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</si>
  <si>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</si>
  <si>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</si>
  <si>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</si>
  <si>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</si>
  <si>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</si>
  <si>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</si>
  <si>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</si>
  <si>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</si>
  <si>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</si>
  <si>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</si>
  <si>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</si>
  <si>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</si>
  <si>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</si>
  <si>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</si>
  <si>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</si>
  <si>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</si>
  <si>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</si>
  <si>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</si>
  <si>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</si>
  <si>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</si>
  <si>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</si>
  <si>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</si>
  <si>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</si>
  <si>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</si>
  <si>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</si>
  <si>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</si>
  <si>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</si>
  <si>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</si>
  <si>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</si>
  <si>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</si>
  <si>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</si>
  <si>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</si>
  <si>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</si>
  <si>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</si>
  <si>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</si>
  <si>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</si>
  <si>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</si>
  <si>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</si>
  <si>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</si>
  <si>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</si>
  <si>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</si>
  <si>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</si>
  <si>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</si>
  <si>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</si>
  <si>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</si>
  <si>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</si>
  <si>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</si>
  <si>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</si>
  <si>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</si>
  <si>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</si>
  <si>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</si>
  <si>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</si>
  <si>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</si>
  <si>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</si>
  <si>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</si>
  <si>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</si>
  <si>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</si>
  <si>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</si>
  <si>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</si>
  <si>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</si>
  <si>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</si>
  <si>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</si>
  <si>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</si>
  <si>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</si>
  <si>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</si>
  <si>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</si>
  <si>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</si>
  <si>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</si>
  <si>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</si>
  <si>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</si>
  <si>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</si>
  <si>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</si>
  <si>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</si>
  <si>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</si>
  <si>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</si>
  <si>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</si>
  <si>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</si>
  <si>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</si>
  <si>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</si>
  <si>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</si>
  <si>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</si>
  <si>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</si>
  <si>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</si>
  <si>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</si>
  <si>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</si>
  <si>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</si>
  <si>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</si>
  <si>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</si>
  <si>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</si>
  <si>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</si>
  <si>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</si>
  <si>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</si>
  <si>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</si>
  <si>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</si>
  <si>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</si>
  <si>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</si>
  <si>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</si>
  <si>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</si>
  <si>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</si>
  <si>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</si>
  <si>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</si>
  <si>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</si>
  <si>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</si>
  <si>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</si>
  <si>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</si>
  <si>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</si>
  <si>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</si>
  <si>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</si>
  <si>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</si>
  <si>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</si>
  <si>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</si>
  <si>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</si>
  <si>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</si>
  <si>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</si>
  <si>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</si>
  <si>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</si>
  <si>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</si>
  <si>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</si>
  <si>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</si>
  <si>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</si>
  <si>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</si>
  <si>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</si>
  <si>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</si>
  <si>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</si>
  <si>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</si>
  <si>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</si>
  <si>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</si>
  <si>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</si>
  <si>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</si>
  <si>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</si>
  <si>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</si>
  <si>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</si>
  <si>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</si>
  <si>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</si>
  <si>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</si>
  <si>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</si>
  <si>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</si>
  <si>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</si>
  <si>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</si>
  <si>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</si>
  <si>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</si>
  <si>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</si>
  <si>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</si>
  <si>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</si>
  <si>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</si>
  <si>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</si>
  <si>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</si>
  <si>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</si>
  <si>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</si>
  <si>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</si>
  <si>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</si>
  <si>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</si>
  <si>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</si>
  <si>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</si>
  <si>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</si>
  <si>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</si>
  <si>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</si>
  <si>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</si>
  <si>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</si>
  <si>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</si>
  <si>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</si>
  <si>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</si>
  <si>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</si>
  <si>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</si>
  <si>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</si>
  <si>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</si>
  <si>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</si>
  <si>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</si>
  <si>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</si>
  <si>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</si>
  <si>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</si>
  <si>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</si>
  <si>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</si>
  <si>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</si>
  <si>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</si>
  <si>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</si>
  <si>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</si>
  <si>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</si>
  <si>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</si>
  <si>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</si>
  <si>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</si>
  <si>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</si>
  <si>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</si>
  <si>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</si>
  <si>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</si>
  <si>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</si>
  <si>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</si>
  <si>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</si>
  <si>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</si>
  <si>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</si>
  <si>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</si>
  <si>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</si>
  <si>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</si>
  <si>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</si>
  <si>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</si>
  <si>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</si>
  <si>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</si>
  <si>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</si>
  <si>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</si>
  <si>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</si>
  <si>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</si>
  <si>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</si>
  <si>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</si>
  <si>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</si>
  <si>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</si>
  <si>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</si>
  <si>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</si>
  <si>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</si>
  <si>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</si>
  <si>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</si>
  <si>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</si>
  <si>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</si>
  <si>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</si>
  <si>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</si>
  <si>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</si>
  <si>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</si>
  <si>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</si>
  <si>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</si>
  <si>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</si>
  <si>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</si>
  <si>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</si>
  <si>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</si>
  <si>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</si>
  <si>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</si>
  <si>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</si>
  <si>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</si>
  <si>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</si>
  <si>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</si>
  <si>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</si>
  <si>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</si>
  <si>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</si>
  <si>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</si>
  <si>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</si>
  <si>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</si>
  <si>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</si>
  <si>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</si>
  <si>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</si>
  <si>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</si>
  <si>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</si>
  <si>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</si>
  <si>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</si>
  <si>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</si>
  <si>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</si>
  <si>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</si>
  <si>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</si>
  <si>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</si>
  <si>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</si>
  <si>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</si>
  <si>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*De 62% kommer fra 10B KF21 (sektornotat landbrug)</t>
  </si>
  <si>
    <t xml:space="preserve">Biogasgylle overskud: </t>
  </si>
  <si>
    <t>Kunstgødning import:</t>
  </si>
  <si>
    <t>ton vv</t>
  </si>
  <si>
    <t>gødning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</si>
</sst>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1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171" fontId="0" fillId="4" borderId="1" xfId="5" applyNumberFormat="1" applyFont="1" applyFill="1" applyBorder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6029088.3887261674</c:v>
                </c:pt>
                <c:pt idx="2">
                  <c:v>4256145.2345297476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-2465700.867643958</c:v>
                </c:pt>
                <c:pt idx="2">
                  <c:v>-5288328.8186776675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-311923.80729170947</c:v>
                </c:pt>
                <c:pt idx="2">
                  <c:v>-244678.56203733059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-965946.66666666698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6670104.6479239594</c:v>
                </c:pt>
                <c:pt idx="2">
                  <c:v>-197697.29237007059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249070.41145368534</c:v>
                </c:pt>
                <c:pt idx="2">
                  <c:v>216951.70801995497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21590.944766009088</c:v>
                </c:pt>
                <c:pt idx="2">
                  <c:v>18865.364198504856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298013.90675097884</c:v>
                </c:pt>
                <c:pt idx="2">
                  <c:v>160356.6559175018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86085.718291457015</c:v>
                </c:pt>
                <c:pt idx="2">
                  <c:v>75461.443395327253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16716.162692950904</c:v>
                </c:pt>
                <c:pt idx="2">
                  <c:v>14313.043935558482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65820.275689989794</c:v>
                </c:pt>
                <c:pt idx="2">
                  <c:v>56596.151034252514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61589.234291461878</c:v>
                </c:pt>
                <c:pt idx="2">
                  <c:v>52763.968072249161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197847.00478896068</c:v>
                </c:pt>
                <c:pt idx="2">
                  <c:v>171674.86292287466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10867.259065585897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126838.32883502003</c:v>
                </c:pt>
                <c:pt idx="2">
                  <c:v>179222.0901799573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6954.7525926161206</c:v>
                </c:pt>
                <c:pt idx="2">
                  <c:v>5504.0224764256391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91124.170336585928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5.9185756611736293</c:v>
                </c:pt>
                <c:pt idx="2">
                  <c:v>4.413950742288951</c:v>
                </c:pt>
                <c:pt idx="3">
                  <c:v>7.483154704207001</c:v>
                </c:pt>
                <c:pt idx="4">
                  <c:v>7.6088641505357533</c:v>
                </c:pt>
                <c:pt idx="5">
                  <c:v>8.2851701255222014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1.7339476307410988</c:v>
                </c:pt>
                <c:pt idx="2">
                  <c:v>1.9504339469703251</c:v>
                </c:pt>
                <c:pt idx="3">
                  <c:v>1.4201719861750002</c:v>
                </c:pt>
                <c:pt idx="4">
                  <c:v>0</c:v>
                </c:pt>
                <c:pt idx="5">
                  <c:v>2.6925000000000003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12.937347298228788</c:v>
                </c:pt>
                <c:pt idx="2">
                  <c:v>11.676881539930978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1.2409553954691868</c:v>
                </c:pt>
                <c:pt idx="2">
                  <c:v>0.44238509657731323</c:v>
                </c:pt>
                <c:pt idx="3">
                  <c:v>5.0922829580050024</c:v>
                </c:pt>
                <c:pt idx="4">
                  <c:v>10.44013238392133</c:v>
                </c:pt>
                <c:pt idx="5">
                  <c:v>8.4602640214703264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9.8390722963911195</c:v>
                </c:pt>
                <c:pt idx="2">
                  <c:v>8.3550634809899407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44.879863833162844</c:v>
                </c:pt>
                <c:pt idx="2">
                  <c:v>45.596526266723075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224264.81188071458</c:v>
                </c:pt>
                <c:pt idx="2">
                  <c:v>392713.09498553735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1078311.3080653877</c:v>
                </c:pt>
                <c:pt idx="2">
                  <c:v>999175.72564844368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1579209.4799870809</c:v>
                </c:pt>
                <c:pt idx="2">
                  <c:v>1203819.8797974139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1494314.3329114441</c:v>
                </c:pt>
                <c:pt idx="2">
                  <c:v>1527619.6031409521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1512611.3283061129</c:v>
                </c:pt>
                <c:pt idx="2">
                  <c:v>1321975.9767089051</c:v>
                </c:pt>
                <c:pt idx="15">
                  <c:v>823764.99285714305</c:v>
                </c:pt>
                <c:pt idx="16">
                  <c:v>350967.65152171784</c:v>
                </c:pt>
                <c:pt idx="17">
                  <c:v>125115.58350994992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1083774.8488732176</c:v>
                </c:pt>
                <c:pt idx="11">
                  <c:v>675144.21380909206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1480000.0000000007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6897517.7984649893</c:v>
                </c:pt>
                <c:pt idx="2">
                  <c:v>5456225.1637129262</c:v>
                </c:pt>
                <c:pt idx="15">
                  <c:v>9696490.333333334</c:v>
                </c:pt>
                <c:pt idx="16">
                  <c:v>4227510.9087366061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750000.00000000012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878488.59789206437</c:v>
                </c:pt>
                <c:pt idx="23">
                  <c:v>745987.81080267346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6046494.3414125368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8560529.974906262</c:v>
                </c:pt>
                <c:pt idx="2">
                  <c:v>6609395.6836867323</c:v>
                </c:pt>
                <c:pt idx="15">
                  <c:v>14742130.666666664</c:v>
                </c:pt>
                <c:pt idx="16">
                  <c:v>5246776.4362328704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174650.63022250982</c:v>
                </c:pt>
                <c:pt idx="11">
                  <c:v>133081.08218496924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2874812.4442172255</c:v>
                </c:pt>
                <c:pt idx="11">
                  <c:v>2977033.0999848829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1727125.9811688233</c:v>
                </c:pt>
                <c:pt idx="2">
                  <c:v>1422603.3063451063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281116.35132546059</c:v>
                </c:pt>
                <c:pt idx="11">
                  <c:v>238716.0994568555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18044229.187614657</c:v>
                </c:pt>
                <c:pt idx="17">
                  <c:v>14349551.089183256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F-436A-8D9E-3B0A99E06D2B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1660014.4487791653</c:v>
                </c:pt>
                <c:pt idx="17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F-436A-8D9E-3B0A99E06D2B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AF-436A-8D9E-3B0A99E06D2B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AF-436A-8D9E-3B0A99E06D2B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792049.6289698272</c:v>
                </c:pt>
                <c:pt idx="14">
                  <c:v>870579.42418129975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AF-436A-8D9E-3B0A99E06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1660014.4487791653</c:v>
                </c:pt>
                <c:pt idx="2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3343.8010555246146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295986.95488590782</c:v>
                </c:pt>
                <c:pt idx="2">
                  <c:v>342995.31126165221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A-4526-B402-C7B0D041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835972.72038527858</c:v>
                </c:pt>
                <c:pt idx="2">
                  <c:v>583643.97890224867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4254375.7434823737</c:v>
                </c:pt>
                <c:pt idx="2">
                  <c:v>7186599.8576386888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576116.71098848025</c:v>
                </c:pt>
                <c:pt idx="2">
                  <c:v>205378.41066727636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153901.96523502804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651527.44368819008</c:v>
                </c:pt>
                <c:pt idx="2">
                  <c:v>92224.67040210776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1487443.4103780887</c:v>
                </c:pt>
                <c:pt idx="2">
                  <c:v>1187929.0646227887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2603685.0557626397</c:v>
                </c:pt>
                <c:pt idx="2">
                  <c:v>2142531.8661417775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506782.85975210578</c:v>
                </c:pt>
                <c:pt idx="2">
                  <c:v>1371945.625518437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67599.913366085384</c:v>
                </c:pt>
                <c:pt idx="2">
                  <c:v>300848.41353906074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107785.76819097856</c:v>
                </c:pt>
                <c:pt idx="2">
                  <c:v>258178.31605614454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648616.74048751721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1511623.5853531337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1058561.0852325046</c:v>
                </c:pt>
                <c:pt idx="2">
                  <c:v>355650.82658627635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848084.29990278604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1861865.4474307869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9-4D80-A8C9-E15ECE778EF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261229.90815989478</c:v>
                </c:pt>
                <c:pt idx="2">
                  <c:v>259357.72926556907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9-4D80-A8C9-E15ECE77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6029088.3887261674</c:v>
                </c:pt>
                <c:pt idx="2">
                  <c:v>4256145.2345297476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-2465700.867643958</c:v>
                </c:pt>
                <c:pt idx="2">
                  <c:v>-5288328.8186776675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-311923.80729170947</c:v>
                </c:pt>
                <c:pt idx="2">
                  <c:v>-244678.56203733059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-965946.66666666698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6670104.6479239594</c:v>
                </c:pt>
                <c:pt idx="2">
                  <c:v>-197697.29237007059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249070.41145368534</c:v>
                </c:pt>
                <c:pt idx="2">
                  <c:v>216951.70801995497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21590.944766009088</c:v>
                </c:pt>
                <c:pt idx="2">
                  <c:v>18865.364198504856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298013.90675097884</c:v>
                </c:pt>
                <c:pt idx="2">
                  <c:v>160356.6559175018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86085.718291457015</c:v>
                </c:pt>
                <c:pt idx="2">
                  <c:v>75461.443395327253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16716.162692950904</c:v>
                </c:pt>
                <c:pt idx="2">
                  <c:v>14313.043935558482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65820.275689989794</c:v>
                </c:pt>
                <c:pt idx="2">
                  <c:v>56596.151034252514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61589.234291461878</c:v>
                </c:pt>
                <c:pt idx="2">
                  <c:v>52763.968072249161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197847.00478896068</c:v>
                </c:pt>
                <c:pt idx="2">
                  <c:v>171674.86292287466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10867.259065585897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126838.32883502003</c:v>
                </c:pt>
                <c:pt idx="2">
                  <c:v>179222.0901799573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6954.7525926161206</c:v>
                </c:pt>
                <c:pt idx="2">
                  <c:v>5504.0224764256391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91124.170336585928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6343027.2216558158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624279.37582031451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584743.27834418393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170920.62417968543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972256.90230214107</c:v>
                </c:pt>
                <c:pt idx="2">
                  <c:v>830174.78648201993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185260.28214531712</c:v>
                </c:pt>
                <c:pt idx="2">
                  <c:v>158778.62508184306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17505210.447746005</c:v>
                </c:pt>
                <c:pt idx="2">
                  <c:v>10850838.521382123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1991486.5691634244</c:v>
                </c:pt>
                <c:pt idx="2">
                  <c:v>1713471.2400562391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848084.29990278604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2834177.1534986477</c:v>
                </c:pt>
                <c:pt idx="2">
                  <c:v>2382855.1724957675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6378219.6730499323</c:v>
                </c:pt>
                <c:pt idx="2">
                  <c:v>5343241.1278890474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5262273.3307195064</c:v>
                </c:pt>
                <c:pt idx="2">
                  <c:v>4366888.3180394787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1861865.4474307869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174650.63022250982</c:v>
                </c:pt>
                <c:pt idx="2">
                  <c:v>133081.08218496924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878488.59789206437</c:v>
                </c:pt>
                <c:pt idx="2">
                  <c:v>745987.81080267346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893586.71854769241</c:v>
                </c:pt>
                <c:pt idx="2">
                  <c:v>759797.39756999072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2874812.4442172255</c:v>
                </c:pt>
                <c:pt idx="2">
                  <c:v>2977033.0999848829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792049.6289698272</c:v>
                </c:pt>
                <c:pt idx="2">
                  <c:v>870579.42418129975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44.89</c:v>
                </c:pt>
                <c:pt idx="4">
                  <c:v>22.11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13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285126.10198467888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891204.73606530321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618901.55012686399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1512611.3283061129</c:v>
                </c:pt>
                <c:pt idx="2">
                  <c:v>1321975.9767089051</c:v>
                </c:pt>
                <c:pt idx="15">
                  <c:v>823764.99285714305</c:v>
                </c:pt>
                <c:pt idx="16">
                  <c:v>350967.65152171784</c:v>
                </c:pt>
                <c:pt idx="17">
                  <c:v>125115.58350994992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1083774.8488732176</c:v>
                </c:pt>
                <c:pt idx="11">
                  <c:v>675144.21380909206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1480000.0000000007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6897517.7984649893</c:v>
                </c:pt>
                <c:pt idx="2">
                  <c:v>5456225.1637129262</c:v>
                </c:pt>
                <c:pt idx="15">
                  <c:v>9696490.333333334</c:v>
                </c:pt>
                <c:pt idx="16">
                  <c:v>4227510.9087366061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750000.00000000012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878488.59789206437</c:v>
                </c:pt>
                <c:pt idx="23">
                  <c:v>745987.81080267346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6046494.3414125368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8560529.974906262</c:v>
                </c:pt>
                <c:pt idx="2">
                  <c:v>6609395.6836867323</c:v>
                </c:pt>
                <c:pt idx="15">
                  <c:v>14742130.666666664</c:v>
                </c:pt>
                <c:pt idx="16">
                  <c:v>5246776.4362328704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174650.63022250982</c:v>
                </c:pt>
                <c:pt idx="11">
                  <c:v>133081.08218496924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2874812.4442172255</c:v>
                </c:pt>
                <c:pt idx="11">
                  <c:v>2977033.0999848829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1727125.9811688233</c:v>
                </c:pt>
                <c:pt idx="2">
                  <c:v>1422603.3063451063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281116.35132546059</c:v>
                </c:pt>
                <c:pt idx="11">
                  <c:v>238716.0994568555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18044229.187614657</c:v>
                </c:pt>
                <c:pt idx="17">
                  <c:v>14349551.089183256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5-4B67-872B-D3A3359B9605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1660014.4487791653</c:v>
                </c:pt>
                <c:pt idx="17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5-4B67-872B-D3A3359B9605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65-4B67-872B-D3A3359B9605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65-4B67-872B-D3A3359B9605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792049.6289698272</c:v>
                </c:pt>
                <c:pt idx="14">
                  <c:v>870579.42418129975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65-4B67-872B-D3A3359B9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1660014.4487791653</c:v>
                </c:pt>
                <c:pt idx="2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3343.8010555246146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295986.95488590782</c:v>
                </c:pt>
                <c:pt idx="2">
                  <c:v>342995.31126165221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1-46E5-A895-DBCA6525F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835972.72038527858</c:v>
                </c:pt>
                <c:pt idx="2">
                  <c:v>583643.97890224867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4254375.7434823737</c:v>
                </c:pt>
                <c:pt idx="2">
                  <c:v>7186599.8576386888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576116.71098848025</c:v>
                </c:pt>
                <c:pt idx="2">
                  <c:v>205378.41066727636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153901.96523502804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651527.44368819008</c:v>
                </c:pt>
                <c:pt idx="2">
                  <c:v>92224.67040210776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1487443.4103780887</c:v>
                </c:pt>
                <c:pt idx="2">
                  <c:v>1187929.0646227887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2603685.0557626397</c:v>
                </c:pt>
                <c:pt idx="2">
                  <c:v>2142531.8661417775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506782.85975210578</c:v>
                </c:pt>
                <c:pt idx="2">
                  <c:v>1371945.625518437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67599.913366085384</c:v>
                </c:pt>
                <c:pt idx="2">
                  <c:v>300848.41353906074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107785.76819097856</c:v>
                </c:pt>
                <c:pt idx="2">
                  <c:v>258178.31605614454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648616.74048751721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1511623.5853531337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1058561.0852325046</c:v>
                </c:pt>
                <c:pt idx="2">
                  <c:v>355650.82658627635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848084.29990278604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1861865.4474307869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5-4DE2-86A7-0176FD856D2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261229.90815989478</c:v>
                </c:pt>
                <c:pt idx="2">
                  <c:v>259357.72926556907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5-4DE2-86A7-0176FD856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5.9185756611736293</c:v>
                </c:pt>
                <c:pt idx="2">
                  <c:v>4.413950742288951</c:v>
                </c:pt>
                <c:pt idx="3">
                  <c:v>7.483154704207001</c:v>
                </c:pt>
                <c:pt idx="4">
                  <c:v>7.6088641505357533</c:v>
                </c:pt>
                <c:pt idx="5">
                  <c:v>8.2851701255222014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1.7339476307410988</c:v>
                </c:pt>
                <c:pt idx="2">
                  <c:v>1.9504339469703251</c:v>
                </c:pt>
                <c:pt idx="3">
                  <c:v>1.4201719861750002</c:v>
                </c:pt>
                <c:pt idx="4">
                  <c:v>0</c:v>
                </c:pt>
                <c:pt idx="5">
                  <c:v>2.6925000000000003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12.937347298228788</c:v>
                </c:pt>
                <c:pt idx="2">
                  <c:v>11.676881539930978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1.2409553954691868</c:v>
                </c:pt>
                <c:pt idx="2">
                  <c:v>0.44238509657731323</c:v>
                </c:pt>
                <c:pt idx="3">
                  <c:v>5.0922829580050024</c:v>
                </c:pt>
                <c:pt idx="4">
                  <c:v>10.44013238392133</c:v>
                </c:pt>
                <c:pt idx="5">
                  <c:v>8.4602640214703264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9.8390722963911195</c:v>
                </c:pt>
                <c:pt idx="2">
                  <c:v>8.3550634809899407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44.879863833162844</c:v>
                </c:pt>
                <c:pt idx="2">
                  <c:v>45.596526266723075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[BAU_dyr.xlsm]Resultat-Tørstof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224264.81188071458</c:v>
                </c:pt>
                <c:pt idx="2">
                  <c:v>392713.09498553735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1078311.3080653877</c:v>
                </c:pt>
                <c:pt idx="2">
                  <c:v>999175.72564844368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1579209.4799870809</c:v>
                </c:pt>
                <c:pt idx="2">
                  <c:v>1203819.8797974139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1494314.3329114441</c:v>
                </c:pt>
                <c:pt idx="2">
                  <c:v>1527619.6031409521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100</xdr:row>
      <xdr:rowOff>31750</xdr:rowOff>
    </xdr:from>
    <xdr:to>
      <xdr:col>28</xdr:col>
      <xdr:colOff>0</xdr:colOff>
      <xdr:row>134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31751</xdr:colOff>
      <xdr:row>137</xdr:row>
      <xdr:rowOff>15876</xdr:rowOff>
    </xdr:from>
    <xdr:to>
      <xdr:col>26</xdr:col>
      <xdr:colOff>583394</xdr:colOff>
      <xdr:row>185</xdr:row>
      <xdr:rowOff>51594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680555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824448.951279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0370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2685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38425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2.1913160409102947E-5" maxValue="853064.00210361299"/>
    </cacheField>
    <cacheField name="Udbytte, hovedafgrøde" numFmtId="0">
      <sharedItems containsSemiMixedTypes="0" containsString="0" containsNumber="1" minValue="3.628490666341311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1.6039118485583221E-4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50000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2644993.7987289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2644993.7987289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76499.944255158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2644993.7987289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4.029843107034417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4.02984310703441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1245.6084427282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161245.608442728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61574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2644993.7987289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2644993.7987289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76499.944255158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2644993.7987289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4.029843107034417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4.02984310703441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1245.6084427282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161245.608442728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847225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28267.5003342489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96296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2644993.7987289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2644993.7987289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76499.944255158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2644993.7987289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4.029843107034417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4.02984310703441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1245.6084427282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161245.60844272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63313.545971354491"/>
  </r>
  <r>
    <x v="0"/>
    <s v="Vestdanmark"/>
    <x v="4"/>
    <x v="2"/>
    <n v="31184.283836637289"/>
  </r>
  <r>
    <x v="0"/>
    <s v="Vestdanmark"/>
    <x v="5"/>
    <x v="2"/>
    <n v="112833.229621482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18335.399813490942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55237.148778432362"/>
  </r>
  <r>
    <x v="0"/>
    <s v="Østdanmark"/>
    <x v="4"/>
    <x v="2"/>
    <n v="27206.356861018925"/>
  </r>
  <r>
    <x v="0"/>
    <s v="Østdanmark"/>
    <x v="5"/>
    <x v="2"/>
    <n v="98440.006733673188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5996.501094221892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477117.2552370103"/>
  </r>
  <r>
    <x v="1"/>
    <s v="Vestdanmark"/>
    <x v="15"/>
    <x v="1"/>
    <n v="6439814.3688225495"/>
  </r>
  <r>
    <x v="1"/>
    <s v="Vestdanmark"/>
    <x v="16"/>
    <x v="1"/>
    <n v="5172.4902040381994"/>
  </r>
  <r>
    <x v="1"/>
    <s v="Vestdanmark"/>
    <x v="17"/>
    <x v="1"/>
    <n v="1974779.4199139304"/>
  </r>
  <r>
    <x v="1"/>
    <s v="Vestdanmark"/>
    <x v="18"/>
    <x v="1"/>
    <n v="195082.24112879002"/>
  </r>
  <r>
    <x v="1"/>
    <s v="Vestdanmark"/>
    <x v="19"/>
    <x v="1"/>
    <n v="420706.10687194945"/>
  </r>
  <r>
    <x v="1"/>
    <s v="Vestdanmark"/>
    <x v="20"/>
    <x v="1"/>
    <n v="1333532.0474481385"/>
  </r>
  <r>
    <x v="1"/>
    <s v="Vestdanmark"/>
    <x v="21"/>
    <x v="1"/>
    <n v="1538704.1181694835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5772916.7070318246"/>
  </r>
  <r>
    <x v="1"/>
    <s v="Vestdanmark"/>
    <x v="15"/>
    <x v="2"/>
    <n v="5094162.6010199301"/>
  </r>
  <r>
    <x v="1"/>
    <s v="Vestdanmark"/>
    <x v="16"/>
    <x v="2"/>
    <n v="6892.4253779859373"/>
  </r>
  <r>
    <x v="1"/>
    <s v="Vestdanmark"/>
    <x v="17"/>
    <x v="2"/>
    <n v="3249666.458578188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1166509.8508162934"/>
  </r>
  <r>
    <x v="1"/>
    <s v="Vestdanmark"/>
    <x v="21"/>
    <x v="2"/>
    <n v="1268345.8654431151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50329.17750715138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083412.7196692515"/>
  </r>
  <r>
    <x v="1"/>
    <s v="Østdanmark"/>
    <x v="15"/>
    <x v="1"/>
    <n v="457703.4296424397"/>
  </r>
  <r>
    <x v="1"/>
    <s v="Østdanmark"/>
    <x v="16"/>
    <x v="1"/>
    <n v="434.12519359476988"/>
  </r>
  <r>
    <x v="1"/>
    <s v="Østdanmark"/>
    <x v="17"/>
    <x v="1"/>
    <n v="1671161.6426352733"/>
  </r>
  <r>
    <x v="1"/>
    <s v="Østdanmark"/>
    <x v="18"/>
    <x v="1"/>
    <n v="168912.75887120995"/>
  </r>
  <r>
    <x v="1"/>
    <s v="Østdanmark"/>
    <x v="19"/>
    <x v="1"/>
    <n v="179293.89312805064"/>
  </r>
  <r>
    <x v="1"/>
    <s v="Østdanmark"/>
    <x v="20"/>
    <x v="1"/>
    <n v="179079.28085797431"/>
  </r>
  <r>
    <x v="1"/>
    <s v="Østdanmark"/>
    <x v="21"/>
    <x v="1"/>
    <n v="188421.86299933988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36478.97665490792"/>
  </r>
  <r>
    <x v="1"/>
    <s v="Østdanmark"/>
    <x v="15"/>
    <x v="2"/>
    <n v="362062.56269299635"/>
  </r>
  <r>
    <x v="1"/>
    <s v="Østdanmark"/>
    <x v="16"/>
    <x v="2"/>
    <n v="578.47871789484259"/>
  </r>
  <r>
    <x v="1"/>
    <s v="Østdanmark"/>
    <x v="17"/>
    <x v="2"/>
    <n v="2796827.8828343488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155466.12589261169"/>
  </r>
  <r>
    <x v="1"/>
    <s v="Østdanmark"/>
    <x v="21"/>
    <x v="2"/>
    <n v="154257.4409019911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99670.8224928487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38960.0403951732"/>
  </r>
  <r>
    <x v="2"/>
    <s v="Vestdanmark"/>
    <x v="22"/>
    <x v="1"/>
    <n v="561023.48468616733"/>
  </r>
  <r>
    <x v="2"/>
    <s v="Vestdanmark"/>
    <x v="2"/>
    <x v="1"/>
    <n v="0"/>
  </r>
  <r>
    <x v="2"/>
    <s v="Vestdanmark"/>
    <x v="5"/>
    <x v="1"/>
    <n v="49206.445220713846"/>
  </r>
  <r>
    <x v="2"/>
    <s v="Vestdanmark"/>
    <x v="25"/>
    <x v="1"/>
    <n v="700073.51609470148"/>
  </r>
  <r>
    <x v="2"/>
    <s v="Vestdanmark"/>
    <x v="24"/>
    <x v="1"/>
    <n v="4627957.3505216967"/>
  </r>
  <r>
    <x v="2"/>
    <s v="Vestdanmark"/>
    <x v="28"/>
    <x v="1"/>
    <n v="158593.802179209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936191.571616387"/>
  </r>
  <r>
    <x v="2"/>
    <s v="Vestdanmark"/>
    <x v="29"/>
    <x v="1"/>
    <n v="1106692.197418018"/>
  </r>
  <r>
    <x v="2"/>
    <s v="Vestdanmark"/>
    <x v="30"/>
    <x v="1"/>
    <n v="1757373.0435969227"/>
  </r>
  <r>
    <x v="2"/>
    <s v="Vestdanmark"/>
    <x v="31"/>
    <x v="1"/>
    <n v="849034.84571740788"/>
  </r>
  <r>
    <x v="2"/>
    <s v="Vestdanmark"/>
    <x v="32"/>
    <x v="1"/>
    <n v="38768.714416319999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58397.79190306552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56471.058206012"/>
  </r>
  <r>
    <x v="2"/>
    <s v="Vestdanmark"/>
    <x v="28"/>
    <x v="2"/>
    <n v="101314.2409579092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73"/>
  </r>
  <r>
    <x v="2"/>
    <s v="Vestdanmark"/>
    <x v="29"/>
    <x v="2"/>
    <n v="706986.51785111031"/>
  </r>
  <r>
    <x v="2"/>
    <s v="Vestdanmark"/>
    <x v="30"/>
    <x v="2"/>
    <n v="1122659.9876249996"/>
  </r>
  <r>
    <x v="2"/>
    <s v="Vestdanmark"/>
    <x v="31"/>
    <x v="2"/>
    <n v="542387.65802129998"/>
  </r>
  <r>
    <x v="2"/>
    <s v="Vestdanmark"/>
    <x v="32"/>
    <x v="2"/>
    <n v="24766.55972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80308.89041419514"/>
  </r>
  <r>
    <x v="2"/>
    <s v="Østdanmark"/>
    <x v="22"/>
    <x v="1"/>
    <n v="68700.076202243421"/>
  </r>
  <r>
    <x v="2"/>
    <s v="Østdanmark"/>
    <x v="2"/>
    <x v="1"/>
    <n v="0"/>
  </r>
  <r>
    <x v="2"/>
    <s v="Østdanmark"/>
    <x v="5"/>
    <x v="1"/>
    <n v="6025.5704593107703"/>
  </r>
  <r>
    <x v="2"/>
    <s v="Østdanmark"/>
    <x v="25"/>
    <x v="1"/>
    <n v="85727.434262012321"/>
  </r>
  <r>
    <x v="2"/>
    <s v="Østdanmark"/>
    <x v="24"/>
    <x v="1"/>
    <n v="566716.06683172472"/>
  </r>
  <r>
    <x v="2"/>
    <s v="Østdanmark"/>
    <x v="28"/>
    <x v="1"/>
    <n v="19420.588606927966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16735.3716252823"/>
  </r>
  <r>
    <x v="2"/>
    <s v="Østdanmark"/>
    <x v="29"/>
    <x v="1"/>
    <n v="135519.88529959068"/>
  </r>
  <r>
    <x v="2"/>
    <s v="Østdanmark"/>
    <x v="30"/>
    <x v="1"/>
    <n v="215198.9449753846"/>
  </r>
  <r>
    <x v="2"/>
    <s v="Østdanmark"/>
    <x v="31"/>
    <x v="1"/>
    <n v="103968.47937974401"/>
  </r>
  <r>
    <x v="2"/>
    <s v="Østdanmark"/>
    <x v="32"/>
    <x v="1"/>
    <n v="4747.4191497600004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3588.683268641777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9568.84629440639"/>
  </r>
  <r>
    <x v="2"/>
    <s v="Østdanmark"/>
    <x v="28"/>
    <x v="2"/>
    <n v="12321.9351778584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85984.378525822089"/>
  </r>
  <r>
    <x v="2"/>
    <s v="Østdanmark"/>
    <x v="30"/>
    <x v="2"/>
    <n v="136538.9846826923"/>
  </r>
  <r>
    <x v="2"/>
    <s v="Østdanmark"/>
    <x v="31"/>
    <x v="2"/>
    <n v="65965.707290699997"/>
  </r>
  <r>
    <x v="2"/>
    <s v="Østdanmark"/>
    <x v="32"/>
    <x v="2"/>
    <n v="3012.132753000000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694779.36433719518"/>
  </r>
  <r>
    <x v="3"/>
    <s v="Vestdanmark"/>
    <x v="34"/>
    <x v="1"/>
    <n v="212472.91959491745"/>
  </r>
  <r>
    <x v="3"/>
    <s v="Vestdanmark"/>
    <x v="35"/>
    <x v="1"/>
    <n v="134802.2173997864"/>
  </r>
  <r>
    <x v="3"/>
    <s v="Vestdanmark"/>
    <x v="36"/>
    <x v="1"/>
    <n v="2226876.9610476061"/>
  </r>
  <r>
    <x v="3"/>
    <s v="Vestdanmark"/>
    <x v="26"/>
    <x v="1"/>
    <n v="97976.04202945920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16.5810820785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388995.48453602241"/>
  </r>
  <r>
    <x v="3"/>
    <s v="Østdanmark"/>
    <x v="34"/>
    <x v="1"/>
    <n v="68643.431730543147"/>
  </r>
  <r>
    <x v="3"/>
    <s v="Østdanmark"/>
    <x v="35"/>
    <x v="1"/>
    <n v="39848.41282272341"/>
  </r>
  <r>
    <x v="3"/>
    <s v="Østdanmark"/>
    <x v="36"/>
    <x v="1"/>
    <n v="647935.48316961934"/>
  </r>
  <r>
    <x v="3"/>
    <s v="Østdanmark"/>
    <x v="26"/>
    <x v="1"/>
    <n v="84832.957970540854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3.04788774872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13997.02302441839"/>
  </r>
  <r>
    <x v="3"/>
    <s v="Vestdanmark"/>
    <x v="34"/>
    <x v="2"/>
    <n v="175163.13579435539"/>
  </r>
  <r>
    <x v="3"/>
    <s v="Vestdanmark"/>
    <x v="35"/>
    <x v="2"/>
    <n v="97651.319921337825"/>
  </r>
  <r>
    <x v="3"/>
    <s v="Vestdanmark"/>
    <x v="36"/>
    <x v="2"/>
    <n v="2347927.0937342439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91748.7644770403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61147.19078467367"/>
  </r>
  <r>
    <x v="3"/>
    <s v="Østdanmark"/>
    <x v="34"/>
    <x v="2"/>
    <n v="63552.963662500122"/>
  </r>
  <r>
    <x v="3"/>
    <s v="Østdanmark"/>
    <x v="35"/>
    <x v="2"/>
    <n v="35429.762263631419"/>
  </r>
  <r>
    <x v="3"/>
    <s v="Østdanmark"/>
    <x v="36"/>
    <x v="2"/>
    <n v="629106.00625063898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8830.6597042593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4582749.2854678454"/>
  </r>
  <r>
    <x v="5"/>
    <s v="Vestdanmark"/>
    <x v="15"/>
    <x v="1"/>
    <n v="3946983.0002460787"/>
  </r>
  <r>
    <x v="5"/>
    <s v="Vestdanmark"/>
    <x v="16"/>
    <x v="1"/>
    <n v="3170.2359315072836"/>
  </r>
  <r>
    <x v="5"/>
    <s v="Vestdanmark"/>
    <x v="20"/>
    <x v="1"/>
    <n v="309416.30686181458"/>
  </r>
  <r>
    <x v="5"/>
    <s v="Vestdanmark"/>
    <x v="38"/>
    <x v="1"/>
    <n v="14824448.951279402"/>
  </r>
  <r>
    <x v="5"/>
    <s v="Vestdanmark"/>
    <x v="39"/>
    <x v="1"/>
    <n v="1144486.0287738238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1723.1063444964839"/>
  </r>
  <r>
    <x v="5"/>
    <s v="Vestdanmark"/>
    <x v="20"/>
    <x v="2"/>
    <n v="110401.82516654204"/>
  </r>
  <r>
    <x v="5"/>
    <s v="Vestdanmark"/>
    <x v="38"/>
    <x v="2"/>
    <n v="11134649.546942962"/>
  </r>
  <r>
    <x v="5"/>
    <s v="Vestdanmark"/>
    <x v="39"/>
    <x v="2"/>
    <n v="1136583.504965009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664027.15076502506"/>
  </r>
  <r>
    <x v="5"/>
    <s v="Østdanmark"/>
    <x v="15"/>
    <x v="1"/>
    <n v="280527.90849052754"/>
  </r>
  <r>
    <x v="5"/>
    <s v="Østdanmark"/>
    <x v="16"/>
    <x v="1"/>
    <n v="266.07673155808476"/>
  </r>
  <r>
    <x v="5"/>
    <s v="Østdanmark"/>
    <x v="20"/>
    <x v="1"/>
    <n v="41551.344659903254"/>
  </r>
  <r>
    <x v="5"/>
    <s v="Østdanmark"/>
    <x v="38"/>
    <x v="1"/>
    <n v="3219780.2363352538"/>
  </r>
  <r>
    <x v="5"/>
    <s v="Østdanmark"/>
    <x v="39"/>
    <x v="1"/>
    <n v="515528.42000534153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144.61967947371059"/>
  </r>
  <r>
    <x v="5"/>
    <s v="Østdanmark"/>
    <x v="20"/>
    <x v="2"/>
    <n v="14713.758343407888"/>
  </r>
  <r>
    <x v="5"/>
    <s v="Østdanmark"/>
    <x v="38"/>
    <x v="2"/>
    <n v="3214901.5422402946"/>
  </r>
  <r>
    <x v="5"/>
    <s v="Østdanmark"/>
    <x v="39"/>
    <x v="2"/>
    <n v="479704.42610224185"/>
  </r>
  <r>
    <x v="6"/>
    <s v="Vestdanmark"/>
    <x v="23"/>
    <x v="0"/>
    <n v="0"/>
  </r>
  <r>
    <x v="6"/>
    <s v="Vestdanmark"/>
    <x v="23"/>
    <x v="1"/>
    <n v="5078828.5991281262"/>
  </r>
  <r>
    <x v="6"/>
    <s v="Vestdanmark"/>
    <x v="23"/>
    <x v="2"/>
    <n v="3244500.462221988"/>
  </r>
  <r>
    <x v="6"/>
    <s v="Østdanmark"/>
    <x v="23"/>
    <x v="0"/>
    <n v="0"/>
  </r>
  <r>
    <x v="6"/>
    <s v="Østdanmark"/>
    <x v="23"/>
    <x v="1"/>
    <n v="621927.46168801945"/>
  </r>
  <r>
    <x v="6"/>
    <s v="Østdanmark"/>
    <x v="23"/>
    <x v="2"/>
    <n v="394599.25872257137"/>
  </r>
  <r>
    <x v="7"/>
    <s v="Vestdanmark"/>
    <x v="40"/>
    <x v="0"/>
    <n v="484833.6848947219"/>
  </r>
  <r>
    <x v="7"/>
    <s v="Vestdanmark"/>
    <x v="40"/>
    <x v="1"/>
    <n v="663977.87373411702"/>
  </r>
  <r>
    <x v="7"/>
    <s v="Vestdanmark"/>
    <x v="40"/>
    <x v="2"/>
    <n v="547384.79935736058"/>
  </r>
  <r>
    <x v="7"/>
    <s v="Østdanmark"/>
    <x v="40"/>
    <x v="0"/>
    <n v="193574.13238370849"/>
  </r>
  <r>
    <x v="7"/>
    <s v="Østdanmark"/>
    <x v="40"/>
    <x v="1"/>
    <n v="214510.72415794732"/>
  </r>
  <r>
    <x v="7"/>
    <s v="Østdanmark"/>
    <x v="40"/>
    <x v="2"/>
    <n v="198603.01144531288"/>
  </r>
  <r>
    <x v="8"/>
    <s v="Vestdanmark"/>
    <x v="22"/>
    <x v="0"/>
    <n v="0"/>
  </r>
  <r>
    <x v="8"/>
    <s v="Vestdanmark"/>
    <x v="22"/>
    <x v="1"/>
    <n v="1084674.6083721975"/>
  </r>
  <r>
    <x v="8"/>
    <s v="Vestdanmark"/>
    <x v="22"/>
    <x v="2"/>
    <n v="1792713.787726023"/>
  </r>
  <r>
    <x v="8"/>
    <s v="Østdanmark"/>
    <x v="22"/>
    <x v="0"/>
    <n v="0"/>
  </r>
  <r>
    <x v="8"/>
    <s v="Østdanmark"/>
    <x v="22"/>
    <x v="1"/>
    <n v="395325.39162780321"/>
  </r>
  <r>
    <x v="8"/>
    <s v="Østdanmark"/>
    <x v="22"/>
    <x v="2"/>
    <n v="707286.2122739767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07417.78068843065"/>
  </r>
  <r>
    <x v="3"/>
    <s v="Vestdanmark"/>
    <x v="42"/>
    <x v="1"/>
    <n v="151854.44517210766"/>
  </r>
  <r>
    <x v="3"/>
    <s v="Vestdanmark"/>
    <x v="41"/>
    <x v="2"/>
    <n v="1003919.7211265729"/>
  </r>
  <r>
    <x v="3"/>
    <s v="Vestdanmark"/>
    <x v="42"/>
    <x v="2"/>
    <n v="250979.93028164323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21382.21931156982"/>
  </r>
  <r>
    <x v="3"/>
    <s v="Østdanmark"/>
    <x v="42"/>
    <x v="1"/>
    <n v="55345.554827892454"/>
  </r>
  <r>
    <x v="3"/>
    <s v="Østdanmark"/>
    <x v="41"/>
    <x v="2"/>
    <n v="396080.27887342701"/>
  </r>
  <r>
    <x v="3"/>
    <s v="Østdanmark"/>
    <x v="42"/>
    <x v="2"/>
    <n v="99020.06971835675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836920.0011490174"/>
  </r>
  <r>
    <x v="1"/>
    <x v="0"/>
    <x v="1"/>
    <n v="735284.33485275437"/>
  </r>
  <r>
    <x v="2"/>
    <x v="0"/>
    <x v="1"/>
    <n v="663977.87373411702"/>
  </r>
  <r>
    <x v="3"/>
    <x v="0"/>
    <x v="1"/>
    <n v="13481475.447011745"/>
  </r>
  <r>
    <x v="4"/>
    <x v="0"/>
    <x v="1"/>
    <n v="1502657.2310032574"/>
  </r>
  <r>
    <x v="5"/>
    <x v="0"/>
    <x v="1"/>
    <n v="2153496.967481425"/>
  </r>
  <r>
    <x v="6"/>
    <x v="0"/>
    <x v="1"/>
    <n v="668679.49055744556"/>
  </r>
  <r>
    <x v="7"/>
    <x v="0"/>
    <x v="1"/>
    <n v="4026803.5120526911"/>
  </r>
  <r>
    <x v="8"/>
    <x v="0"/>
    <x v="1"/>
    <n v="139807.2046539399"/>
  </r>
  <r>
    <x v="9"/>
    <x v="0"/>
    <x v="1"/>
    <n v="1412647.5447842737"/>
  </r>
  <r>
    <x v="10"/>
    <x v="0"/>
    <x v="1"/>
    <n v="1001970.2375971108"/>
  </r>
  <r>
    <x v="11"/>
    <x v="0"/>
    <x v="1"/>
    <n v="644035.8493924035"/>
  </r>
  <r>
    <x v="12"/>
    <x v="0"/>
    <x v="1"/>
    <n v="134802.2173997864"/>
  </r>
  <r>
    <x v="0"/>
    <x v="0"/>
    <x v="2"/>
    <n v="3920720.3662957777"/>
  </r>
  <r>
    <x v="1"/>
    <x v="0"/>
    <x v="2"/>
    <n v="609158.83584090974"/>
  </r>
  <r>
    <x v="2"/>
    <x v="0"/>
    <x v="2"/>
    <n v="547384.79935736058"/>
  </r>
  <r>
    <x v="3"/>
    <x v="0"/>
    <x v="2"/>
    <n v="7962057.7199019091"/>
  </r>
  <r>
    <x v="4"/>
    <x v="0"/>
    <x v="2"/>
    <n v="1257296.7096095001"/>
  </r>
  <r>
    <x v="5"/>
    <x v="0"/>
    <x v="2"/>
    <n v="1748472.631855153"/>
  </r>
  <r>
    <x v="6"/>
    <x v="0"/>
    <x v="2"/>
    <n v="557517.61958207632"/>
  </r>
  <r>
    <x v="7"/>
    <x v="0"/>
    <x v="2"/>
    <n v="3204301.4084430053"/>
  </r>
  <r>
    <x v="8"/>
    <x v="0"/>
    <x v="2"/>
    <n v="116507.263767978"/>
  </r>
  <r>
    <x v="9"/>
    <x v="0"/>
    <x v="2"/>
    <n v="1143602.1995332621"/>
  </r>
  <r>
    <x v="10"/>
    <x v="0"/>
    <x v="2"/>
    <n v="792091.46065631567"/>
  </r>
  <r>
    <x v="11"/>
    <x v="0"/>
    <x v="2"/>
    <n v="520573.94312179892"/>
  </r>
  <r>
    <x v="12"/>
    <x v="0"/>
    <x v="2"/>
    <n v="97651.31992133782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41299.6719009152"/>
  </r>
  <r>
    <x v="1"/>
    <x v="1"/>
    <x v="1"/>
    <n v="236972.56744938664"/>
  </r>
  <r>
    <x v="2"/>
    <x v="1"/>
    <x v="1"/>
    <n v="214510.72415794732"/>
  </r>
  <r>
    <x v="3"/>
    <x v="1"/>
    <x v="1"/>
    <n v="4023735.0007342594"/>
  </r>
  <r>
    <x v="4"/>
    <x v="1"/>
    <x v="1"/>
    <n v="488829.33816016692"/>
  </r>
  <r>
    <x v="5"/>
    <x v="1"/>
    <x v="1"/>
    <n v="680680.18601722247"/>
  </r>
  <r>
    <x v="6"/>
    <x v="1"/>
    <x v="1"/>
    <n v="224907.22799024681"/>
  </r>
  <r>
    <x v="7"/>
    <x v="1"/>
    <x v="1"/>
    <n v="1235469.8186668158"/>
  </r>
  <r>
    <x v="8"/>
    <x v="1"/>
    <x v="1"/>
    <n v="45453.077491377226"/>
  </r>
  <r>
    <x v="9"/>
    <x v="1"/>
    <x v="1"/>
    <n v="449217.90264651313"/>
  </r>
  <r>
    <x v="10"/>
    <x v="1"/>
    <x v="1"/>
    <n v="325188.93567900889"/>
  </r>
  <r>
    <x v="11"/>
    <x v="1"/>
    <x v="1"/>
    <n v="204048.45051038259"/>
  </r>
  <r>
    <x v="12"/>
    <x v="1"/>
    <x v="1"/>
    <n v="39848.41282272341"/>
  </r>
  <r>
    <x v="0"/>
    <x v="1"/>
    <x v="2"/>
    <n v="1422520.7615932694"/>
  </r>
  <r>
    <x v="1"/>
    <x v="1"/>
    <x v="2"/>
    <n v="221015.95064111016"/>
  </r>
  <r>
    <x v="2"/>
    <x v="1"/>
    <x v="2"/>
    <n v="198603.01144531288"/>
  </r>
  <r>
    <x v="3"/>
    <x v="1"/>
    <x v="2"/>
    <n v="2888780.8014802146"/>
  </r>
  <r>
    <x v="4"/>
    <x v="1"/>
    <x v="2"/>
    <n v="456174.53044673882"/>
  </r>
  <r>
    <x v="5"/>
    <x v="1"/>
    <x v="2"/>
    <n v="634382.54064061423"/>
  </r>
  <r>
    <x v="6"/>
    <x v="1"/>
    <x v="2"/>
    <n v="202279.77798791436"/>
  </r>
  <r>
    <x v="7"/>
    <x v="1"/>
    <x v="2"/>
    <n v="1162586.9095964739"/>
  </r>
  <r>
    <x v="8"/>
    <x v="1"/>
    <x v="2"/>
    <n v="42271.361313865054"/>
  </r>
  <r>
    <x v="9"/>
    <x v="1"/>
    <x v="2"/>
    <n v="414923.14293457061"/>
  </r>
  <r>
    <x v="10"/>
    <x v="1"/>
    <x v="2"/>
    <n v="287387.86171913851"/>
  </r>
  <r>
    <x v="11"/>
    <x v="1"/>
    <x v="2"/>
    <n v="188875.23433835641"/>
  </r>
  <r>
    <x v="12"/>
    <x v="1"/>
    <x v="2"/>
    <n v="35429.7622636314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736185.6747403902"/>
    <n v="1736185.6747403902"/>
  </r>
  <r>
    <x v="0"/>
    <x v="1"/>
    <x v="1"/>
    <s v="Konventionel"/>
    <x v="0"/>
    <s v="Halm"/>
    <n v="161327.44991893266"/>
    <n v="622723.95668708009"/>
    <n v="249997.45289925087"/>
    <n v="249997.45289925087"/>
  </r>
  <r>
    <x v="0"/>
    <x v="2"/>
    <x v="1"/>
    <s v="Konventionel"/>
    <x v="0"/>
    <s v="Halm"/>
    <n v="127659.1125445467"/>
    <n v="561700.09519600554"/>
    <n v="405687.89375531499"/>
    <n v="405687.89375531499"/>
  </r>
  <r>
    <x v="0"/>
    <x v="3"/>
    <x v="1"/>
    <s v="Konventionel"/>
    <x v="0"/>
    <s v="Græs"/>
    <n v="182370.16077792388"/>
    <n v="9049207.377800582"/>
    <n v="0"/>
    <n v="9049207.377800582"/>
  </r>
  <r>
    <x v="0"/>
    <x v="4"/>
    <x v="1"/>
    <s v="Konventionel"/>
    <x v="0"/>
    <s v="Grøntsager"/>
    <n v="56113.895623976576"/>
    <n v="1164363.334197514"/>
    <n v="0"/>
    <n v="1164363.334197514"/>
  </r>
  <r>
    <x v="0"/>
    <x v="5"/>
    <x v="1"/>
    <s v="Konventionel"/>
    <x v="0"/>
    <s v="Kartofler"/>
    <n v="42085.421717982426"/>
    <n v="1787405.7149748409"/>
    <n v="0"/>
    <n v="1787405.7149748409"/>
  </r>
  <r>
    <x v="0"/>
    <x v="6"/>
    <x v="1"/>
    <s v="Konventionel"/>
    <x v="0"/>
    <s v="Roer"/>
    <n v="7014.236952997072"/>
    <n v="569932.92495695606"/>
    <n v="0"/>
    <n v="569932.92495695606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14028.473905994144"/>
    <n v="119101.74346189029"/>
    <n v="0"/>
    <n v="119101.74346189029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81905.72916666337"/>
    <n v="181905.72916666337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70142.369529970732"/>
    <n v="967263.27581829659"/>
    <n v="0"/>
    <n v="967263.2758182965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31334.20298292433"/>
    <n v="506950.02351408789"/>
    <n v="251070.28250042663"/>
    <n v="251070.28250042663"/>
  </r>
  <r>
    <x v="0"/>
    <x v="2"/>
    <x v="2"/>
    <s v="Konventionel"/>
    <x v="0"/>
    <s v="Halm"/>
    <n v="103925.32583866185"/>
    <n v="457271.4336901122"/>
    <n v="407428.84741789004"/>
    <n v="407428.84741789004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81546.81419684191"/>
    <n v="181546.81419684191"/>
  </r>
  <r>
    <x v="0"/>
    <x v="1"/>
    <x v="1"/>
    <s v="Økologisk"/>
    <x v="0"/>
    <s v="Halm"/>
    <n v="25178.272530700477"/>
    <n v="55397.235222047188"/>
    <n v="22239.657804158789"/>
    <n v="22239.657804158789"/>
  </r>
  <r>
    <x v="0"/>
    <x v="2"/>
    <x v="1"/>
    <s v="Økologisk"/>
    <x v="0"/>
    <s v="Halm"/>
    <n v="19923.67652429342"/>
    <n v="48215.297188790079"/>
    <n v="34823.498394603637"/>
    <n v="34823.498394603637"/>
  </r>
  <r>
    <x v="0"/>
    <x v="3"/>
    <x v="1"/>
    <s v="Økologisk"/>
    <x v="0"/>
    <s v="Græs"/>
    <n v="28462.395034704889"/>
    <n v="1101597.1524652042"/>
    <n v="0"/>
    <n v="1101597.1524652042"/>
  </r>
  <r>
    <x v="0"/>
    <x v="4"/>
    <x v="1"/>
    <s v="Økologisk"/>
    <x v="0"/>
    <s v="Grøntsager"/>
    <n v="8757.6600106784263"/>
    <n v="103581.2237762991"/>
    <n v="0"/>
    <n v="103581.2237762991"/>
  </r>
  <r>
    <x v="0"/>
    <x v="5"/>
    <x v="1"/>
    <s v="Økologisk"/>
    <x v="0"/>
    <s v="Kartofler"/>
    <n v="6568.2450080088183"/>
    <n v="159006.78585816649"/>
    <n v="0"/>
    <n v="159006.78585816649"/>
  </r>
  <r>
    <x v="0"/>
    <x v="6"/>
    <x v="1"/>
    <s v="Økologisk"/>
    <x v="0"/>
    <s v="Roer"/>
    <n v="1094.7075013348033"/>
    <n v="50700.969451373152"/>
    <n v="0"/>
    <n v="50700.969451373152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2189.4150026696066"/>
    <n v="10595.236022419027"/>
    <n v="0"/>
    <n v="10595.236022419027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6182.249548410109"/>
    <n v="16182.249548410109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10947.075013348032"/>
    <n v="150960.16443406939"/>
    <n v="0"/>
    <n v="150960.16443406939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7858.770329711224"/>
    <n v="61294.866479430631"/>
    <n v="30356.67961141522"/>
    <n v="30356.67961141522"/>
  </r>
  <r>
    <x v="0"/>
    <x v="2"/>
    <x v="2"/>
    <s v="Økologisk"/>
    <x v="0"/>
    <s v="Halm"/>
    <n v="22044.766086988879"/>
    <n v="53348.333930513094"/>
    <n v="47533.365532087177"/>
    <n v="47533.365532087177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8.68709801232"/>
    <n v="151320.83586847963"/>
    <n v="66789.233931450202"/>
    <n v="66789.233931450202"/>
  </r>
  <r>
    <x v="0"/>
    <x v="1"/>
    <x v="1"/>
    <s v="Konventionel"/>
    <x v="1"/>
    <s v="Halm"/>
    <n v="1542.0658644465243"/>
    <n v="7142.8490841163002"/>
    <n v="2867.5532044291281"/>
    <n v="2867.5532044291281"/>
  </r>
  <r>
    <x v="0"/>
    <x v="2"/>
    <x v="1"/>
    <s v="Konventionel"/>
    <x v="1"/>
    <s v="Halm"/>
    <n v="1651.2179103063932"/>
    <n v="8718.4305664177573"/>
    <n v="6296.8864765952239"/>
    <n v="6296.8864765952239"/>
  </r>
  <r>
    <x v="0"/>
    <x v="3"/>
    <x v="1"/>
    <s v="Konventionel"/>
    <x v="1"/>
    <s v="Græs"/>
    <n v="15238.021720870902"/>
    <n v="907332.76534753689"/>
    <n v="0"/>
    <n v="907332.76534753689"/>
  </r>
  <r>
    <x v="0"/>
    <x v="4"/>
    <x v="1"/>
    <s v="Konventionel"/>
    <x v="1"/>
    <s v="Grøntsager"/>
    <n v="71.268800751408534"/>
    <n v="1774.5931387100727"/>
    <n v="0"/>
    <n v="1774.5931387100727"/>
  </r>
  <r>
    <x v="0"/>
    <x v="5"/>
    <x v="1"/>
    <s v="Konventionel"/>
    <x v="1"/>
    <s v="Kartofler"/>
    <n v="1125.1496418632635"/>
    <n v="57343.340795151846"/>
    <n v="0"/>
    <n v="57343.340795151846"/>
  </r>
  <r>
    <x v="0"/>
    <x v="6"/>
    <x v="1"/>
    <s v="Konventionel"/>
    <x v="1"/>
    <s v="Roer"/>
    <n v="29.518660249897398"/>
    <n v="2878.2015474705927"/>
    <n v="0"/>
    <n v="2878.2015474705927"/>
  </r>
  <r>
    <x v="0"/>
    <x v="7"/>
    <x v="1"/>
    <s v="Konventionel"/>
    <x v="1"/>
    <s v="Majs"/>
    <n v="3810.4154462517859"/>
    <n v="203521.90981520037"/>
    <n v="0"/>
    <n v="203521.90981520037"/>
  </r>
  <r>
    <x v="0"/>
    <x v="8"/>
    <x v="1"/>
    <s v="Konventionel"/>
    <x v="1"/>
    <s v="Frugt"/>
    <n v="64.91370276951497"/>
    <n v="661.34080381581862"/>
    <n v="0"/>
    <n v="661.34080381581862"/>
  </r>
  <r>
    <x v="0"/>
    <x v="9"/>
    <x v="1"/>
    <s v="Konventionel"/>
    <x v="1"/>
    <s v="Øvrige"/>
    <n v="1148.0573462747577"/>
    <n v="41048.942200513149"/>
    <n v="0"/>
    <n v="41048.942200513149"/>
  </r>
  <r>
    <x v="0"/>
    <x v="10"/>
    <x v="1"/>
    <s v="Konventionel"/>
    <x v="1"/>
    <s v="Halm"/>
    <n v="2833.7440917610315"/>
    <n v="48589.16970625348"/>
    <n v="10915.582241463493"/>
    <n v="10915.582241463493"/>
  </r>
  <r>
    <x v="0"/>
    <x v="11"/>
    <x v="1"/>
    <s v="Konventionel"/>
    <x v="1"/>
    <s v="Juletræer"/>
    <n v="325.57753513414758"/>
    <n v="19534.652108048856"/>
    <n v="0"/>
    <n v="19534.652108048856"/>
  </r>
  <r>
    <x v="0"/>
    <x v="12"/>
    <x v="1"/>
    <s v="Konventionel"/>
    <x v="1"/>
    <s v="Pil &amp; poppel"/>
    <n v="534.71836671684468"/>
    <n v="15650.293660005213"/>
    <n v="0"/>
    <n v="15650.293660005213"/>
  </r>
  <r>
    <x v="0"/>
    <x v="13"/>
    <x v="1"/>
    <s v="Konventionel"/>
    <x v="1"/>
    <s v="Græs"/>
    <n v="15113.849399235503"/>
    <n v="250103.97985854914"/>
    <n v="0"/>
    <n v="250103.97985854914"/>
  </r>
  <r>
    <x v="0"/>
    <x v="0"/>
    <x v="2"/>
    <s v="Konventionel"/>
    <x v="1"/>
    <s v="Halm"/>
    <n v="0.43582889538516162"/>
    <n v="3.6661926679799794"/>
    <n v="1.9962419077150988"/>
    <n v="1.9962419077150988"/>
  </r>
  <r>
    <x v="0"/>
    <x v="1"/>
    <x v="2"/>
    <s v="Konventionel"/>
    <x v="1"/>
    <s v="Halm"/>
    <n v="3.7361084700125495E-2"/>
    <n v="0.1730565443309813"/>
    <n v="8.5707374412459486E-2"/>
    <n v="8.5707374412459486E-2"/>
  </r>
  <r>
    <x v="0"/>
    <x v="2"/>
    <x v="2"/>
    <s v="Konventionel"/>
    <x v="1"/>
    <s v="Halm"/>
    <n v="4.0005614304589723E-2"/>
    <n v="0.21122964352823376"/>
    <n v="0.1882056123836563"/>
    <n v="0.1882056123836563"/>
  </r>
  <r>
    <x v="0"/>
    <x v="3"/>
    <x v="2"/>
    <s v="Konventionel"/>
    <x v="1"/>
    <s v="Græs"/>
    <n v="0.36918592992793164"/>
    <n v="21.982807011628761"/>
    <n v="0"/>
    <n v="21.982807011628761"/>
  </r>
  <r>
    <x v="0"/>
    <x v="4"/>
    <x v="2"/>
    <s v="Konventionel"/>
    <x v="1"/>
    <s v="Grøntsager"/>
    <n v="1.7266964808312041E-3"/>
    <n v="4.2994742372696987E-2"/>
    <n v="0"/>
    <n v="4.2994742372696987E-2"/>
  </r>
  <r>
    <x v="0"/>
    <x v="5"/>
    <x v="2"/>
    <s v="Konventionel"/>
    <x v="1"/>
    <s v="Kartofler"/>
    <n v="2.7260061998102159E-2"/>
    <n v="1.3893112232302602"/>
    <n v="0"/>
    <n v="1.3893112232302602"/>
  </r>
  <r>
    <x v="0"/>
    <x v="6"/>
    <x v="2"/>
    <s v="Konventionel"/>
    <x v="1"/>
    <s v="Roer"/>
    <n v="7.1517643393687155E-4"/>
    <n v="6.9732904591384981E-2"/>
    <n v="0"/>
    <n v="6.9732904591384981E-2"/>
  </r>
  <r>
    <x v="0"/>
    <x v="7"/>
    <x v="2"/>
    <s v="Konventionel"/>
    <x v="1"/>
    <s v="Majs"/>
    <n v="9.2318530299077425E-2"/>
    <n v="4.9309173403343243"/>
    <n v="0"/>
    <n v="4.9309173403343243"/>
  </r>
  <r>
    <x v="0"/>
    <x v="8"/>
    <x v="2"/>
    <s v="Konventionel"/>
    <x v="1"/>
    <s v="Frugt"/>
    <n v="1.5727255257291396E-3"/>
    <n v="1.6022927656128474E-2"/>
    <n v="0"/>
    <n v="1.6022927656128474E-2"/>
  </r>
  <r>
    <x v="0"/>
    <x v="9"/>
    <x v="2"/>
    <s v="Konventionel"/>
    <x v="1"/>
    <s v="Øvrige"/>
    <n v="2.7815068567234969E-2"/>
    <n v="0.99453145404679411"/>
    <n v="0"/>
    <n v="0.99453145404679411"/>
  </r>
  <r>
    <x v="0"/>
    <x v="10"/>
    <x v="2"/>
    <s v="Konventionel"/>
    <x v="1"/>
    <s v="Halm"/>
    <n v="6.8655791864482674E-2"/>
    <n v="1.1772156603412456"/>
    <n v="0.32625232294002171"/>
    <n v="0.32625232294002171"/>
  </r>
  <r>
    <x v="0"/>
    <x v="11"/>
    <x v="2"/>
    <s v="Konventionel"/>
    <x v="1"/>
    <s v="Juletræer"/>
    <n v="7.888074139408327E-3"/>
    <n v="0.47328444836449962"/>
    <n v="0"/>
    <n v="0.47328444836449962"/>
  </r>
  <r>
    <x v="0"/>
    <x v="12"/>
    <x v="2"/>
    <s v="Konventionel"/>
    <x v="1"/>
    <s v="Pil &amp; poppel"/>
    <n v="1.2955126399086169E-2"/>
    <n v="0.37917443119276595"/>
    <n v="0"/>
    <n v="0.37917443119276595"/>
  </r>
  <r>
    <x v="0"/>
    <x v="13"/>
    <x v="2"/>
    <s v="Konventionel"/>
    <x v="1"/>
    <s v="Græs"/>
    <n v="0.36617748993000948"/>
    <n v="6.059505103361797"/>
    <n v="0"/>
    <n v="6.05950510336179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4829574932523"/>
    <n v="15823.086247750271"/>
    <n v="6983.9146926007761"/>
    <n v="6983.9146926007761"/>
  </r>
  <r>
    <x v="0"/>
    <x v="1"/>
    <x v="1"/>
    <s v="Økologisk"/>
    <x v="1"/>
    <s v="Halm"/>
    <n v="240.66923895986218"/>
    <n v="635.42455147138662"/>
    <n v="255.09620702985131"/>
    <n v="255.09620702985131"/>
  </r>
  <r>
    <x v="0"/>
    <x v="2"/>
    <x v="1"/>
    <s v="Økologisk"/>
    <x v="1"/>
    <s v="Halm"/>
    <n v="257.704529354177"/>
    <n v="748.37395324453018"/>
    <n v="540.51308773086191"/>
    <n v="540.51308773086191"/>
  </r>
  <r>
    <x v="0"/>
    <x v="3"/>
    <x v="1"/>
    <s v="Økologisk"/>
    <x v="1"/>
    <s v="Græs"/>
    <n v="2378.1883610607765"/>
    <n v="110453.34126138227"/>
    <n v="0"/>
    <n v="110453.34126138227"/>
  </r>
  <r>
    <x v="0"/>
    <x v="4"/>
    <x v="1"/>
    <s v="Økologisk"/>
    <x v="1"/>
    <s v="Grøntsager"/>
    <n v="11.122876417849888"/>
    <n v="157.86698499854344"/>
    <n v="0"/>
    <n v="157.86698499854344"/>
  </r>
  <r>
    <x v="0"/>
    <x v="5"/>
    <x v="1"/>
    <s v="Økologisk"/>
    <x v="1"/>
    <s v="Kartofler"/>
    <n v="175.60138919253245"/>
    <n v="5101.237079984895"/>
    <n v="0"/>
    <n v="5101.237079984895"/>
  </r>
  <r>
    <x v="0"/>
    <x v="6"/>
    <x v="1"/>
    <s v="Økologisk"/>
    <x v="1"/>
    <s v="Roer"/>
    <n v="4.6069585361111542"/>
    <n v="256.04347870273068"/>
    <n v="0"/>
    <n v="256.04347870273068"/>
  </r>
  <r>
    <x v="0"/>
    <x v="7"/>
    <x v="1"/>
    <s v="Økologisk"/>
    <x v="1"/>
    <s v="Majs"/>
    <n v="594.6891158890071"/>
    <n v="26363.734098026827"/>
    <n v="0"/>
    <n v="26363.734098026827"/>
  </r>
  <r>
    <x v="0"/>
    <x v="8"/>
    <x v="1"/>
    <s v="Økologisk"/>
    <x v="1"/>
    <s v="Frugt"/>
    <n v="10.131040316629504"/>
    <n v="58.832572085118187"/>
    <n v="0"/>
    <n v="58.832572085118187"/>
  </r>
  <r>
    <x v="0"/>
    <x v="9"/>
    <x v="1"/>
    <s v="Økologisk"/>
    <x v="1"/>
    <s v="Øvrige"/>
    <n v="179.17658005444198"/>
    <n v="3651.6949159878468"/>
    <n v="0"/>
    <n v="3651.6949159878468"/>
  </r>
  <r>
    <x v="0"/>
    <x v="10"/>
    <x v="1"/>
    <s v="Økologisk"/>
    <x v="1"/>
    <s v="Halm"/>
    <n v="442.26063859854253"/>
    <n v="4322.4700680880987"/>
    <n v="971.04514853250407"/>
    <n v="971.04514853250407"/>
  </r>
  <r>
    <x v="0"/>
    <x v="11"/>
    <x v="1"/>
    <s v="Økologisk"/>
    <x v="1"/>
    <s v="Juletræer"/>
    <n v="50.812678893768705"/>
    <n v="1737.7936181668899"/>
    <n v="0"/>
    <n v="1737.7936181668899"/>
  </r>
  <r>
    <x v="0"/>
    <x v="12"/>
    <x v="1"/>
    <s v="Økologisk"/>
    <x v="1"/>
    <s v="Pil &amp; poppel"/>
    <n v="83.453155499160744"/>
    <n v="1392.2428868640475"/>
    <n v="0"/>
    <n v="1392.2428868640475"/>
  </r>
  <r>
    <x v="0"/>
    <x v="13"/>
    <x v="1"/>
    <s v="Økologisk"/>
    <x v="1"/>
    <s v="Græs"/>
    <n v="2358.8088657766393"/>
    <n v="39033.569110871831"/>
    <n v="0"/>
    <n v="39033.569110871831"/>
  </r>
  <r>
    <x v="0"/>
    <x v="0"/>
    <x v="2"/>
    <s v="Økologisk"/>
    <x v="1"/>
    <s v="Halm"/>
    <n v="9.2448553566549435E-2"/>
    <n v="0.52104374584321522"/>
    <n v="0.28370831961163073"/>
    <n v="0.28370831961163073"/>
  </r>
  <r>
    <x v="0"/>
    <x v="1"/>
    <x v="2"/>
    <s v="Økologisk"/>
    <x v="1"/>
    <s v="Halm"/>
    <n v="7.9250785727538933E-3"/>
    <n v="2.0924109450927736E-2"/>
    <n v="1.0362800724415557E-2"/>
    <n v="1.0362800724415557E-2"/>
  </r>
  <r>
    <x v="0"/>
    <x v="2"/>
    <x v="2"/>
    <s v="Økologisk"/>
    <x v="1"/>
    <s v="Halm"/>
    <n v="8.4860393979432746E-3"/>
    <n v="2.464345841162727E-2"/>
    <n v="2.1957321444759904E-2"/>
    <n v="2.1957321444759904E-2"/>
  </r>
  <r>
    <x v="0"/>
    <x v="3"/>
    <x v="2"/>
    <s v="Økologisk"/>
    <x v="1"/>
    <s v="Græs"/>
    <n v="7.8312166954409748E-2"/>
    <n v="3.6371553419240317"/>
    <n v="0"/>
    <n v="3.6371553419240317"/>
  </r>
  <r>
    <x v="0"/>
    <x v="4"/>
    <x v="2"/>
    <s v="Økologisk"/>
    <x v="1"/>
    <s v="Grøntsager"/>
    <n v="3.6626895047934632E-4"/>
    <n v="5.1984552141533628E-3"/>
    <n v="0"/>
    <n v="5.1984552141533628E-3"/>
  </r>
  <r>
    <x v="0"/>
    <x v="5"/>
    <x v="2"/>
    <s v="Økologisk"/>
    <x v="1"/>
    <s v="Kartofler"/>
    <n v="5.7824373935368217E-3"/>
    <n v="0.16798035699056785"/>
    <n v="0"/>
    <n v="0.16798035699056785"/>
  </r>
  <r>
    <x v="0"/>
    <x v="6"/>
    <x v="2"/>
    <s v="Økologisk"/>
    <x v="1"/>
    <s v="Roer"/>
    <n v="1.5170409204721518E-4"/>
    <n v="8.4313421005947301E-3"/>
    <n v="0"/>
    <n v="8.4313421005947301E-3"/>
  </r>
  <r>
    <x v="0"/>
    <x v="7"/>
    <x v="2"/>
    <s v="Økologisk"/>
    <x v="1"/>
    <s v="Majs"/>
    <n v="1.9582718548289149E-2"/>
    <n v="0.86814029537401272"/>
    <n v="0"/>
    <n v="0.86814029537401272"/>
  </r>
  <r>
    <x v="0"/>
    <x v="8"/>
    <x v="2"/>
    <s v="Økologisk"/>
    <x v="1"/>
    <s v="Frugt"/>
    <n v="3.3360844485163561E-4"/>
    <n v="1.9373176166046242E-3"/>
    <n v="0"/>
    <n v="1.9373176166046242E-3"/>
  </r>
  <r>
    <x v="0"/>
    <x v="9"/>
    <x v="2"/>
    <s v="Økologisk"/>
    <x v="1"/>
    <s v="Øvrige"/>
    <n v="5.9001660597165087E-3"/>
    <n v="0.1202478939892942"/>
    <n v="0"/>
    <n v="0.1202478939892942"/>
  </r>
  <r>
    <x v="0"/>
    <x v="10"/>
    <x v="2"/>
    <s v="Økologisk"/>
    <x v="1"/>
    <s v="Halm"/>
    <n v="1.4563349789435716E-2"/>
    <n v="0.14233607529580511"/>
    <n v="3.9446871773657161E-2"/>
    <n v="3.9446871773657161E-2"/>
  </r>
  <r>
    <x v="0"/>
    <x v="11"/>
    <x v="2"/>
    <s v="Økologisk"/>
    <x v="1"/>
    <s v="Juletræer"/>
    <n v="1.6732278477532812E-3"/>
    <n v="5.722439239316221E-2"/>
    <n v="0"/>
    <n v="5.722439239316221E-2"/>
  </r>
  <r>
    <x v="0"/>
    <x v="12"/>
    <x v="2"/>
    <s v="Økologisk"/>
    <x v="1"/>
    <s v="Pil &amp; poppel"/>
    <n v="2.7480571149576727E-3"/>
    <n v="4.584563577148898E-2"/>
    <n v="0"/>
    <n v="4.584563577148898E-2"/>
  </r>
  <r>
    <x v="0"/>
    <x v="13"/>
    <x v="2"/>
    <s v="Økologisk"/>
    <x v="1"/>
    <s v="Græs"/>
    <n v="7.7674013015456553E-2"/>
    <n v="1.2853495673797752"/>
    <n v="0"/>
    <n v="1.285349567379775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9674680641973877"/>
    <n v="2.9122731582033161"/>
    <n v="1.285404565201989"/>
    <n v="1.285404565201989"/>
  </r>
  <r>
    <x v="0"/>
    <x v="1"/>
    <x v="1"/>
    <s v="Konventionel"/>
    <x v="2"/>
    <s v="Halm"/>
    <n v="1.7086450333499009E-2"/>
    <n v="9.2335177602228646E-2"/>
    <n v="3.7068686639843931E-2"/>
    <n v="3.7068686639843931E-2"/>
  </r>
  <r>
    <x v="0"/>
    <x v="2"/>
    <x v="1"/>
    <s v="Konventionel"/>
    <x v="2"/>
    <s v="Halm"/>
    <n v="2.2126179468366147E-2"/>
    <n v="0.13629726552513546"/>
    <n v="9.8440700025529099E-2"/>
    <n v="9.8440700025529099E-2"/>
  </r>
  <r>
    <x v="0"/>
    <x v="3"/>
    <x v="1"/>
    <s v="Konventionel"/>
    <x v="2"/>
    <s v="Græs"/>
    <n v="0.51029954485989426"/>
    <n v="35.44948878232713"/>
    <n v="0"/>
    <n v="35.44948878232713"/>
  </r>
  <r>
    <x v="0"/>
    <x v="4"/>
    <x v="1"/>
    <s v="Konventionel"/>
    <x v="2"/>
    <s v="Grøntsager"/>
    <n v="5.9312754358377721E-4"/>
    <n v="1.7230355141108728E-2"/>
    <n v="0"/>
    <n v="1.7230355141108728E-2"/>
  </r>
  <r>
    <x v="0"/>
    <x v="5"/>
    <x v="1"/>
    <s v="Konventionel"/>
    <x v="2"/>
    <s v="Kartofler"/>
    <n v="3.1394414813143305E-2"/>
    <n v="1.8666886496674167"/>
    <n v="0"/>
    <n v="1.8666886496674167"/>
  </r>
  <r>
    <x v="0"/>
    <x v="6"/>
    <x v="1"/>
    <s v="Konventionel"/>
    <x v="2"/>
    <s v="Roer"/>
    <n v="3.3950117003646611E-4"/>
    <n v="3.8620031605222829E-2"/>
    <n v="0"/>
    <n v="3.8620031605222829E-2"/>
  </r>
  <r>
    <x v="0"/>
    <x v="7"/>
    <x v="1"/>
    <s v="Konventionel"/>
    <x v="2"/>
    <s v="Majs"/>
    <n v="4.2220294070089238E-2"/>
    <n v="2.6309154046835412"/>
    <n v="0"/>
    <n v="2.6309154046835412"/>
  </r>
  <r>
    <x v="0"/>
    <x v="8"/>
    <x v="1"/>
    <s v="Konventionel"/>
    <x v="2"/>
    <s v="Frugt"/>
    <n v="1.2099053290264164E-3"/>
    <n v="1.4380934740807986E-2"/>
    <n v="0"/>
    <n v="1.4380934740807986E-2"/>
  </r>
  <r>
    <x v="0"/>
    <x v="9"/>
    <x v="1"/>
    <s v="Konventionel"/>
    <x v="2"/>
    <s v="Øvrige"/>
    <n v="2.1398266344745977E-2"/>
    <n v="0.89261414925364546"/>
    <n v="0"/>
    <n v="0.89261414925364546"/>
  </r>
  <r>
    <x v="0"/>
    <x v="10"/>
    <x v="1"/>
    <s v="Konventionel"/>
    <x v="2"/>
    <s v="Halm"/>
    <n v="6.8082129291564208E-2"/>
    <n v="1.3619424919198089"/>
    <n v="0.3059610890362896"/>
    <n v="0.3059610890362896"/>
  </r>
  <r>
    <x v="0"/>
    <x v="11"/>
    <x v="1"/>
    <s v="Konventionel"/>
    <x v="2"/>
    <s v="Juletræer"/>
    <n v="6.0683334637179846E-3"/>
    <n v="0.42478334246025895"/>
    <n v="0"/>
    <n v="0.42478334246025895"/>
  </r>
  <r>
    <x v="0"/>
    <x v="12"/>
    <x v="1"/>
    <s v="Konventionel"/>
    <x v="2"/>
    <s v="Pil &amp; poppel"/>
    <n v="1.4324445842879414E-2"/>
    <n v="0.48912741902515072"/>
    <n v="0"/>
    <n v="0.48912741902515072"/>
  </r>
  <r>
    <x v="0"/>
    <x v="13"/>
    <x v="1"/>
    <s v="Konventionel"/>
    <x v="2"/>
    <s v="Græs"/>
    <n v="0.52979341323357754"/>
    <n v="10.228191635887448"/>
    <n v="0"/>
    <n v="10.228191635887448"/>
  </r>
  <r>
    <x v="0"/>
    <x v="0"/>
    <x v="2"/>
    <s v="Konventionel"/>
    <x v="2"/>
    <s v="Halm"/>
    <n v="0.28302441074714974"/>
    <n v="2.7776015670725269"/>
    <n v="1.5124040532709913"/>
    <n v="1.5124040532709913"/>
  </r>
  <r>
    <x v="0"/>
    <x v="1"/>
    <x v="2"/>
    <s v="Konventionel"/>
    <x v="2"/>
    <s v="Halm"/>
    <n v="1.6296325462585758E-2"/>
    <n v="8.8065342799813429E-2"/>
    <n v="4.3614931392998796E-2"/>
    <n v="4.3614931392998796E-2"/>
  </r>
  <r>
    <x v="0"/>
    <x v="2"/>
    <x v="2"/>
    <s v="Konventionel"/>
    <x v="2"/>
    <s v="Halm"/>
    <n v="2.1103003539193144E-2"/>
    <n v="0.12999450180142977"/>
    <n v="0.11582510110507394"/>
    <n v="0.11582510110507394"/>
  </r>
  <r>
    <x v="0"/>
    <x v="3"/>
    <x v="2"/>
    <s v="Konventionel"/>
    <x v="2"/>
    <s v="Græs"/>
    <n v="0.48670187804556381"/>
    <n v="33.810206064069227"/>
    <n v="0"/>
    <n v="33.810206064069227"/>
  </r>
  <r>
    <x v="0"/>
    <x v="4"/>
    <x v="2"/>
    <s v="Konventionel"/>
    <x v="2"/>
    <s v="Grøntsager"/>
    <n v="5.6569968029666602E-4"/>
    <n v="1.6433575712618147E-2"/>
    <n v="0"/>
    <n v="1.6433575712618147E-2"/>
  </r>
  <r>
    <x v="0"/>
    <x v="5"/>
    <x v="2"/>
    <s v="Konventionel"/>
    <x v="2"/>
    <s v="Kartofler"/>
    <n v="2.9942649966292749E-2"/>
    <n v="1.780367787255051"/>
    <n v="0"/>
    <n v="1.780367787255051"/>
  </r>
  <r>
    <x v="0"/>
    <x v="6"/>
    <x v="2"/>
    <s v="Konventionel"/>
    <x v="2"/>
    <s v="Roer"/>
    <n v="3.2380169396541565E-4"/>
    <n v="3.6834134189952412E-2"/>
    <n v="0"/>
    <n v="3.6834134189952412E-2"/>
  </r>
  <r>
    <x v="0"/>
    <x v="7"/>
    <x v="2"/>
    <s v="Konventionel"/>
    <x v="2"/>
    <s v="Majs"/>
    <n v="4.0267910529275863E-2"/>
    <n v="2.5092545767212968"/>
    <n v="0"/>
    <n v="2.5092545767212968"/>
  </r>
  <r>
    <x v="0"/>
    <x v="8"/>
    <x v="2"/>
    <s v="Konventionel"/>
    <x v="2"/>
    <s v="Frugt"/>
    <n v="1.1539559496494725E-3"/>
    <n v="1.3715920417533629E-2"/>
    <n v="0"/>
    <n v="1.3715920417533629E-2"/>
  </r>
  <r>
    <x v="0"/>
    <x v="9"/>
    <x v="2"/>
    <s v="Konventionel"/>
    <x v="2"/>
    <s v="Øvrige"/>
    <n v="2.040875113805252E-2"/>
    <n v="0.85133719437486421"/>
    <n v="0"/>
    <n v="0.85133719437486421"/>
  </r>
  <r>
    <x v="0"/>
    <x v="10"/>
    <x v="2"/>
    <s v="Konventionel"/>
    <x v="2"/>
    <s v="Halm"/>
    <n v="6.4933822734728863E-2"/>
    <n v="1.2989624922934593"/>
    <n v="0.35999311324133687"/>
    <n v="0.35999311324133687"/>
  </r>
  <r>
    <x v="0"/>
    <x v="11"/>
    <x v="2"/>
    <s v="Konventionel"/>
    <x v="2"/>
    <s v="Juletræer"/>
    <n v="5.7877168873610831E-3"/>
    <n v="0.4051401821152758"/>
    <n v="0"/>
    <n v="0.4051401821152758"/>
  </r>
  <r>
    <x v="0"/>
    <x v="12"/>
    <x v="2"/>
    <s v="Konventionel"/>
    <x v="2"/>
    <s v="Pil &amp; poppel"/>
    <n v="1.3662043722977473E-2"/>
    <n v="0.4665088100528893"/>
    <n v="0"/>
    <n v="0.4665088100528893"/>
  </r>
  <r>
    <x v="0"/>
    <x v="13"/>
    <x v="2"/>
    <s v="Konventionel"/>
    <x v="2"/>
    <s v="Græs"/>
    <n v="0.50529429585861441"/>
    <n v="9.7552116758464091"/>
    <n v="0"/>
    <n v="9.755211675846409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4.6313085394988143E-2"/>
    <n v="0.30452613544449708"/>
    <n v="0.13441022303181491"/>
    <n v="0.13441022303181491"/>
  </r>
  <r>
    <x v="0"/>
    <x v="1"/>
    <x v="1"/>
    <s v="Økologisk"/>
    <x v="2"/>
    <s v="Halm"/>
    <n v="2.6666714393322154E-3"/>
    <n v="8.2140947011462347E-3"/>
    <n v="3.2976132218913178E-3"/>
    <n v="3.2976132218913178E-3"/>
  </r>
  <r>
    <x v="0"/>
    <x v="2"/>
    <x v="1"/>
    <s v="Økologisk"/>
    <x v="2"/>
    <s v="Halm"/>
    <n v="3.4532187609588785E-3"/>
    <n v="1.1699505162128679E-2"/>
    <n v="8.4499676033474407E-3"/>
    <n v="8.4499676033474407E-3"/>
  </r>
  <r>
    <x v="0"/>
    <x v="3"/>
    <x v="1"/>
    <s v="Økologisk"/>
    <x v="2"/>
    <s v="Græs"/>
    <n v="7.9642125498364996E-2"/>
    <n v="4.3154117558139271"/>
    <n v="0"/>
    <n v="4.3154117558139271"/>
  </r>
  <r>
    <x v="0"/>
    <x v="4"/>
    <x v="1"/>
    <s v="Økologisk"/>
    <x v="2"/>
    <s v="Grøntsager"/>
    <n v="9.2569038593999904E-5"/>
    <n v="1.5328044255587476E-3"/>
    <n v="0"/>
    <n v="1.5328044255587476E-3"/>
  </r>
  <r>
    <x v="0"/>
    <x v="5"/>
    <x v="1"/>
    <s v="Økologisk"/>
    <x v="2"/>
    <s v="Kartofler"/>
    <n v="4.8997063581206323E-3"/>
    <n v="0.16605975906578929"/>
    <n v="0"/>
    <n v="0.16605975906578929"/>
  </r>
  <r>
    <x v="0"/>
    <x v="6"/>
    <x v="1"/>
    <s v="Økologisk"/>
    <x v="2"/>
    <s v="Roer"/>
    <n v="5.2985731739795291E-5"/>
    <n v="3.4356201526264695E-3"/>
    <n v="0"/>
    <n v="3.4356201526264695E-3"/>
  </r>
  <r>
    <x v="0"/>
    <x v="7"/>
    <x v="1"/>
    <s v="Økologisk"/>
    <x v="2"/>
    <s v="Majs"/>
    <n v="6.5892944502451414E-3"/>
    <n v="0.34080239432923787"/>
    <n v="0"/>
    <n v="0.34080239432923787"/>
  </r>
  <r>
    <x v="0"/>
    <x v="8"/>
    <x v="1"/>
    <s v="Økologisk"/>
    <x v="2"/>
    <s v="Frugt"/>
    <n v="1.8882915539718639E-4"/>
    <n v="1.2793213043990458E-3"/>
    <n v="0"/>
    <n v="1.2793213043990458E-3"/>
  </r>
  <r>
    <x v="0"/>
    <x v="9"/>
    <x v="1"/>
    <s v="Økologisk"/>
    <x v="2"/>
    <s v="Øvrige"/>
    <n v="3.3396138225904128E-3"/>
    <n v="7.940654194805552E-2"/>
    <n v="0"/>
    <n v="7.940654194805552E-2"/>
  </r>
  <r>
    <x v="0"/>
    <x v="10"/>
    <x v="1"/>
    <s v="Økologisk"/>
    <x v="2"/>
    <s v="Halm"/>
    <n v="1.0625534629319271E-2"/>
    <n v="0.12115777428118996"/>
    <n v="2.721815699577166E-2"/>
    <n v="2.721815699577166E-2"/>
  </r>
  <r>
    <x v="0"/>
    <x v="11"/>
    <x v="1"/>
    <s v="Økologisk"/>
    <x v="2"/>
    <s v="Juletræer"/>
    <n v="9.4708094520454093E-4"/>
    <n v="3.778852971366118E-2"/>
    <n v="0"/>
    <n v="3.778852971366118E-2"/>
  </r>
  <r>
    <x v="0"/>
    <x v="12"/>
    <x v="1"/>
    <s v="Økologisk"/>
    <x v="2"/>
    <s v="Pil &amp; poppel"/>
    <n v="2.2356071546690416E-3"/>
    <n v="4.3512549010387688E-2"/>
    <n v="0"/>
    <n v="4.3512549010387688E-2"/>
  </r>
  <r>
    <x v="0"/>
    <x v="13"/>
    <x v="1"/>
    <s v="Økologisk"/>
    <x v="2"/>
    <s v="Græs"/>
    <n v="8.2684521140500539E-2"/>
    <n v="1.5963073651385034"/>
    <n v="0"/>
    <n v="1.5963073651385034"/>
  </r>
  <r>
    <x v="0"/>
    <x v="0"/>
    <x v="2"/>
    <s v="Økologisk"/>
    <x v="2"/>
    <s v="Halm"/>
    <n v="6.0035481067577209E-2"/>
    <n v="0.39475610150212581"/>
    <n v="0.21494469726790755"/>
    <n v="0.21494469726790755"/>
  </r>
  <r>
    <x v="0"/>
    <x v="1"/>
    <x v="2"/>
    <s v="Økologisk"/>
    <x v="2"/>
    <s v="Halm"/>
    <n v="3.4567963102454641E-3"/>
    <n v="1.06479005385229E-2"/>
    <n v="5.2734417047898552E-3"/>
    <n v="5.2734417047898552E-3"/>
  </r>
  <r>
    <x v="0"/>
    <x v="2"/>
    <x v="2"/>
    <s v="Økologisk"/>
    <x v="2"/>
    <s v="Halm"/>
    <n v="4.4763946901318786E-3"/>
    <n v="1.5166025210166807E-2"/>
    <n v="1.3512928462258628E-2"/>
    <n v="1.3512928462258628E-2"/>
  </r>
  <r>
    <x v="0"/>
    <x v="3"/>
    <x v="2"/>
    <s v="Økologisk"/>
    <x v="2"/>
    <s v="Græs"/>
    <n v="0.10323979231269535"/>
    <n v="5.5940522760550913"/>
    <n v="0"/>
    <n v="5.5940522760550913"/>
  </r>
  <r>
    <x v="0"/>
    <x v="4"/>
    <x v="2"/>
    <s v="Økologisk"/>
    <x v="2"/>
    <s v="Grøntsager"/>
    <n v="1.1999690188111097E-4"/>
    <n v="1.9869686997983755E-3"/>
    <n v="0"/>
    <n v="1.9869686997983755E-3"/>
  </r>
  <r>
    <x v="0"/>
    <x v="5"/>
    <x v="2"/>
    <s v="Økologisk"/>
    <x v="2"/>
    <s v="Kartofler"/>
    <n v="6.3514712049711885E-3"/>
    <n v="0.21526265064083791"/>
    <n v="0"/>
    <n v="0.21526265064083791"/>
  </r>
  <r>
    <x v="0"/>
    <x v="6"/>
    <x v="2"/>
    <s v="Økologisk"/>
    <x v="2"/>
    <s v="Roer"/>
    <n v="6.8685207810845745E-5"/>
    <n v="4.4535816793306099E-3"/>
    <n v="0"/>
    <n v="4.4535816793306099E-3"/>
  </r>
  <r>
    <x v="0"/>
    <x v="7"/>
    <x v="2"/>
    <s v="Økologisk"/>
    <x v="2"/>
    <s v="Majs"/>
    <n v="8.5416779910585158E-3"/>
    <n v="0.4417808815379009"/>
    <n v="0"/>
    <n v="0.4417808815379009"/>
  </r>
  <r>
    <x v="0"/>
    <x v="8"/>
    <x v="2"/>
    <s v="Økologisk"/>
    <x v="2"/>
    <s v="Frugt"/>
    <n v="2.4477853477413049E-4"/>
    <n v="1.6583794686654296E-3"/>
    <n v="0"/>
    <n v="1.6583794686654296E-3"/>
  </r>
  <r>
    <x v="0"/>
    <x v="9"/>
    <x v="2"/>
    <s v="Økologisk"/>
    <x v="2"/>
    <s v="Øvrige"/>
    <n v="4.329129029283868E-3"/>
    <n v="0.10293440622896084"/>
    <n v="0"/>
    <n v="0.10293440622896084"/>
  </r>
  <r>
    <x v="0"/>
    <x v="10"/>
    <x v="2"/>
    <s v="Økologisk"/>
    <x v="2"/>
    <s v="Halm"/>
    <n v="1.3773841186154611E-2"/>
    <n v="0.15705637406820919"/>
    <n v="4.3526440055543465E-2"/>
    <n v="4.3526440055543465E-2"/>
  </r>
  <r>
    <x v="0"/>
    <x v="11"/>
    <x v="2"/>
    <s v="Økologisk"/>
    <x v="2"/>
    <s v="Juletræer"/>
    <n v="1.2276975215614421E-3"/>
    <n v="4.8985131110301533E-2"/>
    <n v="0"/>
    <n v="4.8985131110301533E-2"/>
  </r>
  <r>
    <x v="0"/>
    <x v="12"/>
    <x v="2"/>
    <s v="Økologisk"/>
    <x v="2"/>
    <s v="Pil &amp; poppel"/>
    <n v="2.8980092745709792E-3"/>
    <n v="5.6405156124576618E-2"/>
    <n v="0"/>
    <n v="5.6405156124576618E-2"/>
  </r>
  <r>
    <x v="0"/>
    <x v="13"/>
    <x v="2"/>
    <s v="Økologisk"/>
    <x v="2"/>
    <s v="Græs"/>
    <n v="0.10718363851546366"/>
    <n v="2.0692873251795416"/>
    <n v="0"/>
    <n v="2.069287325179541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565080.07576828043"/>
    <n v="565080.07576828043"/>
  </r>
  <r>
    <x v="1"/>
    <x v="1"/>
    <x v="1"/>
    <s v="Konventionel"/>
    <x v="0"/>
    <s v="Halm"/>
    <n v="52507.591181067335"/>
    <n v="202679.30195891994"/>
    <n v="81367.207252939435"/>
    <n v="81367.207252939435"/>
  </r>
  <r>
    <x v="1"/>
    <x v="2"/>
    <x v="1"/>
    <s v="Konventionel"/>
    <x v="0"/>
    <s v="Halm"/>
    <n v="41549.485195453271"/>
    <n v="182817.73485999441"/>
    <n v="132040.10900263098"/>
    <n v="132040.10900263098"/>
  </r>
  <r>
    <x v="1"/>
    <x v="3"/>
    <x v="1"/>
    <s v="Konventionel"/>
    <x v="0"/>
    <s v="Græs"/>
    <n v="59356.407422076118"/>
    <n v="2945264.936283417"/>
    <n v="0"/>
    <n v="2945264.936283417"/>
  </r>
  <r>
    <x v="1"/>
    <x v="4"/>
    <x v="1"/>
    <s v="Konventionel"/>
    <x v="0"/>
    <s v="Grøntsager"/>
    <n v="18263.509976023419"/>
    <n v="378967.83200248599"/>
    <n v="0"/>
    <n v="378967.83200248599"/>
  </r>
  <r>
    <x v="1"/>
    <x v="5"/>
    <x v="1"/>
    <s v="Konventionel"/>
    <x v="0"/>
    <s v="Kartofler"/>
    <n v="13697.632482017563"/>
    <n v="581750.77213309507"/>
    <n v="0"/>
    <n v="581750.77213309507"/>
  </r>
  <r>
    <x v="1"/>
    <x v="6"/>
    <x v="1"/>
    <s v="Konventionel"/>
    <x v="0"/>
    <s v="Roer"/>
    <n v="2282.9387470029274"/>
    <n v="185497.2916221483"/>
    <n v="0"/>
    <n v="185497.2916221483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4565.8774940058547"/>
    <n v="38764.299924109706"/>
    <n v="0"/>
    <n v="38764.299924109706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59205.247869328668"/>
    <n v="59205.247869328668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22829.387470029276"/>
    <n v="314817.25321170373"/>
    <n v="0"/>
    <n v="314817.25321170373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7650.900017075655"/>
    <n v="183932.47406591204"/>
    <n v="91093.749053643376"/>
    <n v="91093.749053643376"/>
  </r>
  <r>
    <x v="1"/>
    <x v="2"/>
    <x v="2"/>
    <s v="Konventionel"/>
    <x v="0"/>
    <s v="Halm"/>
    <n v="37706.364361338121"/>
    <n v="165908.00318988774"/>
    <n v="147824.03084219"/>
    <n v="147824.03084219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59088.431044209217"/>
    <n v="59088.431044209217"/>
  </r>
  <r>
    <x v="1"/>
    <x v="1"/>
    <x v="1"/>
    <s v="Økologisk"/>
    <x v="0"/>
    <s v="Halm"/>
    <n v="8194.826369299526"/>
    <n v="18030.256977732817"/>
    <n v="7238.3891307672693"/>
    <n v="7238.3891307672693"/>
  </r>
  <r>
    <x v="1"/>
    <x v="2"/>
    <x v="1"/>
    <s v="Økologisk"/>
    <x v="0"/>
    <s v="Halm"/>
    <n v="6484.6017357065812"/>
    <n v="15692.736200409927"/>
    <n v="11334.078720746074"/>
    <n v="11334.078720746074"/>
  </r>
  <r>
    <x v="1"/>
    <x v="3"/>
    <x v="1"/>
    <s v="Økologisk"/>
    <x v="0"/>
    <s v="Græs"/>
    <n v="9263.7167652951175"/>
    <n v="358539.18819727615"/>
    <n v="0"/>
    <n v="358539.18819727615"/>
  </r>
  <r>
    <x v="1"/>
    <x v="4"/>
    <x v="1"/>
    <s v="Økologisk"/>
    <x v="0"/>
    <s v="Grøntsager"/>
    <n v="2850.3743893215742"/>
    <n v="33712.803089700916"/>
    <n v="0"/>
    <n v="33712.803089700916"/>
  </r>
  <r>
    <x v="1"/>
    <x v="5"/>
    <x v="1"/>
    <s v="Økologisk"/>
    <x v="0"/>
    <s v="Kartofler"/>
    <n v="2137.7807919911802"/>
    <n v="51752.27967126204"/>
    <n v="0"/>
    <n v="51752.27967126204"/>
  </r>
  <r>
    <x v="1"/>
    <x v="6"/>
    <x v="1"/>
    <s v="Økologisk"/>
    <x v="0"/>
    <s v="Roer"/>
    <n v="356.29679866519677"/>
    <n v="16501.753283611917"/>
    <n v="0"/>
    <n v="16501.753283611917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712.59359733039355"/>
    <n v="3448.4541955609734"/>
    <n v="0"/>
    <n v="3448.4541955609734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5266.8714723061748"/>
    <n v="5266.871472306174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3562.9679866519677"/>
    <n v="49133.328535930639"/>
    <n v="0"/>
    <n v="49133.328535930639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10107.766670288775"/>
    <n v="22239.108227969366"/>
    <n v="11014.062385576879"/>
    <n v="11014.062385576879"/>
  </r>
  <r>
    <x v="1"/>
    <x v="2"/>
    <x v="2"/>
    <s v="Økologisk"/>
    <x v="0"/>
    <s v="Halm"/>
    <n v="7998.3197130111166"/>
    <n v="19355.933705486907"/>
    <n v="17246.136931588837"/>
    <n v="17246.136931588837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266161074505"/>
    <n v="21396.145894695874"/>
    <n v="9443.7238942713921"/>
    <n v="9443.7238942713921"/>
  </r>
  <r>
    <x v="1"/>
    <x v="1"/>
    <x v="1"/>
    <s v="Konventionel"/>
    <x v="1"/>
    <s v="Halm"/>
    <n v="68.781025480452769"/>
    <n v="318.59371002545726"/>
    <n v="127.9019622752524"/>
    <n v="127.9019622752524"/>
  </r>
  <r>
    <x v="1"/>
    <x v="2"/>
    <x v="1"/>
    <s v="Konventionel"/>
    <x v="1"/>
    <s v="Halm"/>
    <n v="277.81730642917057"/>
    <n v="1466.8753779460208"/>
    <n v="1059.4507417215134"/>
    <n v="1059.4507417215134"/>
  </r>
  <r>
    <x v="1"/>
    <x v="3"/>
    <x v="1"/>
    <s v="Konventionel"/>
    <x v="1"/>
    <s v="Græs"/>
    <n v="816.89928733229783"/>
    <n v="48641.451164914346"/>
    <n v="0"/>
    <n v="48641.451164914346"/>
  </r>
  <r>
    <x v="1"/>
    <x v="4"/>
    <x v="1"/>
    <s v="Konventionel"/>
    <x v="1"/>
    <s v="Grøntsager"/>
    <n v="15.471187824817051"/>
    <n v="385.23257683794458"/>
    <n v="0"/>
    <n v="385.23257683794458"/>
  </r>
  <r>
    <x v="1"/>
    <x v="5"/>
    <x v="1"/>
    <s v="Konventionel"/>
    <x v="1"/>
    <s v="Kartofler"/>
    <n v="26.302435262527187"/>
    <n v="1340.5057006495601"/>
    <n v="0"/>
    <n v="1340.5057006495601"/>
  </r>
  <r>
    <x v="1"/>
    <x v="6"/>
    <x v="1"/>
    <s v="Konventionel"/>
    <x v="1"/>
    <s v="Roer"/>
    <n v="73.48347036613049"/>
    <n v="7164.9673911620484"/>
    <n v="0"/>
    <n v="7164.9673911620484"/>
  </r>
  <r>
    <x v="1"/>
    <x v="7"/>
    <x v="1"/>
    <s v="Konventionel"/>
    <x v="1"/>
    <s v="Majs"/>
    <n v="78.344719162303662"/>
    <n v="4184.5481398969632"/>
    <n v="0"/>
    <n v="4184.5481398969632"/>
  </r>
  <r>
    <x v="1"/>
    <x v="8"/>
    <x v="1"/>
    <s v="Konventionel"/>
    <x v="1"/>
    <s v="Frugt"/>
    <n v="16.900566419398675"/>
    <n v="172.18297068083373"/>
    <n v="0"/>
    <n v="172.18297068083373"/>
  </r>
  <r>
    <x v="1"/>
    <x v="9"/>
    <x v="1"/>
    <s v="Konventionel"/>
    <x v="1"/>
    <s v="Øvrige"/>
    <n v="120.67824120695344"/>
    <n v="4314.8664692035982"/>
    <n v="0"/>
    <n v="4314.8664692035982"/>
  </r>
  <r>
    <x v="1"/>
    <x v="10"/>
    <x v="1"/>
    <s v="Konventionel"/>
    <x v="1"/>
    <s v="Halm"/>
    <n v="876.11830838913772"/>
    <n v="15022.479020898631"/>
    <n v="3374.8077239149588"/>
    <n v="3374.8077239149588"/>
  </r>
  <r>
    <x v="1"/>
    <x v="11"/>
    <x v="1"/>
    <s v="Konventionel"/>
    <x v="1"/>
    <s v="Juletræer"/>
    <n v="26.483091404220694"/>
    <n v="1588.9854842532416"/>
    <n v="0"/>
    <n v="1588.9854842532416"/>
  </r>
  <r>
    <x v="1"/>
    <x v="12"/>
    <x v="1"/>
    <s v="Konventionel"/>
    <x v="1"/>
    <s v="Pil &amp; poppel"/>
    <n v="56.207011126951372"/>
    <n v="1645.0832524961379"/>
    <n v="0"/>
    <n v="1645.0832524961379"/>
  </r>
  <r>
    <x v="1"/>
    <x v="13"/>
    <x v="1"/>
    <s v="Konventionel"/>
    <x v="1"/>
    <s v="Græs"/>
    <n v="1628.961148843877"/>
    <n v="26956.049091068475"/>
    <n v="0"/>
    <n v="26956.049091068475"/>
  </r>
  <r>
    <x v="1"/>
    <x v="0"/>
    <x v="2"/>
    <s v="Konventionel"/>
    <x v="1"/>
    <s v="Halm"/>
    <n v="6.1624419250252083E-2"/>
    <n v="0.51838461473312047"/>
    <n v="0.28226042272218416"/>
    <n v="0.28226042272218416"/>
  </r>
  <r>
    <x v="1"/>
    <x v="1"/>
    <x v="2"/>
    <s v="Konventionel"/>
    <x v="1"/>
    <s v="Halm"/>
    <n v="1.6664228020370887E-3"/>
    <n v="7.7188704190357948E-3"/>
    <n v="3.8228205677115386E-3"/>
    <n v="3.8228205677115386E-3"/>
  </r>
  <r>
    <x v="1"/>
    <x v="2"/>
    <x v="2"/>
    <s v="Konventionel"/>
    <x v="1"/>
    <s v="Halm"/>
    <n v="6.7309420148972078E-3"/>
    <n v="3.5539373838657261E-2"/>
    <n v="3.1665582090243616E-2"/>
    <n v="3.1665582090243616E-2"/>
  </r>
  <r>
    <x v="1"/>
    <x v="3"/>
    <x v="2"/>
    <s v="Konventionel"/>
    <x v="1"/>
    <s v="Græs"/>
    <n v="1.9791789812224642E-2"/>
    <n v="1.1784823325791041"/>
    <n v="0"/>
    <n v="1.1784823325791041"/>
  </r>
  <r>
    <x v="1"/>
    <x v="4"/>
    <x v="2"/>
    <s v="Konventionel"/>
    <x v="1"/>
    <s v="Grøntsager"/>
    <n v="3.7483506513290803E-4"/>
    <n v="9.3333931218094104E-3"/>
    <n v="0"/>
    <n v="9.3333931218094104E-3"/>
  </r>
  <r>
    <x v="1"/>
    <x v="5"/>
    <x v="2"/>
    <s v="Konventionel"/>
    <x v="1"/>
    <s v="Kartofler"/>
    <n v="6.37253916533074E-4"/>
    <n v="3.2477696431815778E-2"/>
    <n v="0"/>
    <n v="3.2477696431815778E-2"/>
  </r>
  <r>
    <x v="1"/>
    <x v="6"/>
    <x v="2"/>
    <s v="Konventionel"/>
    <x v="1"/>
    <s v="Roer"/>
    <n v="1.7803533712322671E-3"/>
    <n v="0.17359242542665901"/>
    <n v="0"/>
    <n v="0.17359242542665901"/>
  </r>
  <r>
    <x v="1"/>
    <x v="7"/>
    <x v="2"/>
    <s v="Konventionel"/>
    <x v="1"/>
    <s v="Majs"/>
    <n v="1.8981314326050301E-3"/>
    <n v="0.10138299607829987"/>
    <n v="0"/>
    <n v="0.10138299607829987"/>
  </r>
  <r>
    <x v="1"/>
    <x v="8"/>
    <x v="2"/>
    <s v="Konventionel"/>
    <x v="1"/>
    <s v="Frugt"/>
    <n v="4.094659690212412E-4"/>
    <n v="4.1716392923884056E-3"/>
    <n v="0"/>
    <n v="4.1716392923884056E-3"/>
  </r>
  <r>
    <x v="1"/>
    <x v="9"/>
    <x v="2"/>
    <s v="Konventionel"/>
    <x v="1"/>
    <s v="Øvrige"/>
    <n v="2.9237856145973122E-3"/>
    <n v="0.10454034120310714"/>
    <n v="0"/>
    <n v="0.10454034120310714"/>
  </r>
  <r>
    <x v="1"/>
    <x v="10"/>
    <x v="2"/>
    <s v="Konventionel"/>
    <x v="1"/>
    <s v="Halm"/>
    <n v="2.1226544910947009E-2"/>
    <n v="0.36396377356519294"/>
    <n v="0.10086854141682021"/>
    <n v="0.10086854141682021"/>
  </r>
  <r>
    <x v="1"/>
    <x v="11"/>
    <x v="2"/>
    <s v="Konventionel"/>
    <x v="1"/>
    <s v="Juletræer"/>
    <n v="6.4163084333437122E-4"/>
    <n v="3.8497850600062278E-2"/>
    <n v="0"/>
    <n v="3.8497850600062278E-2"/>
  </r>
  <r>
    <x v="1"/>
    <x v="12"/>
    <x v="2"/>
    <s v="Konventionel"/>
    <x v="1"/>
    <s v="Pil &amp; poppel"/>
    <n v="1.3617802921958929E-3"/>
    <n v="3.9856984161831012E-2"/>
    <n v="0"/>
    <n v="3.9856984161831012E-2"/>
  </r>
  <r>
    <x v="1"/>
    <x v="13"/>
    <x v="2"/>
    <s v="Konventionel"/>
    <x v="1"/>
    <s v="Græs"/>
    <n v="3.9466378744780817E-2"/>
    <n v="0.65308963546863297"/>
    <n v="0"/>
    <n v="0.6530896354686329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6658170463104"/>
    <n v="2237.319533150569"/>
    <n v="987.49690894433229"/>
    <n v="987.49690894433229"/>
  </r>
  <r>
    <x v="1"/>
    <x v="1"/>
    <x v="1"/>
    <s v="Økologisk"/>
    <x v="1"/>
    <s v="Halm"/>
    <n v="10.734610913134247"/>
    <n v="28.341949117293566"/>
    <n v="11.37809941859037"/>
    <n v="11.37809941859037"/>
  </r>
  <r>
    <x v="1"/>
    <x v="2"/>
    <x v="1"/>
    <s v="Økologisk"/>
    <x v="1"/>
    <s v="Halm"/>
    <n v="43.358770367558421"/>
    <n v="125.91386914738968"/>
    <n v="90.941291991702187"/>
    <n v="90.941291991702187"/>
  </r>
  <r>
    <x v="1"/>
    <x v="3"/>
    <x v="1"/>
    <s v="Økologisk"/>
    <x v="1"/>
    <s v="Græs"/>
    <n v="127.4929523582199"/>
    <n v="5921.32347706992"/>
    <n v="0"/>
    <n v="5921.32347706992"/>
  </r>
  <r>
    <x v="1"/>
    <x v="4"/>
    <x v="1"/>
    <s v="Økologisk"/>
    <x v="1"/>
    <s v="Grøntsager"/>
    <n v="2.4145784466477478"/>
    <n v="34.270111893271483"/>
    <n v="0"/>
    <n v="34.270111893271483"/>
  </r>
  <r>
    <x v="1"/>
    <x v="5"/>
    <x v="1"/>
    <s v="Økologisk"/>
    <x v="1"/>
    <s v="Kartofler"/>
    <n v="4.1050043473308326"/>
    <n v="119.25076724275564"/>
    <n v="0"/>
    <n v="119.25076724275564"/>
  </r>
  <r>
    <x v="1"/>
    <x v="6"/>
    <x v="1"/>
    <s v="Økologisk"/>
    <x v="1"/>
    <s v="Roer"/>
    <n v="11.468518496448112"/>
    <n v="637.39218583805734"/>
    <n v="0"/>
    <n v="637.39218583805734"/>
  </r>
  <r>
    <x v="1"/>
    <x v="7"/>
    <x v="1"/>
    <s v="Økologisk"/>
    <x v="1"/>
    <s v="Majs"/>
    <n v="12.227210505099418"/>
    <n v="542.05620702364729"/>
    <n v="0"/>
    <n v="542.05620702364729"/>
  </r>
  <r>
    <x v="1"/>
    <x v="8"/>
    <x v="1"/>
    <s v="Økologisk"/>
    <x v="1"/>
    <s v="Frugt"/>
    <n v="2.6376606550506607"/>
    <n v="15.317317449583994"/>
    <n v="0"/>
    <n v="15.317317449583994"/>
  </r>
  <r>
    <x v="1"/>
    <x v="9"/>
    <x v="1"/>
    <s v="Økologisk"/>
    <x v="1"/>
    <s v="Øvrige"/>
    <n v="18.834176373339556"/>
    <n v="383.84852578637788"/>
    <n v="0"/>
    <n v="383.84852578637788"/>
  </r>
  <r>
    <x v="1"/>
    <x v="10"/>
    <x v="1"/>
    <s v="Økologisk"/>
    <x v="1"/>
    <s v="Halm"/>
    <n v="136.73522732084808"/>
    <n v="1336.3927868880339"/>
    <n v="300.22133451474684"/>
    <n v="300.22133451474684"/>
  </r>
  <r>
    <x v="1"/>
    <x v="11"/>
    <x v="1"/>
    <s v="Økologisk"/>
    <x v="1"/>
    <s v="Juletræer"/>
    <n v="4.1331992364968713"/>
    <n v="141.35541388819297"/>
    <n v="0"/>
    <n v="141.35541388819297"/>
  </r>
  <r>
    <x v="1"/>
    <x v="12"/>
    <x v="1"/>
    <s v="Økologisk"/>
    <x v="1"/>
    <s v="Pil &amp; poppel"/>
    <n v="8.7721924880213127"/>
    <n v="146.34584540991651"/>
    <n v="0"/>
    <n v="146.34584540991651"/>
  </r>
  <r>
    <x v="1"/>
    <x v="13"/>
    <x v="1"/>
    <s v="Økologisk"/>
    <x v="1"/>
    <s v="Græs"/>
    <n v="254.23093074442014"/>
    <n v="4207.0134419586639"/>
    <n v="0"/>
    <n v="4207.0134419586639"/>
  </r>
  <r>
    <x v="1"/>
    <x v="0"/>
    <x v="2"/>
    <s v="Økologisk"/>
    <x v="1"/>
    <s v="Halm"/>
    <n v="1.3071846507629228E-2"/>
    <n v="7.3673449790858631E-2"/>
    <n v="4.0115193411122525E-2"/>
    <n v="4.0115193411122525E-2"/>
  </r>
  <r>
    <x v="1"/>
    <x v="1"/>
    <x v="2"/>
    <s v="Økologisk"/>
    <x v="1"/>
    <s v="Halm"/>
    <n v="3.5348362467453397E-4"/>
    <n v="9.3328160521069156E-4"/>
    <n v="4.6221375955057689E-4"/>
    <n v="4.6221375955057689E-4"/>
  </r>
  <r>
    <x v="1"/>
    <x v="2"/>
    <x v="2"/>
    <s v="Økologisk"/>
    <x v="1"/>
    <s v="Halm"/>
    <n v="1.4277755789175895E-3"/>
    <n v="4.1462602811766806E-3"/>
    <n v="3.6943179105284225E-3"/>
    <n v="3.6943179105284225E-3"/>
  </r>
  <r>
    <x v="1"/>
    <x v="3"/>
    <x v="2"/>
    <s v="Økologisk"/>
    <x v="1"/>
    <s v="Græs"/>
    <n v="4.1982584450173483E-3"/>
    <n v="0.19498525866308813"/>
    <n v="0"/>
    <n v="0.19498525866308813"/>
  </r>
  <r>
    <x v="1"/>
    <x v="4"/>
    <x v="2"/>
    <s v="Økologisk"/>
    <x v="1"/>
    <s v="Grøntsager"/>
    <n v="7.9510468361525957E-5"/>
    <n v="1.1284920774551376E-3"/>
    <n v="0"/>
    <n v="1.1284920774551376E-3"/>
  </r>
  <r>
    <x v="1"/>
    <x v="5"/>
    <x v="2"/>
    <s v="Økologisk"/>
    <x v="1"/>
    <s v="Kartofler"/>
    <n v="1.351750732039854E-4"/>
    <n v="3.926848750392271E-3"/>
    <n v="0"/>
    <n v="3.926848750392271E-3"/>
  </r>
  <r>
    <x v="1"/>
    <x v="6"/>
    <x v="2"/>
    <s v="Økologisk"/>
    <x v="1"/>
    <s v="Roer"/>
    <n v="3.7765071510987484E-4"/>
    <n v="2.0988902347041496E-2"/>
    <n v="0"/>
    <n v="2.0988902347041496E-2"/>
  </r>
  <r>
    <x v="1"/>
    <x v="7"/>
    <x v="2"/>
    <s v="Økologisk"/>
    <x v="1"/>
    <s v="Majs"/>
    <n v="4.0263394024955173E-4"/>
    <n v="1.784955173378552E-2"/>
    <n v="0"/>
    <n v="1.784955173378552E-2"/>
  </r>
  <r>
    <x v="1"/>
    <x v="8"/>
    <x v="2"/>
    <s v="Økologisk"/>
    <x v="1"/>
    <s v="Frugt"/>
    <n v="8.6856417671172357E-5"/>
    <n v="5.0438911444332531E-4"/>
    <n v="0"/>
    <n v="5.0438911444332531E-4"/>
  </r>
  <r>
    <x v="1"/>
    <x v="9"/>
    <x v="2"/>
    <s v="Økologisk"/>
    <x v="1"/>
    <s v="Øvrige"/>
    <n v="6.2019694855094509E-4"/>
    <n v="1.2639877618193865E-2"/>
    <n v="0"/>
    <n v="1.2639877618193865E-2"/>
  </r>
  <r>
    <x v="1"/>
    <x v="10"/>
    <x v="2"/>
    <s v="Økologisk"/>
    <x v="1"/>
    <s v="Halm"/>
    <n v="4.5026004356554256E-3"/>
    <n v="4.400652898560968E-2"/>
    <n v="1.2195923644033711E-2"/>
    <n v="1.2195923644033711E-2"/>
  </r>
  <r>
    <x v="1"/>
    <x v="11"/>
    <x v="2"/>
    <s v="Økologisk"/>
    <x v="1"/>
    <s v="Juletræer"/>
    <n v="1.3610351222244238E-4"/>
    <n v="4.6547401180075292E-3"/>
    <n v="0"/>
    <n v="4.6547401180075292E-3"/>
  </r>
  <r>
    <x v="1"/>
    <x v="12"/>
    <x v="2"/>
    <s v="Økologisk"/>
    <x v="1"/>
    <s v="Pil &amp; poppel"/>
    <n v="2.8886248622337122E-4"/>
    <n v="4.8190717213850223E-3"/>
    <n v="0"/>
    <n v="4.8190717213850223E-3"/>
  </r>
  <r>
    <x v="1"/>
    <x v="13"/>
    <x v="2"/>
    <s v="Økologisk"/>
    <x v="1"/>
    <s v="Græs"/>
    <n v="8.3716560973777481E-3"/>
    <n v="0.13853416509940697"/>
    <n v="0"/>
    <n v="0.13853416509940697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5754933628917617E-2"/>
    <n v="0.44903891863419743"/>
    <n v="0.1981945527121689"/>
    <n v="0.1981945527121689"/>
  </r>
  <r>
    <x v="1"/>
    <x v="1"/>
    <x v="1"/>
    <s v="Konventionel"/>
    <x v="2"/>
    <s v="Halm"/>
    <n v="8.3106047603679744E-4"/>
    <n v="4.4910508125028531E-3"/>
    <n v="1.8029678349615972E-3"/>
    <n v="1.8029678349615972E-3"/>
  </r>
  <r>
    <x v="1"/>
    <x v="2"/>
    <x v="1"/>
    <s v="Konventionel"/>
    <x v="2"/>
    <s v="Halm"/>
    <n v="4.0595359645178462E-3"/>
    <n v="2.5006741541429935E-2"/>
    <n v="1.8061119078297768E-2"/>
    <n v="1.8061119078297768E-2"/>
  </r>
  <r>
    <x v="1"/>
    <x v="3"/>
    <x v="1"/>
    <s v="Konventionel"/>
    <x v="2"/>
    <s v="Græs"/>
    <n v="2.9831848636857054E-2"/>
    <n v="2.0723588611051857"/>
    <n v="0"/>
    <n v="2.0723588611051857"/>
  </r>
  <r>
    <x v="1"/>
    <x v="4"/>
    <x v="1"/>
    <s v="Konventionel"/>
    <x v="2"/>
    <s v="Grøntsager"/>
    <n v="1.4040654632499296E-4"/>
    <n v="4.078810170741045E-3"/>
    <n v="0"/>
    <n v="4.078810170741045E-3"/>
  </r>
  <r>
    <x v="1"/>
    <x v="5"/>
    <x v="1"/>
    <s v="Konventionel"/>
    <x v="2"/>
    <s v="Kartofler"/>
    <n v="8.0030056464171814E-4"/>
    <n v="4.7585278758363492E-2"/>
    <n v="0"/>
    <n v="4.7585278758363492E-2"/>
  </r>
  <r>
    <x v="1"/>
    <x v="6"/>
    <x v="1"/>
    <s v="Konventionel"/>
    <x v="2"/>
    <s v="Roer"/>
    <n v="9.2161460426674424E-4"/>
    <n v="0.1048384756399913"/>
    <n v="0"/>
    <n v="0.1048384756399913"/>
  </r>
  <r>
    <x v="1"/>
    <x v="7"/>
    <x v="1"/>
    <s v="Konventionel"/>
    <x v="2"/>
    <s v="Majs"/>
    <n v="9.466157148310761E-4"/>
    <n v="5.8987411653983683E-2"/>
    <n v="0"/>
    <n v="5.8987411653983683E-2"/>
  </r>
  <r>
    <x v="1"/>
    <x v="8"/>
    <x v="1"/>
    <s v="Konventionel"/>
    <x v="2"/>
    <s v="Frugt"/>
    <n v="3.4350362462884858E-4"/>
    <n v="4.0828840823384947E-3"/>
    <n v="0"/>
    <n v="4.0828840823384947E-3"/>
  </r>
  <r>
    <x v="1"/>
    <x v="9"/>
    <x v="1"/>
    <s v="Konventionel"/>
    <x v="2"/>
    <s v="Øvrige"/>
    <n v="2.452782483126852E-3"/>
    <n v="0.10231615562716326"/>
    <n v="0"/>
    <n v="0.10231615562716326"/>
  </r>
  <r>
    <x v="1"/>
    <x v="10"/>
    <x v="1"/>
    <s v="Konventionel"/>
    <x v="2"/>
    <s v="Halm"/>
    <n v="2.2953573895167008E-2"/>
    <n v="0.45917258984910614"/>
    <n v="0.10315336108488055"/>
    <n v="0.10315336108488055"/>
  </r>
  <r>
    <x v="1"/>
    <x v="11"/>
    <x v="1"/>
    <s v="Konventionel"/>
    <x v="2"/>
    <s v="Juletræer"/>
    <n v="5.3826822503920445E-4"/>
    <n v="3.7678775752744309E-2"/>
    <n v="0"/>
    <n v="3.7678775752744309E-2"/>
  </r>
  <r>
    <x v="1"/>
    <x v="12"/>
    <x v="1"/>
    <s v="Konventionel"/>
    <x v="2"/>
    <s v="Pil &amp; poppel"/>
    <n v="1.6419437573988649E-3"/>
    <n v="5.6066372203863679E-2"/>
    <n v="0"/>
    <n v="5.6066372203863679E-2"/>
  </r>
  <r>
    <x v="1"/>
    <x v="13"/>
    <x v="1"/>
    <s v="Konventionel"/>
    <x v="2"/>
    <s v="Græs"/>
    <n v="5.7100799688875818E-2"/>
    <n v="1.1023880387934366"/>
    <n v="0"/>
    <n v="1.1023880387934366"/>
  </r>
  <r>
    <x v="1"/>
    <x v="0"/>
    <x v="2"/>
    <s v="Konventionel"/>
    <x v="2"/>
    <s v="Halm"/>
    <n v="4.3639098547811596E-2"/>
    <n v="0.42827411314822295"/>
    <n v="0.23319525460920743"/>
    <n v="0.23319525460920743"/>
  </r>
  <r>
    <x v="1"/>
    <x v="1"/>
    <x v="2"/>
    <s v="Konventionel"/>
    <x v="2"/>
    <s v="Halm"/>
    <n v="7.9262993379232123E-4"/>
    <n v="4.283372162213704E-3"/>
    <n v="2.1213678053840198E-3"/>
    <n v="2.1213678053840198E-3"/>
  </r>
  <r>
    <x v="1"/>
    <x v="2"/>
    <x v="2"/>
    <s v="Konventionel"/>
    <x v="2"/>
    <s v="Halm"/>
    <n v="3.8718117580661539E-3"/>
    <n v="2.3850360429687509E-2"/>
    <n v="2.1250671142851573E-2"/>
    <n v="2.1250671142851573E-2"/>
  </r>
  <r>
    <x v="1"/>
    <x v="3"/>
    <x v="2"/>
    <s v="Konventionel"/>
    <x v="2"/>
    <s v="Græs"/>
    <n v="2.8452341185441699E-2"/>
    <n v="1.9765272374702638"/>
    <n v="0"/>
    <n v="1.9765272374702638"/>
  </r>
  <r>
    <x v="1"/>
    <x v="4"/>
    <x v="2"/>
    <s v="Konventionel"/>
    <x v="2"/>
    <s v="Grøntsager"/>
    <n v="1.3391375805562911E-4"/>
    <n v="3.8901946715160251E-3"/>
    <n v="0"/>
    <n v="3.8901946715160251E-3"/>
  </r>
  <r>
    <x v="1"/>
    <x v="5"/>
    <x v="2"/>
    <s v="Konventionel"/>
    <x v="2"/>
    <s v="Kartofler"/>
    <n v="7.6329244604556935E-4"/>
    <n v="4.5384803440057665E-2"/>
    <n v="0"/>
    <n v="4.5384803440057665E-2"/>
  </r>
  <r>
    <x v="1"/>
    <x v="6"/>
    <x v="2"/>
    <s v="Konventionel"/>
    <x v="2"/>
    <s v="Roer"/>
    <n v="8.7899658788446707E-4"/>
    <n v="9.99904536450784E-2"/>
    <n v="0"/>
    <n v="9.99904536450784E-2"/>
  </r>
  <r>
    <x v="1"/>
    <x v="7"/>
    <x v="2"/>
    <s v="Konventionel"/>
    <x v="2"/>
    <s v="Majs"/>
    <n v="9.0284157772906114E-4"/>
    <n v="5.625967007460872E-2"/>
    <n v="0"/>
    <n v="5.625967007460872E-2"/>
  </r>
  <r>
    <x v="1"/>
    <x v="8"/>
    <x v="2"/>
    <s v="Konventionel"/>
    <x v="2"/>
    <s v="Frugt"/>
    <n v="3.2761906395237006E-4"/>
    <n v="3.894080194137871E-3"/>
    <n v="0"/>
    <n v="3.894080194137871E-3"/>
  </r>
  <r>
    <x v="1"/>
    <x v="9"/>
    <x v="2"/>
    <s v="Konventionel"/>
    <x v="2"/>
    <s v="Øvrige"/>
    <n v="2.3393590156990207E-3"/>
    <n v="9.7584772707988071E-2"/>
    <n v="0"/>
    <n v="9.7584772707988071E-2"/>
  </r>
  <r>
    <x v="1"/>
    <x v="10"/>
    <x v="2"/>
    <s v="Konventionel"/>
    <x v="2"/>
    <s v="Halm"/>
    <n v="2.1892136952037899E-2"/>
    <n v="0.43793917528960996"/>
    <n v="0.12137000726209812"/>
    <n v="0.12137000726209812"/>
  </r>
  <r>
    <x v="1"/>
    <x v="11"/>
    <x v="2"/>
    <s v="Konventionel"/>
    <x v="2"/>
    <s v="Juletræer"/>
    <n v="5.1337720885242047E-4"/>
    <n v="3.5936404619669425E-2"/>
    <n v="0"/>
    <n v="3.5936404619669425E-2"/>
  </r>
  <r>
    <x v="1"/>
    <x v="12"/>
    <x v="2"/>
    <s v="Konventionel"/>
    <x v="2"/>
    <s v="Pil &amp; poppel"/>
    <n v="1.56601572237464E-3"/>
    <n v="5.3473707593280385E-2"/>
    <n v="0"/>
    <n v="5.3473707593280385E-2"/>
  </r>
  <r>
    <x v="1"/>
    <x v="13"/>
    <x v="2"/>
    <s v="Konventionel"/>
    <x v="2"/>
    <s v="Græs"/>
    <n v="5.4460300281297752E-2"/>
    <n v="1.0514105572307344"/>
    <n v="0"/>
    <n v="1.0514105572307344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7.1409433987328075E-3"/>
    <n v="4.6954416405159731E-2"/>
    <n v="2.0724505540827377E-2"/>
    <n v="2.0724505540827377E-2"/>
  </r>
  <r>
    <x v="1"/>
    <x v="1"/>
    <x v="1"/>
    <s v="Økologisk"/>
    <x v="2"/>
    <s v="Halm"/>
    <n v="1.2970308007510711E-4"/>
    <n v="3.9952180349375088E-4"/>
    <n v="1.6039118485583221E-4"/>
    <n v="1.6039118485583221E-4"/>
  </r>
  <r>
    <x v="1"/>
    <x v="2"/>
    <x v="1"/>
    <s v="Økologisk"/>
    <x v="2"/>
    <s v="Halm"/>
    <n v="6.3356919677446158E-4"/>
    <n v="2.1465324386718758E-3"/>
    <n v="1.5503330538307624E-3"/>
    <n v="1.5503330538307624E-3"/>
  </r>
  <r>
    <x v="1"/>
    <x v="3"/>
    <x v="1"/>
    <s v="Økologisk"/>
    <x v="2"/>
    <s v="Græs"/>
    <n v="4.6558376485268237E-3"/>
    <n v="0.25227674921893189"/>
    <n v="0"/>
    <n v="0.25227674921893189"/>
  </r>
  <r>
    <x v="1"/>
    <x v="4"/>
    <x v="1"/>
    <s v="Økologisk"/>
    <x v="2"/>
    <s v="Grøntsager"/>
    <n v="2.1913160409102947E-5"/>
    <n v="3.628490666341311E-4"/>
    <n v="0"/>
    <n v="3.628490666341311E-4"/>
  </r>
  <r>
    <x v="1"/>
    <x v="5"/>
    <x v="1"/>
    <s v="Økologisk"/>
    <x v="2"/>
    <s v="Kartofler"/>
    <n v="1.2490240026200229E-4"/>
    <n v="4.2331643935908337E-3"/>
    <n v="0"/>
    <n v="4.2331643935908337E-3"/>
  </r>
  <r>
    <x v="1"/>
    <x v="6"/>
    <x v="1"/>
    <s v="Økologisk"/>
    <x v="2"/>
    <s v="Roer"/>
    <n v="1.4383580529018554E-4"/>
    <n v="9.3263823127136773E-3"/>
    <n v="0"/>
    <n v="9.3263823127136773E-3"/>
  </r>
  <r>
    <x v="1"/>
    <x v="7"/>
    <x v="1"/>
    <s v="Økologisk"/>
    <x v="2"/>
    <s v="Majs"/>
    <n v="1.4773771271930092E-4"/>
    <n v="7.6410860992241307E-3"/>
    <n v="0"/>
    <n v="7.6410860992241307E-3"/>
  </r>
  <r>
    <x v="1"/>
    <x v="8"/>
    <x v="1"/>
    <s v="Økologisk"/>
    <x v="2"/>
    <s v="Frugt"/>
    <n v="5.36103922831151E-5"/>
    <n v="3.6321147992595049E-4"/>
    <n v="0"/>
    <n v="3.6321147992595049E-4"/>
  </r>
  <r>
    <x v="1"/>
    <x v="9"/>
    <x v="1"/>
    <s v="Økologisk"/>
    <x v="2"/>
    <s v="Øvrige"/>
    <n v="3.8280420256893069E-4"/>
    <n v="9.1019978907632502E-3"/>
    <n v="0"/>
    <n v="9.1019978907632502E-3"/>
  </r>
  <r>
    <x v="1"/>
    <x v="10"/>
    <x v="1"/>
    <s v="Økologisk"/>
    <x v="2"/>
    <s v="Halm"/>
    <n v="3.5823496830607472E-3"/>
    <n v="4.0847781258830901E-2"/>
    <n v="9.176475301134749E-3"/>
    <n v="9.176475301134749E-3"/>
  </r>
  <r>
    <x v="1"/>
    <x v="11"/>
    <x v="1"/>
    <s v="Økologisk"/>
    <x v="2"/>
    <s v="Juletræer"/>
    <n v="8.4007179630396072E-5"/>
    <n v="3.351886467252803E-3"/>
    <n v="0"/>
    <n v="3.351886467252803E-3"/>
  </r>
  <r>
    <x v="1"/>
    <x v="12"/>
    <x v="1"/>
    <s v="Økologisk"/>
    <x v="2"/>
    <s v="Pil &amp; poppel"/>
    <n v="2.5625711820675929E-4"/>
    <n v="4.9876385446096065E-3"/>
    <n v="0"/>
    <n v="4.9876385446096065E-3"/>
  </r>
  <r>
    <x v="1"/>
    <x v="13"/>
    <x v="1"/>
    <s v="Økologisk"/>
    <x v="2"/>
    <s v="Græs"/>
    <n v="8.9116855005759964E-3"/>
    <n v="0.17204900027412021"/>
    <n v="0"/>
    <n v="0.17204900027412021"/>
  </r>
  <r>
    <x v="1"/>
    <x v="0"/>
    <x v="2"/>
    <s v="Økologisk"/>
    <x v="2"/>
    <s v="Halm"/>
    <n v="9.2567784798388234E-3"/>
    <n v="6.0866836080762599E-2"/>
    <n v="3.3141992245975242E-2"/>
    <n v="3.3141992245975242E-2"/>
  </r>
  <r>
    <x v="1"/>
    <x v="1"/>
    <x v="2"/>
    <s v="Økologisk"/>
    <x v="2"/>
    <s v="Halm"/>
    <n v="1.6813362231958326E-4"/>
    <n v="5.1789863415856597E-4"/>
    <n v="2.5649265283279502E-4"/>
    <n v="2.5649265283279502E-4"/>
  </r>
  <r>
    <x v="1"/>
    <x v="2"/>
    <x v="2"/>
    <s v="Økologisk"/>
    <x v="2"/>
    <s v="Halm"/>
    <n v="8.2129340322615392E-4"/>
    <n v="2.7825420501302097E-3"/>
    <n v="2.4792449666660174E-3"/>
    <n v="2.4792449666660174E-3"/>
  </r>
  <r>
    <x v="1"/>
    <x v="3"/>
    <x v="2"/>
    <s v="Økologisk"/>
    <x v="2"/>
    <s v="Græs"/>
    <n v="6.0353450999421779E-3"/>
    <n v="0.32702541565417098"/>
    <n v="0"/>
    <n v="0.32702541565417098"/>
  </r>
  <r>
    <x v="1"/>
    <x v="4"/>
    <x v="2"/>
    <s v="Økologisk"/>
    <x v="2"/>
    <s v="Grøntsager"/>
    <n v="2.8405948678466784E-5"/>
    <n v="4.7035990119239225E-4"/>
    <n v="0"/>
    <n v="4.7035990119239225E-4"/>
  </r>
  <r>
    <x v="1"/>
    <x v="5"/>
    <x v="2"/>
    <s v="Økologisk"/>
    <x v="2"/>
    <s v="Kartofler"/>
    <n v="1.6191051885815108E-4"/>
    <n v="5.4874353250251532E-3"/>
    <n v="0"/>
    <n v="5.4874353250251532E-3"/>
  </r>
  <r>
    <x v="1"/>
    <x v="6"/>
    <x v="2"/>
    <s v="Økologisk"/>
    <x v="2"/>
    <s v="Roer"/>
    <n v="1.8645382167246271E-4"/>
    <n v="1.2089754849814026E-2"/>
    <n v="0"/>
    <n v="1.2089754849814026E-2"/>
  </r>
  <r>
    <x v="1"/>
    <x v="7"/>
    <x v="2"/>
    <s v="Økologisk"/>
    <x v="2"/>
    <s v="Majs"/>
    <n v="1.9151184982131597E-4"/>
    <n v="9.9051116101053494E-3"/>
    <n v="0"/>
    <n v="9.9051116101053494E-3"/>
  </r>
  <r>
    <x v="1"/>
    <x v="8"/>
    <x v="2"/>
    <s v="Økologisk"/>
    <x v="2"/>
    <s v="Frugt"/>
    <n v="6.9494952959593638E-5"/>
    <n v="4.7082969620030604E-4"/>
    <n v="0"/>
    <n v="4.7082969620030604E-4"/>
  </r>
  <r>
    <x v="1"/>
    <x v="9"/>
    <x v="2"/>
    <s v="Økologisk"/>
    <x v="2"/>
    <s v="Øvrige"/>
    <n v="4.9622766999676197E-4"/>
    <n v="1.1798886154693104E-2"/>
    <n v="0"/>
    <n v="1.1798886154693104E-2"/>
  </r>
  <r>
    <x v="1"/>
    <x v="10"/>
    <x v="2"/>
    <s v="Økologisk"/>
    <x v="2"/>
    <s v="Halm"/>
    <n v="4.6437866261898574E-3"/>
    <n v="5.2950827557743746E-2"/>
    <n v="1.4674737241690045E-2"/>
    <n v="1.4674737241690045E-2"/>
  </r>
  <r>
    <x v="1"/>
    <x v="11"/>
    <x v="2"/>
    <s v="Økologisk"/>
    <x v="2"/>
    <s v="Juletræer"/>
    <n v="1.0889819581718008E-4"/>
    <n v="4.3450380131054853E-3"/>
    <n v="0"/>
    <n v="4.3450380131054853E-3"/>
  </r>
  <r>
    <x v="1"/>
    <x v="12"/>
    <x v="2"/>
    <s v="Økologisk"/>
    <x v="2"/>
    <s v="Pil &amp; poppel"/>
    <n v="3.3218515323098425E-4"/>
    <n v="6.4654573726420821E-3"/>
    <n v="0"/>
    <n v="6.4654573726420821E-3"/>
  </r>
  <r>
    <x v="1"/>
    <x v="13"/>
    <x v="2"/>
    <s v="Økologisk"/>
    <x v="2"/>
    <s v="Græs"/>
    <n v="1.1552184908154068E-2"/>
    <n v="0.22302648183682244"/>
    <n v="0"/>
    <n v="0.2230264818368224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35284.33485275437"/>
    <n v="49206.445220713846"/>
    <n v="0"/>
    <n v="43439.71273733316"/>
    <n v="0"/>
    <n v="0"/>
    <n v="0"/>
    <n v="0"/>
    <n v="642638.176894707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  <x v="0"/>
  </r>
  <r>
    <x v="4"/>
    <s v="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  <x v="0"/>
  </r>
  <r>
    <x v="6"/>
    <s v="Husdyrgødning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  <x v="0"/>
  </r>
  <r>
    <x v="11"/>
    <s v=""/>
    <n v="0"/>
    <x v="1"/>
    <s v="Vestdanmark"/>
    <n v="139807.2046539399"/>
    <n v="0"/>
    <n v="0"/>
    <n v="257923.29437791562"/>
    <n v="0"/>
    <n v="0"/>
    <n v="0"/>
    <n v="0"/>
    <n v="-118116.0897239757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481475.447011745"/>
    <n v="9936191.571616387"/>
    <n v="0"/>
    <n v="0"/>
    <n v="0"/>
    <n v="0"/>
    <n v="0"/>
    <n v="5078828.5991281262"/>
    <n v="-1533544.7237327676"/>
    <n v="0"/>
    <n v="0"/>
    <n v="0"/>
    <n v="0"/>
    <n v="0"/>
    <n v="0"/>
    <n v="0"/>
    <n v="0"/>
    <n v="0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502657.2310032574"/>
    <n v="0"/>
    <n v="0"/>
    <n v="270140.71358529059"/>
    <n v="0"/>
    <n v="0"/>
    <n v="0"/>
    <n v="0"/>
    <n v="1232516.5174179669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924190.6957464674"/>
    <n v="561023.48468616733"/>
    <n v="583713.23835090676"/>
    <n v="0"/>
    <n v="0"/>
    <n v="0"/>
    <n v="694779.36433719518"/>
    <n v="1084674.6083721975"/>
    <n v="0"/>
    <n v="0"/>
    <n v="694779.36433719518"/>
    <n v="0"/>
    <n v="7.1811049582161264"/>
    <n v="0"/>
    <n v="7.1811049582161264"/>
    <n v="0"/>
    <n v="590562.45968661585"/>
    <n v="0"/>
    <n v="590562.45968661585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x v="0"/>
  </r>
  <r>
    <x v="20"/>
    <s v=""/>
    <n v="0"/>
    <x v="1"/>
    <s v="Vestdanmark"/>
    <n v="644035.8493924035"/>
    <n v="0"/>
    <n v="0"/>
    <n v="0"/>
    <n v="0"/>
    <n v="0"/>
    <n v="0"/>
    <n v="0"/>
    <n v="644035.8493924035"/>
    <n v="0"/>
    <n v="0"/>
    <n v="0"/>
    <n v="0"/>
    <n v="0"/>
    <n v="0"/>
    <n v="0"/>
    <n v="0"/>
    <n v="0"/>
    <n v="0"/>
    <x v="0"/>
  </r>
  <r>
    <x v="21"/>
    <s v=""/>
    <n v="0"/>
    <x v="1"/>
    <s v="Vestdanmark"/>
    <n v="2153496.967481425"/>
    <n v="0"/>
    <n v="0"/>
    <n v="123531.68309679118"/>
    <n v="0"/>
    <n v="0"/>
    <n v="0"/>
    <n v="0"/>
    <n v="2029965.284384633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836920.0011490174"/>
    <n v="4738960.0403951732"/>
    <n v="0"/>
    <n v="295933.04302308214"/>
    <n v="0"/>
    <n v="0"/>
    <n v="0"/>
    <n v="0"/>
    <n v="-197973.08226923831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144486.0287738238"/>
    <n v="0"/>
    <n v="0"/>
    <n v="-1144486.028773823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  <x v="0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026803.5120526911"/>
    <n v="4627957.3505216967"/>
    <n v="0"/>
    <n v="0"/>
    <n v="0"/>
    <n v="0"/>
    <n v="0"/>
    <n v="0"/>
    <n v="-601153.83846900566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412647.5447842737"/>
    <n v="0"/>
    <n v="0"/>
    <n v="0"/>
    <n v="0"/>
    <n v="0"/>
    <n v="0"/>
    <n v="0"/>
    <n v="1412647.544784273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4802.2173997864"/>
    <n v="0"/>
    <n v="0"/>
    <n v="0"/>
    <n v="0"/>
    <n v="0"/>
    <n v="134802.2173997864"/>
    <n v="0"/>
    <n v="0"/>
    <n v="0"/>
    <n v="134802.2173997864"/>
    <n v="0"/>
    <n v="2.4803608001560695"/>
    <n v="0"/>
    <n v="2.4803608001560695"/>
    <n v="0"/>
    <n v="55942.920220911365"/>
    <n v="0"/>
    <n v="55942.920220911365"/>
    <x v="0"/>
  </r>
  <r>
    <x v="32"/>
    <s v="Pyrolyseprodukter"/>
    <n v="1"/>
    <x v="1"/>
    <s v="Vestdanmark"/>
    <n v="607417.78068843065"/>
    <n v="0"/>
    <n v="0"/>
    <n v="0"/>
    <n v="0"/>
    <n v="0"/>
    <n v="607417.78068843065"/>
    <n v="0"/>
    <n v="0"/>
    <n v="0"/>
    <n v="607417.78068843065"/>
    <n v="0"/>
    <n v="5.4433310546550349"/>
    <n v="0"/>
    <n v="5.4433310546550349"/>
    <n v="0"/>
    <n v="0"/>
    <n v="0"/>
    <n v="0"/>
    <x v="0"/>
  </r>
  <r>
    <x v="33"/>
    <s v="Pyrolyseprodukter"/>
    <n v="1"/>
    <x v="1"/>
    <s v="Vestdanmark"/>
    <n v="151854.44517210766"/>
    <n v="0"/>
    <n v="0"/>
    <n v="0"/>
    <n v="0"/>
    <n v="0"/>
    <n v="151854.44517210766"/>
    <n v="0"/>
    <n v="0"/>
    <n v="0"/>
    <n v="151854.44517210766"/>
    <n v="0"/>
    <n v="5.0519804559543458"/>
    <n v="0"/>
    <n v="5.0519804559543458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663977.87373411702"/>
    <n v="0"/>
    <n v="0"/>
    <n v="0"/>
    <n v="0"/>
    <n v="0"/>
    <n v="0"/>
    <n v="663977.8737341170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31988.93686705851"/>
    <n v="158593.80217920942"/>
    <n v="0"/>
    <n v="0"/>
    <n v="0"/>
    <n v="0"/>
    <n v="0"/>
    <n v="0"/>
    <n v="173395.1346878490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2472.91959491745"/>
    <n v="0"/>
    <n v="0"/>
    <n v="0"/>
    <n v="0"/>
    <n v="0"/>
    <n v="212472.91959491745"/>
    <n v="0"/>
    <n v="0"/>
    <n v="0"/>
    <n v="212472.91959491745"/>
    <n v="0"/>
    <n v="7.4365521858221095"/>
    <n v="0"/>
    <n v="7.4365521858221095"/>
    <n v="0"/>
    <n v="0"/>
    <n v="0"/>
    <n v="0"/>
    <x v="0"/>
  </r>
  <r>
    <x v="38"/>
    <s v="Græs og urter"/>
    <n v="1"/>
    <x v="1"/>
    <s v="Vestdanmark"/>
    <n v="668679.49055744556"/>
    <n v="700073.51609470148"/>
    <n v="0"/>
    <n v="0"/>
    <n v="0"/>
    <n v="0"/>
    <n v="0"/>
    <n v="0"/>
    <n v="-31394.025537255919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x v="0"/>
  </r>
  <r>
    <x v="42"/>
    <s v="Husdyrgødning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  <x v="0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  <x v="0"/>
  </r>
  <r>
    <x v="47"/>
    <s v="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09158.83584090974"/>
    <n v="31434.479653499999"/>
    <n v="0"/>
    <n v="112833.22962148272"/>
    <n v="0"/>
    <n v="0"/>
    <n v="0"/>
    <n v="0"/>
    <n v="464891.1265659270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52644993.79872894"/>
    <n v="0"/>
    <n v="0"/>
    <n v="0"/>
    <n v="0"/>
    <n v="0"/>
    <n v="452644993.79872894"/>
    <n v="0"/>
    <n v="0"/>
    <n v="0"/>
    <n v="452644993.79872894"/>
    <n v="0"/>
    <n v="0"/>
    <n v="0"/>
    <n v="0"/>
    <n v="0"/>
    <n v="0"/>
    <n v="0"/>
    <n v="0"/>
    <x v="0"/>
  </r>
  <r>
    <x v="4"/>
    <s v=""/>
    <n v="0"/>
    <x v="2"/>
    <s v="Vestdanmark"/>
    <n v="16711149.491198121"/>
    <n v="0"/>
    <n v="0"/>
    <n v="0"/>
    <n v="0"/>
    <n v="11134649.546942962"/>
    <n v="0"/>
    <n v="0"/>
    <n v="5576499.944255158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  <x v="0"/>
  </r>
  <r>
    <x v="6"/>
    <s v="Husdyrgødning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x v="0"/>
  </r>
  <r>
    <x v="9"/>
    <s v="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7962057.7199019091"/>
    <n v="6347522.3700933373"/>
    <n v="0"/>
    <n v="0"/>
    <n v="0"/>
    <n v="0"/>
    <n v="0"/>
    <n v="3244500.462221988"/>
    <n v="-1629965.1124134166"/>
    <n v="0"/>
    <n v="0"/>
    <n v="0"/>
    <n v="0"/>
    <n v="0"/>
    <n v="0"/>
    <n v="0"/>
    <n v="0"/>
    <n v="0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932613.2066284004"/>
    <n v="358397.79190306552"/>
    <n v="367504.60397489293"/>
    <n v="0"/>
    <n v="0"/>
    <n v="0"/>
    <n v="413997.02302441839"/>
    <n v="1792713.787726023"/>
    <n v="0"/>
    <n v="0"/>
    <n v="413997.02302441839"/>
    <n v="0"/>
    <n v="4.2789930549585398"/>
    <n v="0"/>
    <n v="4.2789930549585398"/>
    <n v="0"/>
    <n v="351897.46957075561"/>
    <n v="0"/>
    <n v="351897.46957075561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  <x v="0"/>
  </r>
  <r>
    <x v="23"/>
    <s v=""/>
    <n v="0"/>
    <x v="2"/>
    <s v="Vestdanmark"/>
    <n v="0"/>
    <n v="0"/>
    <n v="0"/>
    <n v="0"/>
    <n v="0"/>
    <n v="1136583.5049650094"/>
    <n v="0"/>
    <n v="0"/>
    <n v="-1136583.5049650094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  <x v="0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204301.4084430053"/>
    <n v="2956471.058206012"/>
    <n v="0"/>
    <n v="0"/>
    <n v="550329.17750715138"/>
    <n v="0"/>
    <n v="0"/>
    <n v="0"/>
    <n v="-302498.8272701581"/>
    <n v="0"/>
    <n v="550329.17750715138"/>
    <n v="0"/>
    <n v="1.9756817472506736"/>
    <n v="1.9756817472506736"/>
    <n v="0"/>
    <n v="0"/>
    <n v="165098.7532521454"/>
    <n v="165098.7532521454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  <x v="0"/>
  </r>
  <r>
    <x v="32"/>
    <s v="Pyrolyseprodukter"/>
    <n v="1"/>
    <x v="2"/>
    <s v="Vestdanmark"/>
    <n v="1003919.7211265729"/>
    <n v="0"/>
    <n v="0"/>
    <n v="0"/>
    <n v="0"/>
    <n v="0"/>
    <n v="1003919.7211265729"/>
    <n v="0"/>
    <n v="0"/>
    <n v="0"/>
    <n v="1003919.7211265729"/>
    <n v="0"/>
    <n v="8.9965548723242712"/>
    <n v="0"/>
    <n v="8.9965548723242712"/>
    <n v="0"/>
    <n v="0"/>
    <n v="0"/>
    <n v="0"/>
    <x v="0"/>
  </r>
  <r>
    <x v="33"/>
    <s v="Pyrolyseprodukter"/>
    <n v="1"/>
    <x v="2"/>
    <s v="Vestdanmark"/>
    <n v="250979.93028164323"/>
    <n v="0"/>
    <n v="0"/>
    <n v="0"/>
    <n v="0"/>
    <n v="0"/>
    <n v="250979.93028164323"/>
    <n v="0"/>
    <n v="0"/>
    <n v="0"/>
    <n v="250979.93028164323"/>
    <n v="0"/>
    <n v="8.349743737712723"/>
    <n v="0"/>
    <n v="8.349743737712723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547384.79935736058"/>
    <n v="0"/>
    <n v="0"/>
    <n v="0"/>
    <n v="0"/>
    <n v="0"/>
    <n v="0"/>
    <n v="547384.7993573605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73692.39967868029"/>
    <n v="101314.24095790923"/>
    <n v="0"/>
    <n v="0"/>
    <n v="0"/>
    <n v="0"/>
    <n v="0"/>
    <n v="0"/>
    <n v="172378.1587207710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75163.13579435539"/>
    <n v="0"/>
    <n v="0"/>
    <n v="0"/>
    <n v="0"/>
    <n v="0"/>
    <n v="175163.13579435539"/>
    <n v="0"/>
    <n v="0"/>
    <n v="0"/>
    <n v="175163.13579435539"/>
    <n v="0"/>
    <n v="6.1307097528024377"/>
    <n v="0"/>
    <n v="6.1307097528024377"/>
    <n v="0"/>
    <n v="0"/>
    <n v="0"/>
    <n v="0"/>
    <x v="0"/>
  </r>
  <r>
    <x v="38"/>
    <s v="Græs og urter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  <x v="0"/>
  </r>
  <r>
    <x v="42"/>
    <s v="Husdyrgødning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  <x v="0"/>
  </r>
  <r>
    <x v="43"/>
    <s v="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347927.0937342439"/>
    <n v="0"/>
    <n v="0"/>
    <n v="0"/>
    <n v="0"/>
    <n v="0"/>
    <n v="2347927.0937342439"/>
    <n v="0"/>
    <n v="0"/>
    <n v="0"/>
    <n v="2347927.0937342439"/>
    <n v="0"/>
    <n v="34.029843107034417"/>
    <n v="0"/>
    <n v="34.029843107034417"/>
    <n v="0"/>
    <n v="1161245.6084427282"/>
    <n v="0"/>
    <n v="1161245.6084427282"/>
    <x v="0"/>
  </r>
  <r>
    <x v="47"/>
    <s v=""/>
    <n v="0"/>
    <x v="2"/>
    <s v="Vestdanmark"/>
    <n v="691748.76447704039"/>
    <n v="0"/>
    <n v="0"/>
    <n v="0"/>
    <n v="0"/>
    <n v="0"/>
    <n v="0"/>
    <n v="691748.7644770403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6972.56744938664"/>
    <n v="6025.5704593107703"/>
    <n v="0"/>
    <n v="37612.453499504722"/>
    <n v="0"/>
    <n v="0"/>
    <n v="0"/>
    <n v="0"/>
    <n v="193334.5434905711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  <x v="0"/>
  </r>
  <r>
    <x v="4"/>
    <s v="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  <x v="0"/>
  </r>
  <r>
    <x v="6"/>
    <s v="Husdyrgødning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  <x v="0"/>
  </r>
  <r>
    <x v="11"/>
    <s v=""/>
    <n v="0"/>
    <x v="1"/>
    <s v="Østdanmark"/>
    <n v="45453.077491377226"/>
    <n v="0"/>
    <n v="0"/>
    <n v="223323.94265330929"/>
    <n v="0"/>
    <n v="0"/>
    <n v="0"/>
    <n v="0"/>
    <n v="-177870.86516193207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023735.0007342594"/>
    <n v="1216735.3716252823"/>
    <n v="0"/>
    <n v="0"/>
    <n v="0"/>
    <n v="0"/>
    <n v="0"/>
    <n v="621927.46168801945"/>
    <n v="2185072.1674209577"/>
    <n v="651527.44368819008"/>
    <n v="0"/>
    <n v="1.1987290554558088"/>
    <n v="1.1987290554558088"/>
    <n v="0"/>
    <n v="1.1987290554558088"/>
    <n v="182427.68423269325"/>
    <n v="182427.68423269325"/>
    <n v="0"/>
    <n v="182427.68423269325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88829.33816016692"/>
    <n v="0"/>
    <n v="0"/>
    <n v="233902.44520004498"/>
    <n v="0"/>
    <n v="0"/>
    <n v="0"/>
    <n v="0"/>
    <n v="254926.8929601219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36016.68504196673"/>
    <n v="68700.076202243421"/>
    <n v="82995.732675897758"/>
    <n v="0"/>
    <n v="0"/>
    <n v="0"/>
    <n v="388995.48453602241"/>
    <n v="395325.39162780321"/>
    <n v="0"/>
    <n v="0"/>
    <n v="388995.48453602241"/>
    <n v="0"/>
    <n v="4.0205819949620647"/>
    <n v="0"/>
    <n v="4.0205819949620647"/>
    <n v="0"/>
    <n v="330646.16185561905"/>
    <n v="0"/>
    <n v="330646.16185561905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x v="0"/>
  </r>
  <r>
    <x v="20"/>
    <s v=""/>
    <n v="0"/>
    <x v="1"/>
    <s v="Østdanmark"/>
    <n v="204048.45051038259"/>
    <n v="0"/>
    <n v="0"/>
    <n v="0"/>
    <n v="0"/>
    <n v="0"/>
    <n v="0"/>
    <n v="0"/>
    <n v="204048.45051038259"/>
    <n v="0"/>
    <n v="0"/>
    <n v="0"/>
    <n v="0"/>
    <n v="0"/>
    <n v="0"/>
    <n v="0"/>
    <n v="0"/>
    <n v="0"/>
    <n v="0"/>
    <x v="0"/>
  </r>
  <r>
    <x v="21"/>
    <s v=""/>
    <n v="0"/>
    <x v="1"/>
    <s v="Østdanmark"/>
    <n v="680680.18601722247"/>
    <n v="0"/>
    <n v="0"/>
    <n v="106960.41463921656"/>
    <n v="0"/>
    <n v="0"/>
    <n v="0"/>
    <n v="0"/>
    <n v="573719.77137800585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41299.6719009152"/>
    <n v="580308.89041419514"/>
    <n v="0"/>
    <n v="256234.83946537593"/>
    <n v="0"/>
    <n v="0"/>
    <n v="0"/>
    <n v="0"/>
    <n v="704755.94202134409"/>
    <n v="506782.85975210578"/>
    <n v="0"/>
    <n v="1.7356603450505974"/>
    <n v="1.7356603450505974"/>
    <n v="0"/>
    <n v="1.7356603450505974"/>
    <n v="157102.68652315278"/>
    <n v="157102.68652315278"/>
    <n v="0"/>
    <n v="157102.68652315278"/>
    <x v="0"/>
  </r>
  <r>
    <x v="23"/>
    <s v=""/>
    <n v="0"/>
    <x v="1"/>
    <s v="Østdanmark"/>
    <n v="0"/>
    <n v="0"/>
    <n v="0"/>
    <n v="0"/>
    <n v="0"/>
    <n v="515528.42000534153"/>
    <n v="0"/>
    <n v="0"/>
    <n v="-515528.4200053415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  <x v="0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5469.8186668158"/>
    <n v="566716.06683172472"/>
    <n v="0"/>
    <n v="0"/>
    <n v="0"/>
    <n v="0"/>
    <n v="0"/>
    <n v="0"/>
    <n v="668753.75183509104"/>
    <n v="67599.913366085384"/>
    <n v="0"/>
    <n v="0.24268368898424655"/>
    <n v="0.24268368898424655"/>
    <n v="0"/>
    <n v="0.24268368898424655"/>
    <n v="20279.974009825615"/>
    <n v="20279.974009825615"/>
    <n v="0"/>
    <n v="20279.97400982561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49217.90264651313"/>
    <n v="0"/>
    <n v="0"/>
    <n v="0"/>
    <n v="0"/>
    <n v="0"/>
    <n v="0"/>
    <n v="0"/>
    <n v="449217.9026465131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848.41282272341"/>
    <n v="0"/>
    <n v="0"/>
    <n v="0"/>
    <n v="0"/>
    <n v="0"/>
    <n v="39848.41282272341"/>
    <n v="0"/>
    <n v="0"/>
    <n v="0"/>
    <n v="39848.41282272341"/>
    <n v="0"/>
    <n v="0.73321079593811067"/>
    <n v="0"/>
    <n v="0.73321079593811067"/>
    <n v="0"/>
    <n v="16537.091321430216"/>
    <n v="0"/>
    <n v="16537.091321430216"/>
    <x v="0"/>
  </r>
  <r>
    <x v="32"/>
    <s v="Pyrolyseprodukter"/>
    <n v="1"/>
    <x v="1"/>
    <s v="Østdanmark"/>
    <n v="221382.21931156982"/>
    <n v="0"/>
    <n v="0"/>
    <n v="0"/>
    <n v="0"/>
    <n v="0"/>
    <n v="221382.21931156982"/>
    <n v="0"/>
    <n v="0"/>
    <n v="0"/>
    <n v="221382.21931156982"/>
    <n v="0"/>
    <n v="1.9839009453449672"/>
    <n v="0"/>
    <n v="1.9839009453449672"/>
    <n v="0"/>
    <n v="0"/>
    <n v="0"/>
    <n v="0"/>
    <x v="0"/>
  </r>
  <r>
    <x v="33"/>
    <s v="Pyrolyseprodukter"/>
    <n v="1"/>
    <x v="1"/>
    <s v="Østdanmark"/>
    <n v="55345.554827892454"/>
    <n v="0"/>
    <n v="0"/>
    <n v="0"/>
    <n v="0"/>
    <n v="0"/>
    <n v="55345.554827892454"/>
    <n v="0"/>
    <n v="0"/>
    <n v="0"/>
    <n v="55345.554827892454"/>
    <n v="0"/>
    <n v="1.8412675440456558"/>
    <n v="0"/>
    <n v="1.8412675440456558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14510.72415794732"/>
    <n v="0"/>
    <n v="0"/>
    <n v="0"/>
    <n v="0"/>
    <n v="0"/>
    <n v="0"/>
    <n v="214510.7241579473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7255.36207897366"/>
    <n v="19420.588606927966"/>
    <n v="0"/>
    <n v="0"/>
    <n v="0"/>
    <n v="0"/>
    <n v="0"/>
    <n v="0"/>
    <n v="87834.773472045694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8643.431730543147"/>
    <n v="0"/>
    <n v="0"/>
    <n v="0"/>
    <n v="0"/>
    <n v="0"/>
    <n v="68643.431730543147"/>
    <n v="0"/>
    <n v="0"/>
    <n v="0"/>
    <n v="68643.431730543147"/>
    <n v="0"/>
    <n v="2.4025201105690099"/>
    <n v="0"/>
    <n v="2.4025201105690099"/>
    <n v="0"/>
    <n v="0"/>
    <n v="0"/>
    <n v="0"/>
    <x v="0"/>
  </r>
  <r>
    <x v="38"/>
    <s v="Græs og urter"/>
    <n v="1"/>
    <x v="1"/>
    <s v="Østdanmark"/>
    <n v="224907.22799024681"/>
    <n v="85727.434262012321"/>
    <n v="0"/>
    <n v="0"/>
    <n v="0"/>
    <n v="0"/>
    <n v="0"/>
    <n v="0"/>
    <n v="139179.79372823448"/>
    <n v="107785.76819097856"/>
    <n v="0"/>
    <n v="0.29253488630104346"/>
    <n v="0.29253488630104346"/>
    <n v="0"/>
    <n v="0.29253488630104346"/>
    <n v="21557.153638195712"/>
    <n v="21557.153638195712"/>
    <n v="0"/>
    <n v="21557.15363819571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x v="0"/>
  </r>
  <r>
    <x v="42"/>
    <s v="Husdyrgødning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  <x v="0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  <x v="0"/>
  </r>
  <r>
    <x v="47"/>
    <s v="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015.95064111016"/>
    <n v="3823.0915711153852"/>
    <n v="0"/>
    <n v="98440.006733673188"/>
    <n v="0"/>
    <n v="0"/>
    <n v="0"/>
    <n v="0"/>
    <n v="118752.8523363215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49232892.94223267"/>
    <n v="0"/>
    <n v="0"/>
    <n v="0"/>
    <n v="0"/>
    <n v="0"/>
    <n v="149232892.94223267"/>
    <n v="0"/>
    <n v="0"/>
    <n v="0"/>
    <n v="149232892.94223267"/>
    <n v="0"/>
    <n v="0"/>
    <n v="0"/>
    <n v="0"/>
    <n v="0"/>
    <n v="0"/>
    <n v="0"/>
    <n v="0"/>
    <x v="0"/>
  </r>
  <r>
    <x v="4"/>
    <s v=""/>
    <n v="0"/>
    <x v="2"/>
    <s v="Østdanmark"/>
    <n v="4825001.4556238251"/>
    <n v="0"/>
    <n v="0"/>
    <n v="0"/>
    <n v="0"/>
    <n v="3214901.5422402946"/>
    <n v="0"/>
    <n v="0"/>
    <n v="1610099.9133835305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  <x v="0"/>
  </r>
  <r>
    <x v="6"/>
    <s v="Husdyrgødning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x v="0"/>
  </r>
  <r>
    <x v="9"/>
    <s v="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x v="0"/>
  </r>
  <r>
    <x v="11"/>
    <s v="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888780.8014802146"/>
    <n v="771991.75994211878"/>
    <n v="0"/>
    <n v="0"/>
    <n v="0"/>
    <n v="0"/>
    <n v="0"/>
    <n v="394599.25872257137"/>
    <n v="1722189.7828155244"/>
    <n v="92224.67040210776"/>
    <n v="0"/>
    <n v="0.16968186545607802"/>
    <n v="0.16968186545607802"/>
    <n v="0"/>
    <n v="0.16968186545607802"/>
    <n v="25822.907712590175"/>
    <n v="25822.907712590175"/>
    <n v="0"/>
    <n v="25822.907712590175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064014.7311507878"/>
    <n v="43588.683268641777"/>
    <n v="51992.644823495335"/>
    <n v="0"/>
    <n v="0"/>
    <n v="0"/>
    <n v="261147.19078467367"/>
    <n v="707286.21227397677"/>
    <n v="0"/>
    <n v="0"/>
    <n v="261147.19078467367"/>
    <n v="0"/>
    <n v="2.6991667899593614"/>
    <n v="0"/>
    <n v="2.6991667899593614"/>
    <n v="0"/>
    <n v="221975.11216697263"/>
    <n v="0"/>
    <n v="221975.11216697263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  <x v="0"/>
  </r>
  <r>
    <x v="21"/>
    <s v="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  <x v="0"/>
  </r>
  <r>
    <x v="23"/>
    <s v=""/>
    <n v="0"/>
    <x v="2"/>
    <s v="Østdanmark"/>
    <n v="0"/>
    <n v="0"/>
    <n v="0"/>
    <n v="0"/>
    <n v="0"/>
    <n v="479704.42610224185"/>
    <n v="0"/>
    <n v="0"/>
    <n v="-479704.4261022418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  <x v="0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62586.9095964739"/>
    <n v="359568.84629440639"/>
    <n v="0"/>
    <n v="0"/>
    <n v="199670.8224928487"/>
    <n v="0"/>
    <n v="0"/>
    <n v="0"/>
    <n v="603347.24080921884"/>
    <n v="300848.41353906074"/>
    <n v="199670.8224928487"/>
    <n v="1.0800458046052281"/>
    <n v="1.7968640573545551"/>
    <n v="0.71681825274932687"/>
    <n v="1.0800458046052284"/>
    <n v="90254.524061718213"/>
    <n v="150155.77080957283"/>
    <n v="59901.24674785461"/>
    <n v="90254.524061718228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  <x v="1"/>
  </r>
  <r>
    <x v="30"/>
    <s v="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  <x v="0"/>
  </r>
  <r>
    <x v="32"/>
    <s v="Pyrolyseprodukter"/>
    <n v="1"/>
    <x v="2"/>
    <s v="Østdanmark"/>
    <n v="396080.27887342701"/>
    <n v="0"/>
    <n v="0"/>
    <n v="0"/>
    <n v="0"/>
    <n v="0"/>
    <n v="396080.27887342701"/>
    <n v="0"/>
    <n v="0"/>
    <n v="0"/>
    <n v="396080.27887342701"/>
    <n v="0"/>
    <n v="3.5494451276757242"/>
    <n v="0"/>
    <n v="3.5494451276757242"/>
    <n v="0"/>
    <n v="0"/>
    <n v="0"/>
    <n v="0"/>
    <x v="0"/>
  </r>
  <r>
    <x v="33"/>
    <s v="Pyrolyseprodukter"/>
    <n v="1"/>
    <x v="2"/>
    <s v="Østdanmark"/>
    <n v="99020.069718356754"/>
    <n v="0"/>
    <n v="0"/>
    <n v="0"/>
    <n v="0"/>
    <n v="0"/>
    <n v="99020.069718356754"/>
    <n v="0"/>
    <n v="0"/>
    <n v="0"/>
    <n v="99020.069718356754"/>
    <n v="0"/>
    <n v="3.2942562622872735"/>
    <n v="0"/>
    <n v="3.2942562622872735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198603.01144531288"/>
    <n v="0"/>
    <n v="0"/>
    <n v="0"/>
    <n v="0"/>
    <n v="0"/>
    <n v="0"/>
    <n v="198603.01144531288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301.505722656439"/>
    <n v="12321.935177858404"/>
    <n v="0"/>
    <n v="0"/>
    <n v="0"/>
    <n v="0"/>
    <n v="0"/>
    <n v="0"/>
    <n v="86979.57054479802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552.963662500122"/>
    <n v="0"/>
    <n v="0"/>
    <n v="0"/>
    <n v="0"/>
    <n v="0"/>
    <n v="63552.963662500122"/>
    <n v="0"/>
    <n v="0"/>
    <n v="0"/>
    <n v="63552.963662500122"/>
    <n v="0"/>
    <n v="2.2243537281875039"/>
    <n v="0"/>
    <n v="2.2243537281875039"/>
    <n v="0"/>
    <n v="0"/>
    <n v="0"/>
    <n v="0"/>
    <x v="0"/>
  </r>
  <r>
    <x v="38"/>
    <s v="Græs og urter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  <x v="0"/>
  </r>
  <r>
    <x v="42"/>
    <s v="Husdyrgødning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  <x v="0"/>
  </r>
  <r>
    <x v="43"/>
    <s v="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9106.00625063898"/>
    <n v="0"/>
    <n v="0"/>
    <n v="0"/>
    <n v="0"/>
    <n v="0"/>
    <n v="629106.00625063898"/>
    <n v="0"/>
    <n v="0"/>
    <n v="0"/>
    <n v="629106.00625063898"/>
    <n v="0"/>
    <n v="9.1179912474852252"/>
    <n v="0"/>
    <n v="9.1179912474852252"/>
    <n v="0"/>
    <n v="311145.34559146187"/>
    <n v="0"/>
    <n v="311145.34559146187"/>
    <x v="0"/>
  </r>
  <r>
    <x v="47"/>
    <s v=""/>
    <n v="0"/>
    <x v="2"/>
    <s v="Østdanmark"/>
    <n v="178830.65970425931"/>
    <n v="0"/>
    <n v="0"/>
    <n v="0"/>
    <n v="0"/>
    <n v="0"/>
    <n v="0"/>
    <n v="178830.6597042593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35284.33485275437"/>
    <n v="49206.445220713846"/>
    <n v="0"/>
    <n v="43439.71273733316"/>
    <n v="0"/>
    <n v="0"/>
    <n v="0"/>
    <n v="0"/>
    <n v="642638.176894707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  <n v="0"/>
    <x v="1"/>
  </r>
  <r>
    <x v="4"/>
    <s v="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  <n v="0"/>
    <x v="0"/>
  </r>
  <r>
    <x v="6"/>
    <s v="Husdyrgødning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  <n v="0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39807.2046539399"/>
    <n v="0"/>
    <n v="0"/>
    <n v="257923.29437791562"/>
    <n v="0"/>
    <n v="0"/>
    <n v="0"/>
    <n v="0"/>
    <n v="-118116.0897239757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481475.447011745"/>
    <n v="9936191.571616387"/>
    <n v="0"/>
    <n v="0"/>
    <n v="0"/>
    <n v="0"/>
    <n v="0"/>
    <n v="5078828.5991281262"/>
    <n v="-1533544.7237327676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502657.2310032574"/>
    <n v="0"/>
    <n v="0"/>
    <n v="270140.71358529059"/>
    <n v="0"/>
    <n v="0"/>
    <n v="0"/>
    <n v="0"/>
    <n v="1232516.517417966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924190.6957464674"/>
    <n v="561023.48468616733"/>
    <n v="583713.23835090676"/>
    <n v="0"/>
    <n v="0"/>
    <n v="0"/>
    <n v="694779.36433719518"/>
    <n v="1084674.6083721975"/>
    <n v="0"/>
    <n v="0"/>
    <n v="694779.36433719518"/>
    <n v="0"/>
    <n v="7.1811049582161264"/>
    <n v="0"/>
    <n v="7.1811049582161264"/>
    <n v="0"/>
    <n v="590562.45968661585"/>
    <n v="0"/>
    <n v="590562.45968661585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n v="0"/>
    <x v="0"/>
  </r>
  <r>
    <x v="20"/>
    <s v=""/>
    <n v="0"/>
    <x v="1"/>
    <s v="Vestdanmark"/>
    <n v="644035.8493924035"/>
    <n v="0"/>
    <n v="0"/>
    <n v="0"/>
    <n v="0"/>
    <n v="0"/>
    <n v="0"/>
    <n v="0"/>
    <n v="644035.8493924035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153496.967481425"/>
    <n v="0"/>
    <n v="0"/>
    <n v="123531.68309679118"/>
    <n v="0"/>
    <n v="0"/>
    <n v="0"/>
    <n v="0"/>
    <n v="2029965.284384633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836920.0011490174"/>
    <n v="4738960.0403951732"/>
    <n v="0"/>
    <n v="295933.04302308214"/>
    <n v="0"/>
    <n v="0"/>
    <n v="0"/>
    <n v="0"/>
    <n v="-197973.08226923831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144486.0287738238"/>
    <n v="0"/>
    <n v="0"/>
    <n v="-1144486.028773823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  <n v="0"/>
    <x v="1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026803.5120526911"/>
    <n v="4627957.3505216967"/>
    <n v="0"/>
    <n v="0"/>
    <n v="0"/>
    <n v="0"/>
    <n v="0"/>
    <n v="0"/>
    <n v="-601153.83846900566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12647.5447842737"/>
    <n v="0"/>
    <n v="0"/>
    <n v="0"/>
    <n v="0"/>
    <n v="0"/>
    <n v="0"/>
    <n v="0"/>
    <n v="1412647.544784273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4802.2173997864"/>
    <n v="0"/>
    <n v="0"/>
    <n v="0"/>
    <n v="0"/>
    <n v="0"/>
    <n v="134802.2173997864"/>
    <n v="0"/>
    <n v="0"/>
    <n v="0"/>
    <n v="134802.2173997864"/>
    <n v="0"/>
    <n v="2.4803608001560695"/>
    <n v="0"/>
    <n v="2.4803608001560695"/>
    <n v="0"/>
    <n v="55942.920220911365"/>
    <n v="0"/>
    <n v="55942.920220911365"/>
    <n v="0"/>
    <x v="1"/>
  </r>
  <r>
    <x v="32"/>
    <s v="Pyrolyseprodukter"/>
    <n v="1"/>
    <x v="1"/>
    <s v="Vestdanmark"/>
    <n v="607417.78068843065"/>
    <n v="0"/>
    <n v="0"/>
    <n v="0"/>
    <n v="0"/>
    <n v="0"/>
    <n v="607417.78068843065"/>
    <n v="0"/>
    <n v="0"/>
    <n v="0"/>
    <n v="607417.78068843065"/>
    <n v="0"/>
    <n v="5.4433310546550349"/>
    <n v="0"/>
    <n v="5.4433310546550349"/>
    <n v="0"/>
    <n v="0"/>
    <n v="0"/>
    <n v="0"/>
    <n v="0"/>
    <x v="1"/>
  </r>
  <r>
    <x v="33"/>
    <s v="Pyrolyseprodukter"/>
    <n v="1"/>
    <x v="1"/>
    <s v="Vestdanmark"/>
    <n v="151854.44517210766"/>
    <n v="0"/>
    <n v="0"/>
    <n v="0"/>
    <n v="0"/>
    <n v="0"/>
    <n v="151854.44517210766"/>
    <n v="0"/>
    <n v="0"/>
    <n v="0"/>
    <n v="151854.44517210766"/>
    <n v="0"/>
    <n v="5.0519804559543458"/>
    <n v="0"/>
    <n v="5.0519804559543458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63977.87373411702"/>
    <n v="0"/>
    <n v="0"/>
    <n v="0"/>
    <n v="0"/>
    <n v="0"/>
    <n v="0"/>
    <n v="663977.8737341170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31988.93686705851"/>
    <n v="158593.80217920942"/>
    <n v="0"/>
    <n v="0"/>
    <n v="0"/>
    <n v="0"/>
    <n v="0"/>
    <n v="0"/>
    <n v="173395.1346878490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2472.91959491745"/>
    <n v="0"/>
    <n v="0"/>
    <n v="0"/>
    <n v="0"/>
    <n v="0"/>
    <n v="212472.91959491745"/>
    <n v="0"/>
    <n v="0"/>
    <n v="0"/>
    <n v="212472.91959491745"/>
    <n v="0"/>
    <n v="7.4365521858221095"/>
    <n v="0"/>
    <n v="7.4365521858221095"/>
    <n v="0"/>
    <n v="0"/>
    <n v="0"/>
    <n v="0"/>
    <n v="0"/>
    <x v="1"/>
  </r>
  <r>
    <x v="38"/>
    <s v="Græs og urter"/>
    <n v="1"/>
    <x v="1"/>
    <s v="Vestdanmark"/>
    <n v="668679.49055744556"/>
    <n v="700073.51609470148"/>
    <n v="0"/>
    <n v="0"/>
    <n v="0"/>
    <n v="0"/>
    <n v="0"/>
    <n v="0"/>
    <n v="-31394.025537255919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n v="0"/>
    <x v="0"/>
  </r>
  <r>
    <x v="42"/>
    <s v="Husdyrgødning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  <n v="0"/>
    <x v="1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  <n v="0"/>
    <x v="1"/>
  </r>
  <r>
    <x v="47"/>
    <s v="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09158.83584090974"/>
    <n v="31434.479653499999"/>
    <n v="0"/>
    <n v="112833.22962148272"/>
    <n v="0"/>
    <n v="0"/>
    <n v="0"/>
    <n v="0"/>
    <n v="464891.1265659270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52644993.79872894"/>
    <n v="0"/>
    <n v="0"/>
    <n v="0"/>
    <n v="0"/>
    <n v="0"/>
    <n v="452644993.79872894"/>
    <n v="0"/>
    <n v="0"/>
    <n v="0"/>
    <n v="452644993.79872894"/>
    <n v="0"/>
    <n v="0"/>
    <n v="0"/>
    <n v="0"/>
    <n v="0"/>
    <n v="0"/>
    <n v="0"/>
    <n v="0"/>
    <n v="0"/>
    <x v="1"/>
  </r>
  <r>
    <x v="4"/>
    <s v=""/>
    <n v="0"/>
    <x v="2"/>
    <s v="Vestdanmark"/>
    <n v="16711149.491198121"/>
    <n v="0"/>
    <n v="0"/>
    <n v="0"/>
    <n v="0"/>
    <n v="11134649.546942962"/>
    <n v="0"/>
    <n v="0"/>
    <n v="5576499.944255158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  <n v="0"/>
    <x v="0"/>
  </r>
  <r>
    <x v="6"/>
    <s v="Husdyrgødning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  <n v="0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n v="0"/>
    <x v="1"/>
  </r>
  <r>
    <x v="9"/>
    <s v="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7962057.7199019091"/>
    <n v="6347522.3700933373"/>
    <n v="0"/>
    <n v="0"/>
    <n v="0"/>
    <n v="0"/>
    <n v="0"/>
    <n v="3244500.462221988"/>
    <n v="-1629965.1124134166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932613.2066284004"/>
    <n v="358397.79190306552"/>
    <n v="367504.60397489293"/>
    <n v="0"/>
    <n v="0"/>
    <n v="0"/>
    <n v="413997.02302441839"/>
    <n v="1792713.787726023"/>
    <n v="0"/>
    <n v="0"/>
    <n v="413997.02302441839"/>
    <n v="0"/>
    <n v="4.2789930549585398"/>
    <n v="0"/>
    <n v="4.2789930549585398"/>
    <n v="0"/>
    <n v="351897.46957075561"/>
    <n v="0"/>
    <n v="351897.46957075561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  <n v="0"/>
    <x v="0"/>
  </r>
  <r>
    <x v="23"/>
    <s v=""/>
    <n v="0"/>
    <x v="2"/>
    <s v="Vestdanmark"/>
    <n v="0"/>
    <n v="0"/>
    <n v="0"/>
    <n v="0"/>
    <n v="0"/>
    <n v="1136583.5049650094"/>
    <n v="0"/>
    <n v="0"/>
    <n v="-1136583.504965009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  <n v="0"/>
    <x v="1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204301.4084430053"/>
    <n v="2956471.058206012"/>
    <n v="0"/>
    <n v="0"/>
    <n v="550329.17750715138"/>
    <n v="0"/>
    <n v="0"/>
    <n v="0"/>
    <n v="-302498.8272701581"/>
    <n v="0"/>
    <n v="550329.17750715138"/>
    <n v="0"/>
    <n v="1.9756817472506736"/>
    <n v="1.9756817472506736"/>
    <n v="0"/>
    <n v="0"/>
    <n v="165098.7532521454"/>
    <n v="165098.7532521454"/>
    <n v="0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  <n v="0"/>
    <x v="1"/>
  </r>
  <r>
    <x v="32"/>
    <s v="Pyrolyseprodukter"/>
    <n v="1"/>
    <x v="2"/>
    <s v="Vestdanmark"/>
    <n v="1003919.7211265729"/>
    <n v="0"/>
    <n v="0"/>
    <n v="0"/>
    <n v="0"/>
    <n v="0"/>
    <n v="1003919.7211265729"/>
    <n v="0"/>
    <n v="0"/>
    <n v="0"/>
    <n v="1003919.7211265729"/>
    <n v="0"/>
    <n v="8.9965548723242712"/>
    <n v="0"/>
    <n v="8.9965548723242712"/>
    <n v="0"/>
    <n v="0"/>
    <n v="0"/>
    <n v="0"/>
    <n v="0"/>
    <x v="1"/>
  </r>
  <r>
    <x v="33"/>
    <s v="Pyrolyseprodukter"/>
    <n v="1"/>
    <x v="2"/>
    <s v="Vestdanmark"/>
    <n v="250979.93028164323"/>
    <n v="0"/>
    <n v="0"/>
    <n v="0"/>
    <n v="0"/>
    <n v="0"/>
    <n v="250979.93028164323"/>
    <n v="0"/>
    <n v="0"/>
    <n v="0"/>
    <n v="250979.93028164323"/>
    <n v="0"/>
    <n v="8.349743737712723"/>
    <n v="0"/>
    <n v="8.349743737712723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47384.79935736058"/>
    <n v="0"/>
    <n v="0"/>
    <n v="0"/>
    <n v="0"/>
    <n v="0"/>
    <n v="0"/>
    <n v="547384.7993573605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73692.39967868029"/>
    <n v="101314.24095790923"/>
    <n v="0"/>
    <n v="0"/>
    <n v="0"/>
    <n v="0"/>
    <n v="0"/>
    <n v="0"/>
    <n v="172378.1587207710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75163.13579435539"/>
    <n v="0"/>
    <n v="0"/>
    <n v="0"/>
    <n v="0"/>
    <n v="0"/>
    <n v="175163.13579435539"/>
    <n v="0"/>
    <n v="0"/>
    <n v="0"/>
    <n v="175163.13579435539"/>
    <n v="0"/>
    <n v="6.1307097528024377"/>
    <n v="0"/>
    <n v="6.1307097528024377"/>
    <n v="0"/>
    <n v="0"/>
    <n v="0"/>
    <n v="0"/>
    <n v="0"/>
    <x v="1"/>
  </r>
  <r>
    <x v="38"/>
    <s v="Græs og urter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  <n v="0"/>
    <x v="0"/>
  </r>
  <r>
    <x v="42"/>
    <s v="Husdyrgødning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  <n v="0"/>
    <x v="1"/>
  </r>
  <r>
    <x v="43"/>
    <s v="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347927.0937342439"/>
    <n v="0"/>
    <n v="0"/>
    <n v="0"/>
    <n v="0"/>
    <n v="0"/>
    <n v="2347927.0937342439"/>
    <n v="0"/>
    <n v="0"/>
    <n v="0"/>
    <n v="2347927.0937342439"/>
    <n v="0"/>
    <n v="34.029843107034417"/>
    <n v="0"/>
    <n v="34.029843107034417"/>
    <n v="0"/>
    <n v="1161245.6084427282"/>
    <n v="0"/>
    <n v="1161245.6084427282"/>
    <n v="0"/>
    <x v="1"/>
  </r>
  <r>
    <x v="47"/>
    <s v=""/>
    <n v="0"/>
    <x v="2"/>
    <s v="Vestdanmark"/>
    <n v="691748.76447704039"/>
    <n v="0"/>
    <n v="0"/>
    <n v="0"/>
    <n v="0"/>
    <n v="0"/>
    <n v="0"/>
    <n v="691748.7644770403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6972.56744938664"/>
    <n v="6025.5704593107703"/>
    <n v="0"/>
    <n v="37612.453499504722"/>
    <n v="0"/>
    <n v="0"/>
    <n v="0"/>
    <n v="0"/>
    <n v="193334.5434905711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  <n v="0"/>
    <x v="1"/>
  </r>
  <r>
    <x v="4"/>
    <s v="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  <n v="0"/>
    <x v="0"/>
  </r>
  <r>
    <x v="6"/>
    <s v="Husdyrgødning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  <n v="0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5453.077491377226"/>
    <n v="0"/>
    <n v="0"/>
    <n v="223323.94265330929"/>
    <n v="0"/>
    <n v="0"/>
    <n v="0"/>
    <n v="0"/>
    <n v="-177870.86516193207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023735.0007342594"/>
    <n v="1216735.3716252823"/>
    <n v="0"/>
    <n v="0"/>
    <n v="0"/>
    <n v="0"/>
    <n v="0"/>
    <n v="621927.46168801945"/>
    <n v="2185072.1674209577"/>
    <n v="651527.44368819008"/>
    <n v="0"/>
    <n v="1.1987290554558088"/>
    <n v="1.1987290554558088"/>
    <n v="0"/>
    <n v="1.1987290554558088"/>
    <n v="182427.68423269325"/>
    <n v="182427.68423269325"/>
    <n v="0"/>
    <n v="182427.68423269325"/>
    <n v="0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88829.33816016692"/>
    <n v="0"/>
    <n v="0"/>
    <n v="233902.44520004498"/>
    <n v="0"/>
    <n v="0"/>
    <n v="0"/>
    <n v="0"/>
    <n v="254926.8929601219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36016.68504196673"/>
    <n v="68700.076202243421"/>
    <n v="82995.732675897758"/>
    <n v="0"/>
    <n v="0"/>
    <n v="0"/>
    <n v="388995.48453602241"/>
    <n v="395325.39162780321"/>
    <n v="0"/>
    <n v="0"/>
    <n v="388995.48453602241"/>
    <n v="0"/>
    <n v="4.0205819949620647"/>
    <n v="0"/>
    <n v="4.0205819949620647"/>
    <n v="0"/>
    <n v="330646.16185561905"/>
    <n v="0"/>
    <n v="330646.16185561905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n v="0"/>
    <x v="0"/>
  </r>
  <r>
    <x v="20"/>
    <s v=""/>
    <n v="0"/>
    <x v="1"/>
    <s v="Østdanmark"/>
    <n v="204048.45051038259"/>
    <n v="0"/>
    <n v="0"/>
    <n v="0"/>
    <n v="0"/>
    <n v="0"/>
    <n v="0"/>
    <n v="0"/>
    <n v="204048.4505103825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80680.18601722247"/>
    <n v="0"/>
    <n v="0"/>
    <n v="106960.41463921656"/>
    <n v="0"/>
    <n v="0"/>
    <n v="0"/>
    <n v="0"/>
    <n v="573719.77137800585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41299.6719009152"/>
    <n v="580308.89041419514"/>
    <n v="0"/>
    <n v="256234.83946537593"/>
    <n v="0"/>
    <n v="0"/>
    <n v="0"/>
    <n v="0"/>
    <n v="704755.94202134409"/>
    <n v="506782.85975210578"/>
    <n v="0"/>
    <n v="1.7356603450505974"/>
    <n v="1.7356603450505974"/>
    <n v="0"/>
    <n v="1.7356603450505974"/>
    <n v="157102.68652315278"/>
    <n v="157102.68652315278"/>
    <n v="0"/>
    <n v="157102.68652315278"/>
    <n v="0"/>
    <x v="0"/>
  </r>
  <r>
    <x v="23"/>
    <s v=""/>
    <n v="0"/>
    <x v="1"/>
    <s v="Østdanmark"/>
    <n v="0"/>
    <n v="0"/>
    <n v="0"/>
    <n v="0"/>
    <n v="0"/>
    <n v="515528.42000534153"/>
    <n v="0"/>
    <n v="0"/>
    <n v="-515528.4200053415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  <n v="0"/>
    <x v="1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5469.8186668158"/>
    <n v="566716.06683172472"/>
    <n v="0"/>
    <n v="0"/>
    <n v="0"/>
    <n v="0"/>
    <n v="0"/>
    <n v="0"/>
    <n v="668753.75183509104"/>
    <n v="67599.913366085384"/>
    <n v="0"/>
    <n v="0.24268368898424655"/>
    <n v="0.24268368898424655"/>
    <n v="0"/>
    <n v="0.24268368898424655"/>
    <n v="20279.974009825615"/>
    <n v="20279.974009825615"/>
    <n v="0"/>
    <n v="20279.97400982561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9217.90264651313"/>
    <n v="0"/>
    <n v="0"/>
    <n v="0"/>
    <n v="0"/>
    <n v="0"/>
    <n v="0"/>
    <n v="0"/>
    <n v="449217.9026465131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848.41282272341"/>
    <n v="0"/>
    <n v="0"/>
    <n v="0"/>
    <n v="0"/>
    <n v="0"/>
    <n v="39848.41282272341"/>
    <n v="0"/>
    <n v="0"/>
    <n v="0"/>
    <n v="39848.41282272341"/>
    <n v="0"/>
    <n v="0.73321079593811067"/>
    <n v="0"/>
    <n v="0.73321079593811067"/>
    <n v="0"/>
    <n v="16537.091321430216"/>
    <n v="0"/>
    <n v="16537.091321430216"/>
    <n v="0"/>
    <x v="1"/>
  </r>
  <r>
    <x v="32"/>
    <s v="Pyrolyseprodukter"/>
    <n v="1"/>
    <x v="1"/>
    <s v="Østdanmark"/>
    <n v="221382.21931156982"/>
    <n v="0"/>
    <n v="0"/>
    <n v="0"/>
    <n v="0"/>
    <n v="0"/>
    <n v="221382.21931156982"/>
    <n v="0"/>
    <n v="0"/>
    <n v="0"/>
    <n v="221382.21931156982"/>
    <n v="0"/>
    <n v="1.9839009453449672"/>
    <n v="0"/>
    <n v="1.9839009453449672"/>
    <n v="0"/>
    <n v="0"/>
    <n v="0"/>
    <n v="0"/>
    <n v="0"/>
    <x v="1"/>
  </r>
  <r>
    <x v="33"/>
    <s v="Pyrolyseprodukter"/>
    <n v="1"/>
    <x v="1"/>
    <s v="Østdanmark"/>
    <n v="55345.554827892454"/>
    <n v="0"/>
    <n v="0"/>
    <n v="0"/>
    <n v="0"/>
    <n v="0"/>
    <n v="55345.554827892454"/>
    <n v="0"/>
    <n v="0"/>
    <n v="0"/>
    <n v="55345.554827892454"/>
    <n v="0"/>
    <n v="1.8412675440456558"/>
    <n v="0"/>
    <n v="1.8412675440456558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14510.72415794732"/>
    <n v="0"/>
    <n v="0"/>
    <n v="0"/>
    <n v="0"/>
    <n v="0"/>
    <n v="0"/>
    <n v="214510.7241579473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7255.36207897366"/>
    <n v="19420.588606927966"/>
    <n v="0"/>
    <n v="0"/>
    <n v="0"/>
    <n v="0"/>
    <n v="0"/>
    <n v="0"/>
    <n v="87834.773472045694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8643.431730543147"/>
    <n v="0"/>
    <n v="0"/>
    <n v="0"/>
    <n v="0"/>
    <n v="0"/>
    <n v="68643.431730543147"/>
    <n v="0"/>
    <n v="0"/>
    <n v="0"/>
    <n v="68643.431730543147"/>
    <n v="0"/>
    <n v="2.4025201105690099"/>
    <n v="0"/>
    <n v="2.4025201105690099"/>
    <n v="0"/>
    <n v="0"/>
    <n v="0"/>
    <n v="0"/>
    <n v="0"/>
    <x v="1"/>
  </r>
  <r>
    <x v="38"/>
    <s v="Græs og urter"/>
    <n v="1"/>
    <x v="1"/>
    <s v="Østdanmark"/>
    <n v="224907.22799024681"/>
    <n v="85727.434262012321"/>
    <n v="0"/>
    <n v="0"/>
    <n v="0"/>
    <n v="0"/>
    <n v="0"/>
    <n v="0"/>
    <n v="139179.79372823448"/>
    <n v="107785.76819097856"/>
    <n v="0"/>
    <n v="0.29253488630104346"/>
    <n v="0.29253488630104346"/>
    <n v="0"/>
    <n v="0.29253488630104346"/>
    <n v="21557.153638195712"/>
    <n v="21557.153638195712"/>
    <n v="0"/>
    <n v="21557.15363819571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n v="0"/>
    <x v="0"/>
  </r>
  <r>
    <x v="42"/>
    <s v="Husdyrgødning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  <n v="0"/>
    <x v="1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  <n v="0"/>
    <x v="1"/>
  </r>
  <r>
    <x v="47"/>
    <s v="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015.95064111016"/>
    <n v="3823.0915711153852"/>
    <n v="0"/>
    <n v="98440.006733673188"/>
    <n v="0"/>
    <n v="0"/>
    <n v="0"/>
    <n v="0"/>
    <n v="118752.8523363215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49232892.94223267"/>
    <n v="0"/>
    <n v="0"/>
    <n v="0"/>
    <n v="0"/>
    <n v="0"/>
    <n v="149232892.94223267"/>
    <n v="0"/>
    <n v="0"/>
    <n v="0"/>
    <n v="149232892.94223267"/>
    <n v="0"/>
    <n v="0"/>
    <n v="0"/>
    <n v="0"/>
    <n v="0"/>
    <n v="0"/>
    <n v="0"/>
    <n v="0"/>
    <n v="0"/>
    <x v="1"/>
  </r>
  <r>
    <x v="4"/>
    <s v=""/>
    <n v="0"/>
    <x v="2"/>
    <s v="Østdanmark"/>
    <n v="4825001.4556238251"/>
    <n v="0"/>
    <n v="0"/>
    <n v="0"/>
    <n v="0"/>
    <n v="3214901.5422402946"/>
    <n v="0"/>
    <n v="0"/>
    <n v="1610099.913383530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  <n v="0"/>
    <x v="0"/>
  </r>
  <r>
    <x v="6"/>
    <s v="Husdyrgødning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  <n v="0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n v="0"/>
    <x v="1"/>
  </r>
  <r>
    <x v="9"/>
    <s v="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888780.8014802146"/>
    <n v="771991.75994211878"/>
    <n v="0"/>
    <n v="0"/>
    <n v="0"/>
    <n v="0"/>
    <n v="0"/>
    <n v="394599.25872257137"/>
    <n v="1722189.7828155244"/>
    <n v="92224.67040210776"/>
    <n v="0"/>
    <n v="0.16968186545607802"/>
    <n v="0.16968186545607802"/>
    <n v="0"/>
    <n v="0.16968186545607802"/>
    <n v="25822.907712590175"/>
    <n v="25822.907712590175"/>
    <n v="0"/>
    <n v="25822.907712590175"/>
    <n v="0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064014.7311507878"/>
    <n v="43588.683268641777"/>
    <n v="51992.644823495335"/>
    <n v="0"/>
    <n v="0"/>
    <n v="0"/>
    <n v="261147.19078467367"/>
    <n v="707286.21227397677"/>
    <n v="0"/>
    <n v="0"/>
    <n v="261147.19078467367"/>
    <n v="0"/>
    <n v="2.6991667899593614"/>
    <n v="0"/>
    <n v="2.6991667899593614"/>
    <n v="0"/>
    <n v="221975.11216697263"/>
    <n v="0"/>
    <n v="221975.11216697263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  <n v="0"/>
    <x v="0"/>
  </r>
  <r>
    <x v="23"/>
    <s v=""/>
    <n v="0"/>
    <x v="2"/>
    <s v="Østdanmark"/>
    <n v="0"/>
    <n v="0"/>
    <n v="0"/>
    <n v="0"/>
    <n v="0"/>
    <n v="479704.42610224185"/>
    <n v="0"/>
    <n v="0"/>
    <n v="-479704.4261022418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  <n v="0"/>
    <x v="1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62586.9095964739"/>
    <n v="359568.84629440639"/>
    <n v="0"/>
    <n v="0"/>
    <n v="199670.8224928487"/>
    <n v="0"/>
    <n v="0"/>
    <n v="0"/>
    <n v="603347.24080921884"/>
    <n v="300848.41353906074"/>
    <n v="199670.8224928487"/>
    <n v="1.0800458046052281"/>
    <n v="1.7968640573545551"/>
    <n v="0.71681825274932687"/>
    <n v="1.0800458046052284"/>
    <n v="90254.524061718213"/>
    <n v="150155.77080957283"/>
    <n v="59901.24674785461"/>
    <n v="90254.524061718228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  <n v="0"/>
    <x v="1"/>
  </r>
  <r>
    <x v="32"/>
    <s v="Pyrolyseprodukter"/>
    <n v="1"/>
    <x v="2"/>
    <s v="Østdanmark"/>
    <n v="396080.27887342701"/>
    <n v="0"/>
    <n v="0"/>
    <n v="0"/>
    <n v="0"/>
    <n v="0"/>
    <n v="396080.27887342701"/>
    <n v="0"/>
    <n v="0"/>
    <n v="0"/>
    <n v="396080.27887342701"/>
    <n v="0"/>
    <n v="3.5494451276757242"/>
    <n v="0"/>
    <n v="3.5494451276757242"/>
    <n v="0"/>
    <n v="0"/>
    <n v="0"/>
    <n v="0"/>
    <n v="0"/>
    <x v="1"/>
  </r>
  <r>
    <x v="33"/>
    <s v="Pyrolyseprodukter"/>
    <n v="1"/>
    <x v="2"/>
    <s v="Østdanmark"/>
    <n v="99020.069718356754"/>
    <n v="0"/>
    <n v="0"/>
    <n v="0"/>
    <n v="0"/>
    <n v="0"/>
    <n v="99020.069718356754"/>
    <n v="0"/>
    <n v="0"/>
    <n v="0"/>
    <n v="99020.069718356754"/>
    <n v="0"/>
    <n v="3.2942562622872735"/>
    <n v="0"/>
    <n v="3.2942562622872735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8603.01144531288"/>
    <n v="0"/>
    <n v="0"/>
    <n v="0"/>
    <n v="0"/>
    <n v="0"/>
    <n v="0"/>
    <n v="198603.0114453128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301.505722656439"/>
    <n v="12321.935177858404"/>
    <n v="0"/>
    <n v="0"/>
    <n v="0"/>
    <n v="0"/>
    <n v="0"/>
    <n v="0"/>
    <n v="86979.57054479802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552.963662500122"/>
    <n v="0"/>
    <n v="0"/>
    <n v="0"/>
    <n v="0"/>
    <n v="0"/>
    <n v="63552.963662500122"/>
    <n v="0"/>
    <n v="0"/>
    <n v="0"/>
    <n v="63552.963662500122"/>
    <n v="0"/>
    <n v="2.2243537281875039"/>
    <n v="0"/>
    <n v="2.2243537281875039"/>
    <n v="0"/>
    <n v="0"/>
    <n v="0"/>
    <n v="0"/>
    <n v="0"/>
    <x v="1"/>
  </r>
  <r>
    <x v="38"/>
    <s v="Græs og urter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  <n v="0"/>
    <x v="0"/>
  </r>
  <r>
    <x v="42"/>
    <s v="Husdyrgødning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  <n v="0"/>
    <x v="1"/>
  </r>
  <r>
    <x v="43"/>
    <s v="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9106.00625063898"/>
    <n v="0"/>
    <n v="0"/>
    <n v="0"/>
    <n v="0"/>
    <n v="0"/>
    <n v="629106.00625063898"/>
    <n v="0"/>
    <n v="0"/>
    <n v="0"/>
    <n v="629106.00625063898"/>
    <n v="0"/>
    <n v="9.1179912474852252"/>
    <n v="0"/>
    <n v="9.1179912474852252"/>
    <n v="0"/>
    <n v="311145.34559146187"/>
    <n v="0"/>
    <n v="311145.34559146187"/>
    <n v="0"/>
    <x v="1"/>
  </r>
  <r>
    <x v="47"/>
    <s v=""/>
    <n v="0"/>
    <x v="2"/>
    <s v="Østdanmark"/>
    <n v="178830.65970425931"/>
    <n v="0"/>
    <n v="0"/>
    <n v="0"/>
    <n v="0"/>
    <n v="0"/>
    <n v="0"/>
    <n v="178830.6597042593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5621949.4678222975"/>
    <s v="CO2 - atmosfære"/>
    <x v="0"/>
  </r>
  <r>
    <s v="Vestdanmark"/>
    <x v="1"/>
    <n v="4049664.7353122975"/>
    <s v="Landbrug"/>
    <x v="1"/>
  </r>
  <r>
    <s v="Vestdanmark"/>
    <x v="1"/>
    <n v="3681286.419871856"/>
    <s v="Landbrug"/>
    <x v="2"/>
  </r>
  <r>
    <s v="Vestdanmark"/>
    <x v="1"/>
    <n v="1037730.0552441035"/>
    <s v="Landbrug"/>
    <x v="2"/>
  </r>
  <r>
    <s v="Vestdanmark"/>
    <x v="1"/>
    <n v="65.998469138771299"/>
    <s v="Landbrug"/>
    <x v="2"/>
  </r>
  <r>
    <s v="Vestdanmark"/>
    <x v="1"/>
    <n v="-23936.112883057391"/>
    <s v="Hav"/>
    <x v="3"/>
  </r>
  <r>
    <s v="Vestdanmark"/>
    <x v="1"/>
    <n v="-2130264.6471044431"/>
    <s v="Skov"/>
    <x v="4"/>
  </r>
  <r>
    <s v="Vestdanmark"/>
    <x v="1"/>
    <n v="-284666.02002334176"/>
    <s v="Biogasanlæg"/>
    <x v="5"/>
  </r>
  <r>
    <s v="Vestdanmark"/>
    <x v="1"/>
    <n v="-707930.96106425417"/>
    <s v="Pyrolyseproces"/>
    <x v="6"/>
  </r>
  <r>
    <s v="Vestdanmark"/>
    <x v="2"/>
    <n v="-404364.60278626671"/>
    <s v="CO2 - atmosfære"/>
    <x v="0"/>
  </r>
  <r>
    <s v="Vestdanmark"/>
    <x v="2"/>
    <n v="2526380.4485877971"/>
    <s v="Landbrug"/>
    <x v="1"/>
  </r>
  <r>
    <s v="Vestdanmark"/>
    <x v="2"/>
    <n v="3122963.8436412625"/>
    <s v="Landbrug"/>
    <x v="2"/>
  </r>
  <r>
    <s v="Vestdanmark"/>
    <x v="2"/>
    <n v="26.361074410417238"/>
    <s v="Landbrug"/>
    <x v="2"/>
  </r>
  <r>
    <s v="Vestdanmark"/>
    <x v="2"/>
    <n v="65.998469138771299"/>
    <s v="Landbrug"/>
    <x v="2"/>
  </r>
  <r>
    <s v="Vestdanmark"/>
    <x v="2"/>
    <n v="-32111.211335450222"/>
    <s v="Hav"/>
    <x v="3"/>
  </r>
  <r>
    <s v="Vestdanmark"/>
    <x v="2"/>
    <n v="-4628267.5003342489"/>
    <s v="Skov"/>
    <x v="4"/>
  </r>
  <r>
    <s v="Vestdanmark"/>
    <x v="2"/>
    <n v="-223378.0107666596"/>
    <s v="Biogasanlæg"/>
    <x v="5"/>
  </r>
  <r>
    <s v="Vestdanmark"/>
    <x v="2"/>
    <n v="-1170044.5321225177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048155.1801016615"/>
    <s v="CO2 - atmosfære"/>
    <x v="0"/>
  </r>
  <r>
    <s v="Østdanmark"/>
    <x v="1"/>
    <n v="359533.67866973061"/>
    <s v="Landbrug"/>
    <x v="1"/>
  </r>
  <r>
    <s v="Østdanmark"/>
    <x v="1"/>
    <n v="1198152.1265894875"/>
    <s v="Landbrug"/>
    <x v="2"/>
  </r>
  <r>
    <s v="Østdanmark"/>
    <x v="1"/>
    <n v="111846.67809052247"/>
    <s v="Landbrug"/>
    <x v="2"/>
  </r>
  <r>
    <s v="Østdanmark"/>
    <x v="1"/>
    <n v="7.1104610596313274"/>
    <s v="Landbrug"/>
    <x v="2"/>
  </r>
  <r>
    <s v="Østdanmark"/>
    <x v="1"/>
    <n v="-674.70029884327505"/>
    <s v="Hav"/>
    <x v="3"/>
  </r>
  <r>
    <s v="Østdanmark"/>
    <x v="1"/>
    <n v="-335436.22053951514"/>
    <s v="Skov"/>
    <x v="4"/>
  </r>
  <r>
    <s v="Østdanmark"/>
    <x v="1"/>
    <n v="-27257.787268367691"/>
    <s v="Biogasanlæg"/>
    <x v="5"/>
  </r>
  <r>
    <s v="Østdanmark"/>
    <x v="1"/>
    <n v="-258015.70560241287"/>
    <s v="Pyrolyseproces"/>
    <x v="6"/>
  </r>
  <r>
    <s v="Østdanmark"/>
    <x v="2"/>
    <n v="206667.31041619612"/>
    <s v="CO2 - atmosfære"/>
    <x v="0"/>
  </r>
  <r>
    <s v="Østdanmark"/>
    <x v="2"/>
    <n v="224630.18771214719"/>
    <s v="Landbrug"/>
    <x v="1"/>
  </r>
  <r>
    <s v="Østdanmark"/>
    <x v="2"/>
    <n v="1133079.0796839043"/>
    <s v="Landbrug"/>
    <x v="2"/>
  </r>
  <r>
    <s v="Østdanmark"/>
    <x v="2"/>
    <n v="2.8411999718285972"/>
    <s v="Landbrug"/>
    <x v="2"/>
  </r>
  <r>
    <s v="Østdanmark"/>
    <x v="2"/>
    <n v="7.1104610596313282"/>
    <s v="Landbrug"/>
    <x v="2"/>
  </r>
  <r>
    <s v="Østdanmark"/>
    <x v="2"/>
    <n v="-8067.9044826491263"/>
    <s v="Hav"/>
    <x v="3"/>
  </r>
  <r>
    <s v="Østdanmark"/>
    <x v="2"/>
    <n v="-660061.31834341818"/>
    <s v="Skov"/>
    <x v="4"/>
  </r>
  <r>
    <s v="Østdanmark"/>
    <x v="2"/>
    <n v="-21300.551270670971"/>
    <s v="Biogasanlæg"/>
    <x v="5"/>
  </r>
  <r>
    <s v="Østdanmark"/>
    <x v="2"/>
    <n v="-461622.13454414881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35284.33485275437"/>
    <n v="49206.445220713846"/>
    <n v="0"/>
    <n v="43439.71273733316"/>
    <n v="0"/>
    <n v="0"/>
    <n v="0"/>
    <n v="0"/>
    <n v="642638.176894707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</r>
  <r>
    <x v="4"/>
    <x v="10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</r>
  <r>
    <x v="5"/>
    <x v="1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</r>
  <r>
    <x v="6"/>
    <x v="2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</r>
  <r>
    <x v="7"/>
    <x v="10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</r>
  <r>
    <x v="11"/>
    <x v="10"/>
    <n v="0"/>
    <x v="1"/>
    <s v="Vestdanmark"/>
    <n v="139807.2046539399"/>
    <n v="0"/>
    <n v="0"/>
    <n v="257923.29437791562"/>
    <n v="0"/>
    <n v="0"/>
    <n v="0"/>
    <n v="0"/>
    <n v="-118116.0897239757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481475.447011745"/>
    <n v="9936191.571616387"/>
    <n v="0"/>
    <n v="0"/>
    <n v="0"/>
    <n v="0"/>
    <n v="0"/>
    <n v="5078828.5991281262"/>
    <n v="-1533544.7237327676"/>
    <n v="0"/>
    <n v="0"/>
    <n v="0"/>
    <n v="0"/>
    <n v="0"/>
    <n v="0"/>
    <n v="0"/>
    <n v="0"/>
    <n v="0"/>
    <n v="0"/>
  </r>
  <r>
    <x v="14"/>
    <x v="10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502657.2310032574"/>
    <n v="0"/>
    <n v="0"/>
    <n v="270140.71358529059"/>
    <n v="0"/>
    <n v="0"/>
    <n v="0"/>
    <n v="0"/>
    <n v="1232516.5174179669"/>
    <n v="0"/>
    <n v="0"/>
    <n v="0"/>
    <n v="0"/>
    <n v="0"/>
    <n v="0"/>
    <n v="0"/>
    <n v="0"/>
    <n v="0"/>
    <n v="0"/>
  </r>
  <r>
    <x v="16"/>
    <x v="5"/>
    <n v="1"/>
    <x v="1"/>
    <s v="Vestdanmark"/>
    <n v="2924190.6957464674"/>
    <n v="561023.48468616733"/>
    <n v="583713.23835090676"/>
    <n v="0"/>
    <n v="0"/>
    <n v="0"/>
    <n v="694779.36433719518"/>
    <n v="1084674.6083721975"/>
    <n v="0"/>
    <n v="0"/>
    <n v="694779.36433719518"/>
    <n v="0"/>
    <n v="7.1811049582161264"/>
    <n v="0"/>
    <n v="7.1811049582161264"/>
    <n v="0"/>
    <n v="590562.45968661585"/>
    <n v="0"/>
    <n v="590562.45968661585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</r>
  <r>
    <x v="20"/>
    <x v="10"/>
    <n v="0"/>
    <x v="1"/>
    <s v="Vestdanmark"/>
    <n v="644035.8493924035"/>
    <n v="0"/>
    <n v="0"/>
    <n v="0"/>
    <n v="0"/>
    <n v="0"/>
    <n v="0"/>
    <n v="0"/>
    <n v="644035.8493924035"/>
    <n v="0"/>
    <n v="0"/>
    <n v="0"/>
    <n v="0"/>
    <n v="0"/>
    <n v="0"/>
    <n v="0"/>
    <n v="0"/>
    <n v="0"/>
    <n v="0"/>
  </r>
  <r>
    <x v="21"/>
    <x v="10"/>
    <n v="0"/>
    <x v="1"/>
    <s v="Vestdanmark"/>
    <n v="2153496.967481425"/>
    <n v="0"/>
    <n v="0"/>
    <n v="123531.68309679118"/>
    <n v="0"/>
    <n v="0"/>
    <n v="0"/>
    <n v="0"/>
    <n v="2029965.2843846339"/>
    <n v="0"/>
    <n v="0"/>
    <n v="0"/>
    <n v="0"/>
    <n v="0"/>
    <n v="0"/>
    <n v="0"/>
    <n v="0"/>
    <n v="0"/>
    <n v="0"/>
  </r>
  <r>
    <x v="22"/>
    <x v="5"/>
    <n v="1"/>
    <x v="1"/>
    <s v="Vestdanmark"/>
    <n v="4836920.0011490174"/>
    <n v="4738960.0403951732"/>
    <n v="0"/>
    <n v="295933.04302308214"/>
    <n v="0"/>
    <n v="0"/>
    <n v="0"/>
    <n v="0"/>
    <n v="-197973.08226923831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144486.0287738238"/>
    <n v="0"/>
    <n v="0"/>
    <n v="-1144486.0287738238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</r>
  <r>
    <x v="25"/>
    <x v="10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</r>
  <r>
    <x v="26"/>
    <x v="4"/>
    <n v="1"/>
    <x v="1"/>
    <s v="Vestdanmark"/>
    <n v="4026803.5120526911"/>
    <n v="4627957.3505216967"/>
    <n v="0"/>
    <n v="0"/>
    <n v="0"/>
    <n v="0"/>
    <n v="0"/>
    <n v="0"/>
    <n v="-601153.83846900566"/>
    <n v="0"/>
    <n v="0"/>
    <n v="0"/>
    <n v="0"/>
    <n v="0"/>
    <n v="0"/>
    <n v="0"/>
    <n v="0"/>
    <n v="0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412647.5447842737"/>
    <n v="0"/>
    <n v="0"/>
    <n v="0"/>
    <n v="0"/>
    <n v="0"/>
    <n v="0"/>
    <n v="0"/>
    <n v="1412647.5447842737"/>
    <n v="0"/>
    <n v="0"/>
    <n v="0"/>
    <n v="0"/>
    <n v="0"/>
    <n v="0"/>
    <n v="0"/>
    <n v="0"/>
    <n v="0"/>
    <n v="0"/>
  </r>
  <r>
    <x v="31"/>
    <x v="7"/>
    <n v="1"/>
    <x v="1"/>
    <s v="Vestdanmark"/>
    <n v="134802.2173997864"/>
    <n v="0"/>
    <n v="0"/>
    <n v="0"/>
    <n v="0"/>
    <n v="0"/>
    <n v="134802.2173997864"/>
    <n v="0"/>
    <n v="0"/>
    <n v="0"/>
    <n v="134802.2173997864"/>
    <n v="0"/>
    <n v="2.4803608001560695"/>
    <n v="0"/>
    <n v="2.4803608001560695"/>
    <n v="0"/>
    <n v="55942.920220911365"/>
    <n v="0"/>
    <n v="55942.920220911365"/>
  </r>
  <r>
    <x v="32"/>
    <x v="8"/>
    <n v="1"/>
    <x v="1"/>
    <s v="Vestdanmark"/>
    <n v="607417.78068843065"/>
    <n v="0"/>
    <n v="0"/>
    <n v="0"/>
    <n v="0"/>
    <n v="0"/>
    <n v="607417.78068843065"/>
    <n v="0"/>
    <n v="0"/>
    <n v="0"/>
    <n v="607417.78068843065"/>
    <n v="0"/>
    <n v="5.4433310546550349"/>
    <n v="0"/>
    <n v="5.4433310546550349"/>
    <n v="0"/>
    <n v="0"/>
    <n v="0"/>
    <n v="0"/>
  </r>
  <r>
    <x v="33"/>
    <x v="8"/>
    <n v="1"/>
    <x v="1"/>
    <s v="Vestdanmark"/>
    <n v="151854.44517210766"/>
    <n v="0"/>
    <n v="0"/>
    <n v="0"/>
    <n v="0"/>
    <n v="0"/>
    <n v="151854.44517210766"/>
    <n v="0"/>
    <n v="0"/>
    <n v="0"/>
    <n v="151854.44517210766"/>
    <n v="0"/>
    <n v="5.0519804559543458"/>
    <n v="0"/>
    <n v="5.0519804559543458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663977.87373411702"/>
    <n v="0"/>
    <n v="0"/>
    <n v="0"/>
    <n v="0"/>
    <n v="0"/>
    <n v="0"/>
    <n v="663977.8737341170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31988.93686705851"/>
    <n v="158593.80217920942"/>
    <n v="0"/>
    <n v="0"/>
    <n v="0"/>
    <n v="0"/>
    <n v="0"/>
    <n v="0"/>
    <n v="173395.13468784909"/>
    <n v="0"/>
    <n v="0"/>
    <n v="0"/>
    <n v="0"/>
    <n v="0"/>
    <n v="0"/>
    <n v="0"/>
    <n v="0"/>
    <n v="0"/>
    <n v="0"/>
  </r>
  <r>
    <x v="37"/>
    <x v="9"/>
    <n v="1"/>
    <x v="1"/>
    <s v="Vestdanmark"/>
    <n v="212472.91959491745"/>
    <n v="0"/>
    <n v="0"/>
    <n v="0"/>
    <n v="0"/>
    <n v="0"/>
    <n v="212472.91959491745"/>
    <n v="0"/>
    <n v="0"/>
    <n v="0"/>
    <n v="212472.91959491745"/>
    <n v="0"/>
    <n v="7.4365521858221095"/>
    <n v="0"/>
    <n v="7.4365521858221095"/>
    <n v="0"/>
    <n v="0"/>
    <n v="0"/>
    <n v="0"/>
  </r>
  <r>
    <x v="38"/>
    <x v="4"/>
    <n v="1"/>
    <x v="1"/>
    <s v="Vestdanmark"/>
    <n v="668679.49055744556"/>
    <n v="700073.51609470148"/>
    <n v="0"/>
    <n v="0"/>
    <n v="0"/>
    <n v="0"/>
    <n v="0"/>
    <n v="0"/>
    <n v="-31394.025537255919"/>
    <n v="0"/>
    <n v="0"/>
    <n v="0"/>
    <n v="0"/>
    <n v="0"/>
    <n v="0"/>
    <n v="0"/>
    <n v="0"/>
    <n v="0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</r>
  <r>
    <x v="42"/>
    <x v="2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</r>
  <r>
    <x v="43"/>
    <x v="10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</r>
  <r>
    <x v="47"/>
    <x v="10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09158.83584090974"/>
    <n v="31434.479653499999"/>
    <n v="0"/>
    <n v="112833.22962148272"/>
    <n v="0"/>
    <n v="0"/>
    <n v="0"/>
    <n v="0"/>
    <n v="464891.1265659270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52644993.79872894"/>
    <n v="0"/>
    <n v="0"/>
    <n v="0"/>
    <n v="0"/>
    <n v="0"/>
    <n v="452644993.79872894"/>
    <n v="0"/>
    <n v="0"/>
    <n v="0"/>
    <n v="452644993.79872894"/>
    <n v="0"/>
    <n v="0"/>
    <n v="0"/>
    <n v="0"/>
    <n v="0"/>
    <n v="0"/>
    <n v="0"/>
    <n v="0"/>
  </r>
  <r>
    <x v="4"/>
    <x v="10"/>
    <n v="0"/>
    <x v="2"/>
    <s v="Vestdanmark"/>
    <n v="16711149.491198121"/>
    <n v="0"/>
    <n v="0"/>
    <n v="0"/>
    <n v="0"/>
    <n v="11134649.546942962"/>
    <n v="0"/>
    <n v="0"/>
    <n v="5576499.9442551583"/>
    <n v="0"/>
    <n v="0"/>
    <n v="0"/>
    <n v="0"/>
    <n v="0"/>
    <n v="0"/>
    <n v="0"/>
    <n v="0"/>
    <n v="0"/>
    <n v="0"/>
  </r>
  <r>
    <x v="5"/>
    <x v="1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</r>
  <r>
    <x v="6"/>
    <x v="2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</r>
  <r>
    <x v="7"/>
    <x v="10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</r>
  <r>
    <x v="9"/>
    <x v="10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</r>
  <r>
    <x v="10"/>
    <x v="10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</r>
  <r>
    <x v="11"/>
    <x v="10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7962057.7199019091"/>
    <n v="6347522.3700933373"/>
    <n v="0"/>
    <n v="0"/>
    <n v="0"/>
    <n v="0"/>
    <n v="0"/>
    <n v="3244500.462221988"/>
    <n v="-1629965.1124134166"/>
    <n v="0"/>
    <n v="0"/>
    <n v="0"/>
    <n v="0"/>
    <n v="0"/>
    <n v="0"/>
    <n v="0"/>
    <n v="0"/>
    <n v="0"/>
    <n v="0"/>
  </r>
  <r>
    <x v="14"/>
    <x v="10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</r>
  <r>
    <x v="16"/>
    <x v="5"/>
    <n v="1"/>
    <x v="2"/>
    <s v="Vestdanmark"/>
    <n v="2932613.2066284004"/>
    <n v="358397.79190306552"/>
    <n v="367504.60397489293"/>
    <n v="0"/>
    <n v="0"/>
    <n v="0"/>
    <n v="413997.02302441839"/>
    <n v="1792713.787726023"/>
    <n v="0"/>
    <n v="0"/>
    <n v="413997.02302441839"/>
    <n v="0"/>
    <n v="4.2789930549585398"/>
    <n v="0"/>
    <n v="4.2789930549585398"/>
    <n v="0"/>
    <n v="351897.46957075561"/>
    <n v="0"/>
    <n v="351897.46957075561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</r>
  <r>
    <x v="21"/>
    <x v="10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</r>
  <r>
    <x v="22"/>
    <x v="5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</r>
  <r>
    <x v="23"/>
    <x v="10"/>
    <n v="0"/>
    <x v="2"/>
    <s v="Vestdanmark"/>
    <n v="0"/>
    <n v="0"/>
    <n v="0"/>
    <n v="0"/>
    <n v="0"/>
    <n v="1136583.5049650094"/>
    <n v="0"/>
    <n v="0"/>
    <n v="-1136583.5049650094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</r>
  <r>
    <x v="25"/>
    <x v="10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</r>
  <r>
    <x v="26"/>
    <x v="4"/>
    <n v="1"/>
    <x v="2"/>
    <s v="Vestdanmark"/>
    <n v="3204301.4084430053"/>
    <n v="2956471.058206012"/>
    <n v="0"/>
    <n v="0"/>
    <n v="550329.17750715138"/>
    <n v="0"/>
    <n v="0"/>
    <n v="0"/>
    <n v="-302498.8272701581"/>
    <n v="0"/>
    <n v="550329.17750715138"/>
    <n v="0"/>
    <n v="1.9756817472506736"/>
    <n v="1.9756817472506736"/>
    <n v="0"/>
    <n v="0"/>
    <n v="165098.7532521454"/>
    <n v="165098.7532521454"/>
    <n v="0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</r>
  <r>
    <x v="30"/>
    <x v="10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</r>
  <r>
    <x v="31"/>
    <x v="7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</r>
  <r>
    <x v="32"/>
    <x v="8"/>
    <n v="1"/>
    <x v="2"/>
    <s v="Vestdanmark"/>
    <n v="1003919.7211265729"/>
    <n v="0"/>
    <n v="0"/>
    <n v="0"/>
    <n v="0"/>
    <n v="0"/>
    <n v="1003919.7211265729"/>
    <n v="0"/>
    <n v="0"/>
    <n v="0"/>
    <n v="1003919.7211265729"/>
    <n v="0"/>
    <n v="8.9965548723242712"/>
    <n v="0"/>
    <n v="8.9965548723242712"/>
    <n v="0"/>
    <n v="0"/>
    <n v="0"/>
    <n v="0"/>
  </r>
  <r>
    <x v="33"/>
    <x v="8"/>
    <n v="1"/>
    <x v="2"/>
    <s v="Vestdanmark"/>
    <n v="250979.93028164323"/>
    <n v="0"/>
    <n v="0"/>
    <n v="0"/>
    <n v="0"/>
    <n v="0"/>
    <n v="250979.93028164323"/>
    <n v="0"/>
    <n v="0"/>
    <n v="0"/>
    <n v="250979.93028164323"/>
    <n v="0"/>
    <n v="8.349743737712723"/>
    <n v="0"/>
    <n v="8.349743737712723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547384.79935736058"/>
    <n v="0"/>
    <n v="0"/>
    <n v="0"/>
    <n v="0"/>
    <n v="0"/>
    <n v="0"/>
    <n v="547384.7993573605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73692.39967868029"/>
    <n v="101314.24095790923"/>
    <n v="0"/>
    <n v="0"/>
    <n v="0"/>
    <n v="0"/>
    <n v="0"/>
    <n v="0"/>
    <n v="172378.15872077105"/>
    <n v="0"/>
    <n v="0"/>
    <n v="0"/>
    <n v="0"/>
    <n v="0"/>
    <n v="0"/>
    <n v="0"/>
    <n v="0"/>
    <n v="0"/>
    <n v="0"/>
  </r>
  <r>
    <x v="37"/>
    <x v="9"/>
    <n v="1"/>
    <x v="2"/>
    <s v="Vestdanmark"/>
    <n v="175163.13579435539"/>
    <n v="0"/>
    <n v="0"/>
    <n v="0"/>
    <n v="0"/>
    <n v="0"/>
    <n v="175163.13579435539"/>
    <n v="0"/>
    <n v="0"/>
    <n v="0"/>
    <n v="175163.13579435539"/>
    <n v="0"/>
    <n v="6.1307097528024377"/>
    <n v="0"/>
    <n v="6.1307097528024377"/>
    <n v="0"/>
    <n v="0"/>
    <n v="0"/>
    <n v="0"/>
  </r>
  <r>
    <x v="38"/>
    <x v="4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</r>
  <r>
    <x v="42"/>
    <x v="2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</r>
  <r>
    <x v="43"/>
    <x v="10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347927.0937342439"/>
    <n v="0"/>
    <n v="0"/>
    <n v="0"/>
    <n v="0"/>
    <n v="0"/>
    <n v="2347927.0937342439"/>
    <n v="0"/>
    <n v="0"/>
    <n v="0"/>
    <n v="2347927.0937342439"/>
    <n v="0"/>
    <n v="34.029843107034417"/>
    <n v="0"/>
    <n v="34.029843107034417"/>
    <n v="0"/>
    <n v="1161245.6084427282"/>
    <n v="0"/>
    <n v="1161245.6084427282"/>
  </r>
  <r>
    <x v="47"/>
    <x v="10"/>
    <n v="0"/>
    <x v="2"/>
    <s v="Vestdanmark"/>
    <n v="691748.76447704039"/>
    <n v="0"/>
    <n v="0"/>
    <n v="0"/>
    <n v="0"/>
    <n v="0"/>
    <n v="0"/>
    <n v="691748.7644770403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6972.56744938664"/>
    <n v="6025.5704593107703"/>
    <n v="0"/>
    <n v="37612.453499504722"/>
    <n v="0"/>
    <n v="0"/>
    <n v="0"/>
    <n v="0"/>
    <n v="193334.5434905711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</r>
  <r>
    <x v="4"/>
    <x v="10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</r>
  <r>
    <x v="5"/>
    <x v="1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</r>
  <r>
    <x v="6"/>
    <x v="2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</r>
  <r>
    <x v="7"/>
    <x v="10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</r>
  <r>
    <x v="11"/>
    <x v="10"/>
    <n v="0"/>
    <x v="1"/>
    <s v="Østdanmark"/>
    <n v="45453.077491377226"/>
    <n v="0"/>
    <n v="0"/>
    <n v="223323.94265330929"/>
    <n v="0"/>
    <n v="0"/>
    <n v="0"/>
    <n v="0"/>
    <n v="-177870.86516193207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023735.0007342594"/>
    <n v="1216735.3716252823"/>
    <n v="0"/>
    <n v="0"/>
    <n v="0"/>
    <n v="0"/>
    <n v="0"/>
    <n v="621927.46168801945"/>
    <n v="2185072.1674209577"/>
    <n v="651527.44368819008"/>
    <n v="0"/>
    <n v="1.1987290554558088"/>
    <n v="1.1987290554558088"/>
    <n v="0"/>
    <n v="1.1987290554558088"/>
    <n v="182427.68423269325"/>
    <n v="182427.68423269325"/>
    <n v="0"/>
    <n v="182427.68423269325"/>
  </r>
  <r>
    <x v="14"/>
    <x v="10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88829.33816016692"/>
    <n v="0"/>
    <n v="0"/>
    <n v="233902.44520004498"/>
    <n v="0"/>
    <n v="0"/>
    <n v="0"/>
    <n v="0"/>
    <n v="254926.89296012194"/>
    <n v="0"/>
    <n v="0"/>
    <n v="0"/>
    <n v="0"/>
    <n v="0"/>
    <n v="0"/>
    <n v="0"/>
    <n v="0"/>
    <n v="0"/>
    <n v="0"/>
  </r>
  <r>
    <x v="16"/>
    <x v="5"/>
    <n v="1"/>
    <x v="1"/>
    <s v="Østdanmark"/>
    <n v="936016.68504196673"/>
    <n v="68700.076202243421"/>
    <n v="82995.732675897758"/>
    <n v="0"/>
    <n v="0"/>
    <n v="0"/>
    <n v="388995.48453602241"/>
    <n v="395325.39162780321"/>
    <n v="0"/>
    <n v="0"/>
    <n v="388995.48453602241"/>
    <n v="0"/>
    <n v="4.0205819949620647"/>
    <n v="0"/>
    <n v="4.0205819949620647"/>
    <n v="0"/>
    <n v="330646.16185561905"/>
    <n v="0"/>
    <n v="330646.16185561905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</r>
  <r>
    <x v="20"/>
    <x v="10"/>
    <n v="0"/>
    <x v="1"/>
    <s v="Østdanmark"/>
    <n v="204048.45051038259"/>
    <n v="0"/>
    <n v="0"/>
    <n v="0"/>
    <n v="0"/>
    <n v="0"/>
    <n v="0"/>
    <n v="0"/>
    <n v="204048.45051038259"/>
    <n v="0"/>
    <n v="0"/>
    <n v="0"/>
    <n v="0"/>
    <n v="0"/>
    <n v="0"/>
    <n v="0"/>
    <n v="0"/>
    <n v="0"/>
    <n v="0"/>
  </r>
  <r>
    <x v="21"/>
    <x v="10"/>
    <n v="0"/>
    <x v="1"/>
    <s v="Østdanmark"/>
    <n v="680680.18601722247"/>
    <n v="0"/>
    <n v="0"/>
    <n v="106960.41463921656"/>
    <n v="0"/>
    <n v="0"/>
    <n v="0"/>
    <n v="0"/>
    <n v="573719.77137800585"/>
    <n v="0"/>
    <n v="0"/>
    <n v="0"/>
    <n v="0"/>
    <n v="0"/>
    <n v="0"/>
    <n v="0"/>
    <n v="0"/>
    <n v="0"/>
    <n v="0"/>
  </r>
  <r>
    <x v="22"/>
    <x v="5"/>
    <n v="1"/>
    <x v="1"/>
    <s v="Østdanmark"/>
    <n v="1541299.6719009152"/>
    <n v="580308.89041419514"/>
    <n v="0"/>
    <n v="256234.83946537593"/>
    <n v="0"/>
    <n v="0"/>
    <n v="0"/>
    <n v="0"/>
    <n v="704755.94202134409"/>
    <n v="506782.85975210578"/>
    <n v="0"/>
    <n v="1.7356603450505974"/>
    <n v="1.7356603450505974"/>
    <n v="0"/>
    <n v="1.7356603450505974"/>
    <n v="157102.68652315278"/>
    <n v="157102.68652315278"/>
    <n v="0"/>
    <n v="157102.68652315278"/>
  </r>
  <r>
    <x v="23"/>
    <x v="10"/>
    <n v="0"/>
    <x v="1"/>
    <s v="Østdanmark"/>
    <n v="0"/>
    <n v="0"/>
    <n v="0"/>
    <n v="0"/>
    <n v="0"/>
    <n v="515528.42000534153"/>
    <n v="0"/>
    <n v="0"/>
    <n v="-515528.42000534153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</r>
  <r>
    <x v="25"/>
    <x v="10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</r>
  <r>
    <x v="26"/>
    <x v="4"/>
    <n v="1"/>
    <x v="1"/>
    <s v="Østdanmark"/>
    <n v="1235469.8186668158"/>
    <n v="566716.06683172472"/>
    <n v="0"/>
    <n v="0"/>
    <n v="0"/>
    <n v="0"/>
    <n v="0"/>
    <n v="0"/>
    <n v="668753.75183509104"/>
    <n v="67599.913366085384"/>
    <n v="0"/>
    <n v="0.24268368898424655"/>
    <n v="0.24268368898424655"/>
    <n v="0"/>
    <n v="0.24268368898424655"/>
    <n v="20279.974009825615"/>
    <n v="20279.974009825615"/>
    <n v="0"/>
    <n v="20279.97400982561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49217.90264651313"/>
    <n v="0"/>
    <n v="0"/>
    <n v="0"/>
    <n v="0"/>
    <n v="0"/>
    <n v="0"/>
    <n v="0"/>
    <n v="449217.90264651313"/>
    <n v="0"/>
    <n v="0"/>
    <n v="0"/>
    <n v="0"/>
    <n v="0"/>
    <n v="0"/>
    <n v="0"/>
    <n v="0"/>
    <n v="0"/>
    <n v="0"/>
  </r>
  <r>
    <x v="31"/>
    <x v="7"/>
    <n v="1"/>
    <x v="1"/>
    <s v="Østdanmark"/>
    <n v="39848.41282272341"/>
    <n v="0"/>
    <n v="0"/>
    <n v="0"/>
    <n v="0"/>
    <n v="0"/>
    <n v="39848.41282272341"/>
    <n v="0"/>
    <n v="0"/>
    <n v="0"/>
    <n v="39848.41282272341"/>
    <n v="0"/>
    <n v="0.73321079593811067"/>
    <n v="0"/>
    <n v="0.73321079593811067"/>
    <n v="0"/>
    <n v="16537.091321430216"/>
    <n v="0"/>
    <n v="16537.091321430216"/>
  </r>
  <r>
    <x v="32"/>
    <x v="8"/>
    <n v="1"/>
    <x v="1"/>
    <s v="Østdanmark"/>
    <n v="221382.21931156982"/>
    <n v="0"/>
    <n v="0"/>
    <n v="0"/>
    <n v="0"/>
    <n v="0"/>
    <n v="221382.21931156982"/>
    <n v="0"/>
    <n v="0"/>
    <n v="0"/>
    <n v="221382.21931156982"/>
    <n v="0"/>
    <n v="1.9839009453449672"/>
    <n v="0"/>
    <n v="1.9839009453449672"/>
    <n v="0"/>
    <n v="0"/>
    <n v="0"/>
    <n v="0"/>
  </r>
  <r>
    <x v="33"/>
    <x v="8"/>
    <n v="1"/>
    <x v="1"/>
    <s v="Østdanmark"/>
    <n v="55345.554827892454"/>
    <n v="0"/>
    <n v="0"/>
    <n v="0"/>
    <n v="0"/>
    <n v="0"/>
    <n v="55345.554827892454"/>
    <n v="0"/>
    <n v="0"/>
    <n v="0"/>
    <n v="55345.554827892454"/>
    <n v="0"/>
    <n v="1.8412675440456558"/>
    <n v="0"/>
    <n v="1.8412675440456558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14510.72415794732"/>
    <n v="0"/>
    <n v="0"/>
    <n v="0"/>
    <n v="0"/>
    <n v="0"/>
    <n v="0"/>
    <n v="214510.7241579473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7255.36207897366"/>
    <n v="19420.588606927966"/>
    <n v="0"/>
    <n v="0"/>
    <n v="0"/>
    <n v="0"/>
    <n v="0"/>
    <n v="0"/>
    <n v="87834.773472045694"/>
    <n v="0"/>
    <n v="0"/>
    <n v="0"/>
    <n v="0"/>
    <n v="0"/>
    <n v="0"/>
    <n v="0"/>
    <n v="0"/>
    <n v="0"/>
    <n v="0"/>
  </r>
  <r>
    <x v="37"/>
    <x v="9"/>
    <n v="1"/>
    <x v="1"/>
    <s v="Østdanmark"/>
    <n v="68643.431730543147"/>
    <n v="0"/>
    <n v="0"/>
    <n v="0"/>
    <n v="0"/>
    <n v="0"/>
    <n v="68643.431730543147"/>
    <n v="0"/>
    <n v="0"/>
    <n v="0"/>
    <n v="68643.431730543147"/>
    <n v="0"/>
    <n v="2.4025201105690099"/>
    <n v="0"/>
    <n v="2.4025201105690099"/>
    <n v="0"/>
    <n v="0"/>
    <n v="0"/>
    <n v="0"/>
  </r>
  <r>
    <x v="38"/>
    <x v="4"/>
    <n v="1"/>
    <x v="1"/>
    <s v="Østdanmark"/>
    <n v="224907.22799024681"/>
    <n v="85727.434262012321"/>
    <n v="0"/>
    <n v="0"/>
    <n v="0"/>
    <n v="0"/>
    <n v="0"/>
    <n v="0"/>
    <n v="139179.79372823448"/>
    <n v="107785.76819097856"/>
    <n v="0"/>
    <n v="0.29253488630104346"/>
    <n v="0.29253488630104346"/>
    <n v="0"/>
    <n v="0.29253488630104346"/>
    <n v="21557.153638195712"/>
    <n v="21557.153638195712"/>
    <n v="0"/>
    <n v="21557.15363819571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</r>
  <r>
    <x v="42"/>
    <x v="2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</r>
  <r>
    <x v="43"/>
    <x v="10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</r>
  <r>
    <x v="47"/>
    <x v="10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015.95064111016"/>
    <n v="3823.0915711153852"/>
    <n v="0"/>
    <n v="98440.006733673188"/>
    <n v="0"/>
    <n v="0"/>
    <n v="0"/>
    <n v="0"/>
    <n v="118752.8523363215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49232892.94223267"/>
    <n v="0"/>
    <n v="0"/>
    <n v="0"/>
    <n v="0"/>
    <n v="0"/>
    <n v="149232892.94223267"/>
    <n v="0"/>
    <n v="0"/>
    <n v="0"/>
    <n v="149232892.94223267"/>
    <n v="0"/>
    <n v="0"/>
    <n v="0"/>
    <n v="0"/>
    <n v="0"/>
    <n v="0"/>
    <n v="0"/>
    <n v="0"/>
  </r>
  <r>
    <x v="4"/>
    <x v="10"/>
    <n v="0"/>
    <x v="2"/>
    <s v="Østdanmark"/>
    <n v="4825001.4556238251"/>
    <n v="0"/>
    <n v="0"/>
    <n v="0"/>
    <n v="0"/>
    <n v="3214901.5422402946"/>
    <n v="0"/>
    <n v="0"/>
    <n v="1610099.9133835305"/>
    <n v="0"/>
    <n v="0"/>
    <n v="0"/>
    <n v="0"/>
    <n v="0"/>
    <n v="0"/>
    <n v="0"/>
    <n v="0"/>
    <n v="0"/>
    <n v="0"/>
  </r>
  <r>
    <x v="5"/>
    <x v="1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</r>
  <r>
    <x v="6"/>
    <x v="2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</r>
  <r>
    <x v="7"/>
    <x v="10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</r>
  <r>
    <x v="9"/>
    <x v="10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</r>
  <r>
    <x v="10"/>
    <x v="10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</r>
  <r>
    <x v="11"/>
    <x v="10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888780.8014802146"/>
    <n v="771991.75994211878"/>
    <n v="0"/>
    <n v="0"/>
    <n v="0"/>
    <n v="0"/>
    <n v="0"/>
    <n v="394599.25872257137"/>
    <n v="1722189.7828155244"/>
    <n v="92224.67040210776"/>
    <n v="0"/>
    <n v="0.16968186545607802"/>
    <n v="0.16968186545607802"/>
    <n v="0"/>
    <n v="0.16968186545607802"/>
    <n v="25822.907712590175"/>
    <n v="25822.907712590175"/>
    <n v="0"/>
    <n v="25822.907712590175"/>
  </r>
  <r>
    <x v="14"/>
    <x v="10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</r>
  <r>
    <x v="16"/>
    <x v="5"/>
    <n v="1"/>
    <x v="2"/>
    <s v="Østdanmark"/>
    <n v="1064014.7311507878"/>
    <n v="43588.683268641777"/>
    <n v="51992.644823495335"/>
    <n v="0"/>
    <n v="0"/>
    <n v="0"/>
    <n v="261147.19078467367"/>
    <n v="707286.21227397677"/>
    <n v="0"/>
    <n v="0"/>
    <n v="261147.19078467367"/>
    <n v="0"/>
    <n v="2.6991667899593614"/>
    <n v="0"/>
    <n v="2.6991667899593614"/>
    <n v="0"/>
    <n v="221975.11216697263"/>
    <n v="0"/>
    <n v="221975.11216697263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</r>
  <r>
    <x v="21"/>
    <x v="10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</r>
  <r>
    <x v="22"/>
    <x v="5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</r>
  <r>
    <x v="23"/>
    <x v="10"/>
    <n v="0"/>
    <x v="2"/>
    <s v="Østdanmark"/>
    <n v="0"/>
    <n v="0"/>
    <n v="0"/>
    <n v="0"/>
    <n v="0"/>
    <n v="479704.42610224185"/>
    <n v="0"/>
    <n v="0"/>
    <n v="-479704.42610224185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</r>
  <r>
    <x v="25"/>
    <x v="10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</r>
  <r>
    <x v="26"/>
    <x v="4"/>
    <n v="1"/>
    <x v="2"/>
    <s v="Østdanmark"/>
    <n v="1162586.9095964739"/>
    <n v="359568.84629440639"/>
    <n v="0"/>
    <n v="0"/>
    <n v="199670.8224928487"/>
    <n v="0"/>
    <n v="0"/>
    <n v="0"/>
    <n v="603347.24080921884"/>
    <n v="300848.41353906074"/>
    <n v="199670.8224928487"/>
    <n v="1.0800458046052281"/>
    <n v="1.7968640573545551"/>
    <n v="0.71681825274932687"/>
    <n v="1.0800458046052284"/>
    <n v="90254.524061718213"/>
    <n v="150155.77080957283"/>
    <n v="59901.24674785461"/>
    <n v="90254.524061718228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</r>
  <r>
    <x v="30"/>
    <x v="10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</r>
  <r>
    <x v="31"/>
    <x v="7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</r>
  <r>
    <x v="32"/>
    <x v="8"/>
    <n v="1"/>
    <x v="2"/>
    <s v="Østdanmark"/>
    <n v="396080.27887342701"/>
    <n v="0"/>
    <n v="0"/>
    <n v="0"/>
    <n v="0"/>
    <n v="0"/>
    <n v="396080.27887342701"/>
    <n v="0"/>
    <n v="0"/>
    <n v="0"/>
    <n v="396080.27887342701"/>
    <n v="0"/>
    <n v="3.5494451276757242"/>
    <n v="0"/>
    <n v="3.5494451276757242"/>
    <n v="0"/>
    <n v="0"/>
    <n v="0"/>
    <n v="0"/>
  </r>
  <r>
    <x v="33"/>
    <x v="8"/>
    <n v="1"/>
    <x v="2"/>
    <s v="Østdanmark"/>
    <n v="99020.069718356754"/>
    <n v="0"/>
    <n v="0"/>
    <n v="0"/>
    <n v="0"/>
    <n v="0"/>
    <n v="99020.069718356754"/>
    <n v="0"/>
    <n v="0"/>
    <n v="0"/>
    <n v="99020.069718356754"/>
    <n v="0"/>
    <n v="3.2942562622872735"/>
    <n v="0"/>
    <n v="3.2942562622872735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198603.01144531288"/>
    <n v="0"/>
    <n v="0"/>
    <n v="0"/>
    <n v="0"/>
    <n v="0"/>
    <n v="0"/>
    <n v="198603.01144531288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301.505722656439"/>
    <n v="12321.935177858404"/>
    <n v="0"/>
    <n v="0"/>
    <n v="0"/>
    <n v="0"/>
    <n v="0"/>
    <n v="0"/>
    <n v="86979.570544798029"/>
    <n v="0"/>
    <n v="0"/>
    <n v="0"/>
    <n v="0"/>
    <n v="0"/>
    <n v="0"/>
    <n v="0"/>
    <n v="0"/>
    <n v="0"/>
    <n v="0"/>
  </r>
  <r>
    <x v="37"/>
    <x v="9"/>
    <n v="1"/>
    <x v="2"/>
    <s v="Østdanmark"/>
    <n v="63552.963662500122"/>
    <n v="0"/>
    <n v="0"/>
    <n v="0"/>
    <n v="0"/>
    <n v="0"/>
    <n v="63552.963662500122"/>
    <n v="0"/>
    <n v="0"/>
    <n v="0"/>
    <n v="63552.963662500122"/>
    <n v="0"/>
    <n v="2.2243537281875039"/>
    <n v="0"/>
    <n v="2.2243537281875039"/>
    <n v="0"/>
    <n v="0"/>
    <n v="0"/>
    <n v="0"/>
  </r>
  <r>
    <x v="38"/>
    <x v="4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</r>
  <r>
    <x v="42"/>
    <x v="2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</r>
  <r>
    <x v="43"/>
    <x v="10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9106.00625063898"/>
    <n v="0"/>
    <n v="0"/>
    <n v="0"/>
    <n v="0"/>
    <n v="0"/>
    <n v="629106.00625063898"/>
    <n v="0"/>
    <n v="0"/>
    <n v="0"/>
    <n v="629106.00625063898"/>
    <n v="0"/>
    <n v="9.1179912474852252"/>
    <n v="0"/>
    <n v="9.1179912474852252"/>
    <n v="0"/>
    <n v="311145.34559146187"/>
    <n v="0"/>
    <n v="311145.34559146187"/>
  </r>
  <r>
    <x v="47"/>
    <x v="10"/>
    <n v="0"/>
    <x v="2"/>
    <s v="Østdanmark"/>
    <n v="178830.65970425931"/>
    <n v="0"/>
    <n v="0"/>
    <n v="0"/>
    <n v="0"/>
    <n v="0"/>
    <n v="0"/>
    <n v="178830.6597042593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9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9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9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9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9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9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9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3" t="s">
        <v>278</v>
      </c>
      <c r="B1" s="343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2" t="s">
        <v>277</v>
      </c>
      <c r="B4" s="342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4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4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69"/>
  <sheetViews>
    <sheetView zoomScale="60" zoomScaleNormal="60" workbookViewId="0">
      <selection activeCell="Q28" sqref="Q2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7" width="9.140625" style="1"/>
    <col min="8" max="8" width="11.7109375" style="1" customWidth="1"/>
    <col min="9" max="9" width="9.140625" style="1"/>
    <col min="10" max="10" width="10.85546875" style="1" bestFit="1" customWidth="1"/>
    <col min="11" max="16384" width="9.140625" style="1"/>
  </cols>
  <sheetData>
    <row r="1" spans="1:17" ht="15" customHeight="1" x14ac:dyDescent="0.25">
      <c r="A1" s="255" t="s">
        <v>305</v>
      </c>
      <c r="B1" s="254"/>
      <c r="C1" s="345" t="s">
        <v>304</v>
      </c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</row>
    <row r="2" spans="1:17" ht="15" customHeight="1" x14ac:dyDescent="0.25">
      <c r="A2" s="254"/>
      <c r="B2" s="254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</row>
    <row r="3" spans="1:17" x14ac:dyDescent="0.25">
      <c r="A3" s="75"/>
    </row>
    <row r="123" spans="3:3" x14ac:dyDescent="0.25">
      <c r="C123" s="182"/>
    </row>
    <row r="166" spans="7:11" x14ac:dyDescent="0.25">
      <c r="H166" s="1">
        <v>2030</v>
      </c>
      <c r="I166" s="1">
        <v>2030</v>
      </c>
      <c r="J166" s="1">
        <v>2050</v>
      </c>
      <c r="K166" s="1">
        <v>2050</v>
      </c>
    </row>
    <row r="167" spans="7:11" x14ac:dyDescent="0.25">
      <c r="H167" s="1" t="s">
        <v>343</v>
      </c>
      <c r="I167" s="1" t="s">
        <v>344</v>
      </c>
      <c r="J167" s="1" t="str">
        <f>H167</f>
        <v>ton vv</v>
      </c>
      <c r="K167" s="1" t="str">
        <f>I167</f>
        <v>gødning</v>
      </c>
    </row>
    <row r="168" spans="7:11" x14ac:dyDescent="0.25">
      <c r="G168" s="1" t="s">
        <v>341</v>
      </c>
      <c r="H168" s="182" t="e">
        <f>'Resultat-Produktion &amp; forbrug'!N55+'Resultat-Produktion &amp; forbrug'!N199</f>
        <v>#DIV/0!</v>
      </c>
      <c r="J168" s="182" t="e">
        <f>'Resultat-Produktion &amp; forbrug'!N55+'Resultat-Produktion &amp; forbrug'!N199</f>
        <v>#DIV/0!</v>
      </c>
    </row>
    <row r="169" spans="7:11" x14ac:dyDescent="0.25">
      <c r="G169" s="1" t="s">
        <v>342</v>
      </c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v>250000</v>
      </c>
      <c r="D5" s="9">
        <v>513100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1886536</v>
      </c>
      <c r="Q6" s="18">
        <f t="shared" si="1"/>
        <v>1.999999999994543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  <c r="P13" s="15">
        <f>P7/4293300</f>
        <v>0.25039014278061167</v>
      </c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0" zoomScale="85" zoomScaleNormal="85" workbookViewId="0">
      <selection activeCell="G39" sqref="G3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85</v>
      </c>
      <c r="C17" s="87">
        <v>0.59345000000000003</v>
      </c>
      <c r="D17" s="3">
        <v>0.75</v>
      </c>
      <c r="E17" s="3">
        <v>0.9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8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8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787.31999999999982</v>
      </c>
      <c r="E26" s="10">
        <f>1%*Arealanvendelse!Q6</f>
        <v>1.9999999999945429E-2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6" t="s">
        <v>333</v>
      </c>
      <c r="C30" s="25"/>
      <c r="D30" s="25"/>
      <c r="E30" s="25"/>
      <c r="K30" s="12"/>
    </row>
    <row r="31" spans="2:11" x14ac:dyDescent="0.25">
      <c r="B31" s="34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v>0.115</v>
      </c>
      <c r="E33" s="90">
        <f t="shared" ref="E33:E44" si="1">D33</f>
        <v>0.115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v>9.0999999999999998E-2</v>
      </c>
      <c r="E34" s="90">
        <f t="shared" si="1"/>
        <v>9.0999999999999998E-2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v>0.13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v>0.04</v>
      </c>
      <c r="E36" s="90">
        <f t="shared" si="1"/>
        <v>0.04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v>0.05</v>
      </c>
      <c r="E39" s="90">
        <f t="shared" si="1"/>
        <v>0.05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ref="D41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v>0.05</v>
      </c>
      <c r="E45" s="90">
        <v>9.5000000000000001E-2</v>
      </c>
      <c r="K45" s="12"/>
    </row>
    <row r="46" spans="2:11" x14ac:dyDescent="0.25">
      <c r="B46" s="25" t="s">
        <v>297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348608.53289043927</v>
      </c>
      <c r="K47" s="12"/>
    </row>
    <row r="48" spans="2:11" x14ac:dyDescent="0.25">
      <c r="B48" s="25" t="s">
        <v>244</v>
      </c>
      <c r="C48" s="109"/>
      <c r="D48" s="115">
        <f>1%*Arealanvendelse!M6</f>
        <v>21496.36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4" sqref="D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Areal-permanent græs</v>
      </c>
      <c r="B3" s="12" t="s">
        <v>134</v>
      </c>
      <c r="C3" s="119" t="e">
        <f>VLOOKUP(A3,[1]Foder!$A$2:$E$16,5,FALSE)</f>
        <v>#N/A</v>
      </c>
      <c r="D3" s="314">
        <v>0.4</v>
      </c>
      <c r="E3" s="314">
        <f>D3</f>
        <v>0.4</v>
      </c>
      <c r="I3" s="244"/>
    </row>
    <row r="4" spans="1:9" x14ac:dyDescent="0.25">
      <c r="A4" s="2" t="str">
        <f>'[1]Processer - data'!$D419</f>
        <v>Areal-permanent græs</v>
      </c>
      <c r="B4" s="12" t="s">
        <v>134</v>
      </c>
      <c r="C4" s="119" t="e">
        <f>VLOOKUP(A4,[1]Foder!$A$2:$E$16,5,FALSE)</f>
        <v>#N/A</v>
      </c>
      <c r="D4" s="314">
        <v>0.01</v>
      </c>
      <c r="E4" s="314">
        <f t="shared" ref="E4:E17" si="0">D4</f>
        <v>0.01</v>
      </c>
      <c r="I4" s="244"/>
    </row>
    <row r="5" spans="1:9" x14ac:dyDescent="0.25">
      <c r="A5" s="2" t="str">
        <f>'[1]Processer - data'!$D420</f>
        <v>Areal-permanent græs</v>
      </c>
      <c r="B5" s="12" t="s">
        <v>134</v>
      </c>
      <c r="C5" s="119" t="e">
        <f>VLOOKUP(A5,[1]Foder!$A$2:$E$16,5,FALSE)</f>
        <v>#N/A</v>
      </c>
      <c r="D5" s="314"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Areal-permanent græs</v>
      </c>
      <c r="B6" s="12" t="s">
        <v>134</v>
      </c>
      <c r="C6" s="119" t="e">
        <f>VLOOKUP(A6,[1]Foder!$A$2:$E$16,5,FALSE)</f>
        <v>#N/A</v>
      </c>
      <c r="D6" s="314">
        <v>5.0000000000000001E-3</v>
      </c>
      <c r="E6" s="314">
        <f t="shared" si="0"/>
        <v>5.0000000000000001E-3</v>
      </c>
      <c r="I6" s="244"/>
    </row>
    <row r="7" spans="1:9" x14ac:dyDescent="0.25">
      <c r="A7" s="2" t="str">
        <f>'[1]Processer - data'!$D422</f>
        <v>Areal-permanent græs</v>
      </c>
      <c r="B7" s="12" t="s">
        <v>134</v>
      </c>
      <c r="C7" s="119" t="e">
        <f>VLOOKUP(A7,[1]Foder!$A$2:$E$16,5,FALSE)</f>
        <v>#N/A</v>
      </c>
      <c r="D7" s="314">
        <v>0.01</v>
      </c>
      <c r="E7" s="314">
        <f t="shared" si="0"/>
        <v>0.01</v>
      </c>
      <c r="I7" s="244"/>
    </row>
    <row r="8" spans="1:9" x14ac:dyDescent="0.25">
      <c r="A8" s="2" t="str">
        <f>'[1]Processer - data'!$D423</f>
        <v>Træer</v>
      </c>
      <c r="B8" s="12" t="s">
        <v>134</v>
      </c>
      <c r="C8" s="119" t="e">
        <f>VLOOKUP(A8,[1]Foder!$A$2:$E$16,5,FALSE)</f>
        <v>#N/A</v>
      </c>
      <c r="D8" s="314">
        <v>0.115</v>
      </c>
      <c r="E8" s="314">
        <f t="shared" si="0"/>
        <v>0.115</v>
      </c>
      <c r="I8" s="244"/>
    </row>
    <row r="9" spans="1:9" x14ac:dyDescent="0.25">
      <c r="A9" s="2" t="str">
        <f>'[1]Processer - data'!$D424</f>
        <v>Træer</v>
      </c>
      <c r="B9" s="12" t="s">
        <v>134</v>
      </c>
      <c r="C9" s="119" t="e">
        <f>VLOOKUP(A9,[1]Foder!$A$2:$E$16,5,FALSE)</f>
        <v>#N/A</v>
      </c>
      <c r="D9" s="314">
        <v>1.4999999999999999E-2</v>
      </c>
      <c r="E9" s="314">
        <f t="shared" si="0"/>
        <v>1.4999999999999999E-2</v>
      </c>
      <c r="I9" s="244"/>
    </row>
    <row r="10" spans="1:9" x14ac:dyDescent="0.25">
      <c r="A10" s="2" t="str">
        <f>'[1]Processer - data'!$D425</f>
        <v>CO2 - HWP</v>
      </c>
      <c r="B10" s="12" t="s">
        <v>134</v>
      </c>
      <c r="C10" s="119" t="e">
        <f>VLOOKUP(A10,[1]Foder!$A$2:$E$16,5,FALSE)</f>
        <v>#N/A</v>
      </c>
      <c r="D10" s="314"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Råmælk</v>
      </c>
      <c r="B11" s="12" t="s">
        <v>134</v>
      </c>
      <c r="C11" s="119" t="e">
        <f>VLOOKUP(A11,[1]Foder!$A$2:$E$16,5,FALSE)</f>
        <v>#N/A</v>
      </c>
      <c r="D11" s="314"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Råmælk</v>
      </c>
      <c r="B12" s="12" t="s">
        <v>134</v>
      </c>
      <c r="C12" s="119" t="e">
        <f>VLOOKUP(A12,[1]Foder!$A$2:$E$16,5,FALSE)</f>
        <v>#N/A</v>
      </c>
      <c r="D12" s="314">
        <v>0.155</v>
      </c>
      <c r="E12" s="314">
        <f t="shared" si="0"/>
        <v>0.155</v>
      </c>
    </row>
    <row r="13" spans="1:9" x14ac:dyDescent="0.25">
      <c r="A13" s="2" t="str">
        <f>'[1]Processer - data'!$D428</f>
        <v>Råmælk</v>
      </c>
      <c r="B13" s="12" t="s">
        <v>134</v>
      </c>
      <c r="C13" s="119" t="e">
        <f>VLOOKUP(A13,[1]Foder!$A$2:$E$16,5,FALSE)</f>
        <v>#N/A</v>
      </c>
      <c r="D13" s="314">
        <v>0.01</v>
      </c>
      <c r="E13" s="314">
        <f t="shared" si="0"/>
        <v>0.01</v>
      </c>
    </row>
    <row r="14" spans="1:9" x14ac:dyDescent="0.25">
      <c r="A14" s="2" t="str">
        <f>'[1]Processer - data'!$D429</f>
        <v>Råmælk</v>
      </c>
      <c r="B14" s="12" t="s">
        <v>134</v>
      </c>
      <c r="C14" s="119" t="e">
        <f>VLOOKUP(A14,[1]Foder!$A$2:$E$16,5,FALSE)</f>
        <v>#N/A</v>
      </c>
      <c r="D14" s="119">
        <f>ROUND('[1]Processer - data'!I$469/'[1]Processer - data'!I$468*D15*'[1]Processer - data'!$H$429/'[1]Processer - data'!$H$430,3)</f>
        <v>0.75600000000000001</v>
      </c>
      <c r="E14" s="119">
        <f>ROUND('[1]Processer - data'!J$469/'[1]Processer - data'!J$468*E15*'[1]Processer - data'!$H$429/'[1]Processer - data'!$H$430,3)</f>
        <v>0.75600000000000001</v>
      </c>
      <c r="F14" s="1" t="s">
        <v>325</v>
      </c>
    </row>
    <row r="15" spans="1:9" x14ac:dyDescent="0.25">
      <c r="A15" s="2" t="str">
        <f>'[1]Processer - data'!$D430</f>
        <v>Slagtesvin</v>
      </c>
      <c r="B15" s="12" t="s">
        <v>134</v>
      </c>
      <c r="C15" s="119" t="e">
        <f>VLOOKUP(A15,[1]Foder!$A$2:$E$16,5,FALSE)</f>
        <v>#N/A</v>
      </c>
      <c r="D15" s="314">
        <v>0.219</v>
      </c>
      <c r="E15" s="314">
        <f t="shared" si="0"/>
        <v>0.219</v>
      </c>
    </row>
    <row r="16" spans="1:9" x14ac:dyDescent="0.25">
      <c r="A16" s="2" t="str">
        <f>'[1]Processer - data'!$D431</f>
        <v>Slagtesvin</v>
      </c>
      <c r="B16" s="12" t="s">
        <v>134</v>
      </c>
      <c r="C16" s="119" t="e">
        <f>VLOOKUP(A16,[1]Foder!$A$2:$E$16,5,FALSE)</f>
        <v>#N/A</v>
      </c>
      <c r="D16" s="314">
        <v>0.01</v>
      </c>
      <c r="E16" s="314">
        <f t="shared" si="0"/>
        <v>0.01</v>
      </c>
    </row>
    <row r="17" spans="1:6" ht="15.75" thickBot="1" x14ac:dyDescent="0.3">
      <c r="A17" s="2" t="str">
        <f>'[1]Processer - data'!$D432</f>
        <v>Slagtesvin</v>
      </c>
      <c r="B17" s="12" t="s">
        <v>134</v>
      </c>
      <c r="C17" s="119" t="e">
        <f>VLOOKUP(A17,[1]Foder!$A$2:$E$16,5,FALSE)</f>
        <v>#N/A</v>
      </c>
      <c r="D17" s="314">
        <v>0</v>
      </c>
      <c r="E17" s="314">
        <f t="shared" si="0"/>
        <v>0</v>
      </c>
      <c r="F17" s="315"/>
    </row>
    <row r="18" spans="1:6" ht="15.75" thickBot="1" x14ac:dyDescent="0.3">
      <c r="A18" s="245" t="s">
        <v>30</v>
      </c>
      <c r="B18" s="245" t="s">
        <v>134</v>
      </c>
      <c r="C18" s="120" t="e">
        <f>SUM(C3:C17)</f>
        <v>#N/A</v>
      </c>
      <c r="D18" s="120">
        <f t="shared" ref="D18:E18" si="1">SUM(D3:D17)</f>
        <v>1.7050000000000001</v>
      </c>
      <c r="E18" s="121">
        <f t="shared" si="1"/>
        <v>1.7050000000000001</v>
      </c>
      <c r="F18" s="318" t="s">
        <v>326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abSelected="1" zoomScale="85" zoomScaleNormal="85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21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4" t="s">
        <v>181</v>
      </c>
      <c r="B17" s="335">
        <v>0</v>
      </c>
      <c r="C17" s="338">
        <v>0</v>
      </c>
      <c r="D17" s="338">
        <v>0</v>
      </c>
    </row>
    <row r="18" spans="1:8" ht="15.75" thickBot="1" x14ac:dyDescent="0.3">
      <c r="A18" s="336" t="s">
        <v>30</v>
      </c>
      <c r="B18" s="337"/>
      <c r="C18" s="337">
        <f>SUM(C13:C17)</f>
        <v>1</v>
      </c>
      <c r="D18" s="337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34592.603862515069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4635.3974309211899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34592.603862515069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4635.3974309211899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56589.718580969005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7079.2272378551706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5658.9718580969002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707.92272378551706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34592.603862515069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4635.3974309211899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34592.603862515069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4635.3974309211899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56589.718580969005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7079.2272378551706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5658.9718580969002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707.92272378551706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34592.603862515069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4635.3974309211899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34592.603862515069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4635.3974309211899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56589.718580969005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7079.2272378551706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5658.9718580969002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707.92272378551706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34592.603862515069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4635.3974309211899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34592.603862515069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4635.3974309211899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56589.718580969005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7079.2272378551706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5658.9718580969002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707.92272378551706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49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50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62248.690439065904</v>
      </c>
      <c r="D50" s="109">
        <f t="shared" si="0"/>
        <v>131433.89816409603</v>
      </c>
      <c r="E50" s="109">
        <f t="shared" si="0"/>
        <v>0</v>
      </c>
      <c r="F50" s="109">
        <f t="shared" si="0"/>
        <v>7787.1499616406873</v>
      </c>
      <c r="G50" s="109">
        <f t="shared" si="0"/>
        <v>17057.944823483067</v>
      </c>
      <c r="H50" s="109">
        <f t="shared" ref="H50:H54" si="2">SUM(B50,E50)</f>
        <v>0</v>
      </c>
      <c r="I50" s="109">
        <f t="shared" si="1"/>
        <v>70035.840400706598</v>
      </c>
      <c r="J50" s="109">
        <f t="shared" si="1"/>
        <v>148491.84298757909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62248.690439065904</v>
      </c>
      <c r="D51" s="109">
        <f t="shared" si="0"/>
        <v>131433.89816409603</v>
      </c>
      <c r="E51" s="109">
        <f t="shared" si="0"/>
        <v>0</v>
      </c>
      <c r="F51" s="109">
        <f t="shared" si="0"/>
        <v>7787.1499616406873</v>
      </c>
      <c r="G51" s="109">
        <f t="shared" si="0"/>
        <v>17057.944823483067</v>
      </c>
      <c r="H51" s="109">
        <f t="shared" si="2"/>
        <v>0</v>
      </c>
      <c r="I51" s="109">
        <f t="shared" si="1"/>
        <v>70035.840400706598</v>
      </c>
      <c r="J51" s="109">
        <f t="shared" si="1"/>
        <v>148491.84298757909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62248.690439065904</v>
      </c>
      <c r="D52" s="109">
        <f t="shared" si="0"/>
        <v>131433.89816409603</v>
      </c>
      <c r="E52" s="109">
        <f t="shared" si="0"/>
        <v>0</v>
      </c>
      <c r="F52" s="109">
        <f t="shared" si="0"/>
        <v>7787.1499616406873</v>
      </c>
      <c r="G52" s="109">
        <f t="shared" si="0"/>
        <v>17057.944823483067</v>
      </c>
      <c r="H52" s="109">
        <f t="shared" si="2"/>
        <v>0</v>
      </c>
      <c r="I52" s="109">
        <f t="shared" si="1"/>
        <v>70035.840400706598</v>
      </c>
      <c r="J52" s="109">
        <f t="shared" si="1"/>
        <v>148491.84298757909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62248.690439065904</v>
      </c>
      <c r="D53" s="109">
        <f t="shared" si="0"/>
        <v>131433.89816409603</v>
      </c>
      <c r="E53" s="109">
        <f t="shared" si="0"/>
        <v>0</v>
      </c>
      <c r="F53" s="109">
        <f t="shared" si="0"/>
        <v>7787.1499616406873</v>
      </c>
      <c r="G53" s="109">
        <f t="shared" si="0"/>
        <v>17057.944823483067</v>
      </c>
      <c r="H53" s="109">
        <f t="shared" si="2"/>
        <v>0</v>
      </c>
      <c r="I53" s="109">
        <f t="shared" si="1"/>
        <v>70035.840400706598</v>
      </c>
      <c r="J53" s="109">
        <f t="shared" si="1"/>
        <v>148491.84298757909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9" t="s">
        <v>120</v>
      </c>
      <c r="B60" s="335">
        <f>'[1]Processer - data'!$H424</f>
        <v>0.52</v>
      </c>
      <c r="C60" s="338">
        <f>B60</f>
        <v>0.52</v>
      </c>
      <c r="D60" s="338">
        <f>C60</f>
        <v>0.52</v>
      </c>
    </row>
    <row r="61" spans="1:10" ht="15.75" thickBot="1" x14ac:dyDescent="0.3">
      <c r="A61" s="336" t="s">
        <v>30</v>
      </c>
      <c r="B61" s="337">
        <f>SUM(B59:B60)</f>
        <v>1</v>
      </c>
      <c r="C61" s="337">
        <f t="shared" ref="C61:D61" si="3">SUM(C59:C60)</f>
        <v>1</v>
      </c>
      <c r="D61" s="337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1" t="s">
        <v>327</v>
      </c>
      <c r="D2" s="351"/>
      <c r="E2" s="351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2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2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3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3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C5" sqref="C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>
        <v>0.2</v>
      </c>
      <c r="D5" s="3">
        <v>0.5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285126.10198467888</v>
      </c>
      <c r="I5" s="10">
        <f>SUMIFS('Resultat-Produktion &amp; forbrug'!$N$3:$N$1000,'Resultat-Produktion &amp; forbrug'!$A$3:$A$1000,Adfærd!$G5,'Resultat-Produktion &amp; forbrug'!$D$3:$D$1000,Adfærd!I$4)</f>
        <v>891204.73606530321</v>
      </c>
      <c r="J5" s="10">
        <f>SUMIFS('Resultat-Produktion &amp; forbrug'!$N$3:$N$1000,'Resultat-Produktion &amp; forbrug'!$A$3:$A$1000,Adfærd!$G5,'Resultat-Produktion &amp; forbrug'!$D$3:$D$1000,Adfærd!J$4)</f>
        <v>618901.55012686399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44.89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22.11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80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20.8</v>
      </c>
      <c r="D27" s="115">
        <f>$B27*(1-SUM(D$5:D$8))</f>
        <v>13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4" sqref="D4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7" t="s">
        <v>335</v>
      </c>
      <c r="G2" s="358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0.62</v>
      </c>
      <c r="D3" s="181">
        <v>0.8</v>
      </c>
      <c r="E3" s="158" t="s">
        <v>340</v>
      </c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0.8114239314647298</v>
      </c>
      <c r="AC3" s="126">
        <f>SUM(E12:E14)/SUM(E12:E15)</f>
        <v>0.66818860512868805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0.62</v>
      </c>
      <c r="D4" s="181">
        <v>0.8</v>
      </c>
      <c r="E4" s="158" t="s">
        <v>340</v>
      </c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0.62</v>
      </c>
      <c r="D5" s="181">
        <v>0.8</v>
      </c>
      <c r="E5" s="158" t="s">
        <v>340</v>
      </c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0.38086108386108547</v>
      </c>
      <c r="AC5" s="147">
        <f t="shared" si="0"/>
        <v>0.30107186107017825</v>
      </c>
    </row>
    <row r="6" spans="1:29" x14ac:dyDescent="0.2">
      <c r="A6" s="180" t="s">
        <v>141</v>
      </c>
      <c r="B6" s="233">
        <f>N15/SUMIFS('Resultater - Danmark'!H$3:H$482,'Resultater - Danmark'!$F$3:$F$482,$A6)</f>
        <v>0.38648322820589953</v>
      </c>
      <c r="C6" s="181">
        <v>0.5</v>
      </c>
      <c r="D6" s="181">
        <v>0.8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0.30687306888418081</v>
      </c>
      <c r="AC6" s="147">
        <f t="shared" si="0"/>
        <v>0.24854252084067674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0.62</v>
      </c>
      <c r="D7" s="181">
        <v>0.8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0.62</v>
      </c>
      <c r="D8" s="181">
        <v>0.8</v>
      </c>
      <c r="F8" s="177"/>
      <c r="G8" s="178"/>
      <c r="I8" s="159"/>
    </row>
    <row r="10" spans="1:29" ht="23.45" customHeight="1" x14ac:dyDescent="0.2">
      <c r="A10" s="129"/>
      <c r="B10" s="130"/>
      <c r="C10" s="355" t="s">
        <v>211</v>
      </c>
      <c r="D10" s="355"/>
      <c r="E10" s="355"/>
      <c r="F10" s="354" t="s">
        <v>336</v>
      </c>
      <c r="G10" s="354"/>
      <c r="J10" s="356" t="s">
        <v>212</v>
      </c>
      <c r="K10" s="356"/>
      <c r="L10" s="356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8560529.974906262</v>
      </c>
      <c r="E12" s="133">
        <f>SUMIFS('Resultater - Danmark'!J$3:J$482,'Resultater - Danmark'!$F$3:$F$482,$A12)*D3</f>
        <v>6609395.6836867332</v>
      </c>
      <c r="F12" s="241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#DIV/0!</v>
      </c>
      <c r="G12" s="241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#DIV/0!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0.38086108386108547</v>
      </c>
      <c r="L12" s="134">
        <f t="shared" ref="L12:L28" si="3">E12/E$29</f>
        <v>0.30107186107017825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6897517.7984649893</v>
      </c>
      <c r="E13" s="136">
        <f>SUMIFS('Resultater - Danmark'!J$3:J$482,'Resultater - Danmark'!$F$3:$F$482,$A13)*D4</f>
        <v>5456225.1637129262</v>
      </c>
      <c r="F13" s="242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#DIV/0!</v>
      </c>
      <c r="G13" s="242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#DIV/0!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0.30687306888418081</v>
      </c>
      <c r="L13" s="137">
        <f t="shared" si="3"/>
        <v>0.24854252084067674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5606.6153976329688</v>
      </c>
      <c r="E14" s="136">
        <f>SUMIFS('Resultater - Danmark'!J$3:J$482,'Resultater - Danmark'!$F$3:$F$482,$A14)*D5</f>
        <v>7470.9040958807809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3436.3126630653678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1867.7260239701936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2.4944035280457334E-4</v>
      </c>
      <c r="L14" s="137">
        <f t="shared" si="3"/>
        <v>3.4031537944918317E-4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3593775.1362081505</v>
      </c>
      <c r="E15" s="136">
        <f>SUMIFS('Resultater - Danmark'!J$3:J$482,'Resultater - Danmark'!$F$3:$F$482,$A15)*D6</f>
        <v>5995297.411127721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3593775.1362081505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1498824.3527819291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0.15988835942884996</v>
      </c>
      <c r="L15" s="137">
        <f t="shared" si="3"/>
        <v>0.2730983944103349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1512611.3283061129</v>
      </c>
      <c r="E16" s="136">
        <f>SUMIFS('Resultater - Danmark'!J$3:J$482,'Resultater - Danmark'!$F$3:$F$482,$A16)*D7</f>
        <v>1321975.9767089048</v>
      </c>
      <c r="F16" s="242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#DIV/0!</v>
      </c>
      <c r="G16" s="242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#DIV/0!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6.7296626686425526E-2</v>
      </c>
      <c r="L16" s="137">
        <f t="shared" si="3"/>
        <v>6.021878347822051E-2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1.619426958685859E-2</v>
      </c>
      <c r="L18" s="137">
        <f t="shared" si="3"/>
        <v>1.6844119326329624E-2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600000</v>
      </c>
      <c r="E19" s="250">
        <v>500000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-28648.150399999926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-5711.8096000000369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2.6694217646163147E-2</v>
      </c>
      <c r="L19" s="137">
        <f t="shared" si="3"/>
        <v>2.2776050601213196E-2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/>
      <c r="E20" s="250"/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1713498.4097616293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1077130.6889808001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/>
      <c r="E21" s="250"/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5826051.7905614739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4767521.5588212479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0</v>
      </c>
      <c r="L21" s="137">
        <f t="shared" si="3"/>
        <v>0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/>
      <c r="E22" s="250"/>
      <c r="F22" s="242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#N/A</v>
      </c>
      <c r="G22" s="242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#N/A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0</v>
      </c>
      <c r="L22" s="137">
        <f t="shared" si="3"/>
        <v>0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/>
      <c r="E23" s="250">
        <v>750000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5262273.3307195064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3616888.3180394787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0</v>
      </c>
      <c r="L23" s="137">
        <f t="shared" si="3"/>
        <v>3.4164075901819795E-2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/>
      <c r="E24" s="250"/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893586.71854769241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759797.39756999072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0</v>
      </c>
      <c r="L24" s="137">
        <f t="shared" si="3"/>
        <v>0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800000</v>
      </c>
      <c r="E25" s="250">
        <v>800000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3.5592290194884191E-2</v>
      </c>
      <c r="L25" s="137">
        <f t="shared" si="3"/>
        <v>3.6441680961941114E-2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6.3506433587476995E-3</v>
      </c>
      <c r="L26" s="137">
        <f t="shared" si="3"/>
        <v>6.5021980298367484E-3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22476777.853283148</v>
      </c>
      <c r="E29" s="145">
        <f>SUM(E12:E28)</f>
        <v>21952884.139332164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0.10430264471918446</v>
      </c>
      <c r="E30" s="149">
        <f>SUMPRODUCT(E12:E28,$H$12:$H$28)/E29</f>
        <v>0.10973180316425507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0</v>
      </c>
      <c r="E31" s="149">
        <f>SUM(E21:E24)/E29</f>
        <v>3.4164075901819795E-2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535136340.03060055</v>
      </c>
      <c r="E32" s="125">
        <f>SUMPRODUCT(E12:E28,$I$12:$I$28)</f>
        <v>578657174.89345872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19.211394607098562</v>
      </c>
      <c r="E33" s="125">
        <f>E32*[1]Energiindhold!$C$10</f>
        <v>20.77379257867517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7477117.2552370103</v>
      </c>
      <c r="E39" s="133">
        <f>SUMIFS('Resultater - Vestdanmark'!J$3:J$482,'Resultater - Vestdanmark'!$F$3:$F$482,$A39)*D3</f>
        <v>5772916.7070318246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1083412.7196692515</v>
      </c>
      <c r="M39" s="133">
        <f>SUMIFS('Resultater - Østdanmark'!J$3:J$482,'Resultater - Østdanmark'!$F$3:$F$482,$A39)*D3</f>
        <v>836478.97665490792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6439814.3688225495</v>
      </c>
      <c r="E40" s="136">
        <f>SUMIFS('Resultater - Vestdanmark'!J$3:J$482,'Resultater - Vestdanmark'!$F$3:$F$482,$A40)*D4</f>
        <v>5094162.6010199301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457703.4296424397</v>
      </c>
      <c r="M40" s="136">
        <f>SUMIFS('Resultater - Østdanmark'!J$3:J$482,'Resultater - Østdanmark'!$F$3:$F$482,$A40)*D4</f>
        <v>362062.56269299635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5172.4902040381994</v>
      </c>
      <c r="E41" s="136">
        <f>SUMIFS('Resultater - Vestdanmark'!J$3:J$482,'Resultater - Vestdanmark'!$F$3:$F$482,$A41)*D5</f>
        <v>6892.4253779859373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434.12519359476988</v>
      </c>
      <c r="M41" s="136">
        <f>SUMIFS('Resultater - Østdanmark'!J$3:J$482,'Resultater - Østdanmark'!$F$3:$F$482,$A41)*D5</f>
        <v>578.47871789484259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1440479.6077343735</v>
      </c>
      <c r="D42" s="136">
        <f>SUMIFS('Resultater - Vestdanmark'!I$3:I$482,'Resultater - Vestdanmark'!$F$3:$F$482,$A42)*C6</f>
        <v>1926075.1045602516</v>
      </c>
      <c r="E42" s="136">
        <f>SUMIFS('Resultater - Vestdanmark'!J$3:J$482,'Resultater - Vestdanmark'!$F$3:$F$482,$A42)*D6</f>
        <v>3201866.838929344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1228354.3922656265</v>
      </c>
      <c r="L42" s="136">
        <f>SUMIFS('Resultater - Østdanmark'!I$3:I$482,'Resultater - Østdanmark'!$F$3:$F$482,$A42)*C6</f>
        <v>1667700.0316478992</v>
      </c>
      <c r="M42" s="136">
        <f>SUMIFS('Resultater - Østdanmark'!J$3:J$482,'Resultater - Østdanmark'!$F$3:$F$482,$A42)*D6</f>
        <v>2793430.5721983779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1333532.0474481385</v>
      </c>
      <c r="E43" s="136">
        <f>SUMIFS('Resultater - Vestdanmark'!J$3:J$482,'Resultater - Vestdanmark'!$F$3:$F$482,$A43)*D7</f>
        <v>1166509.8508162934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179079.28085797431</v>
      </c>
      <c r="M43" s="136">
        <f>SUMIFS('Resultater - Østdanmark'!J$3:J$482,'Resultater - Østdanmark'!$F$3:$F$482,$A43)*D7</f>
        <v>155466.12589261169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687256.8850452347</v>
      </c>
      <c r="D46" s="136">
        <f>SUMIFS('Resultater - Vestdanmark'!I$3:I$482,'Resultater - Vestdanmark'!$F$3:$F$482,$A46)/SUMIFS('Resultater - Danmark'!I$3:I$482,'Resultater - Danmark'!$F$3:$F$482,$A46)*D19</f>
        <v>402045.16595851834</v>
      </c>
      <c r="E46" s="136">
        <f>SUMIFS('Resultater - Vestdanmark'!J$3:J$482,'Resultater - Vestdanmark'!$F$3:$F$482,$A46)/SUMIFS('Resultater - Danmark'!J$3:J$482,'Resultater - Danmark'!$F$3:$F$482,$A46)*E19</f>
        <v>317335.22806602163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308397.11495476513</v>
      </c>
      <c r="L46" s="136">
        <f>SUMIFS('Resultater - Østdanmark'!I$3:I$482,'Resultater - Østdanmark'!$F$3:$F$482,$A46)/SUMIFS('Resultater - Danmark'!I$3:I$482,'Resultater - Danmark'!$F$3:$F$482,$A46)*D19</f>
        <v>197954.83404148166</v>
      </c>
      <c r="M46" s="136">
        <f>SUMIFS('Resultater - Østdanmark'!J$3:J$482,'Resultater - Østdanmark'!$F$3:$F$482,$A46)/SUMIFS('Resultater - Danmark'!J$3:J$482,'Resultater - Danmark'!$F$3:$F$482,$A46)*E19</f>
        <v>182664.77193397845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0</v>
      </c>
      <c r="E47" s="136">
        <f>SUMIFS('Resultater - Vestdanmark'!J$3:J$482,'Resultater - Vestdanmark'!$F$3:$F$482,$A47)/SUMIFS('Resultater - Danmark'!J$3:J$482,'Resultater - Danmark'!$F$3:$F$482,$A47)*E20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0</v>
      </c>
      <c r="M47" s="136">
        <f>SUMIFS('Resultater - Østdanmark'!J$3:J$482,'Resultater - Østdanmark'!$F$3:$F$482,$A47)/SUMIFS('Resultater - Danmark'!J$3:J$482,'Resultater - Danmark'!$F$3:$F$482,$A47)*E20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0</v>
      </c>
      <c r="E48" s="136">
        <f>SUMIFS('Resultater - Vestdanmark'!J$3:J$482,'Resultater - Vestdanmark'!$F$3:$F$482,$A48)/SUMIFS('Resultater - Danmark'!J$3:J$482,'Resultater - Danmark'!$F$3:$F$482,$A48)*E21</f>
        <v>0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0</v>
      </c>
      <c r="M48" s="136">
        <f>SUMIFS('Resultater - Østdanmark'!J$3:J$482,'Resultater - Østdanmark'!$F$3:$F$482,$A48)/SUMIFS('Resultater - Danmark'!J$3:J$482,'Resultater - Danmark'!$F$3:$F$482,$A48)*E21</f>
        <v>0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75742.498032341784</v>
      </c>
      <c r="D49" s="136">
        <f>SUMIFS('Resultater - Vestdanmark'!I$3:I$482,'Resultater - Vestdanmark'!$F$3:$F$482,$A49)/SUMIFS('Resultater - Danmark'!I$3:I$482,'Resultater - Danmark'!$F$3:$F$482,$A49)*D22</f>
        <v>0</v>
      </c>
      <c r="E49" s="136">
        <f>SUMIFS('Resultater - Vestdanmark'!J$3:J$482,'Resultater - Vestdanmark'!$F$3:$F$482,$A49)/SUMIFS('Resultater - Danmark'!J$3:J$482,'Resultater - Danmark'!$F$3:$F$482,$A49)*E22</f>
        <v>0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9934.501967658216</v>
      </c>
      <c r="L49" s="136">
        <f>SUMIFS('Resultater - Østdanmark'!I$3:I$482,'Resultater - Østdanmark'!$F$3:$F$482,$A49)/SUMIFS('Resultater - Danmark'!I$3:I$482,'Resultater - Danmark'!$F$3:$F$482,$A49)*D22</f>
        <v>0</v>
      </c>
      <c r="M49" s="136">
        <f>SUMIFS('Resultater - Østdanmark'!J$3:J$482,'Resultater - Østdanmark'!$F$3:$F$482,$A49)/SUMIFS('Resultater - Danmark'!J$3:J$482,'Resultater - Danmark'!$F$3:$F$482,$A49)*E22</f>
        <v>0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0</v>
      </c>
      <c r="E50" s="136">
        <f>SUMIFS('Resultater - Vestdanmark'!J$3:J$482,'Resultater - Vestdanmark'!$F$3:$F$482,$A50)/SUMIFS('Resultater - Danmark'!J$3:J$482,'Resultater - Danmark'!$F$3:$F$482,$A50)*E23</f>
        <v>550329.17750715138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0</v>
      </c>
      <c r="M50" s="136">
        <f>SUMIFS('Resultater - Østdanmark'!J$3:J$482,'Resultater - Østdanmark'!$F$3:$F$482,$A50)/SUMIFS('Resultater - Danmark'!J$3:J$482,'Resultater - Danmark'!$F$3:$F$482,$A50)*E23</f>
        <v>199670.8224928487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0</v>
      </c>
      <c r="E51" s="136">
        <f>SUMIFS('Resultater - Vestdanmark'!J$3:J$482,'Resultater - Vestdanmark'!$F$3:$F$482,$A51)/SUMIFS('Resultater - Danmark'!J$3:J$482,'Resultater - Danmark'!$F$3:$F$482,$A51)*E24</f>
        <v>0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0</v>
      </c>
      <c r="M51" s="136">
        <f>SUMIFS('Resultater - Østdanmark'!J$3:J$482,'Resultater - Østdanmark'!$F$3:$F$482,$A51)/SUMIFS('Resultater - Danmark'!J$3:J$482,'Resultater - Danmark'!$F$3:$F$482,$A51)*E24</f>
        <v>0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428758.06783893198</v>
      </c>
      <c r="E52" s="136">
        <f>SUMIFS('Resultater - Vestdanmark'!J$3:J$482,'Resultater - Vestdanmark'!$F$3:$F$482,$A52)/SUMIFS('Resultater - Danmark'!J$3:J$482,'Resultater - Danmark'!$F$3:$F$482,$A52)*E25</f>
        <v>427250.44238658639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371241.93216106802</v>
      </c>
      <c r="M52" s="136">
        <f>SUMIFS('Resultater - Østdanmark'!J$3:J$482,'Resultater - Østdanmark'!$F$3:$F$482,$A52)/SUMIFS('Resultater - Danmark'!J$3:J$482,'Resultater - Danmark'!$F$3:$F$482,$A52)*E25</f>
        <v>372749.55761341366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10362765.054345638</v>
      </c>
      <c r="D56" s="145">
        <f ca="1">SUM(D39:D55)</f>
        <v>18321790.341198236</v>
      </c>
      <c r="E56" s="145">
        <f ca="1">SUM(E39:E55)</f>
        <v>16848941.104678117</v>
      </c>
      <c r="F56" s="146"/>
      <c r="G56" s="146"/>
      <c r="I56" s="125" t="s">
        <v>105</v>
      </c>
      <c r="J56" s="125" t="s">
        <v>140</v>
      </c>
      <c r="K56" s="145">
        <f ca="1">SUM(K39:K55)</f>
        <v>2727652.4456543624</v>
      </c>
      <c r="L56" s="145">
        <f ca="1">SUM(L39:L55)</f>
        <v>4154987.5120849186</v>
      </c>
      <c r="M56" s="145">
        <f ca="1">SUM(M39:M55)</f>
        <v>5103943.0346540492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0.13394104394572176</v>
      </c>
      <c r="D57" s="149">
        <f ca="1">SUMPRODUCT(D39:D55,$F$39:$F$55)/D56</f>
        <v>0.10010568648574786</v>
      </c>
      <c r="E57" s="149">
        <f ca="1">SUMPRODUCT(E39:E55,$F$39:$F$55)/E56</f>
        <v>0.10700529352885384</v>
      </c>
      <c r="I57" s="148" t="s">
        <v>124</v>
      </c>
      <c r="K57" s="149">
        <f ca="1">SUMPRODUCT(K39:K55,$N$39:$N$55)/K56</f>
        <v>0.15449692168861998</v>
      </c>
      <c r="L57" s="149">
        <f ca="1">SUMPRODUCT(L39:L55,$N$39:$N$55)/L56</f>
        <v>0.12280950872302004</v>
      </c>
      <c r="M57" s="149">
        <f ca="1">SUMPRODUCT(M39:M55,$N$39:$N$55)/M56</f>
        <v>0.11873245226168895</v>
      </c>
    </row>
    <row r="58" spans="1:15" hidden="1" x14ac:dyDescent="0.2">
      <c r="A58" s="148" t="s">
        <v>161</v>
      </c>
      <c r="C58" s="149">
        <f ca="1">SUM(C48:C51)/C56</f>
        <v>3.8358986731104598E-2</v>
      </c>
      <c r="D58" s="149">
        <f ca="1">SUM(D48:D51)/D56</f>
        <v>0</v>
      </c>
      <c r="E58" s="149">
        <f ca="1">SUM(E48:E51)/E56</f>
        <v>3.2662537905978686E-2</v>
      </c>
      <c r="I58" s="148" t="s">
        <v>161</v>
      </c>
      <c r="K58" s="149">
        <f ca="1">SUM(K48:K51)/K56</f>
        <v>1.8561321059602759E-2</v>
      </c>
      <c r="L58" s="149">
        <f ca="1">SUM(L48:L51)/L56</f>
        <v>0</v>
      </c>
      <c r="M58" s="149">
        <f ca="1">SUM(M48:M51)/M56</f>
        <v>3.9120895577625235E-2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348786653.98420143</v>
      </c>
      <c r="D59" s="125">
        <f ca="1">SUMPRODUCT(D39:D55,$I$12:$I$28)</f>
        <v>415765303.67460859</v>
      </c>
      <c r="E59" s="125">
        <f ca="1">SUMPRODUCT(E39:E55,$I$12:$I$28)</f>
        <v>430574651.69957304</v>
      </c>
      <c r="I59" s="125" t="s">
        <v>143</v>
      </c>
      <c r="J59" s="125" t="s">
        <v>144</v>
      </c>
      <c r="K59" s="125">
        <f ca="1">SUMPRODUCT(K39:K55,$I$12:$I$28)</f>
        <v>114050634.86579858</v>
      </c>
      <c r="L59" s="125">
        <f ca="1">SUMPRODUCT(L39:L55,$I$12:$I$28)</f>
        <v>119371036.3559919</v>
      </c>
      <c r="M59" s="125">
        <f ca="1">SUMPRODUCT(M39:M55,$I$12:$I$28)</f>
        <v>148082523.19388571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12.521440878032832</v>
      </c>
      <c r="D60" s="125">
        <f ca="1">D59*[1]Energiindhold!$C$10</f>
        <v>14.925974401918451</v>
      </c>
      <c r="E60" s="125">
        <f ca="1">E59*[1]Energiindhold!$C$10</f>
        <v>15.457629996014674</v>
      </c>
      <c r="I60" s="125" t="s">
        <v>143</v>
      </c>
      <c r="J60" s="125" t="s">
        <v>123</v>
      </c>
      <c r="K60" s="125">
        <f ca="1">K59*[1]Energiindhold!$C$10</f>
        <v>4.0944177916821696</v>
      </c>
      <c r="L60" s="125">
        <f ca="1">L59*[1]Energiindhold!$C$10</f>
        <v>4.2854202051801096</v>
      </c>
      <c r="M60" s="125">
        <f ca="1">M59*[1]Energiindhold!$C$10</f>
        <v>5.3161625826604979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D5" sqref="D5"/>
    </sheetView>
  </sheetViews>
  <sheetFormatPr defaultColWidth="9.140625" defaultRowHeight="15" x14ac:dyDescent="0.25"/>
  <cols>
    <col min="1" max="1" width="20" style="1" customWidth="1"/>
    <col min="2" max="2" width="9.28515625" style="1" bestFit="1" customWidth="1"/>
    <col min="3" max="3" width="12.140625" style="1" bestFit="1" customWidth="1"/>
    <col min="4" max="4" width="13.7109375" style="1" bestFit="1" customWidth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340">
        <v>0</v>
      </c>
      <c r="C4" s="341">
        <v>1480000</v>
      </c>
      <c r="D4" s="341">
        <v>2500000</v>
      </c>
    </row>
    <row r="5" spans="1:5" x14ac:dyDescent="0.25">
      <c r="A5" s="309"/>
      <c r="C5" s="15">
        <f>C4/(C4+Biogasanlæg!F20)</f>
        <v>0.46344159604903984</v>
      </c>
      <c r="D5" s="15">
        <f>D4/(D4+Biogasanlæg!G20)</f>
        <v>0.69888416649163654</v>
      </c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Svinegylle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Kvæggylle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Kvæggylle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Dybstrøelse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Majs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Svinegylle</v>
      </c>
      <c r="B16" s="109" t="e">
        <f>SUMIFS('Forbrug af biomasse'!$E$2:$E$403,'Forbrug af biomasse'!$D$2:$D$403,'Forbrug til andet'!B$15,'Forbrug af biomasse'!$C$2:$C$403,'Forbrug til andet'!$A16,'Forbrug af biomasse'!$A$2:$A$403,"Materialer")</f>
        <v>#DIV/0!</v>
      </c>
      <c r="C16" s="109" t="e">
        <f>SUMIFS('Forbrug af biomasse'!$E$2:$E$403,'Forbrug af biomasse'!$D$2:$D$403,'Forbrug til andet'!C$15,'Forbrug af biomasse'!$C$2:$C$403,'Forbrug til andet'!$A16,'Forbrug af biomasse'!$A$2:$A$403,"Materialer")</f>
        <v>#DIV/0!</v>
      </c>
      <c r="D16" s="109" t="e">
        <f>SUMIFS('Forbrug af biomasse'!$E$2:$E$403,'Forbrug af biomasse'!$D$2:$D$403,'Forbrug til andet'!D$15,'Forbrug af biomasse'!$C$2:$C$403,'Forbrug til andet'!$A16,'Forbrug af biomasse'!$A$2:$A$403,"Materialer")</f>
        <v>#DIV/0!</v>
      </c>
    </row>
    <row r="17" spans="1:4" x14ac:dyDescent="0.25">
      <c r="A17" s="2" t="str">
        <f>A10</f>
        <v>Kvæggylle</v>
      </c>
      <c r="B17" s="109" t="e">
        <f>SUMIFS('Forbrug af biomasse'!$E$2:$E$403,'Forbrug af biomasse'!$D$2:$D$403,'Forbrug til andet'!B$15,'Forbrug af biomasse'!$C$2:$C$403,'Forbrug til andet'!$A17,'Forbrug af biomasse'!$A$2:$A$403,"Materialer")</f>
        <v>#DIV/0!</v>
      </c>
      <c r="C17" s="109" t="e">
        <f>SUMIFS('Forbrug af biomasse'!$E$2:$E$403,'Forbrug af biomasse'!$D$2:$D$403,'Forbrug til andet'!C$15,'Forbrug af biomasse'!$C$2:$C$403,'Forbrug til andet'!$A17,'Forbrug af biomasse'!$A$2:$A$403,"Materialer")</f>
        <v>#DIV/0!</v>
      </c>
      <c r="D17" s="109" t="e">
        <f>SUMIFS('Forbrug af biomasse'!$E$2:$E$403,'Forbrug af biomasse'!$D$2:$D$403,'Forbrug til andet'!D$15,'Forbrug af biomasse'!$C$2:$C$403,'Forbrug til andet'!$A17,'Forbrug af biomasse'!$A$2:$A$403,"Materialer")</f>
        <v>#DIV/0!</v>
      </c>
    </row>
    <row r="18" spans="1:4" x14ac:dyDescent="0.25">
      <c r="A18" s="2" t="str">
        <f>A11</f>
        <v>Kvæggylle</v>
      </c>
      <c r="B18" s="109" t="e">
        <f>SUMIFS('Forbrug af biomasse'!$E$2:$E$403,'Forbrug af biomasse'!$D$2:$D$403,'Forbrug til andet'!B$15,'Forbrug af biomasse'!$C$2:$C$403,'Forbrug til andet'!$A18,'Forbrug af biomasse'!$A$2:$A$403,"Materialer")</f>
        <v>#DIV/0!</v>
      </c>
      <c r="C18" s="109" t="e">
        <f>SUMIFS('Forbrug af biomasse'!$E$2:$E$403,'Forbrug af biomasse'!$D$2:$D$403,'Forbrug til andet'!C$15,'Forbrug af biomasse'!$C$2:$C$403,'Forbrug til andet'!$A18,'Forbrug af biomasse'!$A$2:$A$403,"Materialer")</f>
        <v>#DIV/0!</v>
      </c>
      <c r="D18" s="109" t="e">
        <f>SUMIFS('Forbrug af biomasse'!$E$2:$E$403,'Forbrug af biomasse'!$D$2:$D$403,'Forbrug til andet'!D$15,'Forbrug af biomasse'!$C$2:$C$403,'Forbrug til andet'!$A18,'Forbrug af biomasse'!$A$2:$A$403,"Materialer")</f>
        <v>#DIV/0!</v>
      </c>
    </row>
    <row r="19" spans="1:4" x14ac:dyDescent="0.25">
      <c r="A19" s="2" t="str">
        <f t="shared" ref="A19:A20" si="0">A12</f>
        <v>Dybstrøelse</v>
      </c>
      <c r="B19" s="109" t="e">
        <f>SUMIFS('Forbrug af biomasse'!$E$2:$E$403,'Forbrug af biomasse'!$D$2:$D$403,'Forbrug til andet'!B$15,'Forbrug af biomasse'!$C$2:$C$403,'Forbrug til andet'!$A19,'Forbrug af biomasse'!$A$2:$A$403,"Materialer")</f>
        <v>#DIV/0!</v>
      </c>
      <c r="C19" s="109" t="e">
        <f>SUMIFS('Forbrug af biomasse'!$E$2:$E$403,'Forbrug af biomasse'!$D$2:$D$403,'Forbrug til andet'!C$15,'Forbrug af biomasse'!$C$2:$C$403,'Forbrug til andet'!$A19,'Forbrug af biomasse'!$A$2:$A$403,"Materialer")</f>
        <v>#DIV/0!</v>
      </c>
      <c r="D19" s="109" t="e">
        <f>SUMIFS('Forbrug af biomasse'!$E$2:$E$403,'Forbrug af biomasse'!$D$2:$D$403,'Forbrug til andet'!D$15,'Forbrug af biomasse'!$C$2:$C$403,'Forbrug til andet'!$A19,'Forbrug af biomasse'!$A$2:$A$403,"Materialer")</f>
        <v>#DIV/0!</v>
      </c>
    </row>
    <row r="20" spans="1:4" x14ac:dyDescent="0.25">
      <c r="A20" s="2" t="str">
        <f t="shared" si="0"/>
        <v>Majs</v>
      </c>
      <c r="B20" s="109">
        <f>SUMIFS('Forbrug af biomasse'!$E$2:$E$403,'Forbrug af biomasse'!$D$2:$D$403,'Forbrug til andet'!B$15,'Forbrug af biomasse'!$C$2:$C$403,'Forbrug til andet'!$A20,'Forbrug af biomasse'!$A$2:$A$403,"Materialer")</f>
        <v>0</v>
      </c>
      <c r="C20" s="109">
        <f>SUMIFS('Forbrug af biomasse'!$E$2:$E$403,'Forbrug af biomasse'!$D$2:$D$403,'Forbrug til andet'!C$15,'Forbrug af biomasse'!$C$2:$C$403,'Forbrug til andet'!$A20,'Forbrug af biomasse'!$A$2:$A$403,"Materialer")</f>
        <v>0</v>
      </c>
      <c r="D20" s="109">
        <f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161327.44991893266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131334.20298292433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127659.1125445467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103925.32583866185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182370.16077792388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56113.895623976576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42085.421717982426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7014.236952997072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14028.473905994144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70142.369529970732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17988.68709801232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0.43582889538516162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1542.0658644465243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3.7361084700125495E-2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1651.2179103063932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4.0005614304589723E-2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15238.021720870902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0.36918592992793164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71.268800751408534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1.7266964808312041E-3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1125.1496418632635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2.7260061998102159E-2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29.518660249897398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7.1517643393687155E-4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3810.4154462517859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9.2318530299077425E-2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64.91370276951497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1.5727255257291396E-3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1148.0573462747577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2.7815068567234969E-2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2833.7440917610315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6.8655791864482674E-2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325.57753513414758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7.888074139408327E-3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534.71836671684468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1.2955126399086169E-2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15113.849399235503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0.36617748993000948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0.29674680641973877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0.28302441074714974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1.7086450333499009E-2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1.6296325462585758E-2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2.2126179468366147E-2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2.1103003539193144E-2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0.51029954485989426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0.48670187804556381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5.9312754358377721E-4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5.6569968029666602E-4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3.1394414813143305E-2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2.9942649966292749E-2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3.3950117003646611E-4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3.2380169396541565E-4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4.2220294070089238E-2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4.0267910529275863E-2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1.2099053290264164E-3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1.1539559496494725E-3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2.1398266344745977E-2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2.040875113805252E-2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6.8082129291564208E-2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6.4933822734728863E-2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6.0683334637179846E-3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5.7877168873610831E-3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1.4324445842879414E-2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1.3662043722977473E-2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0.52979341323357754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0.50529429585861441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25178.272530700477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27858.770329711224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19923.67652429342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22044.766086988879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28462.395034704889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8757.6600106784263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6568.2450080088183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1094.7075013348033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2189.4150026696066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10947.075013348032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2807.4829574932523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9.2448553566549435E-2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240.66923895986218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7.9250785727538933E-3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257.704529354177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8.4860393979432746E-3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2378.1883610607765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7.8312166954409748E-2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11.122876417849888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3.6626895047934632E-4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175.60138919253245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5.7824373935368217E-3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4.6069585361111542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1.5170409204721518E-4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594.6891158890071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1.9582718548289149E-2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10.131040316629504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3.3360844485163561E-4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179.17658005444198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5.9001660597165087E-3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442.26063859854253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1.4563349789435716E-2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50.812678893768705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1.6732278477532812E-3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83.453155499160744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2.7480571149576727E-3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2358.8088657766393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7.7674013015456553E-2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4.6313085394988143E-2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6.0035481067577209E-2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2.6666714393322154E-3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3.4567963102454641E-3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3.4532187609588785E-3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4.4763946901318786E-3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7.9642125498364996E-2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0.10323979231269535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9.2569038593999904E-5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1.1999690188111097E-4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4.8997063581206323E-3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6.3514712049711885E-3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5.2985731739795291E-5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6.8685207810845745E-5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6.5892944502451414E-3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8.5416779910585158E-3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1.8882915539718639E-4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2.4477853477413049E-4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3.3396138225904128E-3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4.329129029283868E-3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1.0625534629319271E-2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1.3773841186154611E-2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9.4708094520454093E-4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1.2276975215614421E-3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2.2356071546690416E-3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2.8980092745709792E-3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8.2684521140500539E-2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0.10718363851546366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52507.591181067335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47650.900017075655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41549.485195453271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37706.364361338121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59356.407422076118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18263.509976023419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13697.632482017563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2282.9387470029274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4565.8774940058547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22829.387470029276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2543.5266161074505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6.1624419250252083E-2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68.781025480452769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1.6664228020370887E-3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277.81730642917057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6.7309420148972078E-3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816.89928733229783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1.9791789812224642E-2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15.471187824817051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3.7483506513290803E-4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26.302435262527187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6.37253916533074E-4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73.48347036613049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1.7803533712322671E-3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78.344719162303662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1.8981314326050301E-3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16.900566419398675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4.094659690212412E-4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120.67824120695344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2.9237856145973122E-3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876.11830838913772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2.1226544910947009E-2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26.483091404220694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6.4163084333437122E-4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56.207011126951372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1.3617802921958929E-3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1628.961148843877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3.9466378744780817E-2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4.5754933628917617E-2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4.3639098547811596E-2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8.3106047603679744E-4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7.9262993379232123E-4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4.0595359645178462E-3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3.8718117580661539E-3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2.9831848636857054E-2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2.8452341185441699E-2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1.4040654632499296E-4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1.3391375805562911E-4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8.0030056464171814E-4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7.6329244604556935E-4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9.2161460426674424E-4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8.7899658788446707E-4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9.466157148310761E-4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9.0284157772906114E-4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3.4350362462884858E-4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3.2761906395237006E-4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2.452782483126852E-3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2.3393590156990207E-3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2.2953573895167008E-2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2.1892136952037899E-2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5.3826822503920445E-4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5.1337720885242047E-4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1.6419437573988649E-3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1.56601572237464E-3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5.7100799688875818E-2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5.4460300281297752E-2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8194.826369299526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10107.766670288775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6484.6017357065812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7998.3197130111166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9263.7167652951175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2850.3743893215742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2137.7807919911802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356.29679866519677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712.59359733039355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3562.9679866519677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396.96658170463104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1.3071846507629228E-2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10.734610913134247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3.5348362467453397E-4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43.358770367558421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1.4277755789175895E-3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127.4929523582199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4.1982584450173483E-3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2.4145784466477478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7.9510468361525957E-5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4.1050043473308326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1.351750732039854E-4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11.468518496448112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3.7765071510987484E-4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12.227210505099418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4.0263394024955173E-4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2.6376606550506607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8.6856417671172357E-5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18.834176373339556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6.2019694855094509E-4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136.73522732084808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4.5026004356554256E-3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4.1331992364968713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1.3610351222244238E-4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8.7721924880213127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2.8886248622337122E-4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254.23093074442014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8.3716560973777481E-3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7.1409433987328075E-3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9.2567784798388234E-3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1.2970308007510711E-4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1.6813362231958326E-4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6.3356919677446158E-4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8.2129340322615392E-4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4.6558376485268237E-3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6.0353450999421779E-3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2.1913160409102947E-5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2.8405948678466784E-5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1.2490240026200229E-4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1.6191051885815108E-4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1.4383580529018554E-4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1.8645382167246271E-4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1.4773771271930092E-4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1.9151184982131597E-4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5.36103922831151E-5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6.9494952959593638E-5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3.8280420256893069E-4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4.9622766999676197E-4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3.5823496830607472E-3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4.6437866261898574E-3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8.4007179630396072E-5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1.0889819581718008E-4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2.5625711820675929E-4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3.3218515323098425E-4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8.9116855005759964E-3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1.1552184908154068E-2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56589.718580969005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34592.603862515069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5658.9718580969002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34592.603862515069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56589.718580969005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5658.9718580969002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56589.718580969005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34592.603862515069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5658.9718580969002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34592.603862515069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56589.718580969005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5658.9718580969002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56589.718580969005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34592.603862515069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5658.9718580969002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34592.603862515069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56589.718580969005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5658.9718580969002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56589.718580969005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34592.603862515069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5658.9718580969002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34592.603862515069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56589.718580969005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5658.9718580969002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7079.2272378551706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4635.3974309211899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707.92272378551706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4635.3974309211899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7079.2272378551706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707.92272378551706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7079.2272378551706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4635.3974309211899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707.92272378551706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4635.3974309211899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7079.2272378551706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707.92272378551706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7079.2272378551706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4635.3974309211899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707.92272378551706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4635.3974309211899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7079.2272378551706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707.92272378551706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7079.2272378551706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4635.3974309211899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707.92272378551706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4635.3974309211899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7079.2272378551706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707.92272378551706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63313.545971354491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31184.283836637289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112833.22962148272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18335.399813490942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55237.148778432362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27206.356861018925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98440.006733673188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15996.501094221892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1440479.6077343735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687256.8850452347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75742.498032341784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7477117.2552370103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6439814.3688225495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5172.4902040381994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1926075.1045602516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402045.16595851834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1333532.0474481385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5772916.7070318246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5094162.6010199301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6892.4253779859373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3201866.838929344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317335.22806602163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1166509.8508162934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550329.17750715138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1228354.3922656265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308397.11495476513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9934.501967658216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1083412.7196692515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457703.4296424397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434.12519359476988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1667700.0316478992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197954.83404148166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179079.28085797431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836478.97665490792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362062.56269299635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578.47871789484259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2793430.5721983779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182664.77193397845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155466.12589261169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199670.8224928487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Areal-permanent græs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#N/A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Areal-permanent græs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#N/A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Areal-permanent græs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#N/A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Areal-permanent græs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#N/A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Areal-permanent græs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#N/A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Træer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#N/A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Træer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#N/A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CO2 - HWP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#N/A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Råmælk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#N/A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Råmælk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#N/A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Råmælk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#N/A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Råmælk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#N/A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Slagtesvin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#N/A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Slagtesvin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#N/A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Slagtesvin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#N/A</v>
      </c>
    </row>
    <row r="203" spans="1:7" x14ac:dyDescent="0.25">
      <c r="A203" s="100" t="s">
        <v>113</v>
      </c>
      <c r="B203" t="s">
        <v>23</v>
      </c>
      <c r="C203" s="101" t="str">
        <f>C188</f>
        <v>Areal-permanent græs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#DIV/0!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Areal-permanent græs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#DIV/0!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Areal-permanent græs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#DIV/0!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Areal-permanent græs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#DIV/0!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Areal-permanent græs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#DIV/0!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Træer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#DIV/0!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Træer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#DIV/0!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CO2 - HWP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#DIV/0!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Råmælk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#DIV/0!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Råmælk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#DIV/0!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Råmælk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#DIV/0!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Råmælk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#DIV/0!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Slagtesvin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#DIV/0!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Slagtesvin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#DIV/0!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Slagtesvin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#DIV/0!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Areal-permanent græs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#DIV/0!</v>
      </c>
    </row>
    <row r="219" spans="1:7" x14ac:dyDescent="0.25">
      <c r="A219" s="100" t="s">
        <v>113</v>
      </c>
      <c r="B219" t="s">
        <v>23</v>
      </c>
      <c r="C219" s="101" t="str">
        <f t="shared" si="14"/>
        <v>Areal-permanent græs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#DIV/0!</v>
      </c>
    </row>
    <row r="220" spans="1:7" x14ac:dyDescent="0.25">
      <c r="A220" s="100" t="s">
        <v>113</v>
      </c>
      <c r="B220" t="s">
        <v>23</v>
      </c>
      <c r="C220" s="101" t="str">
        <f t="shared" si="14"/>
        <v>Areal-permanent græs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#DIV/0!</v>
      </c>
    </row>
    <row r="221" spans="1:7" x14ac:dyDescent="0.25">
      <c r="A221" s="100" t="s">
        <v>113</v>
      </c>
      <c r="B221" t="s">
        <v>23</v>
      </c>
      <c r="C221" s="101" t="str">
        <f t="shared" si="14"/>
        <v>Areal-permanent græs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#DIV/0!</v>
      </c>
    </row>
    <row r="222" spans="1:7" x14ac:dyDescent="0.25">
      <c r="A222" s="100" t="s">
        <v>113</v>
      </c>
      <c r="B222" t="s">
        <v>23</v>
      </c>
      <c r="C222" s="101" t="str">
        <f t="shared" si="14"/>
        <v>Areal-permanent græs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#DIV/0!</v>
      </c>
    </row>
    <row r="223" spans="1:7" x14ac:dyDescent="0.25">
      <c r="A223" s="100" t="s">
        <v>113</v>
      </c>
      <c r="B223" t="s">
        <v>23</v>
      </c>
      <c r="C223" s="101" t="str">
        <f t="shared" si="14"/>
        <v>Træer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#DIV/0!</v>
      </c>
    </row>
    <row r="224" spans="1:7" x14ac:dyDescent="0.25">
      <c r="A224" s="100" t="s">
        <v>113</v>
      </c>
      <c r="B224" t="s">
        <v>23</v>
      </c>
      <c r="C224" s="101" t="str">
        <f t="shared" si="14"/>
        <v>Træer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#DIV/0!</v>
      </c>
    </row>
    <row r="225" spans="1:5" x14ac:dyDescent="0.25">
      <c r="A225" s="100" t="s">
        <v>113</v>
      </c>
      <c r="B225" t="s">
        <v>23</v>
      </c>
      <c r="C225" s="101" t="str">
        <f t="shared" si="14"/>
        <v>CO2 - HWP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#DIV/0!</v>
      </c>
    </row>
    <row r="226" spans="1:5" x14ac:dyDescent="0.25">
      <c r="A226" s="100" t="s">
        <v>113</v>
      </c>
      <c r="B226" t="s">
        <v>23</v>
      </c>
      <c r="C226" s="101" t="str">
        <f t="shared" si="14"/>
        <v>Råmælk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#DIV/0!</v>
      </c>
    </row>
    <row r="227" spans="1:5" x14ac:dyDescent="0.25">
      <c r="A227" s="100" t="s">
        <v>113</v>
      </c>
      <c r="B227" t="s">
        <v>23</v>
      </c>
      <c r="C227" s="101" t="str">
        <f t="shared" si="14"/>
        <v>Råmælk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#DIV/0!</v>
      </c>
    </row>
    <row r="228" spans="1:5" x14ac:dyDescent="0.25">
      <c r="A228" s="100" t="s">
        <v>113</v>
      </c>
      <c r="B228" t="s">
        <v>23</v>
      </c>
      <c r="C228" s="101" t="str">
        <f t="shared" si="14"/>
        <v>Råmælk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#DIV/0!</v>
      </c>
    </row>
    <row r="229" spans="1:5" x14ac:dyDescent="0.25">
      <c r="A229" s="100" t="s">
        <v>113</v>
      </c>
      <c r="B229" t="s">
        <v>23</v>
      </c>
      <c r="C229" s="101" t="str">
        <f t="shared" si="14"/>
        <v>Råmælk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#DIV/0!</v>
      </c>
    </row>
    <row r="230" spans="1:5" x14ac:dyDescent="0.25">
      <c r="A230" s="100" t="s">
        <v>113</v>
      </c>
      <c r="B230" t="s">
        <v>23</v>
      </c>
      <c r="C230" s="101" t="str">
        <f t="shared" si="14"/>
        <v>Slagtesvin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#DIV/0!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Slagtesvin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#DIV/0!</v>
      </c>
    </row>
    <row r="232" spans="1:5" x14ac:dyDescent="0.25">
      <c r="A232" s="100" t="s">
        <v>113</v>
      </c>
      <c r="B232" t="s">
        <v>23</v>
      </c>
      <c r="C232" s="101" t="str">
        <f t="shared" si="14"/>
        <v>Slagtesvin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#DIV/0!</v>
      </c>
    </row>
    <row r="233" spans="1:5" x14ac:dyDescent="0.25">
      <c r="A233" s="100" t="s">
        <v>113</v>
      </c>
      <c r="B233" t="s">
        <v>24</v>
      </c>
      <c r="C233" s="101" t="str">
        <f t="shared" si="14"/>
        <v>Areal-permanent græs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#N/A</v>
      </c>
    </row>
    <row r="234" spans="1:5" x14ac:dyDescent="0.25">
      <c r="A234" s="100" t="s">
        <v>113</v>
      </c>
      <c r="B234" t="s">
        <v>24</v>
      </c>
      <c r="C234" s="101" t="str">
        <f t="shared" si="14"/>
        <v>Areal-permanent græs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#N/A</v>
      </c>
    </row>
    <row r="235" spans="1:5" x14ac:dyDescent="0.25">
      <c r="A235" s="100" t="s">
        <v>113</v>
      </c>
      <c r="B235" t="s">
        <v>24</v>
      </c>
      <c r="C235" s="101" t="str">
        <f t="shared" si="14"/>
        <v>Areal-permanent græs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#N/A</v>
      </c>
    </row>
    <row r="236" spans="1:5" x14ac:dyDescent="0.25">
      <c r="A236" s="100" t="s">
        <v>113</v>
      </c>
      <c r="B236" t="s">
        <v>24</v>
      </c>
      <c r="C236" s="101" t="str">
        <f t="shared" si="14"/>
        <v>Areal-permanent græs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#N/A</v>
      </c>
    </row>
    <row r="237" spans="1:5" x14ac:dyDescent="0.25">
      <c r="A237" s="100" t="s">
        <v>113</v>
      </c>
      <c r="B237" t="s">
        <v>24</v>
      </c>
      <c r="C237" s="101" t="str">
        <f t="shared" si="14"/>
        <v>Areal-permanent græs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#N/A</v>
      </c>
    </row>
    <row r="238" spans="1:5" x14ac:dyDescent="0.25">
      <c r="A238" s="100" t="s">
        <v>113</v>
      </c>
      <c r="B238" t="s">
        <v>24</v>
      </c>
      <c r="C238" s="101" t="str">
        <f t="shared" si="14"/>
        <v>Træer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#N/A</v>
      </c>
    </row>
    <row r="239" spans="1:5" x14ac:dyDescent="0.25">
      <c r="A239" s="100" t="s">
        <v>113</v>
      </c>
      <c r="B239" t="s">
        <v>24</v>
      </c>
      <c r="C239" s="101" t="str">
        <f t="shared" si="14"/>
        <v>Træer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#N/A</v>
      </c>
    </row>
    <row r="240" spans="1:5" x14ac:dyDescent="0.25">
      <c r="A240" s="100" t="s">
        <v>113</v>
      </c>
      <c r="B240" t="s">
        <v>24</v>
      </c>
      <c r="C240" s="101" t="str">
        <f t="shared" si="14"/>
        <v>CO2 - HWP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#N/A</v>
      </c>
    </row>
    <row r="241" spans="1:5" x14ac:dyDescent="0.25">
      <c r="A241" s="100" t="s">
        <v>113</v>
      </c>
      <c r="B241" t="s">
        <v>24</v>
      </c>
      <c r="C241" s="101" t="str">
        <f t="shared" si="14"/>
        <v>Råmælk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#N/A</v>
      </c>
    </row>
    <row r="242" spans="1:5" x14ac:dyDescent="0.25">
      <c r="A242" s="100" t="s">
        <v>113</v>
      </c>
      <c r="B242" t="s">
        <v>24</v>
      </c>
      <c r="C242" s="101" t="str">
        <f t="shared" si="14"/>
        <v>Råmælk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#N/A</v>
      </c>
    </row>
    <row r="243" spans="1:5" x14ac:dyDescent="0.25">
      <c r="A243" s="100" t="s">
        <v>113</v>
      </c>
      <c r="B243" t="s">
        <v>24</v>
      </c>
      <c r="C243" s="101" t="str">
        <f t="shared" si="14"/>
        <v>Råmælk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#N/A</v>
      </c>
    </row>
    <row r="244" spans="1:5" x14ac:dyDescent="0.25">
      <c r="A244" s="100" t="s">
        <v>113</v>
      </c>
      <c r="B244" t="s">
        <v>24</v>
      </c>
      <c r="C244" s="101" t="str">
        <f t="shared" si="14"/>
        <v>Råmælk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#N/A</v>
      </c>
    </row>
    <row r="245" spans="1:5" x14ac:dyDescent="0.25">
      <c r="A245" s="100" t="s">
        <v>113</v>
      </c>
      <c r="B245" t="s">
        <v>24</v>
      </c>
      <c r="C245" s="101" t="str">
        <f t="shared" si="14"/>
        <v>Slagtesvin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#N/A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Slagtesvin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#N/A</v>
      </c>
    </row>
    <row r="247" spans="1:5" x14ac:dyDescent="0.25">
      <c r="A247" s="100" t="s">
        <v>113</v>
      </c>
      <c r="B247" t="s">
        <v>24</v>
      </c>
      <c r="C247" s="101" t="str">
        <f t="shared" si="14"/>
        <v>Slagtesvin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#N/A</v>
      </c>
    </row>
    <row r="248" spans="1:5" x14ac:dyDescent="0.25">
      <c r="A248" s="100" t="s">
        <v>113</v>
      </c>
      <c r="B248" t="s">
        <v>24</v>
      </c>
      <c r="C248" s="101" t="str">
        <f t="shared" si="14"/>
        <v>Areal-permanent græs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#DIV/0!</v>
      </c>
    </row>
    <row r="249" spans="1:5" x14ac:dyDescent="0.25">
      <c r="A249" s="100" t="s">
        <v>113</v>
      </c>
      <c r="B249" t="s">
        <v>24</v>
      </c>
      <c r="C249" s="101" t="str">
        <f t="shared" si="14"/>
        <v>Areal-permanent græs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#DIV/0!</v>
      </c>
    </row>
    <row r="250" spans="1:5" x14ac:dyDescent="0.25">
      <c r="A250" s="100" t="s">
        <v>113</v>
      </c>
      <c r="B250" t="s">
        <v>24</v>
      </c>
      <c r="C250" s="101" t="str">
        <f t="shared" si="14"/>
        <v>Areal-permanent græs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#DIV/0!</v>
      </c>
    </row>
    <row r="251" spans="1:5" x14ac:dyDescent="0.25">
      <c r="A251" s="100" t="s">
        <v>113</v>
      </c>
      <c r="B251" t="s">
        <v>24</v>
      </c>
      <c r="C251" s="101" t="str">
        <f t="shared" si="14"/>
        <v>Areal-permanent græs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#DIV/0!</v>
      </c>
    </row>
    <row r="252" spans="1:5" x14ac:dyDescent="0.25">
      <c r="A252" s="100" t="s">
        <v>113</v>
      </c>
      <c r="B252" t="s">
        <v>24</v>
      </c>
      <c r="C252" s="101" t="str">
        <f t="shared" si="14"/>
        <v>Areal-permanent græs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#DIV/0!</v>
      </c>
    </row>
    <row r="253" spans="1:5" x14ac:dyDescent="0.25">
      <c r="A253" s="100" t="s">
        <v>113</v>
      </c>
      <c r="B253" t="s">
        <v>24</v>
      </c>
      <c r="C253" s="101" t="str">
        <f t="shared" si="14"/>
        <v>Træer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#DIV/0!</v>
      </c>
    </row>
    <row r="254" spans="1:5" x14ac:dyDescent="0.25">
      <c r="A254" s="100" t="s">
        <v>113</v>
      </c>
      <c r="B254" t="s">
        <v>24</v>
      </c>
      <c r="C254" s="101" t="str">
        <f t="shared" si="14"/>
        <v>Træer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#DIV/0!</v>
      </c>
    </row>
    <row r="255" spans="1:5" x14ac:dyDescent="0.25">
      <c r="A255" s="100" t="s">
        <v>113</v>
      </c>
      <c r="B255" t="s">
        <v>24</v>
      </c>
      <c r="C255" s="101" t="str">
        <f t="shared" si="14"/>
        <v>CO2 - HWP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#DIV/0!</v>
      </c>
    </row>
    <row r="256" spans="1:5" x14ac:dyDescent="0.25">
      <c r="A256" s="100" t="s">
        <v>113</v>
      </c>
      <c r="B256" t="s">
        <v>24</v>
      </c>
      <c r="C256" s="101" t="str">
        <f t="shared" si="14"/>
        <v>Råmælk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#DIV/0!</v>
      </c>
    </row>
    <row r="257" spans="1:5" x14ac:dyDescent="0.25">
      <c r="A257" s="100" t="s">
        <v>113</v>
      </c>
      <c r="B257" t="s">
        <v>24</v>
      </c>
      <c r="C257" s="101" t="str">
        <f t="shared" si="14"/>
        <v>Råmælk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#DIV/0!</v>
      </c>
    </row>
    <row r="258" spans="1:5" x14ac:dyDescent="0.25">
      <c r="A258" s="100" t="s">
        <v>113</v>
      </c>
      <c r="B258" t="s">
        <v>24</v>
      </c>
      <c r="C258" s="101" t="str">
        <f t="shared" si="14"/>
        <v>Råmælk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#DIV/0!</v>
      </c>
    </row>
    <row r="259" spans="1:5" x14ac:dyDescent="0.25">
      <c r="A259" s="100" t="s">
        <v>113</v>
      </c>
      <c r="B259" t="s">
        <v>24</v>
      </c>
      <c r="C259" s="101" t="str">
        <f t="shared" si="14"/>
        <v>Råmælk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#DIV/0!</v>
      </c>
    </row>
    <row r="260" spans="1:5" x14ac:dyDescent="0.25">
      <c r="A260" s="100" t="s">
        <v>113</v>
      </c>
      <c r="B260" t="s">
        <v>24</v>
      </c>
      <c r="C260" s="101" t="str">
        <f t="shared" si="14"/>
        <v>Slagtesvin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#DIV/0!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Slagtesvin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#DIV/0!</v>
      </c>
    </row>
    <row r="262" spans="1:5" x14ac:dyDescent="0.25">
      <c r="A262" s="100" t="s">
        <v>113</v>
      </c>
      <c r="B262" t="s">
        <v>24</v>
      </c>
      <c r="C262" s="101" t="str">
        <f t="shared" si="14"/>
        <v>Slagtesvin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#DIV/0!</v>
      </c>
    </row>
    <row r="263" spans="1:5" x14ac:dyDescent="0.25">
      <c r="A263" s="100" t="s">
        <v>113</v>
      </c>
      <c r="B263" t="s">
        <v>24</v>
      </c>
      <c r="C263" s="101" t="str">
        <f t="shared" si="14"/>
        <v>Areal-permanent græs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#DIV/0!</v>
      </c>
    </row>
    <row r="264" spans="1:5" x14ac:dyDescent="0.25">
      <c r="A264" s="100" t="s">
        <v>113</v>
      </c>
      <c r="B264" t="s">
        <v>24</v>
      </c>
      <c r="C264" s="101" t="str">
        <f t="shared" si="14"/>
        <v>Areal-permanent græs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#DIV/0!</v>
      </c>
    </row>
    <row r="265" spans="1:5" x14ac:dyDescent="0.25">
      <c r="A265" s="100" t="s">
        <v>113</v>
      </c>
      <c r="B265" t="s">
        <v>24</v>
      </c>
      <c r="C265" s="101" t="str">
        <f t="shared" si="14"/>
        <v>Areal-permanent græs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#DIV/0!</v>
      </c>
    </row>
    <row r="266" spans="1:5" x14ac:dyDescent="0.25">
      <c r="A266" s="100" t="s">
        <v>113</v>
      </c>
      <c r="B266" t="s">
        <v>24</v>
      </c>
      <c r="C266" s="101" t="str">
        <f t="shared" si="14"/>
        <v>Areal-permanent græs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#DIV/0!</v>
      </c>
    </row>
    <row r="267" spans="1:5" x14ac:dyDescent="0.25">
      <c r="A267" s="100" t="s">
        <v>113</v>
      </c>
      <c r="B267" t="s">
        <v>24</v>
      </c>
      <c r="C267" s="101" t="str">
        <f t="shared" si="14"/>
        <v>Areal-permanent græs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#DIV/0!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Træer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#DIV/0!</v>
      </c>
    </row>
    <row r="269" spans="1:5" x14ac:dyDescent="0.25">
      <c r="A269" s="100" t="s">
        <v>113</v>
      </c>
      <c r="B269" t="s">
        <v>24</v>
      </c>
      <c r="C269" s="101" t="str">
        <f t="shared" si="19"/>
        <v>Træer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#DIV/0!</v>
      </c>
    </row>
    <row r="270" spans="1:5" x14ac:dyDescent="0.25">
      <c r="A270" s="100" t="s">
        <v>113</v>
      </c>
      <c r="B270" t="s">
        <v>24</v>
      </c>
      <c r="C270" s="101" t="str">
        <f t="shared" si="19"/>
        <v>CO2 - HWP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#DIV/0!</v>
      </c>
    </row>
    <row r="271" spans="1:5" x14ac:dyDescent="0.25">
      <c r="A271" s="100" t="s">
        <v>113</v>
      </c>
      <c r="B271" t="s">
        <v>24</v>
      </c>
      <c r="C271" s="101" t="str">
        <f t="shared" si="19"/>
        <v>Råmælk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#DIV/0!</v>
      </c>
    </row>
    <row r="272" spans="1:5" x14ac:dyDescent="0.25">
      <c r="A272" s="100" t="s">
        <v>113</v>
      </c>
      <c r="B272" t="s">
        <v>24</v>
      </c>
      <c r="C272" s="101" t="str">
        <f t="shared" si="19"/>
        <v>Råmælk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#DIV/0!</v>
      </c>
    </row>
    <row r="273" spans="1:7" x14ac:dyDescent="0.25">
      <c r="A273" s="100" t="s">
        <v>113</v>
      </c>
      <c r="B273" t="s">
        <v>24</v>
      </c>
      <c r="C273" s="101" t="str">
        <f t="shared" si="19"/>
        <v>Råmælk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#DIV/0!</v>
      </c>
    </row>
    <row r="274" spans="1:7" x14ac:dyDescent="0.25">
      <c r="A274" s="100" t="s">
        <v>113</v>
      </c>
      <c r="B274" t="s">
        <v>24</v>
      </c>
      <c r="C274" s="101" t="str">
        <f t="shared" si="19"/>
        <v>Råmælk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#DIV/0!</v>
      </c>
    </row>
    <row r="275" spans="1:7" x14ac:dyDescent="0.25">
      <c r="A275" s="100" t="s">
        <v>113</v>
      </c>
      <c r="B275" t="s">
        <v>24</v>
      </c>
      <c r="C275" s="101" t="str">
        <f t="shared" si="19"/>
        <v>Slagtesvin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#DIV/0!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Slagtesvin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#DIV/0!</v>
      </c>
    </row>
    <row r="277" spans="1:7" x14ac:dyDescent="0.25">
      <c r="A277" s="100" t="s">
        <v>113</v>
      </c>
      <c r="B277" t="s">
        <v>24</v>
      </c>
      <c r="C277" s="101" t="str">
        <f t="shared" si="19"/>
        <v>Slagtesvin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#DIV/0!</v>
      </c>
    </row>
    <row r="278" spans="1:7" x14ac:dyDescent="0.25">
      <c r="A278" t="s">
        <v>121</v>
      </c>
      <c r="B278" t="s">
        <v>23</v>
      </c>
      <c r="C278" t="str">
        <f>'Forbrug til andet'!A9</f>
        <v>Svinegylle</v>
      </c>
      <c r="D278">
        <f t="shared" ref="D278:D301" si="20">År1</f>
        <v>2019</v>
      </c>
      <c r="E278" s="171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#DIV/0!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Kvæggylle</v>
      </c>
      <c r="D279">
        <f t="shared" si="20"/>
        <v>2019</v>
      </c>
      <c r="E279" s="171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#DIV/0!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Kvæggylle</v>
      </c>
      <c r="D280">
        <f t="shared" si="20"/>
        <v>2019</v>
      </c>
      <c r="E280" s="171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#DIV/0!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1634998.8306815128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Dybstrøelse</v>
      </c>
      <c r="D282">
        <f t="shared" si="20"/>
        <v>2019</v>
      </c>
      <c r="E282" s="171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#DIV/0!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Majs</v>
      </c>
      <c r="D283">
        <f t="shared" si="20"/>
        <v>2019</v>
      </c>
      <c r="E283" s="171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7266717.1008433374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Svinegylle</v>
      </c>
      <c r="D284">
        <f t="shared" si="20"/>
        <v>2019</v>
      </c>
      <c r="E284" s="171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#DIV/0!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Kvæggylle</v>
      </c>
      <c r="D285">
        <f t="shared" si="20"/>
        <v>2019</v>
      </c>
      <c r="E285" s="171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#DIV/0!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Kvæggylle</v>
      </c>
      <c r="D286">
        <f t="shared" si="20"/>
        <v>2019</v>
      </c>
      <c r="E286" s="171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#DIV/0!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Dybstrøelse</v>
      </c>
      <c r="D288">
        <f t="shared" si="20"/>
        <v>2019</v>
      </c>
      <c r="E288" s="171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#DIV/0!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Majs</v>
      </c>
      <c r="D289">
        <f t="shared" si="20"/>
        <v>2019</v>
      </c>
      <c r="E289" s="171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Svinegylle</v>
      </c>
      <c r="D290">
        <f t="shared" si="20"/>
        <v>2019</v>
      </c>
      <c r="E290" s="171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#DIV/0!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Kvæggylle</v>
      </c>
      <c r="D291">
        <f t="shared" si="20"/>
        <v>2019</v>
      </c>
      <c r="E291" s="171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#DIV/0!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Kvæggylle</v>
      </c>
      <c r="D292">
        <f t="shared" si="20"/>
        <v>2019</v>
      </c>
      <c r="E292" s="171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#DIV/0!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478572.02297745162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Dybstrøelse</v>
      </c>
      <c r="D294">
        <f t="shared" si="20"/>
        <v>2019</v>
      </c>
      <c r="E294" s="171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#DIV/0!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Majs</v>
      </c>
      <c r="D295">
        <f t="shared" si="20"/>
        <v>2019</v>
      </c>
      <c r="E295" s="171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350952.19300340564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Svinegylle</v>
      </c>
      <c r="D296">
        <f t="shared" si="20"/>
        <v>2019</v>
      </c>
      <c r="E296" s="171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#DIV/0!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Kvæggylle</v>
      </c>
      <c r="D297">
        <f t="shared" si="20"/>
        <v>2019</v>
      </c>
      <c r="E297" s="171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#DIV/0!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Kvæggylle</v>
      </c>
      <c r="D298">
        <f t="shared" si="20"/>
        <v>2019</v>
      </c>
      <c r="E298" s="171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#DIV/0!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Dybstrøelse</v>
      </c>
      <c r="D300">
        <f t="shared" si="20"/>
        <v>2019</v>
      </c>
      <c r="E300" s="171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#DIV/0!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Majs</v>
      </c>
      <c r="D301">
        <f t="shared" si="20"/>
        <v>2019</v>
      </c>
      <c r="E301" s="171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Svinegylle</v>
      </c>
      <c r="D302">
        <f t="shared" ref="D302:D325" si="23">År2</f>
        <v>2030</v>
      </c>
      <c r="E302" s="171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#DIV/0!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Kvæggylle</v>
      </c>
      <c r="D303">
        <f t="shared" si="23"/>
        <v>2030</v>
      </c>
      <c r="E303" s="171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#DIV/0!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Kvæggylle</v>
      </c>
      <c r="D304">
        <f t="shared" si="23"/>
        <v>2030</v>
      </c>
      <c r="E304" s="171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#DIV/0!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1562017.3315420209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Dybstrøelse</v>
      </c>
      <c r="D306">
        <f t="shared" si="23"/>
        <v>2030</v>
      </c>
      <c r="E306" s="171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#DIV/0!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Majs</v>
      </c>
      <c r="D307">
        <f t="shared" si="23"/>
        <v>2030</v>
      </c>
      <c r="E307" s="171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4026803.5120526911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Svinegylle</v>
      </c>
      <c r="D308">
        <f t="shared" si="23"/>
        <v>2030</v>
      </c>
      <c r="E308" s="171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#DIV/0!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Kvæggylle</v>
      </c>
      <c r="D309">
        <f t="shared" si="23"/>
        <v>2030</v>
      </c>
      <c r="E309" s="171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#DIV/0!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Kvæggylle</v>
      </c>
      <c r="D310">
        <f t="shared" si="23"/>
        <v>2030</v>
      </c>
      <c r="E310" s="171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#DIV/0!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Dybstrøelse</v>
      </c>
      <c r="D312">
        <f t="shared" si="23"/>
        <v>2030</v>
      </c>
      <c r="E312" s="171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#DIV/0!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Majs</v>
      </c>
      <c r="D313">
        <f t="shared" si="23"/>
        <v>2030</v>
      </c>
      <c r="E313" s="171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Svinegylle</v>
      </c>
      <c r="D314">
        <f t="shared" si="23"/>
        <v>2030</v>
      </c>
      <c r="E314" s="171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#DIV/0!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Kvæggylle</v>
      </c>
      <c r="D315">
        <f t="shared" si="23"/>
        <v>2030</v>
      </c>
      <c r="E315" s="171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#DIV/0!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Kvæggylle</v>
      </c>
      <c r="D316">
        <f t="shared" si="23"/>
        <v>2030</v>
      </c>
      <c r="E316" s="171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#DIV/0!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454741.34795789153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Dybstrøelse</v>
      </c>
      <c r="D318">
        <f t="shared" si="23"/>
        <v>2030</v>
      </c>
      <c r="E318" s="171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#DIV/0!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Majs</v>
      </c>
      <c r="D319">
        <f t="shared" si="23"/>
        <v>2030</v>
      </c>
      <c r="E319" s="171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1235469.8186668158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Svinegylle</v>
      </c>
      <c r="D320">
        <f t="shared" si="23"/>
        <v>2030</v>
      </c>
      <c r="E320" s="171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#DIV/0!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Kvæggylle</v>
      </c>
      <c r="D321">
        <f t="shared" si="23"/>
        <v>2030</v>
      </c>
      <c r="E321" s="171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#DIV/0!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Kvæggylle</v>
      </c>
      <c r="D322">
        <f t="shared" si="23"/>
        <v>2030</v>
      </c>
      <c r="E322" s="171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#DIV/0!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Dybstrøelse</v>
      </c>
      <c r="D324">
        <f t="shared" si="23"/>
        <v>2030</v>
      </c>
      <c r="E324" s="171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#DIV/0!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Majs</v>
      </c>
      <c r="D325">
        <f t="shared" si="23"/>
        <v>2030</v>
      </c>
      <c r="E325" s="171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Svinegylle</v>
      </c>
      <c r="D326">
        <f t="shared" ref="D326:D349" si="24">År3</f>
        <v>2050</v>
      </c>
      <c r="E326" s="171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#DIV/0!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Kvæggylle</v>
      </c>
      <c r="D327">
        <f t="shared" si="24"/>
        <v>2050</v>
      </c>
      <c r="E327" s="171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#DIV/0!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Kvæggylle</v>
      </c>
      <c r="D328">
        <f t="shared" si="24"/>
        <v>2050</v>
      </c>
      <c r="E328" s="171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#DIV/0!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1598532.5988841166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Dybstrøelse</v>
      </c>
      <c r="D330">
        <f t="shared" si="24"/>
        <v>2050</v>
      </c>
      <c r="E330" s="171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#DIV/0!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Majs</v>
      </c>
      <c r="D331">
        <f t="shared" si="24"/>
        <v>2050</v>
      </c>
      <c r="E331" s="171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2653972.2309358539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Svinegylle</v>
      </c>
      <c r="D332">
        <f t="shared" si="24"/>
        <v>2050</v>
      </c>
      <c r="E332" s="171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#DIV/0!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Kvæggylle</v>
      </c>
      <c r="D333">
        <f t="shared" si="24"/>
        <v>2050</v>
      </c>
      <c r="E333" s="171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#DIV/0!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Kvæggylle</v>
      </c>
      <c r="D334">
        <f t="shared" si="24"/>
        <v>2050</v>
      </c>
      <c r="E334" s="171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#DIV/0!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Dybstrøelse</v>
      </c>
      <c r="D336">
        <f t="shared" si="24"/>
        <v>2050</v>
      </c>
      <c r="E336" s="171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#DIV/0!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Majs</v>
      </c>
      <c r="D337">
        <f t="shared" si="24"/>
        <v>2050</v>
      </c>
      <c r="E337" s="171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Svinegylle</v>
      </c>
      <c r="D338">
        <f t="shared" si="24"/>
        <v>2050</v>
      </c>
      <c r="E338" s="171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#DIV/0!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Kvæggylle</v>
      </c>
      <c r="D339">
        <f t="shared" si="24"/>
        <v>2050</v>
      </c>
      <c r="E339" s="171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#DIV/0!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Kvæggylle</v>
      </c>
      <c r="D340">
        <f t="shared" si="24"/>
        <v>2050</v>
      </c>
      <c r="E340" s="171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#DIV/0!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435372.79157102475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Dybstrøelse</v>
      </c>
      <c r="D342">
        <f t="shared" si="24"/>
        <v>2050</v>
      </c>
      <c r="E342" s="171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#DIV/0!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Majs</v>
      </c>
      <c r="D343">
        <f t="shared" si="24"/>
        <v>2050</v>
      </c>
      <c r="E343" s="171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962916.08710362518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Svinegylle</v>
      </c>
      <c r="D344">
        <f t="shared" si="24"/>
        <v>2050</v>
      </c>
      <c r="E344" s="171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#DIV/0!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Kvæggylle</v>
      </c>
      <c r="D345">
        <f t="shared" si="24"/>
        <v>2050</v>
      </c>
      <c r="E345" s="171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#DIV/0!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Kvæggylle</v>
      </c>
      <c r="D346">
        <f t="shared" si="24"/>
        <v>2050</v>
      </c>
      <c r="E346" s="171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#DIV/0!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Dybstrøelse</v>
      </c>
      <c r="D348">
        <f t="shared" si="24"/>
        <v>2050</v>
      </c>
      <c r="E348" s="171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#DIV/0!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Majs</v>
      </c>
      <c r="D349">
        <f t="shared" si="24"/>
        <v>2050</v>
      </c>
      <c r="E349" s="171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 t="e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#DIV/0!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 t="e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#DIV/0!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 t="e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#DIV/0!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 t="e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#DIV/0!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#DIV/0!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#DIV/0!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 t="e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#DIV/0!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 t="e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#DIV/0!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 t="e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#DIV/0!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 t="e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#DIV/0!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#DIV/0!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#DIV/0!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 t="e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#DIV/0!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 t="e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#DIV/0!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 t="e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#DIV/0!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 t="e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#DIV/0!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#DIV/0!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#DIV/0!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 t="e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#DIV/0!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 t="e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#DIV/0!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 t="e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#DIV/0!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 t="e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#DIV/0!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#DIV/0!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#DIV/0!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 t="e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#DIV/0!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 t="e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#DIV/0!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 t="e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#DIV/0!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 t="e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#DIV/0!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#DIV/0!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#DIV/0!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 t="e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#DIV/0!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 t="e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#DIV/0!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 t="e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#DIV/0!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 t="e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#DIV/0!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#DIV/0!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#DIV/0!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data'!$A$3:$J$470,MATCH(D386,'[1]Processer - data'!$A$2:$J$2,0),FALSE)</f>
        <v>#N/A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data'!$A$3:$J$470,MATCH(D387,'[1]Processer - data'!$A$2:$J$2,0),FALSE)</f>
        <v>#N/A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data'!$A$3:$J$470,MATCH(D388,'[1]Processer - data'!$A$2:$J$2,0),FALSE)</f>
        <v>#N/A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data'!$A$3:$J$470,MATCH(D389,'[1]Processer - data'!$A$2:$J$2,0),FALSE)</f>
        <v>#N/A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data'!$A$3:$J$470,MATCH(D390,'[1]Processer - data'!$A$2:$J$2,0),FALSE)</f>
        <v>#N/A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data'!$A$3:$J$470,MATCH(D391,'[1]Processer - data'!$A$2:$J$2,0),FALSE)</f>
        <v>#N/A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663977.87373411702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547384.79935736058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214510.72415794732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198603.01144531288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1084674.6083721975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1792713.787726023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395325.39162780321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707286.21227397677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Svinegylle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#DIV/0!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15352538.506892066</v>
      </c>
      <c r="F2" t="e">
        <f>E2-D2</f>
        <v>#DIV/0!</v>
      </c>
      <c r="G2" t="e">
        <f>IF(F2&gt;=0,IF(H2&gt;=0,F2,F2+H2),IF(F2+H2&gt;0,0,F2+H2))</f>
        <v>#DIV/0!</v>
      </c>
      <c r="H2" t="e">
        <f t="shared" ref="H2:H37" si="1">SUMIFS($F$2:$F$37,$C$2:$C$37,C2,$A$2:$A$37,A2,$B$2:$B$37,"&lt;&gt;"&amp;B2)</f>
        <v>#DIV/0!</v>
      </c>
    </row>
    <row r="3" spans="1:8" x14ac:dyDescent="0.25">
      <c r="A3" t="str">
        <f>'Forbrug til andet'!A10</f>
        <v>Kvæggylle</v>
      </c>
      <c r="B3" t="s">
        <v>23</v>
      </c>
      <c r="C3">
        <f t="shared" si="0"/>
        <v>2019</v>
      </c>
      <c r="D3" s="171" t="e">
        <f>SUMIFS('Forbrug af biomasse'!E:E,'Forbrug af biomasse'!F:F,"",'Forbrug af biomasse'!B:B,Restprodukter!$B3,'Forbrug af biomasse'!C:C,Restprodukter!$A3,'Forbrug af biomasse'!D:D,Restprodukter!$C3)</f>
        <v>#DIV/0!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13124915.780770566</v>
      </c>
      <c r="F3" t="e">
        <f t="shared" ref="F3:F37" si="2">E3-D3</f>
        <v>#DIV/0!</v>
      </c>
      <c r="G3" t="e">
        <f t="shared" ref="G3:G37" si="3">IF(F3&gt;=0,IF(H3&gt;=0,F3,F3+H3),IF(F3+H3&gt;0,0,F3+H3))</f>
        <v>#DIV/0!</v>
      </c>
      <c r="H3" t="e">
        <f t="shared" si="1"/>
        <v>#DIV/0!</v>
      </c>
    </row>
    <row r="4" spans="1:8" x14ac:dyDescent="0.25">
      <c r="A4" t="str">
        <f>'Forbrug til andet'!A11</f>
        <v>Kvæggylle</v>
      </c>
      <c r="B4" t="s">
        <v>23</v>
      </c>
      <c r="C4">
        <f t="shared" si="0"/>
        <v>2019</v>
      </c>
      <c r="D4" s="171" t="e">
        <f>SUMIFS('Forbrug af biomasse'!E:E,'Forbrug af biomasse'!F:F,"",'Forbrug af biomasse'!B:B,Restprodukter!$B4,'Forbrug af biomasse'!C:C,Restprodukter!$A4,'Forbrug af biomasse'!D:D,Restprodukter!$C4)</f>
        <v>#DIV/0!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13124915.780770566</v>
      </c>
      <c r="F4" t="e">
        <f t="shared" si="2"/>
        <v>#DIV/0!</v>
      </c>
      <c r="G4" t="e">
        <f t="shared" si="3"/>
        <v>#DIV/0!</v>
      </c>
      <c r="H4" t="e">
        <f t="shared" si="1"/>
        <v>#DIV/0!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1634998.8306815128</v>
      </c>
      <c r="F5">
        <f t="shared" si="2"/>
        <v>1634998.8306815128</v>
      </c>
      <c r="G5">
        <f t="shared" si="3"/>
        <v>1634998.8306815128</v>
      </c>
      <c r="H5">
        <f t="shared" si="1"/>
        <v>478572.02297745162</v>
      </c>
    </row>
    <row r="6" spans="1:8" x14ac:dyDescent="0.25">
      <c r="A6" t="str">
        <f>'Forbrug til andet'!A12</f>
        <v>Dybstrøelse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#DIV/0!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2600310.0770241949</v>
      </c>
      <c r="F6" t="e">
        <f t="shared" si="2"/>
        <v>#DIV/0!</v>
      </c>
      <c r="G6" t="e">
        <f t="shared" si="3"/>
        <v>#DIV/0!</v>
      </c>
      <c r="H6" t="e">
        <f t="shared" si="1"/>
        <v>#DIV/0!</v>
      </c>
    </row>
    <row r="7" spans="1:8" x14ac:dyDescent="0.25">
      <c r="A7" t="str">
        <f>'Forbrug til andet'!A13</f>
        <v>Majs</v>
      </c>
      <c r="B7" t="s">
        <v>23</v>
      </c>
      <c r="C7">
        <f t="shared" si="0"/>
        <v>2019</v>
      </c>
      <c r="D7" s="171">
        <f>SUMIFS('Forbrug af biomasse'!E:E,'Forbrug af biomasse'!F:F,"",'Forbrug af biomasse'!B:B,Restprodukter!$B7,'Forbrug af biomasse'!C:C,Restprodukter!$A7,'Forbrug af biomasse'!D:D,Restprodukter!$C7)</f>
        <v>314821.43493156106</v>
      </c>
      <c r="E7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7581538.5357748987</v>
      </c>
      <c r="F7">
        <f t="shared" si="2"/>
        <v>7266717.1008433374</v>
      </c>
      <c r="G7">
        <f t="shared" si="3"/>
        <v>7266717.1008433374</v>
      </c>
      <c r="H7">
        <f t="shared" si="1"/>
        <v>350952.19300340564</v>
      </c>
    </row>
    <row r="8" spans="1:8" x14ac:dyDescent="0.25">
      <c r="A8" t="str">
        <f t="shared" ref="A8:A37" si="4">A2</f>
        <v>Svinegylle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#DIV/0!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2304461.4931079326</v>
      </c>
      <c r="F8" t="e">
        <f t="shared" si="2"/>
        <v>#DIV/0!</v>
      </c>
      <c r="G8" t="e">
        <f t="shared" si="3"/>
        <v>#DIV/0!</v>
      </c>
      <c r="H8" t="e">
        <f t="shared" si="1"/>
        <v>#DIV/0!</v>
      </c>
    </row>
    <row r="9" spans="1:8" x14ac:dyDescent="0.25">
      <c r="A9" t="str">
        <f t="shared" si="4"/>
        <v>Kvæggylle</v>
      </c>
      <c r="B9" t="s">
        <v>24</v>
      </c>
      <c r="C9">
        <f t="shared" si="0"/>
        <v>2019</v>
      </c>
      <c r="D9" s="171" t="e">
        <f>SUMIFS('Forbrug af biomasse'!E:E,'Forbrug af biomasse'!F:F,"",'Forbrug af biomasse'!B:B,Restprodukter!$B9,'Forbrug af biomasse'!C:C,Restprodukter!$A9,'Forbrug af biomasse'!D:D,Restprodukter!$C9)</f>
        <v>#DIV/0!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925084.21922943438</v>
      </c>
      <c r="F9" t="e">
        <f t="shared" si="2"/>
        <v>#DIV/0!</v>
      </c>
      <c r="G9" t="e">
        <f t="shared" si="3"/>
        <v>#DIV/0!</v>
      </c>
      <c r="H9" t="e">
        <f t="shared" si="1"/>
        <v>#DIV/0!</v>
      </c>
    </row>
    <row r="10" spans="1:8" x14ac:dyDescent="0.25">
      <c r="A10" t="str">
        <f t="shared" si="4"/>
        <v>Kvæggylle</v>
      </c>
      <c r="B10" t="s">
        <v>24</v>
      </c>
      <c r="C10">
        <f t="shared" si="0"/>
        <v>2019</v>
      </c>
      <c r="D10" s="171" t="e">
        <f>SUMIFS('Forbrug af biomasse'!E:E,'Forbrug af biomasse'!F:F,"",'Forbrug af biomasse'!B:B,Restprodukter!$B10,'Forbrug af biomasse'!C:C,Restprodukter!$A10,'Forbrug af biomasse'!D:D,Restprodukter!$C10)</f>
        <v>#DIV/0!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925084.21922943438</v>
      </c>
      <c r="F10" t="e">
        <f t="shared" si="2"/>
        <v>#DIV/0!</v>
      </c>
      <c r="G10" t="e">
        <f t="shared" si="3"/>
        <v>#DIV/0!</v>
      </c>
      <c r="H10" t="e">
        <f t="shared" si="1"/>
        <v>#DIV/0!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478572.02297745162</v>
      </c>
      <c r="F11">
        <f t="shared" si="2"/>
        <v>478572.02297745162</v>
      </c>
      <c r="G11">
        <f t="shared" si="3"/>
        <v>478572.02297745162</v>
      </c>
      <c r="H11">
        <f t="shared" si="1"/>
        <v>1634998.8306815128</v>
      </c>
    </row>
    <row r="12" spans="1:8" x14ac:dyDescent="0.25">
      <c r="A12" t="str">
        <f t="shared" si="4"/>
        <v>Dybstrøelse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#DIV/0!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332759.92297580565</v>
      </c>
      <c r="F12" t="e">
        <f t="shared" si="2"/>
        <v>#DIV/0!</v>
      </c>
      <c r="G12" t="e">
        <f t="shared" si="3"/>
        <v>#DIV/0!</v>
      </c>
      <c r="H12" t="e">
        <f t="shared" si="1"/>
        <v>#DIV/0!</v>
      </c>
    </row>
    <row r="13" spans="1:8" x14ac:dyDescent="0.25">
      <c r="A13" t="str">
        <f t="shared" si="4"/>
        <v>Majs</v>
      </c>
      <c r="B13" t="s">
        <v>24</v>
      </c>
      <c r="C13">
        <f t="shared" si="0"/>
        <v>2019</v>
      </c>
      <c r="D13" s="171">
        <f>SUMIFS('Forbrug af biomasse'!E:E,'Forbrug af biomasse'!F:F,"",'Forbrug af biomasse'!B:B,Restprodukter!$B13,'Forbrug af biomasse'!C:C,Restprodukter!$A13,'Forbrug af biomasse'!D:D,Restprodukter!$C13)</f>
        <v>15204.565068438918</v>
      </c>
      <c r="E13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366156.75807184458</v>
      </c>
      <c r="F13">
        <f>E13-D13</f>
        <v>350952.19300340564</v>
      </c>
      <c r="G13">
        <f t="shared" si="3"/>
        <v>350952.19300340564</v>
      </c>
      <c r="H13">
        <f t="shared" si="1"/>
        <v>7266717.1008433374</v>
      </c>
    </row>
    <row r="14" spans="1:8" x14ac:dyDescent="0.25">
      <c r="A14" t="str">
        <f t="shared" si="4"/>
        <v>Svinegylle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#DIV/0!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12059866.540704856</v>
      </c>
      <c r="F14" t="e">
        <f>E14-D14</f>
        <v>#DIV/0!</v>
      </c>
      <c r="G14" t="e">
        <f t="shared" si="3"/>
        <v>#DIV/0!</v>
      </c>
      <c r="H14" t="e">
        <f t="shared" si="1"/>
        <v>#DIV/0!</v>
      </c>
    </row>
    <row r="15" spans="1:8" x14ac:dyDescent="0.25">
      <c r="A15" t="str">
        <f t="shared" si="4"/>
        <v>Kvæggylle</v>
      </c>
      <c r="B15" t="s">
        <v>23</v>
      </c>
      <c r="C15">
        <f t="shared" si="5"/>
        <v>2030</v>
      </c>
      <c r="D15" s="171" t="e">
        <f>SUMIFS('Forbrug af biomasse'!E:E,'Forbrug af biomasse'!F:F,"",'Forbrug af biomasse'!B:B,Restprodukter!$B15,'Forbrug af biomasse'!C:C,Restprodukter!$A15,'Forbrug af biomasse'!D:D,Restprodukter!$C15)</f>
        <v>#DIV/0!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10386797.369068628</v>
      </c>
      <c r="F15" t="e">
        <f t="shared" si="2"/>
        <v>#DIV/0!</v>
      </c>
      <c r="G15" t="e">
        <f t="shared" si="3"/>
        <v>#DIV/0!</v>
      </c>
      <c r="H15" t="e">
        <f t="shared" si="1"/>
        <v>#DIV/0!</v>
      </c>
    </row>
    <row r="16" spans="1:8" x14ac:dyDescent="0.25">
      <c r="A16" t="str">
        <f t="shared" si="4"/>
        <v>Kvæggylle</v>
      </c>
      <c r="B16" t="s">
        <v>23</v>
      </c>
      <c r="C16">
        <f t="shared" si="5"/>
        <v>2030</v>
      </c>
      <c r="D16" s="171" t="e">
        <f>SUMIFS('Forbrug af biomasse'!E:E,'Forbrug af biomasse'!F:F,"",'Forbrug af biomasse'!B:B,Restprodukter!$B16,'Forbrug af biomasse'!C:C,Restprodukter!$A16,'Forbrug af biomasse'!D:D,Restprodukter!$C16)</f>
        <v>#DIV/0!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10386797.369068628</v>
      </c>
      <c r="F16" t="e">
        <f t="shared" si="2"/>
        <v>#DIV/0!</v>
      </c>
      <c r="G16" t="e">
        <f t="shared" si="3"/>
        <v>#DIV/0!</v>
      </c>
      <c r="H16" t="e">
        <f t="shared" si="1"/>
        <v>#DIV/0!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1562017.3315420209</v>
      </c>
      <c r="F17">
        <f t="shared" si="2"/>
        <v>1562017.3315420209</v>
      </c>
      <c r="G17">
        <f t="shared" si="3"/>
        <v>1562017.3315420209</v>
      </c>
      <c r="H17">
        <f t="shared" si="1"/>
        <v>454741.34795789153</v>
      </c>
    </row>
    <row r="18" spans="1:8" x14ac:dyDescent="0.25">
      <c r="A18" t="str">
        <f t="shared" si="4"/>
        <v>Dybstrøelse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#DIV/0!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2150858.1410453846</v>
      </c>
      <c r="F18" t="e">
        <f t="shared" si="2"/>
        <v>#DIV/0!</v>
      </c>
      <c r="G18" t="e">
        <f t="shared" si="3"/>
        <v>#DIV/0!</v>
      </c>
      <c r="H18" t="e">
        <f t="shared" si="1"/>
        <v>#DIV/0!</v>
      </c>
    </row>
    <row r="19" spans="1:8" x14ac:dyDescent="0.25">
      <c r="A19" t="str">
        <f t="shared" si="4"/>
        <v>Majs</v>
      </c>
      <c r="B19" t="s">
        <v>23</v>
      </c>
      <c r="C19">
        <f t="shared" si="5"/>
        <v>2030</v>
      </c>
      <c r="D19" s="171">
        <f>SUMIFS('Forbrug af biomasse'!E:E,'Forbrug af biomasse'!F:F,"",'Forbrug af biomasse'!B:B,Restprodukter!$B19,'Forbrug af biomasse'!C:C,Restprodukter!$A19,'Forbrug af biomasse'!D:D,Restprodukter!$C19)</f>
        <v>0</v>
      </c>
      <c r="E19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4026803.5120526911</v>
      </c>
      <c r="F19">
        <f t="shared" si="2"/>
        <v>4026803.5120526911</v>
      </c>
      <c r="G19">
        <f t="shared" si="3"/>
        <v>4026803.5120526911</v>
      </c>
      <c r="H19">
        <f t="shared" si="1"/>
        <v>1235469.8186668158</v>
      </c>
    </row>
    <row r="20" spans="1:8" x14ac:dyDescent="0.25">
      <c r="A20" t="str">
        <f t="shared" si="4"/>
        <v>Svinegylle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#DIV/0!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1747439.8704342765</v>
      </c>
      <c r="F20" t="e">
        <f t="shared" si="2"/>
        <v>#DIV/0!</v>
      </c>
      <c r="G20" t="e">
        <f t="shared" si="3"/>
        <v>#DIV/0!</v>
      </c>
      <c r="H20" t="e">
        <f t="shared" si="1"/>
        <v>#DIV/0!</v>
      </c>
    </row>
    <row r="21" spans="1:8" x14ac:dyDescent="0.25">
      <c r="A21" t="str">
        <f t="shared" si="4"/>
        <v>Kvæggylle</v>
      </c>
      <c r="B21" t="s">
        <v>24</v>
      </c>
      <c r="C21">
        <f t="shared" si="5"/>
        <v>2030</v>
      </c>
      <c r="D21" s="171" t="e">
        <f>SUMIFS('Forbrug af biomasse'!E:E,'Forbrug af biomasse'!F:F,"",'Forbrug af biomasse'!B:B,Restprodukter!$B21,'Forbrug af biomasse'!C:C,Restprodukter!$A21,'Forbrug af biomasse'!D:D,Restprodukter!$C21)</f>
        <v>#DIV/0!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738231.33813296724</v>
      </c>
      <c r="F21" t="e">
        <f t="shared" si="2"/>
        <v>#DIV/0!</v>
      </c>
      <c r="G21" t="e">
        <f t="shared" si="3"/>
        <v>#DIV/0!</v>
      </c>
      <c r="H21" t="e">
        <f t="shared" si="1"/>
        <v>#DIV/0!</v>
      </c>
    </row>
    <row r="22" spans="1:8" x14ac:dyDescent="0.25">
      <c r="A22" t="str">
        <f t="shared" si="4"/>
        <v>Kvæggylle</v>
      </c>
      <c r="B22" t="s">
        <v>24</v>
      </c>
      <c r="C22">
        <f t="shared" si="5"/>
        <v>2030</v>
      </c>
      <c r="D22" s="171" t="e">
        <f>SUMIFS('Forbrug af biomasse'!E:E,'Forbrug af biomasse'!F:F,"",'Forbrug af biomasse'!B:B,Restprodukter!$B22,'Forbrug af biomasse'!C:C,Restprodukter!$A22,'Forbrug af biomasse'!D:D,Restprodukter!$C22)</f>
        <v>#DIV/0!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738231.33813296724</v>
      </c>
      <c r="F22" t="e">
        <f t="shared" si="2"/>
        <v>#DIV/0!</v>
      </c>
      <c r="G22" t="e">
        <f t="shared" si="3"/>
        <v>#DIV/0!</v>
      </c>
      <c r="H22" t="e">
        <f t="shared" si="1"/>
        <v>#DIV/0!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454741.34795789153</v>
      </c>
      <c r="F23">
        <f t="shared" si="2"/>
        <v>454741.34795789153</v>
      </c>
      <c r="G23">
        <f t="shared" si="3"/>
        <v>454741.34795789153</v>
      </c>
      <c r="H23">
        <f t="shared" si="1"/>
        <v>1562017.3315420209</v>
      </c>
    </row>
    <row r="24" spans="1:8" x14ac:dyDescent="0.25">
      <c r="A24" t="str">
        <f t="shared" si="4"/>
        <v>Dybstrøelse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#DIV/0!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288837.5497709263</v>
      </c>
      <c r="F24" t="e">
        <f t="shared" si="2"/>
        <v>#DIV/0!</v>
      </c>
      <c r="G24" t="e">
        <f t="shared" si="3"/>
        <v>#DIV/0!</v>
      </c>
      <c r="H24" t="e">
        <f t="shared" si="1"/>
        <v>#DIV/0!</v>
      </c>
    </row>
    <row r="25" spans="1:8" x14ac:dyDescent="0.25">
      <c r="A25" t="str">
        <f t="shared" si="4"/>
        <v>Majs</v>
      </c>
      <c r="B25" t="s">
        <v>24</v>
      </c>
      <c r="C25">
        <f t="shared" si="5"/>
        <v>2030</v>
      </c>
      <c r="D25" s="171">
        <f>SUMIFS('Forbrug af biomasse'!E:E,'Forbrug af biomasse'!F:F,"",'Forbrug af biomasse'!B:B,Restprodukter!$B25,'Forbrug af biomasse'!C:C,Restprodukter!$A25,'Forbrug af biomasse'!D:D,Restprodukter!$C25)</f>
        <v>0</v>
      </c>
      <c r="E25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1235469.8186668158</v>
      </c>
      <c r="F25">
        <f t="shared" si="2"/>
        <v>1235469.8186668158</v>
      </c>
      <c r="G25">
        <f t="shared" si="3"/>
        <v>1235469.8186668158</v>
      </c>
      <c r="H25">
        <f t="shared" si="1"/>
        <v>4026803.5120526911</v>
      </c>
    </row>
    <row r="26" spans="1:8" x14ac:dyDescent="0.25">
      <c r="A26" t="str">
        <f t="shared" si="4"/>
        <v>Svinegylle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#DIV/0!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7216145.8837897805</v>
      </c>
      <c r="F26" t="e">
        <f t="shared" si="2"/>
        <v>#DIV/0!</v>
      </c>
      <c r="G26" t="e">
        <f t="shared" si="3"/>
        <v>#DIV/0!</v>
      </c>
      <c r="H26" t="e">
        <f t="shared" si="1"/>
        <v>#DIV/0!</v>
      </c>
    </row>
    <row r="27" spans="1:8" x14ac:dyDescent="0.25">
      <c r="A27" t="str">
        <f t="shared" si="4"/>
        <v>Kvæggylle</v>
      </c>
      <c r="B27" t="s">
        <v>23</v>
      </c>
      <c r="C27">
        <f t="shared" si="6"/>
        <v>2050</v>
      </c>
      <c r="D27" s="171" t="e">
        <f>SUMIFS('Forbrug af biomasse'!E:E,'Forbrug af biomasse'!F:F,"",'Forbrug af biomasse'!B:B,Restprodukter!$B27,'Forbrug af biomasse'!C:C,Restprodukter!$A27,'Forbrug af biomasse'!D:D,Restprodukter!$C27)</f>
        <v>#DIV/0!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6367703.2512749117</v>
      </c>
      <c r="F27" t="e">
        <f t="shared" si="2"/>
        <v>#DIV/0!</v>
      </c>
      <c r="G27" t="e">
        <f t="shared" si="3"/>
        <v>#DIV/0!</v>
      </c>
      <c r="H27" t="e">
        <f t="shared" si="1"/>
        <v>#DIV/0!</v>
      </c>
    </row>
    <row r="28" spans="1:8" x14ac:dyDescent="0.25">
      <c r="A28" t="str">
        <f t="shared" si="4"/>
        <v>Kvæggylle</v>
      </c>
      <c r="B28" t="s">
        <v>23</v>
      </c>
      <c r="C28">
        <f t="shared" si="6"/>
        <v>2050</v>
      </c>
      <c r="D28" s="171" t="e">
        <f>SUMIFS('Forbrug af biomasse'!E:E,'Forbrug af biomasse'!F:F,"",'Forbrug af biomasse'!B:B,Restprodukter!$B28,'Forbrug af biomasse'!C:C,Restprodukter!$A28,'Forbrug af biomasse'!D:D,Restprodukter!$C28)</f>
        <v>#DIV/0!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6367703.2512749117</v>
      </c>
      <c r="F28" t="e">
        <f t="shared" si="2"/>
        <v>#DIV/0!</v>
      </c>
      <c r="G28" t="e">
        <f t="shared" si="3"/>
        <v>#DIV/0!</v>
      </c>
      <c r="H28" t="e">
        <f t="shared" si="1"/>
        <v>#DIV/0!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1598532.5988841166</v>
      </c>
      <c r="F29">
        <f t="shared" si="2"/>
        <v>1598532.5988841166</v>
      </c>
      <c r="G29">
        <f t="shared" si="3"/>
        <v>1598532.5988841166</v>
      </c>
      <c r="H29">
        <f t="shared" si="1"/>
        <v>435372.79157102475</v>
      </c>
    </row>
    <row r="30" spans="1:8" x14ac:dyDescent="0.25">
      <c r="A30" t="str">
        <f t="shared" si="4"/>
        <v>Dybstrøelse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#DIV/0!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1458137.3135203668</v>
      </c>
      <c r="F30" t="e">
        <f t="shared" si="2"/>
        <v>#DIV/0!</v>
      </c>
      <c r="G30" t="e">
        <f t="shared" si="3"/>
        <v>#DIV/0!</v>
      </c>
      <c r="H30" t="e">
        <f t="shared" si="1"/>
        <v>#DIV/0!</v>
      </c>
    </row>
    <row r="31" spans="1:8" x14ac:dyDescent="0.25">
      <c r="A31" t="str">
        <f t="shared" si="4"/>
        <v>Majs</v>
      </c>
      <c r="B31" t="s">
        <v>23</v>
      </c>
      <c r="C31">
        <f t="shared" si="6"/>
        <v>2050</v>
      </c>
      <c r="D31" s="171">
        <f>SUMIFS('Forbrug af biomasse'!E:E,'Forbrug af biomasse'!F:F,"",'Forbrug af biomasse'!B:B,Restprodukter!$B31,'Forbrug af biomasse'!C:C,Restprodukter!$A31,'Forbrug af biomasse'!D:D,Restprodukter!$C31)</f>
        <v>550329.17750715138</v>
      </c>
      <c r="E31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3204301.4084430053</v>
      </c>
      <c r="F31">
        <f t="shared" si="2"/>
        <v>2653972.2309358539</v>
      </c>
      <c r="G31">
        <f t="shared" si="3"/>
        <v>2653972.2309358539</v>
      </c>
      <c r="H31">
        <f t="shared" si="1"/>
        <v>962916.08710362518</v>
      </c>
    </row>
    <row r="32" spans="1:8" x14ac:dyDescent="0.25">
      <c r="A32" t="str">
        <f t="shared" si="4"/>
        <v>Svinegylle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#DIV/0!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1045598.7208186348</v>
      </c>
      <c r="F32" t="e">
        <f t="shared" si="2"/>
        <v>#DIV/0!</v>
      </c>
      <c r="G32" t="e">
        <f t="shared" si="3"/>
        <v>#DIV/0!</v>
      </c>
      <c r="H32" t="e">
        <f t="shared" si="1"/>
        <v>#DIV/0!</v>
      </c>
    </row>
    <row r="33" spans="1:8" x14ac:dyDescent="0.25">
      <c r="A33" t="str">
        <f t="shared" si="4"/>
        <v>Kvæggylle</v>
      </c>
      <c r="B33" t="s">
        <v>24</v>
      </c>
      <c r="C33">
        <f t="shared" si="6"/>
        <v>2050</v>
      </c>
      <c r="D33" s="171" t="e">
        <f>SUMIFS('Forbrug af biomasse'!E:E,'Forbrug af biomasse'!F:F,"",'Forbrug af biomasse'!B:B,Restprodukter!$B33,'Forbrug af biomasse'!C:C,Restprodukter!$A33,'Forbrug af biomasse'!D:D,Restprodukter!$C33)</f>
        <v>#DIV/0!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452578.20336624543</v>
      </c>
      <c r="F33" t="e">
        <f t="shared" si="2"/>
        <v>#DIV/0!</v>
      </c>
      <c r="G33" t="e">
        <f t="shared" si="3"/>
        <v>#DIV/0!</v>
      </c>
      <c r="H33" t="e">
        <f t="shared" si="1"/>
        <v>#DIV/0!</v>
      </c>
    </row>
    <row r="34" spans="1:8" x14ac:dyDescent="0.25">
      <c r="A34" t="str">
        <f t="shared" si="4"/>
        <v>Kvæggylle</v>
      </c>
      <c r="B34" t="s">
        <v>24</v>
      </c>
      <c r="C34">
        <f t="shared" si="6"/>
        <v>2050</v>
      </c>
      <c r="D34" s="171" t="e">
        <f>SUMIFS('Forbrug af biomasse'!E:E,'Forbrug af biomasse'!F:F,"",'Forbrug af biomasse'!B:B,Restprodukter!$B34,'Forbrug af biomasse'!C:C,Restprodukter!$A34,'Forbrug af biomasse'!D:D,Restprodukter!$C34)</f>
        <v>#DIV/0!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452578.20336624543</v>
      </c>
      <c r="F34" t="e">
        <f t="shared" si="2"/>
        <v>#DIV/0!</v>
      </c>
      <c r="G34" t="e">
        <f t="shared" si="3"/>
        <v>#DIV/0!</v>
      </c>
      <c r="H34" t="e">
        <f t="shared" si="1"/>
        <v>#DIV/0!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435372.79157102475</v>
      </c>
      <c r="F35">
        <f t="shared" si="2"/>
        <v>435372.79157102475</v>
      </c>
      <c r="G35">
        <f t="shared" si="3"/>
        <v>435372.79157102475</v>
      </c>
      <c r="H35">
        <f t="shared" si="1"/>
        <v>1598532.5988841166</v>
      </c>
    </row>
    <row r="36" spans="1:8" x14ac:dyDescent="0.25">
      <c r="A36" t="str">
        <f t="shared" si="4"/>
        <v>Dybstrøelse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#DIV/0!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194332.65736576461</v>
      </c>
      <c r="F36" t="e">
        <f t="shared" si="2"/>
        <v>#DIV/0!</v>
      </c>
      <c r="G36" t="e">
        <f t="shared" si="3"/>
        <v>#DIV/0!</v>
      </c>
      <c r="H36" t="e">
        <f t="shared" si="1"/>
        <v>#DIV/0!</v>
      </c>
    </row>
    <row r="37" spans="1:8" x14ac:dyDescent="0.25">
      <c r="A37" t="str">
        <f t="shared" si="4"/>
        <v>Majs</v>
      </c>
      <c r="B37" t="s">
        <v>24</v>
      </c>
      <c r="C37">
        <f t="shared" si="6"/>
        <v>2050</v>
      </c>
      <c r="D37" s="171">
        <f>SUMIFS('Forbrug af biomasse'!E:E,'Forbrug af biomasse'!F:F,"",'Forbrug af biomasse'!B:B,Restprodukter!$B37,'Forbrug af biomasse'!C:C,Restprodukter!$A37,'Forbrug af biomasse'!D:D,Restprodukter!$C37)</f>
        <v>199670.8224928487</v>
      </c>
      <c r="E37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1162586.9095964739</v>
      </c>
      <c r="F37">
        <f t="shared" si="2"/>
        <v>962916.08710362518</v>
      </c>
      <c r="G37">
        <f t="shared" si="3"/>
        <v>962916.08710362518</v>
      </c>
      <c r="H37">
        <f t="shared" si="1"/>
        <v>2653972.2309358539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668679.49055744556</v>
      </c>
      <c r="O3" s="171">
        <f>SUMIF($F$3:$F$472,"Roer",J3:J472)</f>
        <v>557517.61958207632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-141474.29645242251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-86481.509656287672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-31124.345219532952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-190259.32124383288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-792256.06013356603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10803.94867106174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5643.853783390462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-82055.091942405052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-57616.100731702267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-707371.48226211255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-432407.54828143836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12933.422356475206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79060.431361572948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3233.3555891188016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19765.107840393237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-90543.549729550403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-553481.6618002411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-81489.19475659536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-498133.49562021694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136776.07373018423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47345.563983525324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-28294.859290484503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-861780.57153304224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6287.080312175447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3143.5401560877244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-70737.148226211255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-39612.803006678303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-141474.29645242251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-86481.509656287672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-24050.630396911827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-147018.56641568904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-778108.63048832386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7921.1617892599015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4320.6337032326746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-74981.377119783923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-14646.750691544919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-537602.32651920558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-328629.73669389315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3284.3841565224002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20077.039241030736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11495.344547828394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70269.637343607537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-45271.774864775201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-276740.83090012055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-22635.887432387612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-138370.41545006033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35352.746129234147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46756.857783825813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-254653.73361436054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-243650.17722361654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2922.1359039647805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1593.8923112535169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-73566.6341552597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-20139.282200874262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6689339.852397711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7216145.8837897805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925057.83587008948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75611.251087844197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-4128307295.3802996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-317053.53701063234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540605.19341254723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257796.39706926318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279430.90429999697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8546.1380153876689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-466611561.22470069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-31499.430325699868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67213.479225579227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190759.94461987106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5535545.3289545197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108481.18866081457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2072122.3217219769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23605.633786048213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-1436209331.0592856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-6007.063474063857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1553452.9108066163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15399.363687067749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832157.92232039175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6870.4853373071492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317858.66072024452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6352.9682396023018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-386526044.94071406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-1948.8708148271296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349618.59504034655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4216802.1372340936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3432833.9542255346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1736185.6747403899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1743636.2761901156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-89782232.998362541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-73090339.051366583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1275858.484179026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1038656.8263668426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162215.93605101015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3.9301585400745376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66789.233931450188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1.996241907715099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-2338529.3227416016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-56.657756400071008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287669.58614374197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6.9696424915182984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3.1219568255939545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2.9775888799017491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1.2854045652019885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1.5124040532709913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-29.674680641973879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-28.302441074714974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12.152284521028513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11.590329167454941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440936.13099748403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487878.52258538653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181546.81419684194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247807.70107065581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-9388211.5314472727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-10387687.580330584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199122.42238632197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220321.14498690597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16962.34845758829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0.55855889554392679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6983.9146926007752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0.28370831961163073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-244531.76559766231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-8.0522690156464574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44896.409398156262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1.4784090133523664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0.32645201719650091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0.42317854081027884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0.13441022303181493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0.21494469726790755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-3.1029767214642057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-4.0223772315276731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1.8965993183108087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2.4585546718843809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1240114.8187957981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1009558.4565162469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-11222779.124795316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-9136292.3814208228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127585.84841790258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103865.68263668426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1890.045129396352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4.5791906684726116E-2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-13897.416146524663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-0.3367058137620848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1139.7088795537434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2.761280238686533E-2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1.835133254031052E-2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1.7502716006654543E-2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-0.11269423328091767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-0.10748293925636654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2.4289577885780251E-2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2.3166360411293298E-2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110320.04081657417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122064.79519696438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-998373.24121734046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-1104660.8061172448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19912.242238632196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22032.1144986906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168.13754070179107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5.5366578082441586E-3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-1236.3077138440149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-4.0710793845779338E-2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177.8736401615669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5.857261112365373E-3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1.6325260566206876E-3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2.1162374808045945E-3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-1.002522687973019E-2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-1.2995664473724317E-2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3.7908589763934494E-3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4.9140764508803962E-3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137896.92229677082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112117.37683994151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-117988846.53749661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-95931074.818950579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25549.57864746785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20773.137569778497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12267.246440157822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13556.01010882929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-10496233.226659382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-11598939.046291297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3987.5064941134801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4406.4231208621059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1916098.9264530295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1559866.7521776354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-6312813.2576973643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-5139164.4645492127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95689.38631342692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77899.26197751319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61472.06133240278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1.4893416313028394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-135017.95702359162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-3.271207439772259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17993.049190363032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0.43593457991235474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2.0010902324434707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1.9085542679374146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-2.8254973331828976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-2.6948384969663475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1.2856544802739025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1.2262022499722192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170455.27443995446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188602.07094511407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-561584.94818475388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-621371.70344095014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14934.181678974144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16524.08587401795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5468.5261497438078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0.18007494269388874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-12011.135020769218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-0.39551871771791858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2808.1637464728433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9.2470971496560098E-2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0.17801606171852613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0.23076156148697827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-0.25135493617158844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-0.32583047281502198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0.20065127726818136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0.26010350756986467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9700750.3090022244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5163574.8105338942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-28267374.9205782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-15046331.51565242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414654.00735818339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220714.57560295408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972660.7244525596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23.565569116466033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-1980942.8237132172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-47.994170890631111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243681.78612527228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5.9039085561833859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38.001851974654684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36.244540900682203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-53.581452210288894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-51.103697194784196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20.897630996969323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19.931266557803106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1180912.1474426989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854336.92319742613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-3441103.5596958213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-2489483.941680673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64714.787275554649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46818.243309717524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118405.98183220177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3.8990305265425622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-241148.29981156276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-7.9408537291771486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38031.261418395094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1.2523442391904154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4.6261214022325303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5.9968240399310559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-6.5226900783160939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-8.45533899040975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3.2614799821859632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4.2278444213521738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667560.08156854985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543450.42520710232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249997.45289925081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251070.28250042661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366809.31420146994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298613.83758046723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7657.134218172675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0.18551661552281196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2867.5532044291272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8.5707374412459486E-2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24660.245998761078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0.5974670477621441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9.8983310389589116E-2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9.440604748140001E-2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3.7068686639843931E-2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4.3614931392998796E-2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0.69971909188267134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0.66736213965688296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59385.836158034595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65708.096865949643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22239.657804158785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30356.67961141522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57247.69643606757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63342.329183735477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681.17511917732634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2.2430645331394539E-2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255.0962070298512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1.0362800724415555E-2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3848.7089131014404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0.12673543437378815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8.8055095196287649E-3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1.1414549377296546E-2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3.2976132218913174E-3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5.2734417047898543E-3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0.1092047137620354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0.14156166598782366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610968.09555385693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497379.75724454958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-946921.98865460476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-770874.66968238191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15948.231052237823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12983.210329585532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3085.4320588884757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7.4753673721964703E-2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-3099.4593262392268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-7.509352556337151E-2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472.05339285400112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1.1436882950346606E-2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4.1400673880798877E-2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3.9486191851628986E-2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-2.546258775273496E-2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-2.4285127047406173E-2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1.390314815273707E-2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1.3260228006945761E-2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54351.439251872012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60137.734285022809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-84237.742227713097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-93205.755516142526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2489.0302798290245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2754.014312336325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274.47860916932729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9.0383987318375502E-3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-275.72646838625258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-9.0794899090258282E-3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73.673072873167797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2.4260054743159469E-3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3.6829848036155767E-3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4.7742395602424137E-3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-2.2651400318762483E-3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-2.9362926339136551E-3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2.1698554920456699E-3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2.8127756378369794E-3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127677.0689911464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103939.94390647215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-1963986.3468391802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-1598851.1667486441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27575.692141429448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22448.948092324048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708.95734169055743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1.7176578447369726E-2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-9087.9183877320957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-0.22018157360207954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692.09005919036315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1.6767918879266978E-2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1.5416362042146159E-2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1.4703466687596051E-2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-0.1693867460636983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-0.16155383295092615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3.4484351901502862E-2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3.2889699790450713E-2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11358.093016033197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12567.284126873448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-174715.31721303461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-193315.64107051786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4303.7207388358102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4761.8980801899488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63.068517275246698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2.076804485000157E-3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-808.4570172670343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-2.6621953899160521E-2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108.0140554805769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3.5568312774202676E-3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1.3714324383157768E-3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1.7777827904093401E-3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-1.5068566600695473E-2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-1.9533327074975612E-2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5.381950874801025E-3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6.9766029858531805E-3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1253239.7877994173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1020243.2925074692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-5574749.8449351965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-4538318.3586032903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89210.162974096893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72624.625617446291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44004.466038950108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1.0661377187381633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-143507.16828434472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-3.4768835709043713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18359.382197972347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0.44481007533787331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0.956882367999908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0.91263347236985437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-2.3092295763705035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-2.2024443936481677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0.87629526334408736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0.83577293902759764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111487.63198978631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123356.68900317581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-495927.16828643158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-548723.94699476147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13922.97341214229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15405.223615821944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3914.6169499389716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0.12890574235652336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-12766.331328878992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-0.42038683175480124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2865.3371060419277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9.4353652344397368E-2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8.5123812968315504E-2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0.11034568347744603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-0.20542799526209277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-0.26629554941382388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0.13676284456815238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0.17728516888464194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3346823.5222590859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2724597.7051101746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-11222779.124795318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-9136292.3814208228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159482.31052237825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129832.10329585533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218175.48732189485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5.2859433888383958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-495354.00801273214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-12.001408938880065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60934.999229604276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1.4763297209982922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2.820341313820756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2.6899209062452294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-4.2220294070089235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-4.0267910529275861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1.7289925788636529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1.6490391648121545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433539.39383714506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479694.32323303365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-1453771.5617726184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-1608541.1738198476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24890.302798290246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27540.143123363247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28261.922953084759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0.93064639664094173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-64166.955604423863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-2.1129753313603992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9510.0865849671427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0.31316084990872861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0.36534016672094299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0.47358910500862972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-0.5469114393703467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-0.70895927325785679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0.26984277242380711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0.34979618647530547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602142.50205011794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490194.9769158003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405687.89375531493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407428.84741788998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-22340344.695295673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-18186932.021765824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290257.80515072832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236294.42799845667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9346.1575671998344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0.22643817786226661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6296.8864765952239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0.18820561238365627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-239426.596994427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-5.8008140741655101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26405.772155737857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0.63975755694250325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0.14611066864294522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0.13935410593113273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9.8440700025529085E-2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0.11582510110507392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-2.544510638862107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-2.4268454070072116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0.90610453910866218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0.86420375117300141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51686.798586382974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57189.41397351004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34823.49839460363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47533.365532087162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-1917653.8654632419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-2121808.7358726799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45300.351092888246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50123.060484521113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802.25687787813627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2.641778741726444E-2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540.5130877308618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2.1957321444759897E-2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-20551.936215995614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-0.6767616419859761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4121.1320705486833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0.13570614844234916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1.2541869533801946E-2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1.6257979025298817E-2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8.4499676033474389E-3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1.3512928462258624E-2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-0.2184160866306491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-0.28313196415084135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0.14141515928285478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0.18331594721851543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868028.00036343175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706648.28367323068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181905.72916666337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182686.35252346256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-8500267.7180683818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-6919937.595585702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128846.73888460379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104892.15422956061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52087.589925103726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1.2619751878858152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10915.582241463493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0.32625232294002166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-382555.45238773926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-9.2685319017051615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45316.369431110084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1.0979224400545016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1.4600023513380349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1.3924877917385883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0.30596108903628955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0.35999311324133687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-8.1698555149877059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-7.7920587281674631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2.7880785506357664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2.6591500627450948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77219.369512099496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85440.20157139971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16182.249548410105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22088.440805109563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-756179.88543972454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-836683.36382990761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20109.028612047987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22249.850897179527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4633.687912990441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0.15258427271710306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971.04514853250396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3.9446871773657161E-2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-34031.956140157839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-1.1206497662970782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7072.4969632368347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0.23289263879943969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0.1298811340294356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0.16836443300112025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2.7218156995771656E-2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4.3526440055543465E-2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-0.726786568645438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-0.94213073713297524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0.43513364663101561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0.56406213452168696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570481.51952627848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464420.25657208794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-1170764.312460646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-953101.27281585208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20921.498315062545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17031.870941975852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20941.147059828374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0.50736092864674365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-32557.753513414758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-0.78880741394083276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3471.2081725195412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8.4100235622437486E-2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0.45536774311739758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0.4343102752275757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-0.54615001173461863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-0.52089451986249746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0.17295778570287446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0.16495973780909989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50749.772170574724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56152.631021897891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-104150.65184259738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-115238.60844046209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3265.204939345022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3612.8211089039683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1862.9147586749057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6.1344548645469892E-2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-2896.322696944816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-9.5373987321937012E-2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541.74925235854118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1.7839443919910981E-2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4.0509303853044784E-2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5.2512060550243253E-2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-4.8585252488992946E-2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-6.2980882856101969E-2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2.6993411641489076E-2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3.4991459535263621E-2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107012.28393783615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87117.059294127917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-491138.46732663608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-399828.29452155723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8045.2343239950869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6549.5018875195237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16777.114803525586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0.40647499023864508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-64166.204006021362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-1.5546151678903404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5701.0037986160087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0.13812359815919922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0.52434459319496152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0.50009744437669734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-1.7189335011455296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-1.6394452467572969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0.4082709773973468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0.38939139462752725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9519.7632936606842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10533.244441926374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-43691.450937323287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-48342.875610333729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1255.614605479002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1389.288279170808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1492.4843747182588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4.9146521547036179E-2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-5708.1958361425941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-0.18796710666310479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889.75203793429046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2.9298945064072567E-2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4.6645452539135587E-2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6.0466327365546121E-2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-0.15291552937936242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-0.19822383438065497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6.3718591848140826E-2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8.2598174617960318E-2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1036906.2316772139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1603845.9777935671</v>
      </c>
    </row>
    <row r="406" spans="1:10" s="171" customFormat="1" x14ac:dyDescent="0.25">
      <c r="A406" s="171" t="str">
        <f>IF('[1]Processer - data'!A406&lt;&gt;"",'[1]Processer - data'!A406,"")</f>
        <v>Permanent græs</v>
      </c>
      <c r="B406" s="171" t="str">
        <f>IF('[1]Processer - data'!B406&lt;&gt;"",'[1]Processer - data'!B406,"")</f>
        <v>Konventionel</v>
      </c>
      <c r="C406" s="171" t="str">
        <f>IF('[1]Processer - data'!C406&lt;&gt;"",'[1]Processer - data'!C406,"")</f>
        <v>JB1-10</v>
      </c>
      <c r="D406" s="171" t="str">
        <f>IF('[1]Processer - data'!D406&lt;&gt;"",'[1]Processer - data'!D406,"")</f>
        <v>Areal-permanent græs</v>
      </c>
      <c r="E406" s="171" t="str">
        <f>IF('[1]Processer - data'!E406&lt;&gt;"",'[1]Processer - data'!E406,"")</f>
        <v>Hektar</v>
      </c>
      <c r="F406" s="171" t="str">
        <f>IF('[1]Processer - data'!F406&lt;&gt;"",'[1]Processer - data'!F406,"")</f>
        <v>Gødning</v>
      </c>
      <c r="G406" s="171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-3507118.4764985368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-5424673.6014686143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137878.46070714726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213265.00687707844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268111.46640836471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6.4957894708038477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-755692.46996177512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-18.308874496500476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161139.24301085269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3.9040724818867463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10.964621433671345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10.457586916507353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-26.489670661678876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-25.264714792930722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15.100009941890358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14.401743586196005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161829.2962733224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340209.75286530203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-547353.75066740159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-1150688.3397054633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21518.603694179052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45238.031761804508</v>
      </c>
    </row>
    <row r="417" spans="1:15" ht="15.75" thickBot="1" x14ac:dyDescent="0.3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41843.986086854602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1.3778947362311191</v>
      </c>
    </row>
    <row r="418" spans="1:15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0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0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0</v>
      </c>
      <c r="N418" s="171"/>
      <c r="O418" s="171"/>
    </row>
    <row r="419" spans="1:15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0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0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0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0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0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0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0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0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0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0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0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0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0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0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0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0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0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0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0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0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0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0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0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0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0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0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2"/>
      <c r="M433" s="125"/>
    </row>
    <row r="434" spans="1:13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0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  <c r="L434" s="127"/>
      <c r="M434" s="125"/>
    </row>
    <row r="435" spans="1:13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0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  <c r="L435" s="127"/>
      <c r="M435" s="125"/>
    </row>
    <row r="436" spans="1:13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0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0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0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Slagteri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Slagtekøer</v>
      </c>
      <c r="E437" s="171" t="str">
        <f>IF('[1]Processer - data'!E437&lt;&gt;"",'[1]Processer - data'!E437,"")</f>
        <v>Antal</v>
      </c>
      <c r="F437" s="171" t="str">
        <f>IF('[1]Processer - data'!F437&lt;&gt;"",'[1]Processer - data'!F437,"")</f>
        <v>Slagteriaffald til andet</v>
      </c>
      <c r="G437" s="171" t="str">
        <f>IF('[1]Processer - data'!G437&lt;&gt;"",'[1]Processer - data'!G437,"")</f>
        <v>Ton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0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0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0</v>
      </c>
      <c r="L437" s="127"/>
      <c r="M437" s="125"/>
    </row>
    <row r="438" spans="1:13" x14ac:dyDescent="0.25">
      <c r="A438" s="171" t="str">
        <f>IF('[1]Processer - data'!A438&lt;&gt;"",'[1]Processer - data'!A438,"")</f>
        <v>Slagteri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Slagtefjerkræ</v>
      </c>
      <c r="E438" s="171" t="str">
        <f>IF('[1]Processer - data'!E438&lt;&gt;"",'[1]Processer - data'!E438,"")</f>
        <v>Antal</v>
      </c>
      <c r="F438" s="171" t="str">
        <f>IF('[1]Processer - data'!F438&lt;&gt;"",'[1]Processer - data'!F438,"")</f>
        <v>Fjerkrækød</v>
      </c>
      <c r="G438" s="171" t="str">
        <f>IF('[1]Processer - data'!G438&lt;&gt;"",'[1]Processer - data'!G438,"")</f>
        <v>Ton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0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0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0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Slagteri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Slagtefjerkræ</v>
      </c>
      <c r="E439" s="171" t="str">
        <f>IF('[1]Processer - data'!E439&lt;&gt;"",'[1]Processer - data'!E439,"")</f>
        <v>Antal</v>
      </c>
      <c r="F439" s="171" t="str">
        <f>IF('[1]Processer - data'!F439&lt;&gt;"",'[1]Processer - data'!F439,"")</f>
        <v>Industriaffald</v>
      </c>
      <c r="G439" s="171" t="str">
        <f>IF('[1]Processer - data'!G439&lt;&gt;"",'[1]Processer - data'!G439,"")</f>
        <v>Ton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0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0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0</v>
      </c>
      <c r="L439" s="127"/>
      <c r="M439" s="125"/>
    </row>
    <row r="440" spans="1:13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0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0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0</v>
      </c>
      <c r="L440" s="127"/>
      <c r="M440" s="125"/>
    </row>
    <row r="441" spans="1:13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0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0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0</v>
      </c>
      <c r="L441" s="127"/>
      <c r="M441" s="125"/>
    </row>
    <row r="442" spans="1:13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0</v>
      </c>
      <c r="L442" s="128"/>
      <c r="M442" s="125"/>
    </row>
    <row r="443" spans="1:13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0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  <c r="L443" s="127"/>
      <c r="M443" s="125"/>
    </row>
    <row r="444" spans="1:13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0</v>
      </c>
      <c r="I444" s="279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0</v>
      </c>
      <c r="J444" s="280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0</v>
      </c>
      <c r="L444" s="127"/>
      <c r="M444" s="125"/>
    </row>
    <row r="445" spans="1:13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0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0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0</v>
      </c>
      <c r="L445" s="127"/>
      <c r="M445" s="125"/>
    </row>
    <row r="446" spans="1:13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0</v>
      </c>
      <c r="L448" s="127"/>
      <c r="M448" s="125"/>
    </row>
    <row r="449" spans="1:14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0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0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0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0</v>
      </c>
      <c r="L451" s="142"/>
      <c r="M451" s="125"/>
    </row>
    <row r="452" spans="1:14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84">
        <f ca="1">SUMIFS('Forbrug af biomasse'!$E$1:$E$425,'Forbrug af biomasse'!$A$1:$A$425,"Biogas",'Forbrug af biomasse'!$B$1:$B$425,$A$1,'Forbrug af biomasse'!$D$1:$D$425,H$2)*'[1]Processer - data'!H452</f>
        <v>28497603899.450504</v>
      </c>
      <c r="I452" s="285">
        <f ca="1">SUMIFS('Forbrug af biomasse'!$E$1:$E$425,'Forbrug af biomasse'!$A$1:$A$425,"Biogas",'Forbrug af biomasse'!$B$1:$B$425,$A$1,'Forbrug af biomasse'!$D$1:$D$425,I$2)*'[1]Processer - data'!I452</f>
        <v>50384923438.295135</v>
      </c>
      <c r="J452" s="286">
        <f ca="1">SUMIFS('Forbrug af biomasse'!$E$1:$E$425,'Forbrug af biomasse'!$A$1:$A$425,"Biogas",'Forbrug af biomasse'!$B$1:$B$425,$A$1,'Forbrug af biomasse'!$D$1:$D$425,J$2)*'[1]Processer - data'!J452</f>
        <v>46334588037.864822</v>
      </c>
    </row>
    <row r="453" spans="1:14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84" t="e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#N/A</v>
      </c>
      <c r="I453" s="285" t="e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#N/A</v>
      </c>
      <c r="J453" s="286" t="e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#N/A</v>
      </c>
    </row>
    <row r="454" spans="1:14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84" t="e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#N/A</v>
      </c>
      <c r="I454" s="285" t="e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#N/A</v>
      </c>
      <c r="J454" s="286" t="e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#N/A</v>
      </c>
      <c r="M454" s="171"/>
      <c r="N454" s="171"/>
    </row>
    <row r="455" spans="1:14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84" t="e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#N/A</v>
      </c>
      <c r="I455" s="285" t="e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#N/A</v>
      </c>
      <c r="J455" s="286" t="e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#N/A</v>
      </c>
    </row>
    <row r="456" spans="1:14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84" t="e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#N/A</v>
      </c>
      <c r="I456" s="285" t="e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#N/A</v>
      </c>
      <c r="J456" s="286" t="e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#N/A</v>
      </c>
    </row>
    <row r="457" spans="1:14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84">
        <f ca="1">H452*'[1]Processer - data'!H$457*Biogasanlæg!AA$3</f>
        <v>1068430847133.2596</v>
      </c>
      <c r="I457" s="285">
        <f ca="1">I452*'[1]Processer - data'!I$457*Biogasanlæg!AB$3</f>
        <v>2095281048971.106</v>
      </c>
      <c r="J457" s="286">
        <f ca="1">J452*'[1]Processer - data'!J$457*Biogasanlæg!AC$3</f>
        <v>1586712492199.4563</v>
      </c>
    </row>
    <row r="458" spans="1:14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84" t="e">
        <f>-SUMIFS('Resultater - Vestdanmark'!H$3:H$482,'Resultater - Vestdanmark'!$F$3:$F$482,"Gødning",'Resultater - Vestdanmark'!$A$3:$A$482,"&lt;&gt;Gødning")-SUM(H453:H457)</f>
        <v>#N/A</v>
      </c>
      <c r="I458" s="285" t="e">
        <f>-SUMIFS('Resultater - Vestdanmark'!I$3:I$482,'Resultater - Vestdanmark'!$F$3:$F$482,"Gødning",'Resultater - Vestdanmark'!$A$3:$A$482,"&lt;&gt;Gødning")-SUM(I453:I457)</f>
        <v>#N/A</v>
      </c>
      <c r="J458" s="286" t="e">
        <f>-SUMIFS('Resultater - Vestdanmark'!J$3:J$482,'Resultater - Vestdanmark'!$F$3:$F$482,"Gødning",'Resultater - Vestdanmark'!$A$3:$A$482,"&lt;&gt;Gødning")-SUM(J453:J457)</f>
        <v>#N/A</v>
      </c>
    </row>
    <row r="459" spans="1:14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0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0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0</v>
      </c>
    </row>
    <row r="460" spans="1:14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57342790.956111364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90801382.600397944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71827692.674381018</v>
      </c>
    </row>
    <row r="461" spans="1:14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</v>
      </c>
    </row>
    <row r="462" spans="1:14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53759.86093242302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67759.621672900408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90290.772451615776</v>
      </c>
    </row>
    <row r="463" spans="1:14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40271680.293017551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80011922.846888304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69990591.048977599</v>
      </c>
    </row>
    <row r="464" spans="1:14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87">
        <f>SUMIFS('Forbrug af biomasse'!$E$1:$E$425,'Forbrug af biomasse'!$A$1:$A$425,$F464,'Forbrug af biomasse'!$C$1:$C$425,$D464,'Forbrug af biomasse'!$B$1:$B$425,$A$1,'Forbrug af biomasse'!$D$1:$D$425,H$2)*'[1]Processer - data'!H464</f>
        <v>31482143.493156105</v>
      </c>
      <c r="I464" s="289">
        <f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>SUMIFS('Forbrug af biomasse'!$E$1:$E$425,'Forbrug af biomasse'!$A$1:$A$425,$F464,'Forbrug af biomasse'!$C$1:$C$425,$D464,'Forbrug af biomasse'!$B$1:$B$425,$A$1,'Forbrug af biomasse'!$D$1:$D$425,J$2)*'[1]Processer - data'!J464</f>
        <v>55032917.750715137</v>
      </c>
    </row>
    <row r="465" spans="1:10" s="171" customFormat="1" x14ac:dyDescent="0.25">
      <c r="A465" s="171" t="str">
        <f>IF('[1]Processer - data'!A465&lt;&gt;"",'[1]Processer - data'!A465,"")</f>
        <v>Biogasanlæg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Roer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Biogas</v>
      </c>
      <c r="G465" s="171" t="str">
        <f>IF('[1]Processer - data'!G465&lt;&gt;"",'[1]Processer - data'!G465,"")</f>
        <v>Nm3 CH4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310039.29866931034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Biogasanlæg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Bioaffald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Biogas</v>
      </c>
      <c r="G466" s="171" t="str">
        <f>IF('[1]Processer - data'!G466&lt;&gt;"",'[1]Processer - data'!G466,"")</f>
        <v>Nm3 CH4</v>
      </c>
      <c r="H466" s="287">
        <f ca="1">SUMIFS('Forbrug af biomasse'!$E$1:$E$425,'Forbrug af biomasse'!$A$1:$A$425,$F466,'Forbrug af biomasse'!$C$1:$C$425,$D466,'Forbrug af biomasse'!$B$1:$B$425,$A$1,'Forbrug af biomasse'!$D$1:$D$425,H$2)*'[1]Processer - data'!H466</f>
        <v>37347291.841013692</v>
      </c>
      <c r="I466" s="289">
        <f ca="1">SUMIFS('Forbrug af biomasse'!$E$1:$E$425,'Forbrug af biomasse'!$A$1:$A$425,$F466,'Forbrug af biomasse'!$C$1:$C$425,$D466,'Forbrug af biomasse'!$B$1:$B$425,$A$1,'Forbrug af biomasse'!$D$1:$D$425,I$2)*'[1]Processer - data'!I466</f>
        <v>18513304.683122173</v>
      </c>
      <c r="J466" s="290">
        <f ca="1">SUMIFS('Forbrug af biomasse'!$E$1:$E$425,'Forbrug af biomasse'!$A$1:$A$425,$F466,'Forbrug af biomasse'!$C$1:$C$425,$D466,'Forbrug af biomasse'!$B$1:$B$425,$A$1,'Forbrug af biomasse'!$D$1:$D$425,J$2)*'[1]Processer - data'!J466</f>
        <v>18741253.763228893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84">
        <f>SUM(H433:H451)*'[1]Processer - data'!$H$467</f>
        <v>0</v>
      </c>
      <c r="I467" s="285">
        <f>SUM(I433:I451)*'[1]Processer - data'!$H$467</f>
        <v>0</v>
      </c>
      <c r="J467" s="286">
        <f>SUM(J433:J451)*'[1]Processer - data'!$H$467</f>
        <v>0</v>
      </c>
    </row>
    <row r="468" spans="1:10" x14ac:dyDescent="0.25">
      <c r="A468" s="103" t="str">
        <f>IF('[1]Processer - data'!A468&lt;&gt;"",'[1]Processer - data'!A468,"")</f>
        <v>Biogasanlæg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Muslinger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Biogas</v>
      </c>
      <c r="G468" s="103" t="str">
        <f>IF('[1]Processer - data'!G468&lt;&gt;"",'[1]Processer - data'!G468,"")</f>
        <v>Nm3 CH4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Biogasanlæg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Tang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Biogas</v>
      </c>
      <c r="G469" s="103" t="str">
        <f>IF('[1]Processer - data'!G469&lt;&gt;"",'[1]Processer - data'!G469,"")</f>
        <v>Nm3 CH4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Biogasanlæg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Have/parkaffald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Biogas</v>
      </c>
      <c r="G470" s="103" t="str">
        <f>IF('[1]Processer - data'!G470&lt;&gt;"",'[1]Processer - data'!G470,"")</f>
        <v>Nm3 CH4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Biogasanlæg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Brun saft</v>
      </c>
      <c r="E471" s="103" t="str">
        <f>IF('[1]Processer - data'!E471&lt;&gt;"",'[1]Processer - data'!E471,"")</f>
        <v>PJ</v>
      </c>
      <c r="F471" s="103" t="str">
        <f>IF('[1]Processer - data'!F471&lt;&gt;"",'[1]Processer - data'!F471,"")</f>
        <v>Biogas</v>
      </c>
      <c r="G471" s="103" t="str">
        <f>IF('[1]Processer - data'!G471&lt;&gt;"",'[1]Processer - data'!G471,"")</f>
        <v>Nm3 CH4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0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0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0</v>
      </c>
    </row>
    <row r="472" spans="1:10" ht="15.75" thickBot="1" x14ac:dyDescent="0.3">
      <c r="A472" s="103" t="str">
        <f>IF('[1]Processer - data'!A472&lt;&gt;"",'[1]Processer - data'!A472,"")</f>
        <v>Biogasanlæg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Glycerin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Biogas</v>
      </c>
      <c r="G472" s="103" t="str">
        <f>IF('[1]Processer - data'!G472&lt;&gt;"",'[1]Processer - data'!G472,"")</f>
        <v>Nm3 CH4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0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0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0</v>
      </c>
    </row>
    <row r="473" spans="1:10" x14ac:dyDescent="0.25">
      <c r="A473" s="103" t="str">
        <f>IF('[1]Processer - data'!A473&lt;&gt;"",'[1]Processer - data'!A473,"")</f>
        <v>Biogasanlæg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Spildevandsslam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Biogas</v>
      </c>
      <c r="G473" s="103" t="str">
        <f>IF('[1]Processer - data'!G473&lt;&gt;"",'[1]Processer - data'!G473,"")</f>
        <v>Nm3 CH4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Biogasanlæg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Total til biogas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Biogasgylle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Gødning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Svinegylle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Gødning</v>
      </c>
      <c r="G475" s="103" t="str">
        <f>IF('[1]Processer - data'!G475&lt;&gt;"",'[1]Processer - data'!G475,"")</f>
        <v>kg N</v>
      </c>
      <c r="H475" s="281" t="e">
        <f>SUMIFS('Forbrug af biomasse'!$E$1:$E$425,'Forbrug af biomasse'!$A$1:$A$425,$A475,'Forbrug af biomasse'!$C$1:$C$425,$D475,'Forbrug af biomasse'!$B$1:$B$425,$A$1,'Forbrug af biomasse'!$D$1:$D$425,H$2)*'[1]Processer - data'!H475</f>
        <v>#DIV/0!</v>
      </c>
      <c r="I475" s="282" t="e">
        <f>SUMIFS('Forbrug af biomasse'!$E$1:$E$425,'Forbrug af biomasse'!$A$1:$A$425,$A475,'Forbrug af biomasse'!$C$1:$C$425,$D475,'Forbrug af biomasse'!$B$1:$B$425,$A$1,'Forbrug af biomasse'!$D$1:$D$425,I$2)*'[1]Processer - data'!I475</f>
        <v>#DIV/0!</v>
      </c>
      <c r="J475" s="283" t="e">
        <f>SUMIFS('Forbrug af biomasse'!$E$1:$E$425,'Forbrug af biomasse'!$A$1:$A$425,$A475,'Forbrug af biomasse'!$C$1:$C$425,$D475,'Forbrug af biomasse'!$B$1:$B$425,$A$1,'Forbrug af biomasse'!$D$1:$D$425,J$2)*'[1]Processer - data'!J475</f>
        <v>#DIV/0!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224907.22799024681</v>
      </c>
      <c r="O3" s="171">
        <f>SUMIF($F$3:$F$472,"Roer",J3:J472)</f>
        <v>202279.77798791436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-17698.068094637925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-11588.493577302976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-3893.5749808203436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-25494.685870066543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-99109.181329972387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1351.5459985745665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706.03149179268394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-10264.879494889998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-7207.6249867770539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-88490.34047318963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-57942.467886514874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1617.9376416873586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10594.071550019233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404.48441042183964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2648.5178875048082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-11326.763580568273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-74166.358894739038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-10194.087222511445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-66749.723005265128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17110.332599590522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5922.8074383197963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-3539.6136189275853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-107806.51765076588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786.49746470913271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393.24873235456641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-8849.0340473189626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-4955.459066498619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-17698.068094637925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-11588.493577302976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-3008.6715760884476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-19700.439081415057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-97339.374520508602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990.91682553170415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540.50008665365692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-9379.9760901581012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-1832.2705792095737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-67252.658759624115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-44036.275593751307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410.86795204973123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2690.3165916117728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1438.0378321740584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9416.1080706411994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-5663.3817902841365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-37083.179447369519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-2831.6908951420696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-18541.589723684767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4422.536983868632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5849.1618173746429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-31856.522570348268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-30480.006162987538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365.55163380895181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199.39180025942827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-9202.9954092117223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-2519.3720464131638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969266.04664412036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1045598.7208186348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134038.21173319253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10955.852152953736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-598179817.41368413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-45940.142850221571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78332.132942302502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37353.954222681423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40488.73190737488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1238.3107438143875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-67610669.101315826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-4564.1765819970187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9739.0392367077111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13558.074175805912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393433.40302942914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7710.193067385223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147274.04222743327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1677.7470473474502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-102077156.08897279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-426.94608830185337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110410.12742642483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1094.4945258058528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59144.800336816275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488.31294228261123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22591.489571120805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451.53092700203422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-27471955.911027208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-138.51406341694391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24848.795454642288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1372451.6368702271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1245506.6830480653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565080.07576828031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632629.0941414847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-29221615.961637475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-26518761.748633407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415256.39762998972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376847.24512847915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22936.668399113973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0.55570830699390517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9443.7238942713921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0.28226042272218416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-330658.46009396855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-8.0111745025327714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40675.300260354867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0.98547887822381874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0.48136972077585966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0.45910984929489501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0.1981945527121689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0.23319525460920743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-4.5754933628917618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-4.3639098547811592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1.8737420577760162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1.7870950262025587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143512.42838718157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177012.91949986137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59088.43104420921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89910.013682532226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-3055601.3453527275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-3768878.5636694143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64808.801942252729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79937.294421192535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2398.4065395374096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7.8977938175800455E-2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987.49690894433229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4.0115193411122532E-2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-34575.789266473366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-1.1385578308145059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6348.168248725905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0.2090409741686888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5.0335134386331228E-2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6.5249248278577504E-2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2.0724505540827373E-2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3.3141992245975242E-2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-0.47844320771509807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-0.62020415814920116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0.29243373156041874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0.37908076313387606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403622.83018564899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366289.72484116361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-3652701.9952046839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-3314845.2185791759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41525.639762998966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37684.724512847912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410.29514859198309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9.940607695260192E-3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-3016.8816258393249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-7.3092837700917068E-2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247.41050719643644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5.9942477998219711E-3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4.3441705756537977E-3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4.1432840750455285E-3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-2.6677243801748664E-2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-2.5443614030569529E-2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5.7498859722952995E-3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5.4839952914955163E-3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35906.100326919877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44287.757639886142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-324942.68038265943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-400794.92188275483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6480.880194225273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7993.7294421192537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36.499666686882193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1.2019098395178235E-3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-268.38039434489713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-8.8375885583836088E-3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38.613200545108576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1.2715071090531455E-3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3.8645540554515568E-4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5.0096071089186854E-4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-2.3731952723058491E-3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-3.0763642418779524E-3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8.9738104769926635E-4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1.1632717284990491E-3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44862.647707377953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40678.617515668651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-38385860.738935046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-34805875.863453873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8312.1633669712282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7536.9451339174502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3990.9603943152988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4918.4146632581178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-3414788.4206486144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-4208346.8089448772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1297.2740514926193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1598.7459374976409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623636.82772667799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565953.52132026921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-2054644.8723026344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-1864600.4354507863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31144.229822249225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28263.543384635934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1437.0221110963284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3.4816090574906519E-2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-3156.2922315032624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-7.6470469983968878E-2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420.62050583890692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1.0190769867680008E-2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5.1011418828965656E-2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4.8652509287741813E-2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-7.2027050817754637E-2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-6.8696320144101236E-2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3.2773664125333675E-2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3.1258118963468536E-2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55478.443807592899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68428.925759632533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-182780.25771524588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-225447.14355904958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4860.6601456689532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5995.2970815894405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127.83682248423408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4.2095818604205148E-3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-280.78229735742894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-9.2459750071525997E-3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65.645974899713806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2.1616784567806079E-3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4.5379522299293729E-3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5.8825306684269644E-3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-6.407493133440717E-3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-8.3060096174231504E-3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5.1149649212948525E-3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6.6305100831599928E-3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3157324.0116958227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1873457.0389057864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-9200243.1504217982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-5459135.7193475803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134958.32922974665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80080.039589801818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52143.635648788171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1.2633330605247997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-106196.90735319872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-2.5729326755892035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13063.603732034793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0.31650425366260893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2.2215686991047594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2.1188371985681229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-3.1323441068699909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-2.9874958244713783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1.2216647477936575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1.1651715802656273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384354.00974748004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309971.98280077556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-1119983.3569241797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-903238.81901932694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21062.860631232139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16986.675064503415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6347.6587674189541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0.2090241972868305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-12927.785369123498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-0.42570340632475917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2038.8283281210372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6.7137265928432194E-2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0.27044067516269493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0.35057124558127117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-0.38131310341434688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-0.49429476368526443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0.19066444040710265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0.247157607935133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217272.21169996218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197175.61219865773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81367.207252939406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91093.749053643362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119386.21431862205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108343.58297443776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341.53245714729019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8.2746290892063736E-3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127.90196227525237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3.8228205677115386E-3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1099.9251377656303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2.664892413718585E-2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4.8144064710030588E-3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4.5917749578930911E-3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1.802967834961597E-3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2.1213678053840198E-3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3.4033334615555896E-2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3.2459538795183367E-2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19328.435480129581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23840.324020383156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7238.3891307672675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11014.062385576877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18632.530558397659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22981.972146092856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30.3825694537387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1.0004778807858614E-3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11.378099418590368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4.6221375955057689E-4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171.66461687671688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5.6528020897060891E-3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4.2828737334530098E-4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5.5518733581798264E-4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1.6039118485583221E-4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2.5649265283279502E-4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5.3115608937572781E-3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6.8853567141298044E-3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198853.096618943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180460.17369945033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-308196.73084539518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-279690.06531761796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5190.7049703748708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4710.590564105989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7680.8450433257158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0.18609108005737846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-7715.7643884437011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-0.18693710397938804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1175.1251991573336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2.8470866978868796E-2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0.11238684588607067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0.10718976630752407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-6.9121095320005821E-2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-6.592474409133503E-2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3.7741679598542764E-2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3.5996399617107259E-2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17689.87952003198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21819.275547297173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-27417.038657286888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-33817.071533857437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810.11002427815913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999.21618026490671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683.28442321839748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2.2500103316028485E-2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-686.39083201241942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-2.2602395299326006E-2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183.40104264305208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6.0392748136994419E-3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9.9978818392290631E-3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1.2960217199000635E-2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-6.1489806761554303E-3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-7.9709008764977801E-3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5.8903199373448248E-3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7.6355999187803277E-3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41555.329518645609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37711.668113687854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-639222.84916081966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-580097.91325135576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8975.119672595938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8144.9657190589951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184.58014456985373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4.471997321440371E-3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-2366.0792987158147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-5.7325235662973768E-2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180.18867380101679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4.3656010155907442E-3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4.3768517362668654E-3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4.1744539681157974E-3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-4.8090507448038805E-2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-4.5866668953331809E-2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9.7904353232948962E-3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9.3376984297321268E-3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3696.7428976413639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4559.6835082913494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-56864.969066965401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-70139.111329482097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1400.741220578557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1727.7200010125141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16.420164305954042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5.4070513068324466E-4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-210.48532027304273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-6.9311421301595537E-3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28.12193174929164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9.2603657906470296E-4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3.8936270648061883E-4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5.04729434326728E-4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-4.2781093041925847E-3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-5.5456972461755717E-3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1.5279870157743479E-3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1.9807239093371175E-3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407894.64200101292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370166.41529919149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-1814425.7901656937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-1646600.4242594831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29035.423103719138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26349.790804490014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4625.5368549862578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0.11206724576973086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-15084.780150869181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-0.36547320182466403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1929.8495501872892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4.6756285944690848E-2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0.10968291883231901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0.10461087634296322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-0.26469610963743945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-0.25245582711085268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0.10044559859893289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9.5800715426727898E-2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36286.118730610338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44756.484758902239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-161410.47925231227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-199088.96038773746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4531.5400219677267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5589.3495645887906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411.48561964299711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1.3549948806703823E-2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-1341.9350666004434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-4.4189032584254835E-2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301.19039222576191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9.9180000488738179E-3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9.757341738898204E-3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1.2648405957831005E-2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-2.3547243510521346E-2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-3.052420455067582E-2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1.5676480706191841E-2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2.0321363878396826E-2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1089297.8309039555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988543.1965490263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-3652701.9952046843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-3314845.2185791759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51907.049703748715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47105.905641059893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4485.8356059695452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0.10868257179593749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-10184.813491099476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-0.24675708623865392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1252.8648041500417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3.0354337739536965E-2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6.3234505293070509E-2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6.0310366319980546E-2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-9.4661571483107609E-2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-9.0284157772906118E-2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3.8765517437220995E-2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3.6972892353418871E-2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141104.99647721177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174043.51430151035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-473162.14862738125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-583613.65818015172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8101.1002427815911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9992.1618026490669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581.08425392934976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1.9134719458618075E-2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-1319.316013500227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-4.3444202152926631E-2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195.53381336445742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6.4387989144472331E-3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8.1912442983682662E-3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1.0618279646032937E-2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-1.2262230155701976E-2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-1.5895483535169227E-2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6.050109657832179E-3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7.8427347416343048E-3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195980.61176991402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177853.37941955967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132040.10900263092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147824.03084219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-7271159.9092043228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-6598613.7632341711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94470.830460822632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85732.748266728988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1572.4904051581343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3.8098208755040587E-2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1059.4507417215132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3.1665582090243616E-2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-40283.50943222973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-0.97598659216009509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4442.7694544133492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0.10763916750750291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2.680722693241289E-2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2.556758638062501E-2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1.8061119078297765E-2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2.125067114285157E-2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-0.46684663591955233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-0.44525835217760767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0.1662448760927501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0.15855725176476165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16822.613206839444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20749.560932281966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11334.078720746069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17246.13693158883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-624142.91706175858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-769838.2723773201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14744.002441862494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18185.734480821302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134.97966772600174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4.444791021421402E-3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90.941291991702172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3.6943179105284221E-3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-3457.8619368127843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-0.11386510241867775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693.3802038679795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2.2832550683409707E-2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2.3010827742562514E-3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2.982885077739585E-3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1.5503330538307624E-3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2.479244966666017E-3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-4.0073251695984698E-2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-5.194680775405424E-2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2.5945732106961002E-2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3.3633356434949448E-2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282518.93524447014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256387.33816300097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59205.247869328661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66282.574690094785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-2766600.3677256387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-2510703.5867460142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41936.024487873256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38057.15069073304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16104.09751040333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0.39016916526188677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3374.8077239149579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0.1008685414168202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-118275.97163253359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-2.8655835629778461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14010.616217517463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0.33944841869356845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0.49223301631824173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0.46947079591046187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0.10315336108488052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0.12137000726209812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-2.754428867420041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-2.6270564342445479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0.93998774279637187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0.8965201015109906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25132.753834753727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30999.55997789012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5266.8714723061739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8014.1658488932781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-246115.48936010155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-303566.88821565441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6544.9286772981377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8072.7289343979182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1432.6130675439724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4.7174999072573581E-2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300.22133451474684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1.2195923644033713E-2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-10521.775742339258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-0.34647510352368494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2186.6279645836503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7.2004210025908441E-2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4.378882150946671E-2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5.6763287141901292E-2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9.1764753011347473E-3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1.4674737241690045E-2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-0.24503271832135506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-0.31763500523138621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0.1467032893381621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0.19017093062354345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185675.84387339017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168501.75132747763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-381051.17212822608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-345805.83294818166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6809.3649343289699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6179.532527907807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1703.3924391194751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4.1269695843266757E-2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-2648.3091404220695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-6.416308433343712E-2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282.35462645798242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6.840871948383012E-3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4.0391647606941902E-2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3.8523825752285634E-2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-4.8444140253528403E-2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-4.6203948796717839E-2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1.5341556437796293E-2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1.4632120301944442E-2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16517.637209314886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20373.393569595017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-33898.136063892482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-41811.068892825591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1062.7332556467181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1310.8099301622619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151.53300368814288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4.9898814065040716E-3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-235.59235648032163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-7.7579001966792144E-3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44.0669070194539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1.4510940496570027E-3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3.5932222928950048E-3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4.6578807500490807E-3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-4.3095683150393181E-3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-5.5864774454213381E-3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2.3943469584999997E-3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3.1037830943518511E-3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34829.51760028275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31607.960363119328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-159851.8904789096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-145066.38524864466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2618.4996728857946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2376.3014699561395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1763.5292466758597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4.2726687021482843E-2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-6744.8413352341649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-0.16341363506350715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599.26197394541009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1.4518885271057656E-2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6.0103151002541863E-2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5.7323814539996569E-2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-0.19703325088786378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-0.1879218866849568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4.679817914198315E-2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4.4634101493798962E-2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3098.4177795858468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3821.6897529953367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-14220.350257054446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-17539.844761881581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408.66757900529751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504.06394817251447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156.88274627943051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5.166044885324743E-3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-600.01796618065771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-1.9758194057678587E-2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93.526435240035099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3.0797635423455635E-3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5.3467485198214985E-3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6.9309703034723122E-3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-1.7527986885342333E-2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-2.272146448099932E-2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7.3037620626216484E-3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9.46783971080584E-3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337484.09544294642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581910.13913235313</v>
      </c>
    </row>
    <row r="406" spans="1:10" s="171" customFormat="1" x14ac:dyDescent="0.25">
      <c r="A406" s="171" t="str">
        <f>IF('[1]Processer - data'!A406&lt;&gt;"",'[1]Processer - data'!A406,"")</f>
        <v>Permanent græs</v>
      </c>
      <c r="B406" s="171" t="str">
        <f>IF('[1]Processer - data'!B406&lt;&gt;"",'[1]Processer - data'!B406,"")</f>
        <v>Konventionel</v>
      </c>
      <c r="C406" s="171" t="str">
        <f>IF('[1]Processer - data'!C406&lt;&gt;"",'[1]Processer - data'!C406,"")</f>
        <v>JB1-10</v>
      </c>
      <c r="D406" s="171" t="str">
        <f>IF('[1]Processer - data'!D406&lt;&gt;"",'[1]Processer - data'!D406,"")</f>
        <v>Areal-permanent græs</v>
      </c>
      <c r="E406" s="171" t="str">
        <f>IF('[1]Processer - data'!E406&lt;&gt;"",'[1]Processer - data'!E406,"")</f>
        <v>Hektar</v>
      </c>
      <c r="F406" s="171" t="str">
        <f>IF('[1]Processer - data'!F406&lt;&gt;"",'[1]Processer - data'!F406,"")</f>
        <v>Gødning</v>
      </c>
      <c r="G406" s="171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-1141469.3735014638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-1968189.3485313857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44875.598362979697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77377.174331060451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28896.884625625411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0.70011208922237467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-81448.057442193851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-1.9733189372390409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17367.485905481411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0.42077846796827756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1.1817599775865641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1.1271121173513474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-2.855039984443791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-2.7230150140648877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1.6274695408713478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1.5522108337790312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52670.928190517647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123435.48405837789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-178148.39933259838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-417494.71029453626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7003.7061028927847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16413.340009618882</v>
      </c>
    </row>
    <row r="417" spans="1:10" ht="15.75" thickBot="1" x14ac:dyDescent="0.3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4509.9184097796888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0.14850862498656431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0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0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0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0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0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0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0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0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0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0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0</v>
      </c>
    </row>
    <row r="424" spans="1:10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0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0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0</v>
      </c>
    </row>
    <row r="425" spans="1:10" x14ac:dyDescent="0.25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0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0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0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0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0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0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0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0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0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0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0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0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0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0</v>
      </c>
    </row>
    <row r="437" spans="1:10" s="171" customFormat="1" x14ac:dyDescent="0.25">
      <c r="A437" s="171" t="str">
        <f>IF('[1]Processer - data'!A437&lt;&gt;"",'[1]Processer - data'!A437,"")</f>
        <v>Slagteri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Slagtekøer</v>
      </c>
      <c r="E437" s="171" t="str">
        <f>IF('[1]Processer - data'!E437&lt;&gt;"",'[1]Processer - data'!E437,"")</f>
        <v>Antal</v>
      </c>
      <c r="F437" s="171" t="str">
        <f>IF('[1]Processer - data'!F437&lt;&gt;"",'[1]Processer - data'!F437,"")</f>
        <v>Slagteriaffald til andet</v>
      </c>
      <c r="G437" s="171" t="str">
        <f>IF('[1]Processer - data'!G437&lt;&gt;"",'[1]Processer - data'!G437,"")</f>
        <v>Ton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0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0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0</v>
      </c>
    </row>
    <row r="438" spans="1:10" x14ac:dyDescent="0.25">
      <c r="A438" s="171" t="str">
        <f>IF('[1]Processer - data'!A438&lt;&gt;"",'[1]Processer - data'!A438,"")</f>
        <v>Slagteri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Slagtefjerkræ</v>
      </c>
      <c r="E438" s="171" t="str">
        <f>IF('[1]Processer - data'!E438&lt;&gt;"",'[1]Processer - data'!E438,"")</f>
        <v>Antal</v>
      </c>
      <c r="F438" s="171" t="str">
        <f>IF('[1]Processer - data'!F438&lt;&gt;"",'[1]Processer - data'!F438,"")</f>
        <v>Fjerkrækød</v>
      </c>
      <c r="G438" s="171" t="str">
        <f>IF('[1]Processer - data'!G438&lt;&gt;"",'[1]Processer - data'!G438,"")</f>
        <v>Ton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0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0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0</v>
      </c>
    </row>
    <row r="439" spans="1:10" s="171" customFormat="1" x14ac:dyDescent="0.25">
      <c r="A439" s="171" t="str">
        <f>IF('[1]Processer - data'!A439&lt;&gt;"",'[1]Processer - data'!A439,"")</f>
        <v>Slagteri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Slagtefjerkræ</v>
      </c>
      <c r="E439" s="171" t="str">
        <f>IF('[1]Processer - data'!E439&lt;&gt;"",'[1]Processer - data'!E439,"")</f>
        <v>Antal</v>
      </c>
      <c r="F439" s="171" t="str">
        <f>IF('[1]Processer - data'!F439&lt;&gt;"",'[1]Processer - data'!F439,"")</f>
        <v>Industriaffald</v>
      </c>
      <c r="G439" s="171" t="str">
        <f>IF('[1]Processer - data'!G439&lt;&gt;"",'[1]Processer - data'!G439,"")</f>
        <v>Ton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0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0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0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0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0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0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0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0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0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0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0</v>
      </c>
      <c r="I444" s="279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0</v>
      </c>
      <c r="J444" s="280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0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0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0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0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0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0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0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84">
        <f ca="1">SUMIFS('Forbrug af biomasse'!$E$1:$E$425,'Forbrug af biomasse'!$A$1:$A$425,"Biogas",'Forbrug af biomasse'!$B$1:$B$425,$A$1,'Forbrug af biomasse'!$D$1:$D$425,H$2)*'[1]Processer - data'!H452</f>
        <v>7501044225.5494967</v>
      </c>
      <c r="I452" s="285">
        <f ca="1">SUMIFS('Forbrug af biomasse'!$E$1:$E$425,'Forbrug af biomasse'!$A$1:$A$425,"Biogas",'Forbrug af biomasse'!$B$1:$B$425,$A$1,'Forbrug af biomasse'!$D$1:$D$425,I$2)*'[1]Processer - data'!I452</f>
        <v>11426215658.233526</v>
      </c>
      <c r="J452" s="286">
        <f ca="1">SUMIFS('Forbrug af biomasse'!$E$1:$E$425,'Forbrug af biomasse'!$A$1:$A$425,"Biogas",'Forbrug af biomasse'!$B$1:$B$425,$A$1,'Forbrug af biomasse'!$D$1:$D$425,J$2)*'[1]Processer - data'!J452</f>
        <v>14035843345.298635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84" t="e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#N/A</v>
      </c>
      <c r="I453" s="285" t="e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#N/A</v>
      </c>
      <c r="J453" s="286" t="e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#N/A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84" t="e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#N/A</v>
      </c>
      <c r="I454" s="285" t="e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#N/A</v>
      </c>
      <c r="J454" s="286" t="e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#N/A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84" t="e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#N/A</v>
      </c>
      <c r="I455" s="285" t="e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#N/A</v>
      </c>
      <c r="J455" s="286" t="e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#N/A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84" t="e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#N/A</v>
      </c>
      <c r="I456" s="285" t="e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#N/A</v>
      </c>
      <c r="J456" s="286" t="e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#N/A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84">
        <f ca="1">H452*'[1]Processer - data'!H$457*Biogasanlæg!AA$3</f>
        <v>281228803115.0025</v>
      </c>
      <c r="I457" s="285">
        <f ca="1">I452*'[1]Processer - data'!I$457*Biogasanlæg!AB$3</f>
        <v>475164622597.34485</v>
      </c>
      <c r="J457" s="286">
        <f ca="1">J452*'[1]Processer - data'!J$457*Biogasanlæg!AC$3</f>
        <v>480652767568.36853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84" t="e">
        <f>-SUMIFS('Resultater - Østdanmark'!H$3:H$482,'Resultater - Østdanmark'!$F$3:$F$482,"Gødning",'Resultater - Østdanmark'!$A$3:$A$482,"&lt;&gt;Gødning")-SUM(H453:H457)</f>
        <v>#N/A</v>
      </c>
      <c r="I458" s="285" t="e">
        <f>-SUMIFS('Resultater - Østdanmark'!I$3:I$482,'Resultater - Østdanmark'!$F$3:$F$482,"Gødning",'Resultater - Østdanmark'!$A$3:$A$482,"&lt;&gt;Gødning")-SUM(I453:I457)</f>
        <v>#N/A</v>
      </c>
      <c r="J458" s="286" t="e">
        <f>-SUMIFS('Resultater - Østdanmark'!J$3:J$482,'Resultater - Østdanmark'!$F$3:$F$482,"Gødning",'Resultater - Østdanmark'!$A$3:$A$482,"&lt;&gt;Gødning")-SUM(J453:J457)</f>
        <v>#N/A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0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0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4041695.3438886409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6453618.3579583997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5105082.1339712488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4423.7890675769768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5687.0400360914855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7578.0712044224374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5153539.7069824543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10744756.851478459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9327967.5535567012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87">
        <f>SUMIFS('Forbrug af biomasse'!$E$1:$E$425,'Forbrug af biomasse'!$A$1:$A$425,$F464,'Forbrug af biomasse'!$C$1:$C$425,$D464,'Forbrug af biomasse'!$B$1:$B$425,$A$1,'Forbrug af biomasse'!$D$1:$D$425,H$2)*'[1]Processer - data'!H464</f>
        <v>1520456.5068438919</v>
      </c>
      <c r="I464" s="289">
        <f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>SUMIFS('Forbrug af biomasse'!$E$1:$E$425,'Forbrug af biomasse'!$A$1:$A$425,$F464,'Forbrug af biomasse'!$C$1:$C$425,$D464,'Forbrug af biomasse'!$B$1:$B$425,$A$1,'Forbrug af biomasse'!$D$1:$D$425,J$2)*'[1]Processer - data'!J464</f>
        <v>19967082.249284871</v>
      </c>
    </row>
    <row r="465" spans="1:10" s="171" customFormat="1" x14ac:dyDescent="0.25">
      <c r="A465" s="171" t="str">
        <f>IF('[1]Processer - data'!A465&lt;&gt;"",'[1]Processer - data'!A465,"")</f>
        <v>Biogasanlæg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Roer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Biogas</v>
      </c>
      <c r="G465" s="171" t="str">
        <f>IF('[1]Processer - data'!G465&lt;&gt;"",'[1]Processer - data'!G465,"")</f>
        <v>Nm3 CH4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1855522.7013306897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Biogasanlæg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Bioaffald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Biogas</v>
      </c>
      <c r="G466" s="171" t="str">
        <f>IF('[1]Processer - data'!G466&lt;&gt;"",'[1]Processer - data'!G466,"")</f>
        <v>Nm3 CH4</v>
      </c>
      <c r="H466" s="287">
        <f ca="1">SUMIFS('Forbrug af biomasse'!$E$1:$E$425,'Forbrug af biomasse'!$A$1:$A$425,$F466,'Forbrug af biomasse'!$C$1:$C$425,$D466,'Forbrug af biomasse'!$B$1:$B$425,$A$1,'Forbrug af biomasse'!$D$1:$D$425,H$2)*'[1]Processer - data'!H466</f>
        <v>31847524.758986317</v>
      </c>
      <c r="I466" s="289">
        <f ca="1">SUMIFS('Forbrug af biomasse'!$E$1:$E$425,'Forbrug af biomasse'!$A$1:$A$425,$F466,'Forbrug af biomasse'!$C$1:$C$425,$D466,'Forbrug af biomasse'!$B$1:$B$425,$A$1,'Forbrug af biomasse'!$D$1:$D$425,I$2)*'[1]Processer - data'!I466</f>
        <v>16029820.816877825</v>
      </c>
      <c r="J466" s="290">
        <f ca="1">SUMIFS('Forbrug af biomasse'!$E$1:$E$425,'Forbrug af biomasse'!$A$1:$A$425,$F466,'Forbrug af biomasse'!$C$1:$C$425,$D466,'Forbrug af biomasse'!$B$1:$B$425,$A$1,'Forbrug af biomasse'!$D$1:$D$425,J$2)*'[1]Processer - data'!J466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84">
        <f>SUM(H433:H451)*'[1]Processer - data'!$H$467</f>
        <v>0</v>
      </c>
      <c r="I467" s="285">
        <f>SUM(I433:I451)*'[1]Processer - data'!$H$467</f>
        <v>0</v>
      </c>
      <c r="J467" s="286">
        <f>SUM(J433:J451)*'[1]Processer - data'!$H$467</f>
        <v>0</v>
      </c>
    </row>
    <row r="468" spans="1:10" x14ac:dyDescent="0.25">
      <c r="A468" s="103" t="str">
        <f>IF('[1]Processer - data'!A468&lt;&gt;"",'[1]Processer - data'!A468,"")</f>
        <v>Biogasanlæg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Muslinger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Biogas</v>
      </c>
      <c r="G468" s="103" t="str">
        <f>IF('[1]Processer - data'!G468&lt;&gt;"",'[1]Processer - data'!G468,"")</f>
        <v>Nm3 CH4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Biogasanlæg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Tang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Biogas</v>
      </c>
      <c r="G469" s="103" t="str">
        <f>IF('[1]Processer - data'!G469&lt;&gt;"",'[1]Processer - data'!G469,"")</f>
        <v>Nm3 CH4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Biogasanlæg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Have/parkaffald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Biogas</v>
      </c>
      <c r="G470" s="103" t="str">
        <f>IF('[1]Processer - data'!G470&lt;&gt;"",'[1]Processer - data'!G470,"")</f>
        <v>Nm3 CH4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Biogasanlæg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Brun saft</v>
      </c>
      <c r="E471" s="103" t="str">
        <f>IF('[1]Processer - data'!E471&lt;&gt;"",'[1]Processer - data'!E471,"")</f>
        <v>PJ</v>
      </c>
      <c r="F471" s="103" t="str">
        <f>IF('[1]Processer - data'!F471&lt;&gt;"",'[1]Processer - data'!F471,"")</f>
        <v>Biogas</v>
      </c>
      <c r="G471" s="103" t="str">
        <f>IF('[1]Processer - data'!G471&lt;&gt;"",'[1]Processer - data'!G471,"")</f>
        <v>Nm3 CH4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0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0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0</v>
      </c>
    </row>
    <row r="472" spans="1:10" ht="15.75" thickBot="1" x14ac:dyDescent="0.3">
      <c r="A472" s="103" t="str">
        <f>IF('[1]Processer - data'!A472&lt;&gt;"",'[1]Processer - data'!A472,"")</f>
        <v>Biogasanlæg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Glycerin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Biogas</v>
      </c>
      <c r="G472" s="103" t="str">
        <f>IF('[1]Processer - data'!G472&lt;&gt;"",'[1]Processer - data'!G472,"")</f>
        <v>Nm3 CH4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0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0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0</v>
      </c>
    </row>
    <row r="473" spans="1:10" x14ac:dyDescent="0.25">
      <c r="A473" s="103" t="str">
        <f>IF('[1]Processer - data'!A473&lt;&gt;"",'[1]Processer - data'!A473,"")</f>
        <v>Biogasanlæg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Spildevandsslam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Biogas</v>
      </c>
      <c r="G473" s="103" t="str">
        <f>IF('[1]Processer - data'!G473&lt;&gt;"",'[1]Processer - data'!G473,"")</f>
        <v>Nm3 CH4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Biogasanlæg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Total til biogas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Biogasgylle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Gødning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Svinegylle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Gødning</v>
      </c>
      <c r="G475" s="103" t="str">
        <f>IF('[1]Processer - data'!G475&lt;&gt;"",'[1]Processer - data'!G475,"")</f>
        <v>kg N</v>
      </c>
      <c r="H475" s="281" t="e">
        <f>SUMIFS('Forbrug af biomasse'!$E$1:$E$425,'Forbrug af biomasse'!$A$1:$A$425,$A475,'Forbrug af biomasse'!$C$1:$C$425,$D475,'Forbrug af biomasse'!$B$1:$B$425,$A$1,'Forbrug af biomasse'!$D$1:$D$425,H$2)*'[1]Processer - data'!H475</f>
        <v>#DIV/0!</v>
      </c>
      <c r="I475" s="282" t="e">
        <f>SUMIFS('Forbrug af biomasse'!$E$1:$E$425,'Forbrug af biomasse'!$A$1:$A$425,$A475,'Forbrug af biomasse'!$C$1:$C$425,$D475,'Forbrug af biomasse'!$B$1:$B$425,$A$1,'Forbrug af biomasse'!$D$1:$D$425,I$2)*'[1]Processer - data'!I475</f>
        <v>#DIV/0!</v>
      </c>
      <c r="J475" s="283" t="e">
        <f>SUMIFS('Forbrug af biomasse'!$E$1:$E$425,'Forbrug af biomasse'!$A$1:$A$425,$A475,'Forbrug af biomasse'!$C$1:$C$425,$D475,'Forbrug af biomasse'!$B$1:$B$425,$A$1,'Forbrug af biomasse'!$D$1:$D$425,J$2)*'[1]Processer - data'!J475</f>
        <v>#DIV/0!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14566507.10073592</v>
      </c>
      <c r="N3" s="98">
        <f>SUMIF($F$3:$F$487,$L$3,I$3:I$487)</f>
        <v>7920113.0795546724</v>
      </c>
      <c r="O3" s="98">
        <f>SUMIF($F$3:$F$487,$L$3,J$3:J$487)</f>
        <v>1678643.6347691519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1109014.829074967</v>
      </c>
      <c r="O4" s="98">
        <f t="shared" si="0"/>
        <v>695889.84481713665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2038330.4287280298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39146.522560045181</v>
      </c>
      <c r="O7" s="98">
        <f>SUMIFS(J$3:J$487,$F$3:$F$487,$L$3,$C$3:$C$487,$L7)+SUMIFS(J$3:J$487,$F$3:$F$487,$L$3,$C$3:$C$487,"",$A$3:$A$487,"Grøntsager I drivhus")</f>
        <v>34315.25176205569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1443287.7142457196</v>
      </c>
      <c r="N8" s="98">
        <f>SUMIFS(I$3:I$487,$F$3:$F$487,$L$3,$C$3:$C$487,$L8)+SUMIFS(I$3:I$487,$F$3:$F$487,$L$3,$C$3:$C$487,"",$A$3:$A$487,"Grøntsager I drivhus")</f>
        <v>1160863.8242140869</v>
      </c>
      <c r="O8" s="98">
        <f>SUMIFS(J$3:J$487,$F$3:$F$487,$L$3,$C$3:$C$487,$L8)</f>
        <v>28.284881756519002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2777258.134252789</v>
      </c>
      <c r="N9" s="98">
        <f>SUMIFS(I$3:I$487,$F$3:$F$487,$L$3,$C$3:$C$487,$L9)+SUMIFS(I$3:I$487,$F$3:$F$487,$L$3,$C$3:$C$487,"",$A$3:$A$487,"Grøntsager I drivhus")</f>
        <v>39217.020843156679</v>
      </c>
      <c r="O9" s="98">
        <f>SUMIFS(J$3:J$487,$F$3:$F$487,$L$3,$C$3:$C$487,$L9)</f>
        <v>69.724758048710967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-159172.36454706042</v>
      </c>
      <c r="J17" s="280">
        <f>'Resultater - Vestdanmark'!J17+'Resultater - Østdanmark'!J17</f>
        <v>-98070.003233590644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-35017.920200353299</v>
      </c>
      <c r="J21" s="280">
        <f>'Resultater - Vestdanmark'!J21+'Resultater - Østdanmark'!J21</f>
        <v>-215754.00711389942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-891365.24146353838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12155.494669636308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6349.8852751831455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-92319.971437295055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-64823.72571847932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-795861.82273530215</v>
      </c>
      <c r="J33" s="280">
        <f>'Resultater - Vestdanmark'!J33+'Resultater - Østdanmark'!J33</f>
        <v>-490350.01616795326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14551.359998162565</v>
      </c>
      <c r="J35" s="280">
        <f>'Resultater - Vestdanmark'!J35+'Resultater - Østdanmark'!J35</f>
        <v>89654.502911592179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3637.8399995406412</v>
      </c>
      <c r="J36" s="280">
        <f>'Resultater - Vestdanmark'!J36+'Resultater - Østdanmark'!J36</f>
        <v>22413.625727898045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-101870.31331011868</v>
      </c>
      <c r="J37" s="280">
        <f>'Resultater - Vestdanmark'!J37+'Resultater - Østdanmark'!J37</f>
        <v>-627648.02069498016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-91683.281979106803</v>
      </c>
      <c r="J38" s="280">
        <f>'Resultater - Vestdanmark'!J38+'Resultater - Østdanmark'!J38</f>
        <v>-564883.21862548206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153886.40632977476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53268.37142184512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-31834.472909412088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-969587.08918380807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7073.5777768845801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3536.788888442291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-79586.182273530212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-44568.26207317692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-159172.36454706042</v>
      </c>
      <c r="J49" s="280">
        <f>'Resultater - Vestdanmark'!J49+'Resultater - Østdanmark'!J49</f>
        <v>-98070.003233590644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-27059.301973000274</v>
      </c>
      <c r="J53" s="280">
        <f>'Resultater - Vestdanmark'!J53+'Resultater - Østdanmark'!J53</f>
        <v>-166719.00549710411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-875448.00500883244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8912.078614791606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4861.1337898863312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-84361.353209942026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-16479.021270754492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-604854.9852788297</v>
      </c>
      <c r="J65" s="280">
        <f>'Resultater - Vestdanmark'!J65+'Resultater - Østdanmark'!J65</f>
        <v>-372666.01228764444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3695.2521085721314</v>
      </c>
      <c r="J67" s="280">
        <f>'Resultater - Vestdanmark'!J67+'Resultater - Østdanmark'!J67</f>
        <v>22767.355832642508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12933.382380002453</v>
      </c>
      <c r="J68" s="280">
        <f>'Resultater - Vestdanmark'!J68+'Resultater - Østdanmark'!J68</f>
        <v>79685.74541424874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-50935.156655059342</v>
      </c>
      <c r="J69" s="280">
        <f>'Resultater - Vestdanmark'!J69+'Resultater - Østdanmark'!J69</f>
        <v>-313824.01034749008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-25467.578327529682</v>
      </c>
      <c r="J70" s="280">
        <f>'Resultater - Vestdanmark'!J70+'Resultater - Østdanmark'!J70</f>
        <v>-156912.0051737451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39775.283113102778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52606.01960120046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-286510.25618470879</v>
      </c>
    </row>
    <row r="74" spans="1:10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-274130.18338660407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3287.6875377737324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1793.2841115129452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-82769.629564471426</v>
      </c>
    </row>
    <row r="78" spans="1:10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-22658.654247287428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12799320.650900256</v>
      </c>
      <c r="J95" s="280">
        <f>'Resultater - Vestdanmark'!J95+'Resultater - Østdanmark'!J95</f>
        <v>7658605.8990418315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13807306.411139132</v>
      </c>
      <c r="J96" s="280">
        <f>'Resultater - Vestdanmark'!J96+'Resultater - Østdanmark'!J96</f>
        <v>8261744.6046084156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1769997.0584818162</v>
      </c>
      <c r="J97" s="280">
        <f>'Resultater - Vestdanmark'!J97+'Resultater - Østdanmark'!J97</f>
        <v>1059096.0476032819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144673.8645132767</v>
      </c>
      <c r="J98" s="280">
        <f>'Resultater - Vestdanmark'!J98+'Resultater - Østdanmark'!J98</f>
        <v>86567.103240797936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-7899064778.4300537</v>
      </c>
      <c r="J99" s="280">
        <f>'Resultater - Vestdanmark'!J99+'Resultater - Østdanmark'!J99</f>
        <v>-4726487112.7939835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-606647.28855816624</v>
      </c>
      <c r="J100" s="280">
        <f>'Resultater - Vestdanmark'!J100+'Resultater - Østdanmark'!J100</f>
        <v>-362993.67986085394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1034388.9484922757</v>
      </c>
      <c r="J101" s="280">
        <f>'Resultater - Vestdanmark'!J101+'Resultater - Østdanmark'!J101</f>
        <v>618937.32635484973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286226.56294538995</v>
      </c>
      <c r="J102" s="280">
        <f>'Resultater - Vestdanmark'!J102+'Resultater - Østdanmark'!J102</f>
        <v>295150.35129194462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310246.95545695163</v>
      </c>
      <c r="J104" s="280">
        <f>'Resultater - Vestdanmark'!J104+'Resultater - Østdanmark'!J104</f>
        <v>319919.63620737183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9488.6186867232918</v>
      </c>
      <c r="J105" s="280">
        <f>'Resultater - Vestdanmark'!J105+'Resultater - Østdanmark'!J105</f>
        <v>9784.448759202056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-518070170.56194645</v>
      </c>
      <c r="J106" s="280">
        <f>'Resultater - Vestdanmark'!J106+'Resultater - Østdanmark'!J106</f>
        <v>-534222230.32601655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-34973.233836315019</v>
      </c>
      <c r="J107" s="280">
        <f>'Resultater - Vestdanmark'!J107+'Resultater - Østdanmark'!J107</f>
        <v>-36063.606907696885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74625.88058269133</v>
      </c>
      <c r="J108" s="280">
        <f>'Resultater - Vestdanmark'!J108+'Resultater - Østdanmark'!J108</f>
        <v>76952.518462286942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343504.41336069477</v>
      </c>
      <c r="J109" s="280">
        <f>'Resultater - Vestdanmark'!J109+'Resultater - Østdanmark'!J109</f>
        <v>204318.01879567697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9967942.9800798073</v>
      </c>
      <c r="J110" s="280">
        <f>'Resultater - Vestdanmark'!J110+'Resultater - Østdanmark'!J110</f>
        <v>5928978.7319839485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195343.77170144278</v>
      </c>
      <c r="J111" s="280">
        <f>'Resultater - Vestdanmark'!J111+'Resultater - Østdanmark'!J111</f>
        <v>116191.38172819979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3731303.0466279737</v>
      </c>
      <c r="J112" s="280">
        <f>'Resultater - Vestdanmark'!J112+'Resultater - Østdanmark'!J112</f>
        <v>2219396.3639494102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42507.033653433064</v>
      </c>
      <c r="J113" s="280">
        <f>'Resultater - Vestdanmark'!J113+'Resultater - Østdanmark'!J113</f>
        <v>25283.380833395662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-2586204586.6692138</v>
      </c>
      <c r="J114" s="280">
        <f>'Resultater - Vestdanmark'!J114+'Resultater - Østdanmark'!J114</f>
        <v>-1538286487.1482584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-10817.013072585138</v>
      </c>
      <c r="J115" s="280">
        <f>'Resultater - Vestdanmark'!J115+'Resultater - Østdanmark'!J115</f>
        <v>-6434.0095623657107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2797326.9329336165</v>
      </c>
      <c r="J116" s="280">
        <f>'Resultater - Vestdanmark'!J116+'Resultater - Østdanmark'!J116</f>
        <v>1663863.0382330411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21412.262565954799</v>
      </c>
      <c r="J117" s="280">
        <f>'Resultater - Vestdanmark'!J117+'Resultater - Østdanmark'!J117</f>
        <v>16493.858212873602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1157085.7271217881</v>
      </c>
      <c r="J118" s="280">
        <f>'Resultater - Vestdanmark'!J118+'Resultater - Østdanmark'!J118</f>
        <v>891302.72265720798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9553.1632986567565</v>
      </c>
      <c r="J119" s="280">
        <f>'Resultater - Vestdanmark'!J119+'Resultater - Østdanmark'!J119</f>
        <v>7358.7982795897606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441971.06065624644</v>
      </c>
      <c r="J120" s="280">
        <f>'Resultater - Vestdanmark'!J120+'Resultater - Østdanmark'!J120</f>
        <v>340450.15029136534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8833.5743465669384</v>
      </c>
      <c r="J121" s="280">
        <f>'Resultater - Vestdanmark'!J121+'Resultater - Østdanmark'!J121</f>
        <v>6804.4991666043361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-537450594.13078606</v>
      </c>
      <c r="J122" s="280">
        <f>'Resultater - Vestdanmark'!J122+'Resultater - Østdanmark'!J122</f>
        <v>-413998000.85174125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-2709.8349283905177</v>
      </c>
      <c r="J123" s="280">
        <f>'Resultater - Vestdanmark'!J123+'Resultater - Østdanmark'!J123</f>
        <v>-2087.3848782440737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486132.10955144238</v>
      </c>
      <c r="J124" s="280">
        <f>'Resultater - Vestdanmark'!J124+'Resultater - Østdanmark'!J124</f>
        <v>374467.39049498882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5589253.7741043204</v>
      </c>
      <c r="J141" s="280">
        <f>'Resultater - Vestdanmark'!J141+'Resultater - Østdanmark'!J141</f>
        <v>4678340.6372736003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2301265.7505086702</v>
      </c>
      <c r="J142" s="280">
        <f>'Resultater - Vestdanmark'!J142+'Resultater - Østdanmark'!J142</f>
        <v>2376265.3703316003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-119003848.96000001</v>
      </c>
      <c r="J143" s="280">
        <f>'Resultater - Vestdanmark'!J143+'Resultater - Østdanmark'!J143</f>
        <v>-99609100.799999982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1691114.8818090158</v>
      </c>
      <c r="J144" s="280">
        <f>'Resultater - Vestdanmark'!J144+'Resultater - Østdanmark'!J144</f>
        <v>1415504.0714953218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185152.60445012414</v>
      </c>
      <c r="J145" s="280">
        <f>'Resultater - Vestdanmark'!J145+'Resultater - Østdanmark'!J145</f>
        <v>4.4858668470684426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76232.957825721576</v>
      </c>
      <c r="J146" s="280">
        <f>'Resultater - Vestdanmark'!J146+'Resultater - Østdanmark'!J146</f>
        <v>2.2785023304372833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-2669187.7828355702</v>
      </c>
      <c r="J147" s="280">
        <f>'Resultater - Vestdanmark'!J147+'Resultater - Østdanmark'!J147</f>
        <v>-64.668930902603776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328344.88640409685</v>
      </c>
      <c r="J148" s="280">
        <f>'Resultater - Vestdanmark'!J148+'Resultater - Østdanmark'!J148</f>
        <v>7.955121369742117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3.6033265463698143</v>
      </c>
      <c r="J149" s="280">
        <f>'Resultater - Vestdanmark'!J149+'Resultater - Østdanmark'!J149</f>
        <v>3.4366987291966442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1.4835991179141574</v>
      </c>
      <c r="J150" s="280">
        <f>'Resultater - Vestdanmark'!J150+'Resultater - Østdanmark'!J150</f>
        <v>1.7455993078801986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-34.250174004865642</v>
      </c>
      <c r="J151" s="280">
        <f>'Resultater - Vestdanmark'!J151+'Resultater - Østdanmark'!J151</f>
        <v>-32.666350929496133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14.02602657880453</v>
      </c>
      <c r="J152" s="280">
        <f>'Resultater - Vestdanmark'!J152+'Resultater - Østdanmark'!J152</f>
        <v>13.3774241936575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584448.55938466557</v>
      </c>
      <c r="J153" s="280">
        <f>'Resultater - Vestdanmark'!J153+'Resultater - Østdanmark'!J153</f>
        <v>664891.44208524795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240635.24524105113</v>
      </c>
      <c r="J154" s="280">
        <f>'Resultater - Vestdanmark'!J154+'Resultater - Østdanmark'!J154</f>
        <v>337717.71475318802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-12443812.876800001</v>
      </c>
      <c r="J155" s="280">
        <f>'Resultater - Vestdanmark'!J155+'Resultater - Østdanmark'!J155</f>
        <v>-14156566.143999998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263931.22432857472</v>
      </c>
      <c r="J156" s="280">
        <f>'Resultater - Vestdanmark'!J156+'Resultater - Østdanmark'!J156</f>
        <v>300258.43940809852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19360.754997125699</v>
      </c>
      <c r="J157" s="280">
        <f>'Resultater - Vestdanmark'!J157+'Resultater - Østdanmark'!J157</f>
        <v>0.63753683371972725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7971.4116015451073</v>
      </c>
      <c r="J158" s="280">
        <f>'Resultater - Vestdanmark'!J158+'Resultater - Østdanmark'!J158</f>
        <v>0.32382351302275325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-279107.55486413569</v>
      </c>
      <c r="J159" s="280">
        <f>'Resultater - Vestdanmark'!J159+'Resultater - Østdanmark'!J159</f>
        <v>-9.190826846460963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51244.577646882164</v>
      </c>
      <c r="J160" s="280">
        <f>'Resultater - Vestdanmark'!J160+'Resultater - Østdanmark'!J160</f>
        <v>1.6874499875210551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0.37678715158283216</v>
      </c>
      <c r="J161" s="280">
        <f>'Resultater - Vestdanmark'!J161+'Resultater - Østdanmark'!J161</f>
        <v>0.48842778908885631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0.15513472857264232</v>
      </c>
      <c r="J162" s="280">
        <f>'Resultater - Vestdanmark'!J162+'Resultater - Østdanmark'!J162</f>
        <v>0.2480866895138828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-3.5814199291793036</v>
      </c>
      <c r="J163" s="280">
        <f>'Resultater - Vestdanmark'!J163+'Resultater - Østdanmark'!J163</f>
        <v>-4.6425813896768746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2.1890330498712274</v>
      </c>
      <c r="J164" s="280">
        <f>'Resultater - Vestdanmark'!J164+'Resultater - Østdanmark'!J164</f>
        <v>2.8376354350182571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1643737.6489814471</v>
      </c>
      <c r="J165" s="280">
        <f>'Resultater - Vestdanmark'!J165+'Resultater - Østdanmark'!J165</f>
        <v>1375848.1813574105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-14875481.119999999</v>
      </c>
      <c r="J166" s="280">
        <f>'Resultater - Vestdanmark'!J166+'Resultater - Østdanmark'!J166</f>
        <v>-12451137.599999998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169111.48818090156</v>
      </c>
      <c r="J167" s="280">
        <f>'Resultater - Vestdanmark'!J167+'Resultater - Østdanmark'!J167</f>
        <v>141550.40714953217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2300.3402779883349</v>
      </c>
      <c r="J168" s="280">
        <f>'Resultater - Vestdanmark'!J168+'Resultater - Østdanmark'!J168</f>
        <v>5.573251437998631E-2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-16914.297772363989</v>
      </c>
      <c r="J169" s="280">
        <f>'Resultater - Vestdanmark'!J169+'Resultater - Østdanmark'!J169</f>
        <v>-0.40979865146300187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1387.1193867501797</v>
      </c>
      <c r="J170" s="280">
        <f>'Resultater - Vestdanmark'!J170+'Resultater - Østdanmark'!J170</f>
        <v>3.3607050186687304E-2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2.2695503115964317E-2</v>
      </c>
      <c r="J171" s="280">
        <f>'Resultater - Vestdanmark'!J171+'Resultater - Østdanmark'!J171</f>
        <v>2.1646000081700072E-2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-0.13937147708266634</v>
      </c>
      <c r="J172" s="280">
        <f>'Resultater - Vestdanmark'!J172+'Resultater - Østdanmark'!J172</f>
        <v>-0.13292655328693606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3.003946385807555E-2</v>
      </c>
      <c r="J173" s="280">
        <f>'Resultater - Vestdanmark'!J173+'Resultater - Østdanmark'!J173</f>
        <v>2.8650355702788816E-2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146226.14114349405</v>
      </c>
      <c r="J174" s="280">
        <f>'Resultater - Vestdanmark'!J174+'Resultater - Østdanmark'!J174</f>
        <v>166352.55283685052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-1323315.9216</v>
      </c>
      <c r="J175" s="280">
        <f>'Resultater - Vestdanmark'!J175+'Resultater - Østdanmark'!J175</f>
        <v>-1505455.7279999997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26393.122432857468</v>
      </c>
      <c r="J176" s="280">
        <f>'Resultater - Vestdanmark'!J176+'Resultater - Østdanmark'!J176</f>
        <v>30025.843940809853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204.63720738867326</v>
      </c>
      <c r="J177" s="280">
        <f>'Resultater - Vestdanmark'!J177+'Resultater - Østdanmark'!J177</f>
        <v>6.7385676477619821E-3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-1504.6881081889119</v>
      </c>
      <c r="J178" s="280">
        <f>'Resultater - Vestdanmark'!J178+'Resultater - Østdanmark'!J178</f>
        <v>-4.9548382404162948E-2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216.48684070667548</v>
      </c>
      <c r="J179" s="280">
        <f>'Resultater - Vestdanmark'!J179+'Resultater - Østdanmark'!J179</f>
        <v>7.1287682214185187E-3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2.0189814621658433E-3</v>
      </c>
      <c r="J180" s="280">
        <f>'Resultater - Vestdanmark'!J180+'Resultater - Østdanmark'!J180</f>
        <v>2.6171981916964628E-3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-1.2398422152036039E-2</v>
      </c>
      <c r="J181" s="280">
        <f>'Resultater - Vestdanmark'!J181+'Resultater - Østdanmark'!J181</f>
        <v>-1.6072028715602271E-2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4.6882400240927154E-3</v>
      </c>
      <c r="J182" s="280">
        <f>'Resultater - Vestdanmark'!J182+'Resultater - Østdanmark'!J182</f>
        <v>6.0773481793794451E-3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182759.57000414876</v>
      </c>
      <c r="J183" s="280">
        <f>'Resultater - Vestdanmark'!J183+'Resultater - Østdanmark'!J183</f>
        <v>152795.99435561016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-156374707.27643165</v>
      </c>
      <c r="J184" s="280">
        <f>'Resultater - Vestdanmark'!J184+'Resultater - Østdanmark'!J184</f>
        <v>-130736950.68240446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33861.742014439078</v>
      </c>
      <c r="J185" s="280">
        <f>'Resultater - Vestdanmark'!J185+'Resultater - Østdanmark'!J185</f>
        <v>28310.082703695945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16258.20683447312</v>
      </c>
      <c r="J186" s="280">
        <f>'Resultater - Vestdanmark'!J186+'Resultater - Østdanmark'!J186</f>
        <v>18474.424772087408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-13911021.647307996</v>
      </c>
      <c r="J187" s="280">
        <f>'Resultater - Vestdanmark'!J187+'Resultater - Østdanmark'!J187</f>
        <v>-15807285.855236175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5284.7805456060996</v>
      </c>
      <c r="J188" s="280">
        <f>'Resultater - Vestdanmark'!J188+'Resultater - Østdanmark'!J188</f>
        <v>6005.1690583597465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2539735.7541797077</v>
      </c>
      <c r="J189" s="280">
        <f>'Resultater - Vestdanmark'!J189+'Resultater - Østdanmark'!J189</f>
        <v>2125820.2734979047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-8367458.129999999</v>
      </c>
      <c r="J190" s="280">
        <f>'Resultater - Vestdanmark'!J190+'Resultater - Østdanmark'!J190</f>
        <v>-7003764.8999999985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126833.61613567614</v>
      </c>
      <c r="J191" s="280">
        <f>'Resultater - Vestdanmark'!J191+'Resultater - Østdanmark'!J191</f>
        <v>106162.80536214913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62909.083443499112</v>
      </c>
      <c r="J192" s="280">
        <f>'Resultater - Vestdanmark'!J192+'Resultater - Østdanmark'!J192</f>
        <v>1.5241577218777458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-138174.24925509488</v>
      </c>
      <c r="J193" s="280">
        <f>'Resultater - Vestdanmark'!J193+'Resultater - Østdanmark'!J193</f>
        <v>-3.3476779097562277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18413.669696201938</v>
      </c>
      <c r="J194" s="280">
        <f>'Resultater - Vestdanmark'!J194+'Resultater - Østdanmark'!J194</f>
        <v>0.44612534978003476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2.0521016512724364</v>
      </c>
      <c r="J195" s="280">
        <f>'Resultater - Vestdanmark'!J195+'Resultater - Østdanmark'!J195</f>
        <v>1.9572067772251565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-2.8975243840006524</v>
      </c>
      <c r="J196" s="280">
        <f>'Resultater - Vestdanmark'!J196+'Resultater - Østdanmark'!J196</f>
        <v>-2.7635348171104486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1.3184281443992363</v>
      </c>
      <c r="J197" s="280">
        <f>'Resultater - Vestdanmark'!J197+'Resultater - Østdanmark'!J197</f>
        <v>1.2574603689356878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225933.71824754737</v>
      </c>
      <c r="J198" s="280">
        <f>'Resultater - Vestdanmark'!J198+'Resultater - Østdanmark'!J198</f>
        <v>257030.99670474662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-744365.20589999971</v>
      </c>
      <c r="J199" s="280">
        <f>'Resultater - Vestdanmark'!J199+'Resultater - Østdanmark'!J199</f>
        <v>-846818.84699999972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19794.841824643096</v>
      </c>
      <c r="J200" s="280">
        <f>'Resultater - Vestdanmark'!J200+'Resultater - Østdanmark'!J200</f>
        <v>22519.382955607391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5596.3629722280421</v>
      </c>
      <c r="J201" s="280">
        <f>'Resultater - Vestdanmark'!J201+'Resultater - Østdanmark'!J201</f>
        <v>0.18428452455430924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-12291.917318126647</v>
      </c>
      <c r="J202" s="280">
        <f>'Resultater - Vestdanmark'!J202+'Resultater - Østdanmark'!J202</f>
        <v>-0.40476469272507115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2873.8097213725573</v>
      </c>
      <c r="J203" s="280">
        <f>'Resultater - Vestdanmark'!J203+'Resultater - Østdanmark'!J203</f>
        <v>9.4632649953340711E-2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0.1825540139484555</v>
      </c>
      <c r="J204" s="280">
        <f>'Resultater - Vestdanmark'!J204+'Resultater - Østdanmark'!J204</f>
        <v>0.23664409215540524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-0.25776242930502913</v>
      </c>
      <c r="J205" s="280">
        <f>'Resultater - Vestdanmark'!J205+'Resultater - Østdanmark'!J205</f>
        <v>-0.33413648243244515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0.2057662421894762</v>
      </c>
      <c r="J206" s="280">
        <f>'Resultater - Vestdanmark'!J206+'Resultater - Østdanmark'!J206</f>
        <v>0.26673401765302468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12858074.320698047</v>
      </c>
      <c r="J207" s="280">
        <f>'Resultater - Vestdanmark'!J207+'Resultater - Østdanmark'!J207</f>
        <v>7037031.8494396806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-37467618.070999995</v>
      </c>
      <c r="J208" s="280">
        <f>'Resultater - Vestdanmark'!J208+'Resultater - Østdanmark'!J208</f>
        <v>-20505467.234999999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549612.3365879301</v>
      </c>
      <c r="J209" s="280">
        <f>'Resultater - Vestdanmark'!J209+'Resultater - Østdanmark'!J209</f>
        <v>300794.61519275588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1024804.3601013478</v>
      </c>
      <c r="J210" s="280">
        <f>'Resultater - Vestdanmark'!J210+'Resultater - Østdanmark'!J210</f>
        <v>24.828902176990834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-2087139.7310664158</v>
      </c>
      <c r="J211" s="280">
        <f>'Resultater - Vestdanmark'!J211+'Resultater - Østdanmark'!J211</f>
        <v>-50.567103566220311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256745.38985730708</v>
      </c>
      <c r="J212" s="280">
        <f>'Resultater - Vestdanmark'!J212+'Resultater - Østdanmark'!J212</f>
        <v>6.2204128098459952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40.223420673759442</v>
      </c>
      <c r="J213" s="280">
        <f>'Resultater - Vestdanmark'!J213+'Resultater - Østdanmark'!J213</f>
        <v>38.363378099250326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-56.713796317158888</v>
      </c>
      <c r="J214" s="280">
        <f>'Resultater - Vestdanmark'!J214+'Resultater - Østdanmark'!J214</f>
        <v>-54.091193019255577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22.119295744762979</v>
      </c>
      <c r="J215" s="280">
        <f>'Resultater - Vestdanmark'!J215+'Resultater - Østdanmark'!J215</f>
        <v>21.096438138068734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1565266.157190179</v>
      </c>
      <c r="J216" s="280">
        <f>'Resultater - Vestdanmark'!J216+'Resultater - Østdanmark'!J216</f>
        <v>1164308.9059982016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-4561086.9166200012</v>
      </c>
      <c r="J217" s="280">
        <f>'Resultater - Vestdanmark'!J217+'Resultater - Østdanmark'!J217</f>
        <v>-3392722.7607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85777.647906786791</v>
      </c>
      <c r="J218" s="280">
        <f>'Resultater - Vestdanmark'!J218+'Resultater - Østdanmark'!J218</f>
        <v>63804.918374220942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124753.64059962072</v>
      </c>
      <c r="J219" s="280">
        <f>'Resultater - Vestdanmark'!J219+'Resultater - Østdanmark'!J219</f>
        <v>4.108054723829393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-254076.08518068626</v>
      </c>
      <c r="J220" s="280">
        <f>'Resultater - Vestdanmark'!J220+'Resultater - Østdanmark'!J220</f>
        <v>-8.3665571355019086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40070.089746516132</v>
      </c>
      <c r="J221" s="280">
        <f>'Resultater - Vestdanmark'!J221+'Resultater - Østdanmark'!J221</f>
        <v>1.3194815051188475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4.8965620773952256</v>
      </c>
      <c r="J222" s="280">
        <f>'Resultater - Vestdanmark'!J222+'Resultater - Østdanmark'!J222</f>
        <v>6.3473952855123272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-6.9040031817304408</v>
      </c>
      <c r="J223" s="280">
        <f>'Resultater - Vestdanmark'!J223+'Resultater - Østdanmark'!J223</f>
        <v>-8.9496337540950144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3.452144422593066</v>
      </c>
      <c r="J224" s="280">
        <f>'Resultater - Vestdanmark'!J224+'Resultater - Østdanmark'!J224</f>
        <v>4.4750020292873067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884832.293268512</v>
      </c>
      <c r="J225" s="280">
        <f>'Resultater - Vestdanmark'!J225+'Resultater - Østdanmark'!J225</f>
        <v>740626.03740576003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331364.66015219025</v>
      </c>
      <c r="J226" s="280">
        <f>'Resultater - Vestdanmark'!J226+'Resultater - Østdanmark'!J226</f>
        <v>342164.03155406995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486195.52852009202</v>
      </c>
      <c r="J228" s="280">
        <f>'Resultater - Vestdanmark'!J228+'Resultater - Østdanmark'!J228</f>
        <v>406957.42055490497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7998.6666753199652</v>
      </c>
      <c r="J229" s="280">
        <f>'Resultater - Vestdanmark'!J229+'Resultater - Østdanmark'!J229</f>
        <v>0.19379124461201833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2995.4551667043797</v>
      </c>
      <c r="J230" s="280">
        <f>'Resultater - Vestdanmark'!J230+'Resultater - Østdanmark'!J230</f>
        <v>8.9530194980171021E-2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25760.171136526707</v>
      </c>
      <c r="J232" s="280">
        <f>'Resultater - Vestdanmark'!J232+'Resultater - Østdanmark'!J232</f>
        <v>0.62411597189932999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0.10379771686059218</v>
      </c>
      <c r="J233" s="280">
        <f>'Resultater - Vestdanmark'!J233+'Resultater - Østdanmark'!J233</f>
        <v>9.8997822439293101E-2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3.8871654474805527E-2</v>
      </c>
      <c r="J234" s="280">
        <f>'Resultater - Vestdanmark'!J234+'Resultater - Østdanmark'!J234</f>
        <v>4.5736299198382818E-2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0.73375242649822725</v>
      </c>
      <c r="J236" s="280">
        <f>'Resultater - Vestdanmark'!J236+'Resultater - Østdanmark'!J236</f>
        <v>0.69982167845206633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78714.27163816418</v>
      </c>
      <c r="J237" s="280">
        <f>'Resultater - Vestdanmark'!J237+'Resultater - Østdanmark'!J237</f>
        <v>89548.420886332795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29478.046934926053</v>
      </c>
      <c r="J238" s="280">
        <f>'Resultater - Vestdanmark'!J238+'Resultater - Østdanmark'!J238</f>
        <v>41370.741996992096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75880.226994465222</v>
      </c>
      <c r="J240" s="280">
        <f>'Resultater - Vestdanmark'!J240+'Resultater - Østdanmark'!J240</f>
        <v>86324.301329828333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711.55768863106505</v>
      </c>
      <c r="J241" s="280">
        <f>'Resultater - Vestdanmark'!J241+'Resultater - Østdanmark'!J241</f>
        <v>2.34311232121804E-2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266.47430644844155</v>
      </c>
      <c r="J242" s="280">
        <f>'Resultater - Vestdanmark'!J242+'Resultater - Østdanmark'!J242</f>
        <v>1.0825014483966132E-2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4020.3735299781574</v>
      </c>
      <c r="J244" s="280">
        <f>'Resultater - Vestdanmark'!J244+'Resultater - Østdanmark'!J244</f>
        <v>0.13238823646349424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9.2337968929740652E-3</v>
      </c>
      <c r="J245" s="280">
        <f>'Resultater - Vestdanmark'!J245+'Resultater - Østdanmark'!J245</f>
        <v>1.1969736713114529E-2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3.4580044067471496E-3</v>
      </c>
      <c r="J246" s="280">
        <f>'Resultater - Vestdanmark'!J246+'Resultater - Østdanmark'!J246</f>
        <v>5.5299343576226496E-3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0.11451627465579269</v>
      </c>
      <c r="J248" s="280">
        <f>'Resultater - Vestdanmark'!J248+'Resultater - Østdanmark'!J248</f>
        <v>0.14844702270195345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809821.19217279996</v>
      </c>
      <c r="J249" s="280">
        <f>'Resultater - Vestdanmark'!J249+'Resultater - Østdanmark'!J249</f>
        <v>677839.93094399991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-1255118.7194999999</v>
      </c>
      <c r="J250" s="280">
        <f>'Resultater - Vestdanmark'!J250+'Resultater - Østdanmark'!J250</f>
        <v>-1050564.7349999999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21138.936022612696</v>
      </c>
      <c r="J251" s="280">
        <f>'Resultater - Vestdanmark'!J251+'Resultater - Østdanmark'!J251</f>
        <v>17693.800893691521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10766.277102214191</v>
      </c>
      <c r="J252" s="280">
        <f>'Resultater - Vestdanmark'!J252+'Resultater - Østdanmark'!J252</f>
        <v>0.26084475377934313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-10815.223714682928</v>
      </c>
      <c r="J253" s="280">
        <f>'Resultater - Vestdanmark'!J253+'Resultater - Østdanmark'!J253</f>
        <v>-0.26203062954275957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1647.1785920113348</v>
      </c>
      <c r="J254" s="280">
        <f>'Resultater - Vestdanmark'!J254+'Resultater - Østdanmark'!J254</f>
        <v>3.9907749929215405E-2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0.15378751976686955</v>
      </c>
      <c r="J255" s="280">
        <f>'Resultater - Vestdanmark'!J255+'Resultater - Østdanmark'!J255</f>
        <v>0.14667595815915305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-9.4583683072740787E-2</v>
      </c>
      <c r="J256" s="280">
        <f>'Resultater - Vestdanmark'!J256+'Resultater - Østdanmark'!J256</f>
        <v>-9.020987113874121E-2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5.1644827751279834E-2</v>
      </c>
      <c r="J257" s="280">
        <f>'Resultater - Vestdanmark'!J257+'Resultater - Østdanmark'!J257</f>
        <v>4.9256627624053022E-2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72041.318771903985</v>
      </c>
      <c r="J258" s="280">
        <f>'Resultater - Vestdanmark'!J258+'Resultater - Østdanmark'!J258</f>
        <v>81957.009832319978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-111654.78088499999</v>
      </c>
      <c r="J259" s="280">
        <f>'Resultater - Vestdanmark'!J259+'Resultater - Østdanmark'!J259</f>
        <v>-127022.82704999996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3299.1403041071835</v>
      </c>
      <c r="J260" s="280">
        <f>'Resultater - Vestdanmark'!J260+'Resultater - Østdanmark'!J260</f>
        <v>3753.2304926012316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957.76303238772471</v>
      </c>
      <c r="J261" s="280">
        <f>'Resultater - Vestdanmark'!J261+'Resultater - Østdanmark'!J261</f>
        <v>3.1538502047866034E-2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-962.117300398672</v>
      </c>
      <c r="J262" s="280">
        <f>'Resultater - Vestdanmark'!J262+'Resultater - Østdanmark'!J262</f>
        <v>-3.1681885208351836E-2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257.07411551621988</v>
      </c>
      <c r="J263" s="280">
        <f>'Resultater - Vestdanmark'!J263+'Resultater - Østdanmark'!J263</f>
        <v>8.465280288015388E-3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1.368086664284464E-2</v>
      </c>
      <c r="J264" s="280">
        <f>'Resultater - Vestdanmark'!J264+'Resultater - Østdanmark'!J264</f>
        <v>1.773445675924305E-2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-8.4141207080316791E-3</v>
      </c>
      <c r="J265" s="280">
        <f>'Resultater - Vestdanmark'!J265+'Resultater - Østdanmark'!J265</f>
        <v>-1.0907193510411434E-2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8.0601754293904947E-3</v>
      </c>
      <c r="J266" s="280">
        <f>'Resultater - Vestdanmark'!J266+'Resultater - Østdanmark'!J266</f>
        <v>1.0448375556617307E-2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169232.39850979199</v>
      </c>
      <c r="J267" s="280">
        <f>'Resultater - Vestdanmark'!J267+'Resultater - Østdanmark'!J267</f>
        <v>141651.61202016001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-2603209.196</v>
      </c>
      <c r="J268" s="280">
        <f>'Resultater - Vestdanmark'!J268+'Resultater - Østdanmark'!J268</f>
        <v>-2178949.08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36550.811814025386</v>
      </c>
      <c r="J269" s="280">
        <f>'Resultater - Vestdanmark'!J269+'Resultater - Østdanmark'!J269</f>
        <v>30593.913811383041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893.53748626041113</v>
      </c>
      <c r="J270" s="280">
        <f>'Resultater - Vestdanmark'!J270+'Resultater - Østdanmark'!J270</f>
        <v>2.1648575768810095E-2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-11453.99768644791</v>
      </c>
      <c r="J271" s="280">
        <f>'Resultater - Vestdanmark'!J271+'Resultater - Østdanmark'!J271</f>
        <v>-0.27750680926505333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872.27873299137991</v>
      </c>
      <c r="J272" s="280">
        <f>'Resultater - Vestdanmark'!J272+'Resultater - Østdanmark'!J272</f>
        <v>2.1133519894857723E-2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1.9793213778413025E-2</v>
      </c>
      <c r="J273" s="280">
        <f>'Resultater - Vestdanmark'!J273+'Resultater - Østdanmark'!J273</f>
        <v>1.8877920655711849E-2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-0.21747725351173711</v>
      </c>
      <c r="J274" s="280">
        <f>'Resultater - Vestdanmark'!J274+'Resultater - Østdanmark'!J274</f>
        <v>-0.20742050190425795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4.427478722479776E-2</v>
      </c>
      <c r="J275" s="280">
        <f>'Resultater - Vestdanmark'!J275+'Resultater - Østdanmark'!J275</f>
        <v>4.2227398220182844E-2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15054.83591367456</v>
      </c>
      <c r="J276" s="280">
        <f>'Resultater - Vestdanmark'!J276+'Resultater - Østdanmark'!J276</f>
        <v>17126.967635164798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-231580.28628</v>
      </c>
      <c r="J277" s="280">
        <f>'Resultater - Vestdanmark'!J277+'Resultater - Østdanmark'!J277</f>
        <v>-263454.75239999994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5704.4619594143669</v>
      </c>
      <c r="J278" s="280">
        <f>'Resultater - Vestdanmark'!J278+'Resultater - Østdanmark'!J278</f>
        <v>6489.6180812024631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79.488681581200737</v>
      </c>
      <c r="J279" s="280">
        <f>'Resultater - Vestdanmark'!J279+'Resultater - Østdanmark'!J279</f>
        <v>2.6175096156834015E-3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-1018.942337540077</v>
      </c>
      <c r="J280" s="280">
        <f>'Resultater - Vestdanmark'!J280+'Resultater - Østdanmark'!J280</f>
        <v>-3.3553096029320072E-2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136.13598722986853</v>
      </c>
      <c r="J281" s="280">
        <f>'Resultater - Vestdanmark'!J281+'Resultater - Østdanmark'!J281</f>
        <v>4.4828678564849704E-3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1.7607951447963957E-3</v>
      </c>
      <c r="J282" s="280">
        <f>'Resultater - Vestdanmark'!J282+'Resultater - Østdanmark'!J282</f>
        <v>2.2825122247360679E-3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-1.9346675904888058E-2</v>
      </c>
      <c r="J283" s="280">
        <f>'Resultater - Vestdanmark'!J283+'Resultater - Østdanmark'!J283</f>
        <v>-2.5079024321151184E-2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6.9099378905753727E-3</v>
      </c>
      <c r="J284" s="280">
        <f>'Resultater - Vestdanmark'!J284+'Resultater - Østdanmark'!J284</f>
        <v>8.9573268951902985E-3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1661134.4298004303</v>
      </c>
      <c r="J285" s="280">
        <f>'Resultater - Vestdanmark'!J285+'Resultater - Østdanmark'!J285</f>
        <v>1390409.7078066608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-7389175.63510089</v>
      </c>
      <c r="J286" s="280">
        <f>'Resultater - Vestdanmark'!J286+'Resultater - Østdanmark'!J286</f>
        <v>-6184918.7828627732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118245.58607781603</v>
      </c>
      <c r="J287" s="280">
        <f>'Resultater - Vestdanmark'!J287+'Resultater - Østdanmark'!J287</f>
        <v>98974.416421936301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48630.002893936369</v>
      </c>
      <c r="J288" s="280">
        <f>'Resultater - Vestdanmark'!J288+'Resultater - Østdanmark'!J288</f>
        <v>1.1782049645078942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-158591.94843521391</v>
      </c>
      <c r="J289" s="280">
        <f>'Resultater - Vestdanmark'!J289+'Resultater - Østdanmark'!J289</f>
        <v>-3.8423567727290351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20289.231748159636</v>
      </c>
      <c r="J290" s="280">
        <f>'Resultater - Vestdanmark'!J290+'Resultater - Østdanmark'!J290</f>
        <v>0.49156636128256415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1.0665652868322271</v>
      </c>
      <c r="J291" s="280">
        <f>'Resultater - Vestdanmark'!J291+'Resultater - Østdanmark'!J291</f>
        <v>1.0172443487128175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-2.5739256860079429</v>
      </c>
      <c r="J292" s="280">
        <f>'Resultater - Vestdanmark'!J292+'Resultater - Østdanmark'!J292</f>
        <v>-2.4549002207590203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0.97674086194302023</v>
      </c>
      <c r="J293" s="280">
        <f>'Resultater - Vestdanmark'!J293+'Resultater - Østdanmark'!J293</f>
        <v>0.93157365445432549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147773.75072039664</v>
      </c>
      <c r="J294" s="280">
        <f>'Resultater - Vestdanmark'!J294+'Resultater - Østdanmark'!J294</f>
        <v>168113.17376207805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-657337.64753874391</v>
      </c>
      <c r="J295" s="280">
        <f>'Resultater - Vestdanmark'!J295+'Resultater - Østdanmark'!J295</f>
        <v>-747812.90738249896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18454.513434110017</v>
      </c>
      <c r="J296" s="280">
        <f>'Resultater - Vestdanmark'!J296+'Resultater - Østdanmark'!J296</f>
        <v>20994.573180410734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4326.102569581969</v>
      </c>
      <c r="J297" s="280">
        <f>'Resultater - Vestdanmark'!J297+'Resultater - Østdanmark'!J297</f>
        <v>0.14245569116322718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-14108.266395479435</v>
      </c>
      <c r="J298" s="280">
        <f>'Resultater - Vestdanmark'!J298+'Resultater - Østdanmark'!J298</f>
        <v>-0.46457586433905607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3166.5274982676897</v>
      </c>
      <c r="J299" s="280">
        <f>'Resultater - Vestdanmark'!J299+'Resultater - Østdanmark'!J299</f>
        <v>0.10427165239327119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9.4881154707213713E-2</v>
      </c>
      <c r="J300" s="280">
        <f>'Resultater - Vestdanmark'!J300+'Resultater - Østdanmark'!J300</f>
        <v>0.12299408943527704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-0.22897523877261411</v>
      </c>
      <c r="J301" s="280">
        <f>'Resultater - Vestdanmark'!J301+'Resultater - Østdanmark'!J301</f>
        <v>-0.29681975396449972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0.15243932527434423</v>
      </c>
      <c r="J302" s="280">
        <f>'Resultater - Vestdanmark'!J302+'Resultater - Østdanmark'!J302</f>
        <v>0.19760653276303877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4436121.3531630412</v>
      </c>
      <c r="J303" s="280">
        <f>'Resultater - Vestdanmark'!J303+'Resultater - Østdanmark'!J303</f>
        <v>3713140.9016592009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-14875481.120000001</v>
      </c>
      <c r="J304" s="280">
        <f>'Resultater - Vestdanmark'!J304+'Resultater - Østdanmark'!J304</f>
        <v>-12451137.599999998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211389.36022612697</v>
      </c>
      <c r="J305" s="280">
        <f>'Resultater - Vestdanmark'!J305+'Resultater - Østdanmark'!J305</f>
        <v>176938.00893691523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222661.32292786438</v>
      </c>
      <c r="J306" s="280">
        <f>'Resultater - Vestdanmark'!J306+'Resultater - Østdanmark'!J306</f>
        <v>5.3946259606343334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-505538.8215038316</v>
      </c>
      <c r="J307" s="280">
        <f>'Resultater - Vestdanmark'!J307+'Resultater - Østdanmark'!J307</f>
        <v>-12.248166025118719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62187.864033754318</v>
      </c>
      <c r="J308" s="280">
        <f>'Resultater - Vestdanmark'!J308+'Resultater - Østdanmark'!J308</f>
        <v>1.5066840587378292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2.8835758191138265</v>
      </c>
      <c r="J309" s="280">
        <f>'Resultater - Vestdanmark'!J309+'Resultater - Østdanmark'!J309</f>
        <v>2.7502312725652098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-4.3166909784920309</v>
      </c>
      <c r="J310" s="280">
        <f>'Resultater - Vestdanmark'!J310+'Resultater - Østdanmark'!J310</f>
        <v>-4.1170752107004924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1.7677580963008739</v>
      </c>
      <c r="J311" s="280">
        <f>'Resultater - Vestdanmark'!J311+'Resultater - Østdanmark'!J311</f>
        <v>1.6860120571655735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574644.39031435689</v>
      </c>
      <c r="J312" s="280">
        <f>'Resultater - Vestdanmark'!J312+'Resultater - Østdanmark'!J312</f>
        <v>653737.83753454406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-1926933.7103999997</v>
      </c>
      <c r="J313" s="280">
        <f>'Resultater - Vestdanmark'!J313+'Resultater - Østdanmark'!J313</f>
        <v>-2192154.8319999995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32991.403041071841</v>
      </c>
      <c r="J314" s="280">
        <f>'Resultater - Vestdanmark'!J314+'Resultater - Østdanmark'!J314</f>
        <v>37532.304926012315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28843.007207014107</v>
      </c>
      <c r="J315" s="280">
        <f>'Resultater - Vestdanmark'!J315+'Resultater - Østdanmark'!J315</f>
        <v>0.94978111609955984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-65486.271617924089</v>
      </c>
      <c r="J316" s="280">
        <f>'Resultater - Vestdanmark'!J316+'Resultater - Østdanmark'!J316</f>
        <v>-2.1564195335133256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9705.6203983316009</v>
      </c>
      <c r="J317" s="280">
        <f>'Resultater - Vestdanmark'!J317+'Resultater - Østdanmark'!J317</f>
        <v>0.31959964882317582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0.37353141101931125</v>
      </c>
      <c r="J318" s="280">
        <f>'Resultater - Vestdanmark'!J318+'Resultater - Østdanmark'!J318</f>
        <v>0.48420738465466268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-0.55917366952604863</v>
      </c>
      <c r="J319" s="280">
        <f>'Resultater - Vestdanmark'!J319+'Resultater - Østdanmark'!J319</f>
        <v>-0.72485475679302602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0.27589288208163931</v>
      </c>
      <c r="J320" s="280">
        <f>'Resultater - Vestdanmark'!J320+'Resultater - Østdanmark'!J320</f>
        <v>0.3576389212169398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798123.11382003198</v>
      </c>
      <c r="J321" s="280">
        <f>'Resultater - Vestdanmark'!J321+'Resultater - Østdanmark'!J321</f>
        <v>668048.35633535997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537728.0027579458</v>
      </c>
      <c r="J322" s="280">
        <f>'Resultater - Vestdanmark'!J322+'Resultater - Østdanmark'!J322</f>
        <v>555252.87826008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-29611504.604499996</v>
      </c>
      <c r="J323" s="280">
        <f>'Resultater - Vestdanmark'!J323+'Resultater - Østdanmark'!J323</f>
        <v>-24785545.784999996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384728.63561155094</v>
      </c>
      <c r="J324" s="280">
        <f>'Resultater - Vestdanmark'!J324+'Resultater - Østdanmark'!J324</f>
        <v>322027.17626518564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10918.647972357969</v>
      </c>
      <c r="J325" s="280">
        <f>'Resultater - Vestdanmark'!J325+'Resultater - Østdanmark'!J325</f>
        <v>0.26453638661730722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7356.3372183167376</v>
      </c>
      <c r="J326" s="280">
        <f>'Resultater - Vestdanmark'!J326+'Resultater - Østdanmark'!J326</f>
        <v>0.21987119447389988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-279710.10642665671</v>
      </c>
      <c r="J327" s="280">
        <f>'Resultater - Vestdanmark'!J327+'Resultater - Østdanmark'!J327</f>
        <v>-6.7768006663256051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30848.541610151206</v>
      </c>
      <c r="J328" s="280">
        <f>'Resultater - Vestdanmark'!J328+'Resultater - Østdanmark'!J328</f>
        <v>0.74739672445000616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0.17291789557535811</v>
      </c>
      <c r="J329" s="280">
        <f>'Resultater - Vestdanmark'!J329+'Resultater - Østdanmark'!J329</f>
        <v>0.16492169231175774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0.11650181910382684</v>
      </c>
      <c r="J330" s="280">
        <f>'Resultater - Vestdanmark'!J330+'Resultater - Østdanmark'!J330</f>
        <v>0.1370757722479255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-3.0113572747816595</v>
      </c>
      <c r="J331" s="280">
        <f>'Resultater - Vestdanmark'!J331+'Resultater - Østdanmark'!J331</f>
        <v>-2.8721037591848191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1.0723494152014124</v>
      </c>
      <c r="J332" s="280">
        <f>'Resultater - Vestdanmark'!J332+'Resultater - Østdanmark'!J332</f>
        <v>1.022761002937763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68509.411793222418</v>
      </c>
      <c r="J333" s="280">
        <f>'Resultater - Vestdanmark'!J333+'Resultater - Østdanmark'!J333</f>
        <v>77938.974905792013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46157.577115349697</v>
      </c>
      <c r="J334" s="280">
        <f>'Resultater - Vestdanmark'!J334+'Resultater - Østdanmark'!J334</f>
        <v>64779.502463675992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-2541796.7825250006</v>
      </c>
      <c r="J335" s="280">
        <f>'Resultater - Vestdanmark'!J335+'Resultater - Østdanmark'!J335</f>
        <v>-2891647.00825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60044.353534750742</v>
      </c>
      <c r="J336" s="280">
        <f>'Resultater - Vestdanmark'!J336+'Resultater - Østdanmark'!J336</f>
        <v>68308.794965342415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937.23654560413797</v>
      </c>
      <c r="J337" s="280">
        <f>'Resultater - Vestdanmark'!J337+'Resultater - Østdanmark'!J337</f>
        <v>3.0862578438685843E-2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631.454379722564</v>
      </c>
      <c r="J338" s="280">
        <f>'Resultater - Vestdanmark'!J338+'Resultater - Østdanmark'!J338</f>
        <v>2.565163935528832E-2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-24009.798152808398</v>
      </c>
      <c r="J339" s="280">
        <f>'Resultater - Vestdanmark'!J339+'Resultater - Østdanmark'!J339</f>
        <v>-0.79062674440465386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4814.5122744166629</v>
      </c>
      <c r="J340" s="280">
        <f>'Resultater - Vestdanmark'!J340+'Resultater - Østdanmark'!J340</f>
        <v>0.15853869912575885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1.4842952308058197E-2</v>
      </c>
      <c r="J341" s="280">
        <f>'Resultater - Vestdanmark'!J341+'Resultater - Østdanmark'!J341</f>
        <v>1.9240864103038401E-2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1.0000300657178201E-2</v>
      </c>
      <c r="J342" s="280">
        <f>'Resultater - Vestdanmark'!J342+'Resultater - Østdanmark'!J342</f>
        <v>1.5992173428924641E-2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-0.25848933832663379</v>
      </c>
      <c r="J343" s="280">
        <f>'Resultater - Vestdanmark'!J343+'Resultater - Østdanmark'!J343</f>
        <v>-0.3350787719048956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0.16736089138981577</v>
      </c>
      <c r="J344" s="280">
        <f>'Resultater - Vestdanmark'!J344+'Resultater - Østdanmark'!J344</f>
        <v>0.21694930365346488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1150546.9356079018</v>
      </c>
      <c r="J345" s="280">
        <f>'Resultater - Vestdanmark'!J345+'Resultater - Østdanmark'!J345</f>
        <v>963035.62183623167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241110.97703599202</v>
      </c>
      <c r="J346" s="280">
        <f>'Resultater - Vestdanmark'!J346+'Resultater - Østdanmark'!J346</f>
        <v>248968.92721355736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-11266868.08579402</v>
      </c>
      <c r="J347" s="280">
        <f>'Resultater - Vestdanmark'!J347+'Resultater - Østdanmark'!J347</f>
        <v>-9430641.1823317166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170782.76337247706</v>
      </c>
      <c r="J348" s="280">
        <f>'Resultater - Vestdanmark'!J348+'Resultater - Østdanmark'!J348</f>
        <v>142949.30492029365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68191.687435507061</v>
      </c>
      <c r="J349" s="280">
        <f>'Resultater - Vestdanmark'!J349+'Resultater - Østdanmark'!J349</f>
        <v>1.652144353147702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14290.38996537845</v>
      </c>
      <c r="J350" s="280">
        <f>'Resultater - Vestdanmark'!J350+'Resultater - Østdanmark'!J350</f>
        <v>0.42712086435684182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-500831.42402027285</v>
      </c>
      <c r="J351" s="280">
        <f>'Resultater - Vestdanmark'!J351+'Resultater - Østdanmark'!J351</f>
        <v>-12.134115464683008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59326.985648627546</v>
      </c>
      <c r="J352" s="280">
        <f>'Resultater - Vestdanmark'!J352+'Resultater - Østdanmark'!J352</f>
        <v>1.43737085874807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1.9522353676562767</v>
      </c>
      <c r="J353" s="280">
        <f>'Resultater - Vestdanmark'!J353+'Resultater - Østdanmark'!J353</f>
        <v>1.8619585876490501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0.40911445012117009</v>
      </c>
      <c r="J354" s="280">
        <f>'Resultater - Vestdanmark'!J354+'Resultater - Østdanmark'!J354</f>
        <v>0.48136312050343499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-10.924284382407746</v>
      </c>
      <c r="J355" s="280">
        <f>'Resultater - Vestdanmark'!J355+'Resultater - Østdanmark'!J355</f>
        <v>-10.419115162412011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3.7280662934321382</v>
      </c>
      <c r="J356" s="280">
        <f>'Resultater - Vestdanmark'!J356+'Resultater - Østdanmark'!J356</f>
        <v>3.5556701642560853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102352.12334685322</v>
      </c>
      <c r="J357" s="280">
        <f>'Resultater - Vestdanmark'!J357+'Resultater - Østdanmark'!J357</f>
        <v>116439.76154928983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21449.12102071628</v>
      </c>
      <c r="J358" s="280">
        <f>'Resultater - Vestdanmark'!J358+'Resultater - Østdanmark'!J358</f>
        <v>30102.606654002841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-1002295.3747998261</v>
      </c>
      <c r="J359" s="280">
        <f>'Resultater - Vestdanmark'!J359+'Resultater - Østdanmark'!J359</f>
        <v>-1140250.252045562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26653.957289346123</v>
      </c>
      <c r="J360" s="280">
        <f>'Resultater - Vestdanmark'!J360+'Resultater - Østdanmark'!J360</f>
        <v>30322.579831577445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6066.3009805344136</v>
      </c>
      <c r="J361" s="280">
        <f>'Resultater - Vestdanmark'!J361+'Resultater - Østdanmark'!J361</f>
        <v>0.19975927178967665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1271.2664830472509</v>
      </c>
      <c r="J362" s="280">
        <f>'Resultater - Vestdanmark'!J362+'Resultater - Østdanmark'!J362</f>
        <v>5.1642795417690873E-2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-44553.731882497101</v>
      </c>
      <c r="J363" s="280">
        <f>'Resultater - Vestdanmark'!J363+'Resultater - Østdanmark'!J363</f>
        <v>-1.4671248698207631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9259.124927820485</v>
      </c>
      <c r="J364" s="280">
        <f>'Resultater - Vestdanmark'!J364+'Resultater - Østdanmark'!J364</f>
        <v>0.30489684882534812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0.1736699555389023</v>
      </c>
      <c r="J365" s="280">
        <f>'Resultater - Vestdanmark'!J365+'Resultater - Østdanmark'!J365</f>
        <v>0.22512772014302154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3.6394632296906405E-2</v>
      </c>
      <c r="J366" s="280">
        <f>'Resultater - Vestdanmark'!J366+'Resultater - Østdanmark'!J366</f>
        <v>5.8201177297233508E-2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-0.97181928696679309</v>
      </c>
      <c r="J367" s="280">
        <f>'Resultater - Vestdanmark'!J367+'Resultater - Østdanmark'!J367</f>
        <v>-1.2597657423643613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0.58183693596917774</v>
      </c>
      <c r="J368" s="280">
        <f>'Resultater - Vestdanmark'!J368+'Resultater - Østdanmark'!J368</f>
        <v>0.75423306514523047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756157.3633996686</v>
      </c>
      <c r="J369" s="280">
        <f>'Resultater - Vestdanmark'!J369+'Resultater - Østdanmark'!J369</f>
        <v>632922.00789956562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-1551815.4845888722</v>
      </c>
      <c r="J370" s="280">
        <f>'Resultater - Vestdanmark'!J370+'Resultater - Østdanmark'!J370</f>
        <v>-1298907.1057640337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27730.863249391514</v>
      </c>
      <c r="J371" s="280">
        <f>'Resultater - Vestdanmark'!J371+'Resultater - Østdanmark'!J371</f>
        <v>23211.403469883659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22644.539498947848</v>
      </c>
      <c r="J372" s="280">
        <f>'Resultater - Vestdanmark'!J372+'Resultater - Østdanmark'!J372</f>
        <v>0.54863062449001043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-35206.062653836831</v>
      </c>
      <c r="J373" s="280">
        <f>'Resultater - Vestdanmark'!J373+'Resultater - Østdanmark'!J373</f>
        <v>-0.85297049827426985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3753.5627989775235</v>
      </c>
      <c r="J374" s="280">
        <f>'Resultater - Vestdanmark'!J374+'Resultater - Østdanmark'!J374</f>
        <v>9.0941107570820495E-2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0.4957593907243395</v>
      </c>
      <c r="J375" s="280">
        <f>'Resultater - Vestdanmark'!J375+'Resultater - Østdanmark'!J375</f>
        <v>0.47283410097986134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-0.59459415198814702</v>
      </c>
      <c r="J376" s="280">
        <f>'Resultater - Vestdanmark'!J376+'Resultater - Østdanmark'!J376</f>
        <v>-0.56709846865921532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0.18829934214067076</v>
      </c>
      <c r="J377" s="280">
        <f>'Resultater - Vestdanmark'!J377+'Resultater - Østdanmark'!J377</f>
        <v>0.17959185811104433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67267.409379889606</v>
      </c>
      <c r="J378" s="280">
        <f>'Resultater - Vestdanmark'!J378+'Resultater - Østdanmark'!J378</f>
        <v>76526.024591492911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-138048.78790648986</v>
      </c>
      <c r="J379" s="280">
        <f>'Resultater - Vestdanmark'!J379+'Resultater - Østdanmark'!J379</f>
        <v>-157049.67733328769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4327.9381949917406</v>
      </c>
      <c r="J380" s="280">
        <f>'Resultater - Vestdanmark'!J380+'Resultater - Østdanmark'!J380</f>
        <v>4923.6310390662302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2014.4477623630485</v>
      </c>
      <c r="J381" s="280">
        <f>'Resultater - Vestdanmark'!J381+'Resultater - Østdanmark'!J381</f>
        <v>6.6334430051973967E-2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-3131.9150534251376</v>
      </c>
      <c r="J382" s="280">
        <f>'Resultater - Vestdanmark'!J382+'Resultater - Østdanmark'!J382</f>
        <v>-0.10313188751861622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585.81615937799506</v>
      </c>
      <c r="J383" s="280">
        <f>'Resultater - Vestdanmark'!J383+'Resultater - Østdanmark'!J383</f>
        <v>1.9290537969567985E-2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4.4102526145939791E-2</v>
      </c>
      <c r="J384" s="280">
        <f>'Resultater - Vestdanmark'!J384+'Resultater - Østdanmark'!J384</f>
        <v>5.7169941300292335E-2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-5.2894820804032266E-2</v>
      </c>
      <c r="J385" s="280">
        <f>'Resultater - Vestdanmark'!J385+'Resultater - Østdanmark'!J385</f>
        <v>-6.85673603015233E-2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2.9387758599989076E-2</v>
      </c>
      <c r="J386" s="280">
        <f>'Resultater - Vestdanmark'!J386+'Resultater - Østdanmark'!J386</f>
        <v>3.8095242629615472E-2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141841.80153811892</v>
      </c>
      <c r="J387" s="280">
        <f>'Resultater - Vestdanmark'!J387+'Resultater - Østdanmark'!J387</f>
        <v>118725.01965724725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-650990.35780554567</v>
      </c>
      <c r="J388" s="280">
        <f>'Resultater - Vestdanmark'!J388+'Resultater - Østdanmark'!J388</f>
        <v>-544894.67977020191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10663.733996880881</v>
      </c>
      <c r="J389" s="280">
        <f>'Resultater - Vestdanmark'!J389+'Resultater - Østdanmark'!J389</f>
        <v>8925.8033574756628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18540.644050201445</v>
      </c>
      <c r="J390" s="280">
        <f>'Resultater - Vestdanmark'!J390+'Resultater - Østdanmark'!J390</f>
        <v>0.44920167726012794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-70911.045341255522</v>
      </c>
      <c r="J391" s="280">
        <f>'Resultater - Vestdanmark'!J391+'Resultater - Østdanmark'!J391</f>
        <v>-1.7180288029538475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6300.265772561419</v>
      </c>
      <c r="J392" s="280">
        <f>'Resultater - Vestdanmark'!J392+'Resultater - Østdanmark'!J392</f>
        <v>0.15264248343025688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0.58444774419750334</v>
      </c>
      <c r="J393" s="280">
        <f>'Resultater - Vestdanmark'!J393+'Resultater - Østdanmark'!J393</f>
        <v>0.55742125891669392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-1.9159667520333934</v>
      </c>
      <c r="J394" s="280">
        <f>'Resultater - Vestdanmark'!J394+'Resultater - Østdanmark'!J394</f>
        <v>-1.8273671334422537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0.45506915653932994</v>
      </c>
      <c r="J395" s="280">
        <f>'Resultater - Vestdanmark'!J395+'Resultater - Østdanmark'!J395</f>
        <v>0.43402549612132624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12618.181073246531</v>
      </c>
      <c r="J396" s="280">
        <f>'Resultater - Vestdanmark'!J396+'Resultater - Østdanmark'!J396</f>
        <v>14354.934194921711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-57911.801194377731</v>
      </c>
      <c r="J397" s="280">
        <f>'Resultater - Vestdanmark'!J397+'Resultater - Østdanmark'!J397</f>
        <v>-65882.720372215306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1664.2821844842995</v>
      </c>
      <c r="J398" s="280">
        <f>'Resultater - Vestdanmark'!J398+'Resultater - Østdanmark'!J398</f>
        <v>1893.3522273433225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1649.3671209976892</v>
      </c>
      <c r="J399" s="280">
        <f>'Resultater - Vestdanmark'!J399+'Resultater - Østdanmark'!J399</f>
        <v>5.4312566432360924E-2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-6308.2138023232519</v>
      </c>
      <c r="J400" s="280">
        <f>'Resultater - Vestdanmark'!J400+'Resultater - Østdanmark'!J400</f>
        <v>-0.20772530072078338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983.27847317432554</v>
      </c>
      <c r="J401" s="280">
        <f>'Resultater - Vestdanmark'!J401+'Resultater - Østdanmark'!J401</f>
        <v>3.237870860641813E-2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5.1992201058957084E-2</v>
      </c>
      <c r="J402" s="280">
        <f>'Resultater - Vestdanmark'!J402+'Resultater - Østdanmark'!J402</f>
        <v>6.7397297669018433E-2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-0.17044351626470475</v>
      </c>
      <c r="J403" s="280">
        <f>'Resultater - Vestdanmark'!J403+'Resultater - Østdanmark'!J403</f>
        <v>-0.22094529886165429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7.1022353910762476E-2</v>
      </c>
      <c r="J404" s="280">
        <f>'Resultater - Vestdanmark'!J404+'Resultater - Østdanmark'!J404</f>
        <v>9.2066014328766155E-2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1374390.3271201602</v>
      </c>
      <c r="J405" s="280">
        <f>'Resultater - Vestdanmark'!J405+'Resultater - Østdanmark'!J405</f>
        <v>2185756.1169259204</v>
      </c>
    </row>
    <row r="406" spans="1:10" s="171" customFormat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-4648587.8500000006</v>
      </c>
      <c r="J406" s="280">
        <f>'Resultater - Vestdanmark'!J406+'Resultater - Østdanmark'!J406</f>
        <v>-7392862.9500000002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182754.05907012697</v>
      </c>
      <c r="J407" s="280">
        <f>'Resultater - Vestdanmark'!J407+'Resultater - Østdanmark'!J407</f>
        <v>290642.18120813888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297008.3510339901</v>
      </c>
      <c r="J408" s="280">
        <f>'Resultater - Vestdanmark'!J408+'Resultater - Østdanmark'!J408</f>
        <v>7.1959015600262219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-837140.52740396897</v>
      </c>
      <c r="J409" s="280">
        <f>'Resultater - Vestdanmark'!J409+'Resultater - Østdanmark'!J409</f>
        <v>-20.282193433739515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178506.7289163341</v>
      </c>
      <c r="J410" s="280">
        <f>'Resultater - Vestdanmark'!J410+'Resultater - Østdanmark'!J410</f>
        <v>4.3248509498550236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12.146381411257909</v>
      </c>
      <c r="J411" s="280">
        <f>'Resultater - Vestdanmark'!J411+'Resultater - Østdanmark'!J411</f>
        <v>11.584699033858699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-29.344710646122667</v>
      </c>
      <c r="J412" s="280">
        <f>'Resultater - Vestdanmark'!J412+'Resultater - Østdanmark'!J412</f>
        <v>-27.98772980699561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16.727479482761705</v>
      </c>
      <c r="J413" s="280">
        <f>'Resultater - Vestdanmark'!J413+'Resultater - Østdanmark'!J413</f>
        <v>15.953954419975037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214500.22446384004</v>
      </c>
      <c r="J414" s="280">
        <f>'Resultater - Vestdanmark'!J414+'Resultater - Østdanmark'!J414</f>
        <v>463645.23692367994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-725502.14999999991</v>
      </c>
      <c r="J415" s="280">
        <f>'Resultater - Vestdanmark'!J415+'Resultater - Østdanmark'!J415</f>
        <v>-1568183.0499999996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28522.309797071837</v>
      </c>
      <c r="J416" s="280">
        <f>'Resultater - Vestdanmark'!J416+'Resultater - Østdanmark'!J416</f>
        <v>61651.371771423394</v>
      </c>
    </row>
    <row r="417" spans="1:10" ht="15.75" thickBot="1" x14ac:dyDescent="0.3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81">
        <f>'Resultater - Vestdanmark'!H417+'Resultater - Østdanmark'!H417</f>
        <v>46378.13126518044</v>
      </c>
      <c r="I417" s="282">
        <f>'Resultater - Vestdanmark'!I417+'Resultater - Østdanmark'!I417</f>
        <v>46353.904496634292</v>
      </c>
      <c r="J417" s="283">
        <f>'Resultater - Vestdanmark'!J417+'Resultater - Østdanmark'!J417</f>
        <v>1.5264033612176835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0</v>
      </c>
      <c r="I418" s="276">
        <f>'Resultater - Vestdanmark'!I418+'Resultater - Østdanmark'!I418</f>
        <v>0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0</v>
      </c>
      <c r="I419" s="279">
        <f>'Resultater - Vestdanmark'!I419+'Resultater - Østdanmark'!I419</f>
        <v>0</v>
      </c>
      <c r="J419" s="280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0</v>
      </c>
      <c r="I421" s="279">
        <f>'Resultater - Vestdanmark'!I421+'Resultater - Østdanmark'!I421</f>
        <v>0</v>
      </c>
      <c r="J421" s="280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0</v>
      </c>
      <c r="I422" s="279">
        <f>'Resultater - Vestdanmark'!I422+'Resultater - Østdanmark'!I422</f>
        <v>0</v>
      </c>
      <c r="J422" s="280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0</v>
      </c>
      <c r="I423" s="279">
        <f>'Resultater - Vestdanmark'!I423+'Resultater - Østdanmark'!I423</f>
        <v>0</v>
      </c>
      <c r="J423" s="280">
        <f>'Resultater - Vestdanmark'!J423+'Resultater - Østdanmark'!J423</f>
        <v>0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0</v>
      </c>
      <c r="I424" s="279">
        <f>'Resultater - Vestdanmark'!I424+'Resultater - Østdanmark'!I424</f>
        <v>0</v>
      </c>
      <c r="J424" s="280">
        <f>'Resultater - Vestdanmark'!J424+'Resultater - Østdanmark'!J424</f>
        <v>0</v>
      </c>
    </row>
    <row r="425" spans="1:10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0</v>
      </c>
      <c r="I427" s="279">
        <f>'Resultater - Vestdanmark'!I427+'Resultater - Østdanmark'!I427</f>
        <v>0</v>
      </c>
      <c r="J427" s="280">
        <f>'Resultater - Vestdanmark'!J427+'Resultater - Østdanmark'!J427</f>
        <v>0</v>
      </c>
    </row>
    <row r="428" spans="1:10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0</v>
      </c>
      <c r="I428" s="279">
        <f>'Resultater - Vestdanmark'!I428+'Resultater - Østdanmark'!I428</f>
        <v>0</v>
      </c>
      <c r="J428" s="280">
        <f>'Resultater - Vestdanmark'!J428+'Resultater - Østdanmark'!J428</f>
        <v>0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0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0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0</v>
      </c>
      <c r="I431" s="279">
        <f>'Resultater - Vestdanmark'!I431+'Resultater - Østdanmark'!I431</f>
        <v>0</v>
      </c>
      <c r="J431" s="280">
        <f>'Resultater - Vestdanmark'!J431+'Resultater - Østdanmark'!J431</f>
        <v>0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0</v>
      </c>
      <c r="I432" s="279">
        <f>'Resultater - Vestdanmark'!I432+'Resultater - Østdanmark'!I432</f>
        <v>0</v>
      </c>
      <c r="J432" s="280">
        <f>'Resultater - Vestdanmark'!J432+'Resultater - Østdanmark'!J432</f>
        <v>0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0</v>
      </c>
      <c r="I433" s="279">
        <f>'Resultater - Vestdanmark'!I433+'Resultater - Østdanmark'!I433</f>
        <v>0</v>
      </c>
      <c r="J433" s="280">
        <f>'Resultater - Vestdanmark'!J433+'Resultater - Østdanmark'!J433</f>
        <v>0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0</v>
      </c>
      <c r="I434" s="279">
        <f>'Resultater - Vestdanmark'!I434+'Resultater - Østdanmark'!I434</f>
        <v>0</v>
      </c>
      <c r="J434" s="280">
        <f>'Resultater - Vestdanmark'!J434+'Resultater - Østdanmark'!J434</f>
        <v>0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0</v>
      </c>
      <c r="I435" s="279">
        <f>'Resultater - Vestdanmark'!I435+'Resultater - Østdanmark'!I435</f>
        <v>0</v>
      </c>
      <c r="J435" s="280">
        <f>'Resultater - Vestdanmark'!J435+'Resultater - Østdanmark'!J435</f>
        <v>0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0</v>
      </c>
      <c r="I436" s="279">
        <f>'Resultater - Vestdanmark'!I436+'Resultater - Østdanmark'!I436</f>
        <v>0</v>
      </c>
      <c r="J436" s="280">
        <f>'Resultater - Vestdanmark'!J436+'Resultater - Østdanmark'!J436</f>
        <v>0</v>
      </c>
    </row>
    <row r="437" spans="1:10" s="171" customFormat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84">
        <f>'Resultater - Vestdanmark'!H437+'Resultater - Østdanmark'!H437</f>
        <v>0</v>
      </c>
      <c r="I437" s="285">
        <f>'Resultater - Vestdanmark'!I437+'Resultater - Østdanmark'!I437</f>
        <v>0</v>
      </c>
      <c r="J437" s="286">
        <f>'Resultater - Vestdanmark'!J437+'Resultater - Østdanmark'!J437</f>
        <v>0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0</v>
      </c>
      <c r="I438" s="279">
        <f>'Resultater - Vestdanmark'!I438+'Resultater - Østdanmark'!I438</f>
        <v>0</v>
      </c>
      <c r="J438" s="280">
        <f>'Resultater - Vestdanmark'!J438+'Resultater - Østdanmark'!J438</f>
        <v>0</v>
      </c>
    </row>
    <row r="439" spans="1:10" s="171" customFormat="1" x14ac:dyDescent="0.25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4">
        <f>'Resultater - Vestdanmark'!H439+'Resultater - Østdanmark'!H439</f>
        <v>0</v>
      </c>
      <c r="I439" s="285">
        <f>'Resultater - Vestdanmark'!I439+'Resultater - Østdanmark'!I439</f>
        <v>0</v>
      </c>
      <c r="J439" s="286">
        <f>'Resultater - Vestdanmark'!J439+'Resultater - Østdanmark'!J439</f>
        <v>0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8">
        <f>'Resultater - Vestdanmark'!H440+'Resultater - Østdanmark'!H440</f>
        <v>0</v>
      </c>
      <c r="I440" s="279">
        <f>'Resultater - Vestdanmark'!I440+'Resultater - Østdanmark'!I440</f>
        <v>0</v>
      </c>
      <c r="J440" s="280">
        <f>'Resultater - Vestdanmark'!J440+'Resultater - Østdanmark'!J440</f>
        <v>0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0</v>
      </c>
      <c r="I441" s="279">
        <f>'Resultater - Vestdanmark'!I441+'Resultater - Østdanmark'!I441</f>
        <v>0</v>
      </c>
      <c r="J441" s="280">
        <f>'Resultater - Vestdanmark'!J441+'Resultater - Østdanmark'!J441</f>
        <v>0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0</v>
      </c>
      <c r="I443" s="279">
        <f>'Resultater - Vestdanmark'!I443+'Resultater - Østdanmark'!I443</f>
        <v>0</v>
      </c>
      <c r="J443" s="280">
        <f>'Resultater - Vestdanmark'!J443+'Resultater - Østdanmark'!J443</f>
        <v>0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0</v>
      </c>
      <c r="I444" s="279">
        <f>'Resultater - Vestdanmark'!I444+'Resultater - Østdanmark'!I444</f>
        <v>0</v>
      </c>
      <c r="J444" s="280">
        <f>'Resultater - Vestdanmark'!J444+'Resultater - Østdanmark'!J444</f>
        <v>0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0</v>
      </c>
      <c r="I445" s="279">
        <f>'Resultater - Vestdanmark'!I445+'Resultater - Østdanmark'!I445</f>
        <v>0</v>
      </c>
      <c r="J445" s="280">
        <f>'Resultater - Vestdanmark'!J445+'Resultater - Østdanmark'!J445</f>
        <v>0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3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0</v>
      </c>
      <c r="I449" s="279">
        <f>'Resultater - Vestdanmark'!I449+'Resultater - Østdanmark'!I449</f>
        <v>0</v>
      </c>
      <c r="J449" s="280">
        <f>'Resultater - Vestdanmark'!J449+'Resultater - Østdanmark'!J449</f>
        <v>0</v>
      </c>
    </row>
    <row r="450" spans="1:13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0</v>
      </c>
      <c r="I450" s="279">
        <f>'Resultater - Vestdanmark'!I450+'Resultater - Østdanmark'!I450</f>
        <v>0</v>
      </c>
      <c r="J450" s="280">
        <f>'Resultater - Vestdanmark'!J450+'Resultater - Østdanmark'!J450</f>
        <v>0</v>
      </c>
    </row>
    <row r="451" spans="1:13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'Resultater - Vestdanmark'!I451+'Resultater - Østdanmark'!I451</f>
        <v>0</v>
      </c>
      <c r="J451" s="280">
        <f>'Resultater - Vestdanmark'!J451+'Resultater - Østdanmark'!J451</f>
        <v>0</v>
      </c>
      <c r="L451" s="98"/>
    </row>
    <row r="452" spans="1:13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84">
        <f ca="1">'Resultater - Vestdanmark'!H452+'Resultater - Østdanmark'!H452</f>
        <v>35998648125</v>
      </c>
      <c r="I452" s="285">
        <f ca="1">'Resultater - Vestdanmark'!I452+'Resultater - Østdanmark'!I452</f>
        <v>61811139096.528664</v>
      </c>
      <c r="J452" s="286">
        <f ca="1">'Resultater - Vestdanmark'!J452+'Resultater - Østdanmark'!J452</f>
        <v>60370431383.16346</v>
      </c>
    </row>
    <row r="453" spans="1:13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84" t="e">
        <f>'Resultater - Vestdanmark'!H453+'Resultater - Østdanmark'!H453</f>
        <v>#N/A</v>
      </c>
      <c r="I453" s="285" t="e">
        <f>'Resultater - Vestdanmark'!I453+'Resultater - Østdanmark'!I453</f>
        <v>#N/A</v>
      </c>
      <c r="J453" s="286" t="e">
        <f>'Resultater - Vestdanmark'!J453+'Resultater - Østdanmark'!J453</f>
        <v>#N/A</v>
      </c>
    </row>
    <row r="454" spans="1:13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84" t="e">
        <f>'Resultater - Vestdanmark'!H454+'Resultater - Østdanmark'!H454</f>
        <v>#N/A</v>
      </c>
      <c r="I454" s="285" t="e">
        <f>'Resultater - Vestdanmark'!I454+'Resultater - Østdanmark'!I454</f>
        <v>#N/A</v>
      </c>
      <c r="J454" s="286" t="e">
        <f>'Resultater - Vestdanmark'!J454+'Resultater - Østdanmark'!J454</f>
        <v>#N/A</v>
      </c>
    </row>
    <row r="455" spans="1:13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84" t="e">
        <f>'Resultater - Vestdanmark'!H455+'Resultater - Østdanmark'!H455</f>
        <v>#N/A</v>
      </c>
      <c r="I455" s="285" t="e">
        <f>'Resultater - Vestdanmark'!I455+'Resultater - Østdanmark'!I455</f>
        <v>#N/A</v>
      </c>
      <c r="J455" s="286" t="e">
        <f>'Resultater - Vestdanmark'!J455+'Resultater - Østdanmark'!J455</f>
        <v>#N/A</v>
      </c>
    </row>
    <row r="456" spans="1:13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84" t="e">
        <f>'Resultater - Vestdanmark'!H456+'Resultater - Østdanmark'!H456</f>
        <v>#N/A</v>
      </c>
      <c r="I456" s="285" t="e">
        <f>'Resultater - Vestdanmark'!I456+'Resultater - Østdanmark'!I456</f>
        <v>#N/A</v>
      </c>
      <c r="J456" s="286" t="e">
        <f>'Resultater - Vestdanmark'!J456+'Resultater - Østdanmark'!J456</f>
        <v>#N/A</v>
      </c>
    </row>
    <row r="457" spans="1:13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84">
        <f ca="1">'Resultater - Vestdanmark'!H457+'Resultater - Østdanmark'!H457</f>
        <v>1349659650248.2622</v>
      </c>
      <c r="I457" s="285">
        <f ca="1">'Resultater - Vestdanmark'!I457+'Resultater - Østdanmark'!I457</f>
        <v>2570445671568.4507</v>
      </c>
      <c r="J457" s="286">
        <f ca="1">'Resultater - Vestdanmark'!J457+'Resultater - Østdanmark'!J457</f>
        <v>2067365259767.8247</v>
      </c>
    </row>
    <row r="458" spans="1:13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84" t="e">
        <f>'Resultater - Vestdanmark'!H458+'Resultater - Østdanmark'!H458</f>
        <v>#N/A</v>
      </c>
      <c r="I458" s="285" t="e">
        <f>'Resultater - Vestdanmark'!I458+'Resultater - Østdanmark'!I458</f>
        <v>#N/A</v>
      </c>
      <c r="J458" s="286" t="e">
        <f>'Resultater - Vestdanmark'!J458+'Resultater - Østdanmark'!J458</f>
        <v>#N/A</v>
      </c>
    </row>
    <row r="459" spans="1:13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8">
        <f>'Resultater - Vestdanmark'!H459+'Resultater - Østdanmark'!H459</f>
        <v>0</v>
      </c>
      <c r="I459" s="289">
        <f>'Resultater - Vestdanmark'!I459+'Resultater - Østdanmark'!I459</f>
        <v>0</v>
      </c>
      <c r="J459" s="290">
        <f>'Resultater - Vestdanmark'!J459+'Resultater - Østdanmark'!J459</f>
        <v>0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88">
        <f>'Resultater - Vestdanmark'!H460+'Resultater - Østdanmark'!H460</f>
        <v>61384486.300000004</v>
      </c>
      <c r="I460" s="289">
        <f>'Resultater - Vestdanmark'!I460+'Resultater - Østdanmark'!I460</f>
        <v>97255000.958356351</v>
      </c>
      <c r="J460" s="290">
        <f>'Resultater - Vestdanmark'!J460+'Resultater - Østdanmark'!J460</f>
        <v>76932774.808352262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7">
        <f>'Resultater - Vestdanmark'!H461+'Resultater - Østdanmark'!H461</f>
        <v>0</v>
      </c>
      <c r="I461" s="289">
        <f>'Resultater - Vestdanmark'!I461+'Resultater - Østdanmark'!I461</f>
        <v>0</v>
      </c>
      <c r="J461" s="290">
        <f>'Resultater - Vestdanmark'!J461+'Resultater - Østdanmark'!J461</f>
        <v>0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87">
        <f>'Resultater - Vestdanmark'!H462+'Resultater - Østdanmark'!H462</f>
        <v>58183.649999999994</v>
      </c>
      <c r="I462" s="289">
        <f>'Resultater - Vestdanmark'!I462+'Resultater - Østdanmark'!I462</f>
        <v>73446.661708991887</v>
      </c>
      <c r="J462" s="290">
        <f>'Resultater - Vestdanmark'!J462+'Resultater - Østdanmark'!J462</f>
        <v>97868.843656038211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87">
        <f>'Resultater - Vestdanmark'!H463+'Resultater - Østdanmark'!H463</f>
        <v>45425220.000000007</v>
      </c>
      <c r="I463" s="289">
        <f>'Resultater - Vestdanmark'!I463+'Resultater - Østdanmark'!I463</f>
        <v>90756679.698366761</v>
      </c>
      <c r="J463" s="290">
        <f>'Resultater - Vestdanmark'!J463+'Resultater - Østdanmark'!J463</f>
        <v>79318558.602534294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87">
        <f>'Resultater - Vestdanmark'!H464+'Resultater - Østdanmark'!H464</f>
        <v>33002599.999999996</v>
      </c>
      <c r="I464" s="289">
        <f>'Resultater - Vestdanmark'!I464+'Resultater - Østdanmark'!I464</f>
        <v>0</v>
      </c>
      <c r="J464" s="290">
        <f>'Resultater - Vestdanmark'!J464+'Resultater - Østdanmark'!J464</f>
        <v>75000000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87">
        <f>'Resultater - Vestdanmark'!H465+'Resultater - Østdanmark'!H465</f>
        <v>2165562</v>
      </c>
      <c r="I465" s="289">
        <f>'Resultater - Vestdanmark'!I465+'Resultater - Østdanmark'!I465</f>
        <v>0</v>
      </c>
      <c r="J465" s="290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87">
        <f ca="1">'Resultater - Vestdanmark'!H466+'Resultater - Østdanmark'!H466</f>
        <v>69194816.600000009</v>
      </c>
      <c r="I466" s="289">
        <f ca="1">'Resultater - Vestdanmark'!I466+'Resultater - Østdanmark'!I466</f>
        <v>34543125.5</v>
      </c>
      <c r="J466" s="290">
        <f ca="1">'Resultater - Vestdanmark'!J466+'Resultater - Østdanmark'!J466</f>
        <v>35091837.300000004</v>
      </c>
      <c r="L466" s="169"/>
      <c r="M466" s="168"/>
    </row>
    <row r="467" spans="1:13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91">
        <f>'Resultater - Vestdanmark'!H467+'Resultater - Østdanmark'!H467</f>
        <v>0</v>
      </c>
      <c r="I467" s="292">
        <f>'Resultater - Vestdanmark'!I467+'Resultater - Østdanmark'!I467</f>
        <v>0</v>
      </c>
      <c r="J467" s="293">
        <f>'Resultater - Vestdanmark'!J467+'Resultater - Østdanmark'!J467</f>
        <v>0</v>
      </c>
    </row>
    <row r="468" spans="1:13" x14ac:dyDescent="0.25">
      <c r="A468" s="157" t="str">
        <f>'Resultater - Vestdanmark'!A468</f>
        <v>Biogasanlæg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Muslinger</v>
      </c>
      <c r="E468" s="157" t="str">
        <f>'Resultater - Vestdanmark'!E468</f>
        <v>Ton</v>
      </c>
      <c r="F468" s="157" t="str">
        <f>'Resultater - Vestdanmark'!F468</f>
        <v>Biogas</v>
      </c>
      <c r="G468" s="157" t="str">
        <f>'Resultater - Vestdanmark'!G468</f>
        <v>Nm3 CH4</v>
      </c>
      <c r="H468" s="294">
        <f>'Resultater - Vestdanmark'!H468+'Resultater - Østdanmark'!H468</f>
        <v>0</v>
      </c>
      <c r="I468" s="295">
        <f>'Resultater - Vestdanmark'!I468+'Resultater - Østdanmark'!I468</f>
        <v>0</v>
      </c>
      <c r="J468" s="296">
        <f>'Resultater - Vestdanmark'!J468+'Resultater - Østdanmark'!J468</f>
        <v>0</v>
      </c>
    </row>
    <row r="469" spans="1:13" x14ac:dyDescent="0.25">
      <c r="A469" s="157" t="str">
        <f>'Resultater - Vestdanmark'!A469</f>
        <v>Biogasanlæg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Tang</v>
      </c>
      <c r="E469" s="157" t="str">
        <f>'Resultater - Vestdanmark'!E469</f>
        <v>Ton</v>
      </c>
      <c r="F469" s="157" t="str">
        <f>'Resultater - Vestdanmark'!F469</f>
        <v>Biogas</v>
      </c>
      <c r="G469" s="157" t="str">
        <f>'Resultater - Vestdanmark'!G469</f>
        <v>Nm3 CH4</v>
      </c>
      <c r="H469" s="294">
        <f>'Resultater - Vestdanmark'!H469+'Resultater - Østdanmark'!H469</f>
        <v>0</v>
      </c>
      <c r="I469" s="295">
        <f>'Resultater - Vestdanmark'!I469+'Resultater - Østdanmark'!I469</f>
        <v>0</v>
      </c>
      <c r="J469" s="296">
        <f>'Resultater - Vestdanmark'!J469+'Resultater - Østdanmark'!J469</f>
        <v>0</v>
      </c>
    </row>
    <row r="470" spans="1:13" x14ac:dyDescent="0.25">
      <c r="A470" s="157" t="str">
        <f>'Resultater - Vestdanmark'!A470</f>
        <v>Biogasanlæg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Have/parkaffald</v>
      </c>
      <c r="E470" s="157" t="str">
        <f>'Resultater - Vestdanmark'!E470</f>
        <v>Ton</v>
      </c>
      <c r="F470" s="157" t="str">
        <f>'Resultater - Vestdanmark'!F470</f>
        <v>Biogas</v>
      </c>
      <c r="G470" s="157" t="str">
        <f>'Resultater - Vestdanmark'!G470</f>
        <v>Nm3 CH4</v>
      </c>
      <c r="H470" s="294">
        <f>'Resultater - Vestdanmark'!H470+'Resultater - Østdanmark'!H470</f>
        <v>0</v>
      </c>
      <c r="I470" s="295">
        <f>'Resultater - Vestdanmark'!I470+'Resultater - Østdanmark'!I470</f>
        <v>0</v>
      </c>
      <c r="J470" s="296">
        <f>'Resultater - Vestdanmark'!J470+'Resultater - Østdanmark'!J470</f>
        <v>0</v>
      </c>
    </row>
    <row r="471" spans="1:13" x14ac:dyDescent="0.25">
      <c r="A471" s="157" t="str">
        <f>'Resultater - Vestdanmark'!A471</f>
        <v>Biogasanlæg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Brun saft</v>
      </c>
      <c r="E471" s="157" t="str">
        <f>'Resultater - Vestdanmark'!E471</f>
        <v>PJ</v>
      </c>
      <c r="F471" s="157" t="str">
        <f>'Resultater - Vestdanmark'!F471</f>
        <v>Biogas</v>
      </c>
      <c r="G471" s="157" t="str">
        <f>'Resultater - Vestdanmark'!G471</f>
        <v>Nm3 CH4</v>
      </c>
      <c r="H471" s="294">
        <f>'Resultater - Vestdanmark'!H471+'Resultater - Østdanmark'!H471</f>
        <v>0</v>
      </c>
      <c r="I471" s="295">
        <f>'Resultater - Vestdanmark'!I471+'Resultater - Østdanmark'!I471</f>
        <v>0</v>
      </c>
      <c r="J471" s="296">
        <f>'Resultater - Vestdanmark'!J471+'Resultater - Østdanmark'!J471</f>
        <v>0</v>
      </c>
    </row>
    <row r="472" spans="1:13" x14ac:dyDescent="0.25">
      <c r="A472" s="157" t="str">
        <f>'Resultater - Vestdanmark'!A472</f>
        <v>Biogasanlæg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Glycerin</v>
      </c>
      <c r="E472" s="157" t="str">
        <f>'Resultater - Vestdanmark'!E472</f>
        <v>Ton</v>
      </c>
      <c r="F472" s="157" t="str">
        <f>'Resultater - Vestdanmark'!F472</f>
        <v>Biogas</v>
      </c>
      <c r="G472" s="157" t="str">
        <f>'Resultater - Vestdanmark'!G472</f>
        <v>Nm3 CH4</v>
      </c>
      <c r="H472" s="294">
        <f>'Resultater - Vestdanmark'!H472+'Resultater - Østdanmark'!H472</f>
        <v>0</v>
      </c>
      <c r="I472" s="295">
        <f>'Resultater - Vestdanmark'!I472+'Resultater - Østdanmark'!I472</f>
        <v>0</v>
      </c>
      <c r="J472" s="296">
        <f>'Resultater - Vestdanmark'!J472+'Resultater - Østdanmark'!J472</f>
        <v>0</v>
      </c>
    </row>
    <row r="473" spans="1:13" x14ac:dyDescent="0.25">
      <c r="A473" s="157" t="str">
        <f>'Resultater - Vestdanmark'!A473</f>
        <v>Biogasanlæg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Spildevandsslam</v>
      </c>
      <c r="E473" s="157" t="str">
        <f>'Resultater - Vestdanmark'!E473</f>
        <v>Ton</v>
      </c>
      <c r="F473" s="157" t="str">
        <f>'Resultater - Vestdanmark'!F473</f>
        <v>Biogas</v>
      </c>
      <c r="G473" s="157" t="str">
        <f>'Resultater - Vestdanmark'!G473</f>
        <v>Nm3 CH4</v>
      </c>
      <c r="H473" s="294">
        <f>'Resultater - Vestdanmark'!H473+'Resultater - Østdanmark'!H473</f>
        <v>0</v>
      </c>
      <c r="I473" s="295">
        <f>'Resultater - Vestdanmark'!I473+'Resultater - Østdanmark'!I473</f>
        <v>0</v>
      </c>
      <c r="J473" s="296">
        <f>'Resultater - Vestdanmark'!J473+'Resultater - Østdanmark'!J473</f>
        <v>0</v>
      </c>
    </row>
    <row r="474" spans="1:13" x14ac:dyDescent="0.25">
      <c r="A474" s="157" t="str">
        <f>'Resultater - Vestdanmark'!A474</f>
        <v>Biogasanlæg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Total til biogas</v>
      </c>
      <c r="E474" s="157" t="str">
        <f>'Resultater - Vestdanmark'!E474</f>
        <v>Ton</v>
      </c>
      <c r="F474" s="157" t="str">
        <f>'Resultater - Vestdanmark'!F474</f>
        <v>Biogasgylle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0</v>
      </c>
      <c r="J474" s="296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Gødning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Svinegylle</v>
      </c>
      <c r="E475" s="157" t="str">
        <f>'Resultater - Vestdanmark'!E475</f>
        <v>Ton</v>
      </c>
      <c r="F475" s="157" t="str">
        <f>'Resultater - Vestdanmark'!F475</f>
        <v>Gødning</v>
      </c>
      <c r="G475" s="157" t="str">
        <f>'Resultater - Vestdanmark'!G475</f>
        <v>kg N</v>
      </c>
      <c r="H475" s="297" t="e">
        <f>'Resultater - Vestdanmark'!H475+'Resultater - Østdanmark'!H475</f>
        <v>#DIV/0!</v>
      </c>
      <c r="I475" s="298" t="e">
        <f>'Resultater - Vestdanmark'!I475+'Resultater - Østdanmark'!I475</f>
        <v>#DIV/0!</v>
      </c>
      <c r="J475" s="299" t="e">
        <f>'Resultater - Vestdanmark'!J475+'Resultater - Østdanmark'!J475</f>
        <v>#DIV/0!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247" activeCellId="1" sqref="N103 N247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0" width="9.5703125" style="190" bestFit="1" customWidth="1"/>
    <col min="11" max="11" width="10.8554687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2" t="s">
        <v>253</v>
      </c>
      <c r="B1" s="362"/>
      <c r="C1" s="362"/>
      <c r="F1" s="363" t="s">
        <v>255</v>
      </c>
      <c r="G1" s="363"/>
      <c r="H1" s="363"/>
      <c r="I1" s="363"/>
      <c r="J1" s="363"/>
      <c r="K1" s="363"/>
      <c r="L1" s="363"/>
      <c r="M1" s="364"/>
      <c r="N1" s="365" t="s">
        <v>256</v>
      </c>
      <c r="O1" s="366"/>
      <c r="P1" s="367"/>
      <c r="Q1" s="359" t="s">
        <v>123</v>
      </c>
      <c r="R1" s="359"/>
      <c r="S1" s="359"/>
      <c r="T1" s="360"/>
      <c r="U1" s="361" t="s">
        <v>230</v>
      </c>
      <c r="V1" s="359"/>
      <c r="W1" s="359"/>
      <c r="X1" s="360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0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258086.32953598633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0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1068597654839.0026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1068597654839.0026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si="1"/>
        <v>0</v>
      </c>
      <c r="P6" s="203">
        <f t="shared" ca="1" si="5"/>
        <v>1068597654839.0026</v>
      </c>
      <c r="Q6" s="190">
        <f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#DIV/0!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si="4"/>
        <v>#DIV/0!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si="2"/>
        <v>#DIV/0!</v>
      </c>
      <c r="Z7" s="103" t="e">
        <f t="shared" si="3"/>
        <v>#DIV/0!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#DIV/0!</v>
      </c>
      <c r="L9" s="193" t="e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#DIV/0!</v>
      </c>
      <c r="M9" s="157" t="e">
        <f>SUMIFS('Forbrug af biomasse'!E:E,'Forbrug af biomasse'!C:C,'Resultat-Produktion &amp; forbrug'!$A9,'Forbrug af biomasse'!D:D,'Resultat-Produktion &amp; forbrug'!$D9,'Forbrug af biomasse'!G:G,1,'Forbrug af biomasse'!B:B,$E9)</f>
        <v>#DIV/0!</v>
      </c>
      <c r="N9" s="202" t="e">
        <f t="shared" si="4"/>
        <v>#DIV/0!</v>
      </c>
      <c r="O9" s="193" t="e">
        <f t="shared" si="1"/>
        <v>#DIV/0!</v>
      </c>
      <c r="P9" s="203" t="e">
        <f>SUM(J9,L9)</f>
        <v>#DIV/0!</v>
      </c>
      <c r="Q9" s="190" t="e">
        <f>IFERROR(VLOOKUP(A9,[1]Energiindhold!$A$2:$C$11,3,FALSE),IFERROR(VLOOKUP(A9,[1]Biogasudbytte!$A$2:$B$18,2,FALSE)*[1]Energiindhold!$C$10,0))*O9</f>
        <v>#DIV/0!</v>
      </c>
      <c r="R9" s="190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#DIV/0!</v>
      </c>
      <c r="S9" s="190">
        <f>IFERROR(VLOOKUP(A9,[1]Biogasudbytte!$A$2:$B$18,2,FALSE)*[1]Energiindhold!$C$10,0)*J9*IFERROR(VLOOKUP(A9,Biogasanlæg!$F$3:$G$8,2,FALSE),1)</f>
        <v>1.4457533225193302</v>
      </c>
      <c r="T9" s="191" t="e">
        <f t="shared" si="6"/>
        <v>#DIV/0!</v>
      </c>
      <c r="U9" s="189" t="e">
        <f>O9*IFERROR(VLOOKUP(A9,[1]Tørstofindhold!A$2:B$24,2,FALSE),0)</f>
        <v>#DIV/0!</v>
      </c>
      <c r="V9" s="190" t="e">
        <f>IF(D9=År1,P9,SUM(O9,P9))*IFERROR(VLOOKUP(A9,[1]Tørstofindhold!A$2:B$24,2,FALSE),0)</f>
        <v>#DIV/0!</v>
      </c>
      <c r="W9" s="190">
        <f>J9*IFERROR(VLOOKUP(A9,[1]Tørstofindhold!A$2:B$24,2,FALSE),0)</f>
        <v>201358.40146508775</v>
      </c>
      <c r="X9" s="191" t="e">
        <f t="shared" si="7"/>
        <v>#DIV/0!</v>
      </c>
      <c r="Y9" s="171" t="e">
        <f t="shared" si="2"/>
        <v>#DIV/0!</v>
      </c>
      <c r="Z9" s="103" t="e">
        <f t="shared" si="3"/>
        <v>#DIV/0!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#DIV/0!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 t="e">
        <f t="shared" si="4"/>
        <v>#DIV/0!</v>
      </c>
      <c r="O11" s="193" t="e">
        <f t="shared" si="1"/>
        <v>#DIV/0!</v>
      </c>
      <c r="P11" s="203">
        <f t="shared" si="5"/>
        <v>4103.8061780475591</v>
      </c>
      <c r="Q11" s="190" t="e">
        <f>IFERROR(VLOOKUP(A11,[1]Energiindhold!$A$2:$C$11,3,FALSE),IFERROR(VLOOKUP(A11,[1]Biogasudbytte!$A$2:$B$18,2,FALSE)*[1]Energiindhold!$C$10,0))*O11</f>
        <v>#DIV/0!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 t="e">
        <f>O11*IFERROR(VLOOKUP(A11,[1]Tørstofindhold!A$2:B$24,2,FALSE),0)</f>
        <v>#DIV/0!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 t="e">
        <f t="shared" si="2"/>
        <v>#DIV/0!</v>
      </c>
      <c r="Z11" s="103" t="e">
        <f t="shared" si="3"/>
        <v>#DIV/0!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0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-34149.438191562753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1</v>
      </c>
      <c r="Z12" s="103">
        <f t="shared" si="3"/>
        <v>0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15811176.57096003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0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75742.498032341784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#N/A</v>
      </c>
      <c r="N16" s="202" t="e">
        <f t="shared" ref="N16:N81" si="9">F16-SUM(G16:M16)</f>
        <v>#N/A</v>
      </c>
      <c r="O16" s="193" t="e">
        <f t="shared" si="1"/>
        <v>#N/A</v>
      </c>
      <c r="P16" s="203">
        <f t="shared" ref="P16:P81" si="10">SUM(J16,L16)</f>
        <v>75742.498032341784</v>
      </c>
      <c r="Q16" s="190" t="e">
        <f>IFERROR(VLOOKUP(A16,[1]Energiindhold!$A$2:$C$11,3,FALSE),IFERROR(VLOOKUP(A16,[1]Biogasudbytte!$A$2:$B$18,2,FALSE)*[1]Energiindhold!$C$10,0))*O16</f>
        <v>#N/A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0.13935672856725484</v>
      </c>
      <c r="S16" s="190">
        <f>IFERROR(VLOOKUP(A16,[1]Biogasudbytte!$A$2:$B$18,2,FALSE)*[1]Energiindhold!$C$10,0)*J16*IFERROR(VLOOKUP(A16,Biogasanlæg!$F$3:$G$8,2,FALSE),1)</f>
        <v>0.13935672856725484</v>
      </c>
      <c r="T16" s="191">
        <f t="shared" ref="T16:T81" si="11">R16-S16</f>
        <v>0</v>
      </c>
      <c r="U16" s="189" t="e">
        <f>O16*IFERROR(VLOOKUP(A16,[1]Tørstofindhold!A$2:B$24,2,FALSE),0)</f>
        <v>#N/A</v>
      </c>
      <c r="V16" s="190">
        <f>IF(D16=År1,P16,SUM(O16,P16))*IFERROR(VLOOKUP(A16,[1]Tørstofindhold!A$2:B$24,2,FALSE),0)</f>
        <v>21207.899449055702</v>
      </c>
      <c r="W16" s="190">
        <f>J16*IFERROR(VLOOKUP(A16,[1]Tørstofindhold!A$2:B$24,2,FALSE),0)</f>
        <v>21207.899449055702</v>
      </c>
      <c r="X16" s="191">
        <f t="shared" ref="X16:X81" si="12">V16-W16</f>
        <v>0</v>
      </c>
      <c r="Y16" s="171" t="e">
        <f t="shared" si="2"/>
        <v>#N/A</v>
      </c>
      <c r="Z16" s="103" t="e">
        <f t="shared" si="3"/>
        <v>#N/A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0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0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1932676.2069756747</v>
      </c>
      <c r="O19" s="193">
        <f t="shared" si="1"/>
        <v>1932676.2069756747</v>
      </c>
      <c r="P19" s="203">
        <f t="shared" si="10"/>
        <v>53138.892747161146</v>
      </c>
      <c r="Q19" s="190">
        <f>IFERROR(VLOOKUP(A19,[1]Energiindhold!$A$2:$C$11,3,FALSE),IFERROR(VLOOKUP(A19,[1]Biogasudbytte!$A$2:$B$18,2,FALSE)*[1]Energiindhold!$C$10,0))*O19</f>
        <v>19.975766991553339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0.3063744116894675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0</v>
      </c>
      <c r="U19" s="189">
        <f>O19*IFERROR(VLOOKUP(A19,[1]Tørstofindhold!A$2:B$24,2,FALSE),0)</f>
        <v>1642774.7759293234</v>
      </c>
      <c r="V19" s="190">
        <f>IF(D19=År1,P19,SUM(O19,P19))*IFERROR(VLOOKUP(A19,[1]Tørstofindhold!A$2:B$24,2,FALSE),0)</f>
        <v>45168.058835086973</v>
      </c>
      <c r="W19" s="190">
        <f>J19*IFERROR(VLOOKUP(A19,[1]Tørstofindhold!A$2:B$24,2,FALSE),0)</f>
        <v>45168.058835086973</v>
      </c>
      <c r="X19" s="191">
        <f t="shared" si="12"/>
        <v>0</v>
      </c>
      <c r="Y19" s="171">
        <f t="shared" si="2"/>
        <v>0</v>
      </c>
      <c r="Z19" s="103">
        <f t="shared" si="3"/>
        <v>1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0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530420.38785042788</v>
      </c>
      <c r="O20" s="193">
        <f t="shared" si="1"/>
        <v>530420.38785042788</v>
      </c>
      <c r="P20" s="203">
        <f t="shared" si="10"/>
        <v>42.099811904105366</v>
      </c>
      <c r="Q20" s="190">
        <f>IFERROR(VLOOKUP(A20,[1]Energiindhold!$A$2:$C$11,3,FALSE),IFERROR(VLOOKUP(A20,[1]Biogasudbytte!$A$2:$B$18,2,FALSE)*[1]Energiindhold!$C$10,0))*O20</f>
        <v>9.4691817325671721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7.148842760000421E-5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0</v>
      </c>
      <c r="U20" s="189">
        <f>O20*IFERROR(VLOOKUP(A20,[1]Tørstofindhold!A$2:B$24,2,FALSE),0)</f>
        <v>159126.11635512835</v>
      </c>
      <c r="V20" s="190">
        <f>IF(D20=År1,P20,SUM(O20,P20))*IFERROR(VLOOKUP(A20,[1]Tørstofindhold!A$2:B$24,2,FALSE),0)</f>
        <v>12.629943571231609</v>
      </c>
      <c r="W20" s="190">
        <f>J20*IFERROR(VLOOKUP(A20,[1]Tørstofindhold!A$2:B$24,2,FALSE),0)</f>
        <v>12.629943571231609</v>
      </c>
      <c r="X20" s="191">
        <f t="shared" si="12"/>
        <v>0</v>
      </c>
      <c r="Y20" s="171">
        <f t="shared" si="2"/>
        <v>0</v>
      </c>
      <c r="Z20" s="103">
        <f t="shared" si="3"/>
        <v>1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0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0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0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429841.93906944501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687256.8850452347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-257414.94597578968</v>
      </c>
      <c r="O22" s="193">
        <f t="shared" si="1"/>
        <v>0</v>
      </c>
      <c r="P22" s="203">
        <f t="shared" si="10"/>
        <v>687256.8850452347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2.531277412351649</v>
      </c>
      <c r="S22" s="190">
        <f>IFERROR(VLOOKUP(A22,[1]Biogasudbytte!$A$2:$B$18,2,FALSE)*[1]Energiindhold!$C$10,0)*J22*IFERROR(VLOOKUP(A22,Biogasanlæg!$F$3:$G$8,2,FALSE),1)</f>
        <v>2.531277412351649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288647.89171899855</v>
      </c>
      <c r="W22" s="190">
        <f>J22*IFERROR(VLOOKUP(A22,[1]Tørstofindhold!A$2:B$24,2,FALSE),0)</f>
        <v>288647.89171899855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0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6544819.9103662297</v>
      </c>
      <c r="O25" s="193">
        <f t="shared" si="1"/>
        <v>6544819.9103662297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22.415091918216888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2028894.1722135311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#DIV/0!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si="9"/>
        <v>#DIV/0!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si="2"/>
        <v>#DIV/0!</v>
      </c>
      <c r="Z26" s="103" t="e">
        <f t="shared" si="3"/>
        <v>#DIV/0!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#DIV/0!</v>
      </c>
      <c r="L27" s="193" t="e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#DIV/0!</v>
      </c>
      <c r="M27" s="157" t="e">
        <f>SUMIFS('Forbrug af biomasse'!E:E,'Forbrug af biomasse'!C:C,'Resultat-Produktion &amp; forbrug'!$A27,'Forbrug af biomasse'!D:D,'Resultat-Produktion &amp; forbrug'!$D27,'Forbrug af biomasse'!G:G,1,'Forbrug af biomasse'!B:B,$E27)</f>
        <v>#DIV/0!</v>
      </c>
      <c r="N27" s="202" t="e">
        <f t="shared" si="9"/>
        <v>#DIV/0!</v>
      </c>
      <c r="O27" s="193" t="e">
        <f t="shared" si="1"/>
        <v>#DIV/0!</v>
      </c>
      <c r="P27" s="203" t="e">
        <f t="shared" si="10"/>
        <v>#DIV/0!</v>
      </c>
      <c r="Q27" s="190" t="e">
        <f>IFERROR(VLOOKUP(A27,[1]Energiindhold!$A$2:$C$11,3,FALSE),IFERROR(VLOOKUP(A27,[1]Biogasudbytte!$A$2:$B$18,2,FALSE)*[1]Energiindhold!$C$10,0))*O27</f>
        <v>#DIV/0!</v>
      </c>
      <c r="R27" s="190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#DIV/0!</v>
      </c>
      <c r="S27" s="190">
        <f>IFERROR(VLOOKUP(A27,[1]Biogasudbytte!$A$2:$B$18,2,FALSE)*[1]Energiindhold!$C$10,0)*J27*IFERROR(VLOOKUP(A27,Biogasanlæg!$F$3:$G$8,2,FALSE),1)</f>
        <v>2.0586061953243981</v>
      </c>
      <c r="T27" s="191" t="e">
        <f t="shared" si="11"/>
        <v>#DIV/0!</v>
      </c>
      <c r="U27" s="189" t="e">
        <f>O27*IFERROR(VLOOKUP(A27,[1]Tørstofindhold!A$2:B$24,2,FALSE),0)</f>
        <v>#DIV/0!</v>
      </c>
      <c r="V27" s="190" t="e">
        <f>IF(D27=År1,P27,SUM(O27,P27))*IFERROR(VLOOKUP(A27,[1]Tørstofindhold!A$2:B$24,2,FALSE),0)</f>
        <v>#DIV/0!</v>
      </c>
      <c r="W27" s="190">
        <f>J27*IFERROR(VLOOKUP(A27,[1]Tørstofindhold!A$2:B$24,2,FALSE),0)</f>
        <v>309081.71011804708</v>
      </c>
      <c r="X27" s="191" t="e">
        <f t="shared" si="12"/>
        <v>#DIV/0!</v>
      </c>
      <c r="Y27" s="171" t="e">
        <f t="shared" si="2"/>
        <v>#DIV/0!</v>
      </c>
      <c r="Z27" s="103" t="e">
        <f t="shared" si="3"/>
        <v>#DIV/0!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0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0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0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0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0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7266717.1008433374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0</v>
      </c>
      <c r="O29" s="193">
        <f t="shared" si="1"/>
        <v>0</v>
      </c>
      <c r="P29" s="203">
        <f t="shared" si="10"/>
        <v>7581538.5357748987</v>
      </c>
      <c r="Q29" s="190">
        <f>IFERROR(VLOOKUP(A29,[1]Energiindhold!$A$2:$C$11,3,FALSE),IFERROR(VLOOKUP(A29,[1]Biogasudbytte!$A$2:$B$18,2,FALSE)*[1]Energiindhold!$C$10,0))*O29</f>
        <v>0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0</v>
      </c>
      <c r="V29" s="190">
        <f>IF(D29=År1,P29,SUM(O29,P29))*IFERROR(VLOOKUP(A29,[1]Tørstofindhold!A$2:B$24,2,FALSE),0)</f>
        <v>2274461.5607324694</v>
      </c>
      <c r="W29" s="190">
        <f>J29*IFERROR(VLOOKUP(A29,[1]Tørstofindhold!A$2:B$24,2,FALSE),0)</f>
        <v>94446.430479468312</v>
      </c>
      <c r="X29" s="191">
        <f t="shared" si="12"/>
        <v>2180015.1302530011</v>
      </c>
      <c r="Y29" s="171">
        <f t="shared" si="2"/>
        <v>0</v>
      </c>
      <c r="Z29" s="103">
        <f t="shared" si="3"/>
        <v>0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0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-457077.09579476295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1</v>
      </c>
      <c r="Z30" s="103">
        <f t="shared" si="3"/>
        <v>0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0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-58080.313724265572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1</v>
      </c>
      <c r="Z32" s="103">
        <f t="shared" si="3"/>
        <v>0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0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0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172205.06744997756</v>
      </c>
      <c r="O34" s="193">
        <f t="shared" si="1"/>
        <v>0</v>
      </c>
      <c r="P34" s="203">
        <f t="shared" si="10"/>
        <v>0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0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0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0</v>
      </c>
      <c r="W34" s="190">
        <f>J34*IFERROR(VLOOKUP(A34,[1]Tørstofindhold!A$2:B$24,2,FALSE),0)</f>
        <v>0</v>
      </c>
      <c r="X34" s="191">
        <f t="shared" si="12"/>
        <v>0</v>
      </c>
      <c r="Y34" s="171">
        <f t="shared" si="2"/>
        <v>0</v>
      </c>
      <c r="Z34" s="103">
        <f t="shared" si="3"/>
        <v>1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0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0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 t="e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#N/A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 t="e">
        <f t="shared" si="9"/>
        <v>#N/A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 t="e">
        <f t="shared" si="2"/>
        <v>#N/A</v>
      </c>
      <c r="Z37" s="103" t="e">
        <f t="shared" si="3"/>
        <v>#N/A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0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0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0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0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0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0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0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0</v>
      </c>
      <c r="N40" s="202">
        <f t="shared" si="9"/>
        <v>0</v>
      </c>
      <c r="O40" s="193">
        <f t="shared" si="1"/>
        <v>0</v>
      </c>
      <c r="P40" s="203">
        <f t="shared" si="10"/>
        <v>0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0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0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372348.346191775</v>
      </c>
      <c r="O41" s="193">
        <f t="shared" si="1"/>
        <v>372348.346191775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1.010568305498325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74469.669238354996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0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0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0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0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0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0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0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3727146.4907319495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1440479.6077343735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2286666.8829975761</v>
      </c>
      <c r="O44" s="193">
        <f t="shared" si="1"/>
        <v>2286666.8829975761</v>
      </c>
      <c r="P44" s="203">
        <f t="shared" si="10"/>
        <v>1440479.6077343735</v>
      </c>
      <c r="Q44" s="190">
        <f>IFERROR(VLOOKUP(A44,[1]Energiindhold!$A$2:$C$11,3,FALSE),IFERROR(VLOOKUP(A44,[1]Biogasudbytte!$A$2:$B$18,2,FALSE)*[1]Energiindhold!$C$10,0))*O44</f>
        <v>1.1410696412846206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0.71881372905552987</v>
      </c>
      <c r="S44" s="190">
        <f>IFERROR(VLOOKUP(A44,[1]Biogasudbytte!$A$2:$B$18,2,FALSE)*[1]Energiindhold!$C$10,0)*J44*IFERROR(VLOOKUP(A44,Biogasanlæg!$F$3:$G$8,2,FALSE),1)</f>
        <v>0.71881372905552987</v>
      </c>
      <c r="T44" s="191">
        <f t="shared" si="11"/>
        <v>0</v>
      </c>
      <c r="U44" s="189">
        <f>O44*IFERROR(VLOOKUP(A44,[1]Tørstofindhold!A$2:B$24,2,FALSE),0)</f>
        <v>137200.01297985457</v>
      </c>
      <c r="V44" s="190">
        <f>IF(D44=År1,P44,SUM(O44,P44))*IFERROR(VLOOKUP(A44,[1]Tørstofindhold!A$2:B$24,2,FALSE),0)</f>
        <v>86428.776464062408</v>
      </c>
      <c r="W44" s="190">
        <f>J44*IFERROR(VLOOKUP(A44,[1]Tørstofindhold!A$2:B$24,2,FALSE),0)</f>
        <v>86428.776464062408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#DIV/0!</v>
      </c>
      <c r="L45" s="193" t="e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#DIV/0!</v>
      </c>
      <c r="M45" s="157" t="e">
        <f>SUMIFS('Forbrug af biomasse'!E:E,'Forbrug af biomasse'!C:C,'Resultat-Produktion &amp; forbrug'!$A45,'Forbrug af biomasse'!D:D,'Resultat-Produktion &amp; forbrug'!$D45,'Forbrug af biomasse'!G:G,1,'Forbrug af biomasse'!B:B,$E45)</f>
        <v>#DIV/0!</v>
      </c>
      <c r="N45" s="202" t="e">
        <f t="shared" si="9"/>
        <v>#DIV/0!</v>
      </c>
      <c r="O45" s="193" t="e">
        <f t="shared" si="1"/>
        <v>#DIV/0!</v>
      </c>
      <c r="P45" s="203" t="e">
        <f t="shared" si="10"/>
        <v>#DIV/0!</v>
      </c>
      <c r="Q45" s="190" t="e">
        <f>IFERROR(VLOOKUP(A45,[1]Energiindhold!$A$2:$C$11,3,FALSE),IFERROR(VLOOKUP(A45,[1]Biogasudbytte!$A$2:$B$18,2,FALSE)*[1]Energiindhold!$C$10,0))*O45</f>
        <v>#DIV/0!</v>
      </c>
      <c r="R45" s="190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#DIV/0!</v>
      </c>
      <c r="S45" s="190">
        <f>IFERROR(VLOOKUP(A45,[1]Biogasudbytte!$A$2:$B$18,2,FALSE)*[1]Energiindhold!$C$10,0)*J45*IFERROR(VLOOKUP(A45,Biogasanlæg!$F$3:$G$8,2,FALSE),1)</f>
        <v>1.0918376450385874</v>
      </c>
      <c r="T45" s="191" t="e">
        <f t="shared" si="11"/>
        <v>#DIV/0!</v>
      </c>
      <c r="U45" s="189" t="e">
        <f>O45*IFERROR(VLOOKUP(A45,[1]Tørstofindhold!A$2:B$24,2,FALSE),0)</f>
        <v>#DIV/0!</v>
      </c>
      <c r="V45" s="190" t="e">
        <f>IF(D45=År1,P45,SUM(O45,P45))*IFERROR(VLOOKUP(A45,[1]Tørstofindhold!A$2:B$24,2,FALSE),0)</f>
        <v>#DIV/0!</v>
      </c>
      <c r="W45" s="190">
        <f>J45*IFERROR(VLOOKUP(A45,[1]Tørstofindhold!A$2:B$24,2,FALSE),0)</f>
        <v>126722.10364886111</v>
      </c>
      <c r="X45" s="191" t="e">
        <f t="shared" si="12"/>
        <v>#DIV/0!</v>
      </c>
      <c r="Y45" s="171" t="e">
        <f t="shared" si="2"/>
        <v>#DIV/0!</v>
      </c>
      <c r="Z45" s="103" t="e">
        <f t="shared" si="3"/>
        <v>#DIV/0!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0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-117920.63695532705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1</v>
      </c>
      <c r="Z46" s="103">
        <f t="shared" si="3"/>
        <v>0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0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1634998.8306815128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1634998.8306815128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1634998.8306815128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23.696968205169586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23.696968205169586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808643.17167456483</v>
      </c>
      <c r="W49" s="190">
        <f>J49*IFERROR(VLOOKUP(A49,[1]Tørstofindhold!A$2:B$24,2,FALSE),0)</f>
        <v>0</v>
      </c>
      <c r="X49" s="191">
        <f t="shared" si="12"/>
        <v>808643.17167456483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0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735284.33485275437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0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691844.62211542123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0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2095470443340.8579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2095470443340.8579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si="1"/>
        <v>0</v>
      </c>
      <c r="P54" s="203">
        <f t="shared" ca="1" si="10"/>
        <v>2095470443340.8579</v>
      </c>
      <c r="Q54" s="190">
        <f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#DIV/0!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si="9"/>
        <v>#DIV/0!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si="2"/>
        <v>#DIV/0!</v>
      </c>
      <c r="Z55" s="103" t="e">
        <f t="shared" si="3"/>
        <v>#DIV/0!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2150858.1410453846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1333532.0474481385</v>
      </c>
      <c r="K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#DIV/0!</v>
      </c>
      <c r="L57" s="193" t="e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#DIV/0!</v>
      </c>
      <c r="M57" s="157" t="e">
        <f>SUMIFS('Forbrug af biomasse'!E:E,'Forbrug af biomasse'!C:C,'Resultat-Produktion &amp; forbrug'!$A57,'Forbrug af biomasse'!D:D,'Resultat-Produktion &amp; forbrug'!$D57,'Forbrug af biomasse'!G:G,1,'Forbrug af biomasse'!B:B,$E57)</f>
        <v>#DIV/0!</v>
      </c>
      <c r="N57" s="202" t="e">
        <f t="shared" si="9"/>
        <v>#DIV/0!</v>
      </c>
      <c r="O57" s="193" t="e">
        <f t="shared" si="1"/>
        <v>#DIV/0!</v>
      </c>
      <c r="P57" s="203" t="e">
        <f t="shared" si="10"/>
        <v>#DIV/0!</v>
      </c>
      <c r="Q57" s="190" t="e">
        <f>IFERROR(VLOOKUP(A57,[1]Energiindhold!$A$2:$C$11,3,FALSE),IFERROR(VLOOKUP(A57,[1]Biogasudbytte!$A$2:$B$18,2,FALSE)*[1]Energiindhold!$C$10,0))*O57</f>
        <v>#DIV/0!</v>
      </c>
      <c r="R57" s="190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#DIV/0!</v>
      </c>
      <c r="S57" s="190">
        <f>IFERROR(VLOOKUP(A57,[1]Biogasudbytte!$A$2:$B$18,2,FALSE)*[1]Energiindhold!$C$10,0)*J57*IFERROR(VLOOKUP(A57,Biogasanlæg!$F$3:$G$8,2,FALSE),1)</f>
        <v>2.8724280302032903</v>
      </c>
      <c r="T57" s="191" t="e">
        <f t="shared" si="11"/>
        <v>#DIV/0!</v>
      </c>
      <c r="U57" s="189" t="e">
        <f>O57*IFERROR(VLOOKUP(A57,[1]Tørstofindhold!A$2:B$24,2,FALSE),0)</f>
        <v>#DIV/0!</v>
      </c>
      <c r="V57" s="190" t="e">
        <f>IF(D57=År1,P57,SUM(O57,P57))*IFERROR(VLOOKUP(A57,[1]Tørstofindhold!A$2:B$24,2,FALSE),0)</f>
        <v>#DIV/0!</v>
      </c>
      <c r="W57" s="190">
        <f>J57*IFERROR(VLOOKUP(A57,[1]Tørstofindhold!A$2:B$24,2,FALSE),0)</f>
        <v>400059.61423444154</v>
      </c>
      <c r="X57" s="191" t="e">
        <f t="shared" si="12"/>
        <v>#DIV/0!</v>
      </c>
      <c r="Y57" s="171" t="e">
        <f t="shared" si="2"/>
        <v>#DIV/0!</v>
      </c>
      <c r="Z57" s="103" t="e">
        <f t="shared" si="3"/>
        <v>#DIV/0!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5172.4902040381994</v>
      </c>
      <c r="K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#DIV/0!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 t="e">
        <f t="shared" si="9"/>
        <v>#DIV/0!</v>
      </c>
      <c r="O59" s="193" t="e">
        <f t="shared" si="1"/>
        <v>#DIV/0!</v>
      </c>
      <c r="P59" s="203">
        <f t="shared" si="10"/>
        <v>5172.4902040381994</v>
      </c>
      <c r="Q59" s="190" t="e">
        <f>IFERROR(VLOOKUP(A59,[1]Energiindhold!$A$2:$C$11,3,FALSE),IFERROR(VLOOKUP(A59,[1]Biogasudbytte!$A$2:$B$18,2,FALSE)*[1]Energiindhold!$C$10,0))*O59</f>
        <v>#DIV/0!</v>
      </c>
      <c r="R59" s="190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#DIV/0!</v>
      </c>
      <c r="S59" s="190">
        <f>IFERROR(VLOOKUP(A59,[1]Biogasudbytte!$A$2:$B$18,2,FALSE)*[1]Energiindhold!$C$10,0)*J59*IFERROR(VLOOKUP(A59,Biogasanlæg!$F$3:$G$8,2,FALSE),1)</f>
        <v>2.4325704180571247E-3</v>
      </c>
      <c r="T59" s="191" t="e">
        <f t="shared" si="11"/>
        <v>#DIV/0!</v>
      </c>
      <c r="U59" s="189" t="e">
        <f>O59*IFERROR(VLOOKUP(A59,[1]Tørstofindhold!A$2:B$24,2,FALSE),0)</f>
        <v>#DIV/0!</v>
      </c>
      <c r="V59" s="190" t="e">
        <f>IF(D59=År1,P59,SUM(O59,P59))*IFERROR(VLOOKUP(A59,[1]Tørstofindhold!A$2:B$24,2,FALSE),0)</f>
        <v>#DIV/0!</v>
      </c>
      <c r="W59" s="190">
        <f>J59*IFERROR(VLOOKUP(A59,[1]Tørstofindhold!A$2:B$24,2,FALSE),0)</f>
        <v>325.86688285440658</v>
      </c>
      <c r="X59" s="191" t="e">
        <f t="shared" si="12"/>
        <v>#DIV/0!</v>
      </c>
      <c r="Y59" s="171" t="e">
        <f t="shared" si="2"/>
        <v>#DIV/0!</v>
      </c>
      <c r="Z59" s="103" t="e">
        <f t="shared" si="3"/>
        <v>#DIV/0!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0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-28235.813279266553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1</v>
      </c>
      <c r="Z60" s="103">
        <f t="shared" si="3"/>
        <v>0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1001970.2375971108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1001970.2375971108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139807.2046539399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-118116.08972397572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13481473.73577025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0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#N/A</v>
      </c>
      <c r="N64" s="202" t="e">
        <f t="shared" si="9"/>
        <v>#N/A</v>
      </c>
      <c r="O64" s="193" t="e">
        <f t="shared" si="1"/>
        <v>#N/A</v>
      </c>
      <c r="P64" s="203">
        <f t="shared" si="10"/>
        <v>0</v>
      </c>
      <c r="Q64" s="190" t="e">
        <f>IFERROR(VLOOKUP(A64,[1]Energiindhold!$A$2:$C$11,3,FALSE),IFERROR(VLOOKUP(A64,[1]Biogasudbytte!$A$2:$B$18,2,FALSE)*[1]Energiindhold!$C$10,0))*O64</f>
        <v>#N/A</v>
      </c>
      <c r="R64" s="190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#N/A</v>
      </c>
      <c r="S64" s="190">
        <f>IFERROR(VLOOKUP(A64,[1]Biogasudbytte!$A$2:$B$18,2,FALSE)*[1]Energiindhold!$C$10,0)*J64*IFERROR(VLOOKUP(A64,Biogasanlæg!$F$3:$G$8,2,FALSE),1)</f>
        <v>0</v>
      </c>
      <c r="T64" s="191" t="e">
        <f t="shared" si="11"/>
        <v>#N/A</v>
      </c>
      <c r="U64" s="189" t="e">
        <f>O64*IFERROR(VLOOKUP(A64,[1]Tørstofindhold!A$2:B$24,2,FALSE),0)</f>
        <v>#N/A</v>
      </c>
      <c r="V64" s="190" t="e">
        <f>IF(D64=År1,P64,SUM(O64,P64))*IFERROR(VLOOKUP(A64,[1]Tørstofindhold!A$2:B$24,2,FALSE),0)</f>
        <v>#N/A</v>
      </c>
      <c r="W64" s="190">
        <f>J64*IFERROR(VLOOKUP(A64,[1]Tørstofindhold!A$2:B$24,2,FALSE),0)</f>
        <v>0</v>
      </c>
      <c r="X64" s="191" t="e">
        <f t="shared" si="12"/>
        <v>#N/A</v>
      </c>
      <c r="Y64" s="171" t="e">
        <f t="shared" si="2"/>
        <v>#N/A</v>
      </c>
      <c r="Z64" s="103" t="e">
        <f t="shared" si="3"/>
        <v>#N/A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1502657.2310032574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1232516.5174179669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0</v>
      </c>
      <c r="Z66" s="103">
        <f t="shared" si="3"/>
        <v>1</v>
      </c>
    </row>
    <row r="67" spans="1:26" hidden="1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2924190.6957464674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0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583713.23835090676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0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1084674.6083721975</v>
      </c>
      <c r="N67" s="202">
        <f t="shared" si="9"/>
        <v>1255802.8490233631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1255802.8490233631</v>
      </c>
      <c r="P67" s="203">
        <f t="shared" si="10"/>
        <v>0</v>
      </c>
      <c r="Q67" s="190">
        <f>IFERROR(VLOOKUP(A67,[1]Energiindhold!$A$2:$C$11,3,FALSE),IFERROR(VLOOKUP(A67,[1]Biogasudbytte!$A$2:$B$18,2,FALSE)*[1]Energiindhold!$C$10,0))*O67</f>
        <v>12.979735047638673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12.979735047638673</v>
      </c>
      <c r="S67" s="190">
        <f>IFERROR(VLOOKUP(A67,[1]Biogasudbytte!$A$2:$B$18,2,FALSE)*[1]Energiindhold!$C$10,0)*J67*IFERROR(VLOOKUP(A67,Biogasanlæg!$F$3:$G$8,2,FALSE),1)</f>
        <v>0</v>
      </c>
      <c r="T67" s="191">
        <f t="shared" si="11"/>
        <v>12.979735047638673</v>
      </c>
      <c r="U67" s="189">
        <f>O67*IFERROR(VLOOKUP(A67,[1]Tørstofindhold!A$2:B$24,2,FALSE),0)</f>
        <v>1067432.4216698585</v>
      </c>
      <c r="V67" s="190">
        <f>IF(D67=År1,P67,SUM(O67,P67))*IFERROR(VLOOKUP(A67,[1]Tørstofindhold!A$2:B$24,2,FALSE),0)</f>
        <v>1067432.4216698585</v>
      </c>
      <c r="W67" s="190">
        <f>J67*IFERROR(VLOOKUP(A67,[1]Tørstofindhold!A$2:B$24,2,FALSE),0)</f>
        <v>0</v>
      </c>
      <c r="X67" s="191">
        <f t="shared" si="12"/>
        <v>1067432.4216698585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1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0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97976.042029459204</v>
      </c>
      <c r="O68" s="193">
        <f t="shared" si="20"/>
        <v>97976.042029459204</v>
      </c>
      <c r="P68" s="203">
        <f t="shared" si="10"/>
        <v>428758.06783893198</v>
      </c>
      <c r="Q68" s="190">
        <f>IFERROR(VLOOKUP(A68,[1]Energiindhold!$A$2:$C$11,3,FALSE),IFERROR(VLOOKUP(A68,[1]Biogasudbytte!$A$2:$B$18,2,FALSE)*[1]Energiindhold!$C$10,0))*O68</f>
        <v>1.7490899080527118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90">
        <f>IFERROR(VLOOKUP(A68,[1]Biogasudbytte!$A$2:$B$18,2,FALSE)*[1]Energiindhold!$C$10,0)*J68*IFERROR(VLOOKUP(A68,Biogasanlæg!$F$3:$G$8,2,FALSE),1)</f>
        <v>0.72806121225525533</v>
      </c>
      <c r="T68" s="191">
        <f t="shared" si="11"/>
        <v>1.7490899080527118</v>
      </c>
      <c r="U68" s="189">
        <f>O68*IFERROR(VLOOKUP(A68,[1]Tørstofindhold!A$2:B$24,2,FALSE),0)</f>
        <v>29392.812608837761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128627.42035167958</v>
      </c>
      <c r="X68" s="191">
        <f t="shared" si="12"/>
        <v>29392.812608837761</v>
      </c>
      <c r="Y68" s="171">
        <f t="shared" si="21"/>
        <v>0</v>
      </c>
      <c r="Z68" s="103">
        <f t="shared" si="22"/>
        <v>1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0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0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382848.74865523074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402045.16595851834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-19196.417303287599</v>
      </c>
      <c r="O70" s="193">
        <f t="shared" si="20"/>
        <v>0</v>
      </c>
      <c r="P70" s="203">
        <f t="shared" si="10"/>
        <v>402045.16595851834</v>
      </c>
      <c r="Q70" s="190">
        <f>IFERROR(VLOOKUP(A70,[1]Energiindhold!$A$2:$C$11,3,FALSE),IFERROR(VLOOKUP(A70,[1]Biogasudbytte!$A$2:$B$18,2,FALSE)*[1]Energiindhold!$C$10,0))*O70</f>
        <v>0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1.4807968744743594</v>
      </c>
      <c r="S70" s="190">
        <f>IFERROR(VLOOKUP(A70,[1]Biogasudbytte!$A$2:$B$18,2,FALSE)*[1]Energiindhold!$C$10,0)*J70*IFERROR(VLOOKUP(A70,Biogasanlæg!$F$3:$G$8,2,FALSE),1)</f>
        <v>1.4807968744743594</v>
      </c>
      <c r="T70" s="191">
        <f t="shared" si="11"/>
        <v>0</v>
      </c>
      <c r="U70" s="189">
        <f>O70*IFERROR(VLOOKUP(A70,[1]Tørstofindhold!A$2:B$24,2,FALSE),0)</f>
        <v>0</v>
      </c>
      <c r="V70" s="190">
        <f>IF(D70=År1,P70,SUM(O70,P70))*IFERROR(VLOOKUP(A70,[1]Tørstofindhold!A$2:B$24,2,FALSE),0)</f>
        <v>168858.96970257768</v>
      </c>
      <c r="W70" s="190">
        <f>J70*IFERROR(VLOOKUP(A70,[1]Tørstofindhold!A$2:B$24,2,FALSE),0)</f>
        <v>168858.96970257768</v>
      </c>
      <c r="X70" s="191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644035.8493924035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644035.8493924035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2153496.967481425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2029965.2843846339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4836920.0011490174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0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4540986.9581259349</v>
      </c>
      <c r="O73" s="193">
        <f t="shared" si="20"/>
        <v>4540986.9581259349</v>
      </c>
      <c r="P73" s="203">
        <f t="shared" si="10"/>
        <v>0</v>
      </c>
      <c r="Q73" s="190">
        <f>IFERROR(VLOOKUP(A73,[1]Energiindhold!$A$2:$C$11,3,FALSE),IFERROR(VLOOKUP(A73,[1]Biogasudbytte!$A$2:$B$18,2,FALSE)*[1]Energiindhold!$C$10,0))*O73</f>
        <v>15.552244593407192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15.552244593407192</v>
      </c>
      <c r="S73" s="190">
        <f>IFERROR(VLOOKUP(A73,[1]Biogasudbytte!$A$2:$B$18,2,FALSE)*[1]Energiindhold!$C$10,0)*J73*IFERROR(VLOOKUP(A73,Biogasanlæg!$F$3:$G$8,2,FALSE),1)</f>
        <v>0</v>
      </c>
      <c r="T73" s="191">
        <f t="shared" si="11"/>
        <v>15.552244593407192</v>
      </c>
      <c r="U73" s="189">
        <f>O73*IFERROR(VLOOKUP(A73,[1]Tørstofindhold!A$2:B$24,2,FALSE),0)</f>
        <v>1407705.9570190399</v>
      </c>
      <c r="V73" s="190">
        <f>IF(D73=År1,P73,SUM(O73,P73))*IFERROR(VLOOKUP(A73,[1]Tørstofindhold!A$2:B$24,2,FALSE),0)</f>
        <v>1407705.9570190399</v>
      </c>
      <c r="W73" s="190">
        <f>J73*IFERROR(VLOOKUP(A73,[1]Tørstofindhold!A$2:B$24,2,FALSE),0)</f>
        <v>0</v>
      </c>
      <c r="X73" s="191">
        <f t="shared" si="12"/>
        <v>1407705.9570190399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#DIV/0!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si="9"/>
        <v>#DIV/0!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si="21"/>
        <v>#DIV/0!</v>
      </c>
      <c r="Z74" s="103" t="e">
        <f t="shared" si="22"/>
        <v>#DIV/0!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6439814.3688225495</v>
      </c>
      <c r="K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#DIV/0!</v>
      </c>
      <c r="L75" s="193" t="e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#DIV/0!</v>
      </c>
      <c r="M75" s="157" t="e">
        <f>SUMIFS('Forbrug af biomasse'!E:E,'Forbrug af biomasse'!C:C,'Resultat-Produktion &amp; forbrug'!$A75,'Forbrug af biomasse'!D:D,'Resultat-Produktion &amp; forbrug'!$D75,'Forbrug af biomasse'!G:G,1,'Forbrug af biomasse'!B:B,$E75)</f>
        <v>#DIV/0!</v>
      </c>
      <c r="N75" s="202" t="e">
        <f t="shared" si="9"/>
        <v>#DIV/0!</v>
      </c>
      <c r="O75" s="193" t="e">
        <f t="shared" si="20"/>
        <v>#DIV/0!</v>
      </c>
      <c r="P75" s="203" t="e">
        <f t="shared" si="10"/>
        <v>#DIV/0!</v>
      </c>
      <c r="Q75" s="190" t="e">
        <f>IFERROR(VLOOKUP(A75,[1]Energiindhold!$A$2:$C$11,3,FALSE),IFERROR(VLOOKUP(A75,[1]Biogasudbytte!$A$2:$B$18,2,FALSE)*[1]Energiindhold!$C$10,0))*O75</f>
        <v>#DIV/0!</v>
      </c>
      <c r="R75" s="190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#DIV/0!</v>
      </c>
      <c r="S75" s="190">
        <f>IFERROR(VLOOKUP(A75,[1]Biogasudbytte!$A$2:$B$18,2,FALSE)*[1]Energiindhold!$C$10,0)*J75*IFERROR(VLOOKUP(A75,Biogasanlæg!$F$3:$G$8,2,FALSE),1)</f>
        <v>3.2597696353542869</v>
      </c>
      <c r="T75" s="191" t="e">
        <f t="shared" si="11"/>
        <v>#DIV/0!</v>
      </c>
      <c r="U75" s="189" t="e">
        <f>O75*IFERROR(VLOOKUP(A75,[1]Tørstofindhold!A$2:B$24,2,FALSE),0)</f>
        <v>#DIV/0!</v>
      </c>
      <c r="V75" s="190" t="e">
        <f>IF(D75=År1,P75,SUM(O75,P75))*IFERROR(VLOOKUP(A75,[1]Tørstofindhold!A$2:B$24,2,FALSE),0)</f>
        <v>#DIV/0!</v>
      </c>
      <c r="W75" s="190">
        <f>J75*IFERROR(VLOOKUP(A75,[1]Tørstofindhold!A$2:B$24,2,FALSE),0)</f>
        <v>489425.89203051373</v>
      </c>
      <c r="X75" s="191" t="e">
        <f t="shared" si="12"/>
        <v>#DIV/0!</v>
      </c>
      <c r="Y75" s="171" t="e">
        <f t="shared" si="21"/>
        <v>#DIV/0!</v>
      </c>
      <c r="Z75" s="103" t="e">
        <f t="shared" si="22"/>
        <v>#DIV/0!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0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0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0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0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4026803.5120526911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0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4026803.5120526911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0</v>
      </c>
      <c r="O77" s="193">
        <f t="shared" si="20"/>
        <v>0</v>
      </c>
      <c r="P77" s="203">
        <f t="shared" si="10"/>
        <v>4026803.5120526911</v>
      </c>
      <c r="Q77" s="190">
        <f>IFERROR(VLOOKUP(A77,[1]Energiindhold!$A$2:$C$11,3,FALSE),IFERROR(VLOOKUP(A77,[1]Biogasudbytte!$A$2:$B$18,2,FALSE)*[1]Energiindhold!$C$10,0))*O77</f>
        <v>0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90">
        <f>IFERROR(VLOOKUP(A77,[1]Biogasudbytte!$A$2:$B$18,2,FALSE)*[1]Energiindhold!$C$10,0)*J77*IFERROR(VLOOKUP(A77,Biogasanlæg!$F$3:$G$8,2,FALSE),1)</f>
        <v>0</v>
      </c>
      <c r="T77" s="191">
        <f t="shared" si="11"/>
        <v>0</v>
      </c>
      <c r="U77" s="189">
        <f>O77*IFERROR(VLOOKUP(A77,[1]Tørstofindhold!A$2:B$24,2,FALSE),0)</f>
        <v>0</v>
      </c>
      <c r="V77" s="190">
        <f>IF(D77=År1,P77,SUM(O77,P77))*IFERROR(VLOOKUP(A77,[1]Tørstofindhold!A$2:B$24,2,FALSE),0)</f>
        <v>1208041.0536158073</v>
      </c>
      <c r="W77" s="190">
        <f>J77*IFERROR(VLOOKUP(A77,[1]Tørstofindhold!A$2:B$24,2,FALSE),0)</f>
        <v>0</v>
      </c>
      <c r="X77" s="191">
        <f t="shared" si="12"/>
        <v>1208041.0536158073</v>
      </c>
      <c r="Y77" s="171">
        <f t="shared" si="21"/>
        <v>0</v>
      </c>
      <c r="Z77" s="103">
        <f t="shared" si="22"/>
        <v>0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0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-472406.87601849809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1</v>
      </c>
      <c r="Z78" s="103">
        <f t="shared" si="22"/>
        <v>0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0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-48022.602431121806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1412647.5447842737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1412647.5447842737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0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134802.2173997864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0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134802.2173997864</v>
      </c>
      <c r="O82" s="193">
        <f t="shared" si="20"/>
        <v>0</v>
      </c>
      <c r="P82" s="203">
        <f t="shared" ref="P82:P149" si="24">SUM(J82,L82)</f>
        <v>0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0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0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0</v>
      </c>
      <c r="W82" s="190">
        <f>J82*IFERROR(VLOOKUP(A82,[1]Tørstofindhold!A$2:B$24,2,FALSE),0)</f>
        <v>0</v>
      </c>
      <c r="X82" s="191">
        <f t="shared" ref="X82:X149" si="26">V82-W82</f>
        <v>0</v>
      </c>
      <c r="Y82" s="171">
        <f t="shared" si="21"/>
        <v>0</v>
      </c>
      <c r="Z82" s="103">
        <f t="shared" si="22"/>
        <v>1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0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0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3" t="e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#DIV/0!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 t="e">
        <f t="shared" si="23"/>
        <v>#DIV/0!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 t="e">
        <f t="shared" si="21"/>
        <v>#DIV/0!</v>
      </c>
      <c r="Z85" s="103" t="e">
        <f t="shared" si="22"/>
        <v>#DIV/0!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663977.87373411702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663977.87373411702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0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0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0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0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0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0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0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0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0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0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668679.49055744556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0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668679.49055744556</v>
      </c>
      <c r="O89" s="193">
        <f t="shared" si="20"/>
        <v>668679.49055744556</v>
      </c>
      <c r="P89" s="203">
        <f t="shared" si="24"/>
        <v>0</v>
      </c>
      <c r="Q89" s="190">
        <f>IFERROR(VLOOKUP(A89,[1]Energiindhold!$A$2:$C$11,3,FALSE),IFERROR(VLOOKUP(A89,[1]Biogasudbytte!$A$2:$B$18,2,FALSE)*[1]Energiindhold!$C$10,0))*O89</f>
        <v>1.8148228845525296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1.8148228845525296</v>
      </c>
      <c r="S89" s="190">
        <f>IFERROR(VLOOKUP(A89,[1]Biogasudbytte!$A$2:$B$18,2,FALSE)*[1]Energiindhold!$C$10,0)*J89*IFERROR(VLOOKUP(A89,Biogasanlæg!$F$3:$G$8,2,FALSE),1)</f>
        <v>0</v>
      </c>
      <c r="T89" s="191">
        <f t="shared" si="25"/>
        <v>1.8148228845525296</v>
      </c>
      <c r="U89" s="189">
        <f>O89*IFERROR(VLOOKUP(A89,[1]Tørstofindhold!A$2:B$24,2,FALSE),0)</f>
        <v>133735.89811148911</v>
      </c>
      <c r="V89" s="190">
        <f>IF(D89=År1,P89,SUM(O89,P89))*IFERROR(VLOOKUP(A89,[1]Tørstofindhold!A$2:B$24,2,FALSE),0)</f>
        <v>133735.89811148911</v>
      </c>
      <c r="W89" s="190">
        <f>J89*IFERROR(VLOOKUP(A89,[1]Tørstofindhold!A$2:B$24,2,FALSE),0)</f>
        <v>0</v>
      </c>
      <c r="X89" s="191">
        <f t="shared" si="26"/>
        <v>133735.89811148911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0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0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0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0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0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0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0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3852150.2091205032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1926075.1045602516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1926075.1045602516</v>
      </c>
      <c r="O92" s="193">
        <f t="shared" si="20"/>
        <v>1926075.1045602516</v>
      </c>
      <c r="P92" s="203">
        <f t="shared" si="24"/>
        <v>1926075.1045602516</v>
      </c>
      <c r="Q92" s="190">
        <f>IFERROR(VLOOKUP(A92,[1]Energiindhold!$A$2:$C$11,3,FALSE),IFERROR(VLOOKUP(A92,[1]Biogasudbytte!$A$2:$B$18,2,FALSE)*[1]Energiindhold!$C$10,0))*O92</f>
        <v>0.9611307379266113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1.9222614758532226</v>
      </c>
      <c r="S92" s="190">
        <f>IFERROR(VLOOKUP(A92,[1]Biogasudbytte!$A$2:$B$18,2,FALSE)*[1]Energiindhold!$C$10,0)*J92*IFERROR(VLOOKUP(A92,Biogasanlæg!$F$3:$G$8,2,FALSE),1)</f>
        <v>0.9611307379266113</v>
      </c>
      <c r="T92" s="191">
        <f t="shared" si="25"/>
        <v>0.9611307379266113</v>
      </c>
      <c r="U92" s="189">
        <f>O92*IFERROR(VLOOKUP(A92,[1]Tørstofindhold!A$2:B$24,2,FALSE),0)</f>
        <v>115564.50627361509</v>
      </c>
      <c r="V92" s="190">
        <f>IF(D92=År1,P92,SUM(O92,P92))*IFERROR(VLOOKUP(A92,[1]Tørstofindhold!A$2:B$24,2,FALSE),0)</f>
        <v>231129.01254723017</v>
      </c>
      <c r="W92" s="190">
        <f>J92*IFERROR(VLOOKUP(A92,[1]Tørstofindhold!A$2:B$24,2,FALSE),0)</f>
        <v>115564.50627361509</v>
      </c>
      <c r="X92" s="191">
        <f t="shared" si="26"/>
        <v>115564.50627361509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12059866.540704856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7477117.2552370103</v>
      </c>
      <c r="K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#DIV/0!</v>
      </c>
      <c r="L93" s="193" t="e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#DIV/0!</v>
      </c>
      <c r="M93" s="157" t="e">
        <f>SUMIFS('Forbrug af biomasse'!E:E,'Forbrug af biomasse'!C:C,'Resultat-Produktion &amp; forbrug'!$A93,'Forbrug af biomasse'!D:D,'Resultat-Produktion &amp; forbrug'!$D93,'Forbrug af biomasse'!G:G,1,'Forbrug af biomasse'!B:B,$E93)</f>
        <v>#DIV/0!</v>
      </c>
      <c r="N93" s="202" t="e">
        <f t="shared" si="23"/>
        <v>#DIV/0!</v>
      </c>
      <c r="O93" s="193" t="e">
        <f t="shared" si="20"/>
        <v>#DIV/0!</v>
      </c>
      <c r="P93" s="203" t="e">
        <f t="shared" si="24"/>
        <v>#DIV/0!</v>
      </c>
      <c r="Q93" s="190" t="e">
        <f>IFERROR(VLOOKUP(A93,[1]Energiindhold!$A$2:$C$11,3,FALSE),IFERROR(VLOOKUP(A93,[1]Biogasudbytte!$A$2:$B$18,2,FALSE)*[1]Energiindhold!$C$10,0))*O93</f>
        <v>#DIV/0!</v>
      </c>
      <c r="R93" s="190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#DIV/0!</v>
      </c>
      <c r="S93" s="190">
        <f>IFERROR(VLOOKUP(A93,[1]Biogasudbytte!$A$2:$B$18,2,FALSE)*[1]Energiindhold!$C$10,0)*J93*IFERROR(VLOOKUP(A93,Biogasanlæg!$F$3:$G$8,2,FALSE),1)</f>
        <v>3.2211421135561045</v>
      </c>
      <c r="T93" s="191" t="e">
        <f t="shared" si="25"/>
        <v>#DIV/0!</v>
      </c>
      <c r="U93" s="189" t="e">
        <f>O93*IFERROR(VLOOKUP(A93,[1]Tørstofindhold!A$2:B$24,2,FALSE),0)</f>
        <v>#DIV/0!</v>
      </c>
      <c r="V93" s="190" t="e">
        <f>IF(D93=År1,P93,SUM(O93,P93))*IFERROR(VLOOKUP(A93,[1]Tørstofindhold!A$2:B$24,2,FALSE),0)</f>
        <v>#DIV/0!</v>
      </c>
      <c r="W93" s="190">
        <f>J93*IFERROR(VLOOKUP(A93,[1]Tørstofindhold!A$2:B$24,2,FALSE),0)</f>
        <v>373855.86276185053</v>
      </c>
      <c r="X93" s="191" t="e">
        <f t="shared" si="26"/>
        <v>#DIV/0!</v>
      </c>
      <c r="Y93" s="171" t="e">
        <f t="shared" si="21"/>
        <v>#DIV/0!</v>
      </c>
      <c r="Z93" s="103" t="e">
        <f t="shared" si="22"/>
        <v>#DIV/0!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0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-97500.435238944279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1</v>
      </c>
      <c r="Z94" s="103">
        <f t="shared" si="22"/>
        <v>0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0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1562017.3315420209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1562017.3315420209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1562017.3315420209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22.639205818909485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22.639205818909485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772547.73855849111</v>
      </c>
      <c r="W97" s="190">
        <f>J97*IFERROR(VLOOKUP(A97,[1]Tørstofindhold!A$2:B$24,2,FALSE),0)</f>
        <v>0</v>
      </c>
      <c r="X97" s="191">
        <f t="shared" si="26"/>
        <v>772547.73855849111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0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609158.83584090974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0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112833.22962148272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496325.60621942702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0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1586928174945.4661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1586928174945.4661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si="20"/>
        <v>0</v>
      </c>
      <c r="P102" s="203">
        <f t="shared" ca="1" si="24"/>
        <v>1586928174945.4661</v>
      </c>
      <c r="Q102" s="190">
        <f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#DIV/0!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si="23"/>
        <v>#DIV/0!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si="21"/>
        <v>#DIV/0!</v>
      </c>
      <c r="Z103" s="103" t="e">
        <f t="shared" si="22"/>
        <v>#DIV/0!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1458137.3135203668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1166509.8508162934</v>
      </c>
      <c r="K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#DIV/0!</v>
      </c>
      <c r="L105" s="193" t="e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#DIV/0!</v>
      </c>
      <c r="M105" s="157" t="e">
        <f>SUMIFS('Forbrug af biomasse'!E:E,'Forbrug af biomasse'!C:C,'Resultat-Produktion &amp; forbrug'!$A105,'Forbrug af biomasse'!D:D,'Resultat-Produktion &amp; forbrug'!$D105,'Forbrug af biomasse'!G:G,1,'Forbrug af biomasse'!B:B,$E105)</f>
        <v>#DIV/0!</v>
      </c>
      <c r="N105" s="202" t="e">
        <f t="shared" si="23"/>
        <v>#DIV/0!</v>
      </c>
      <c r="O105" s="193" t="e">
        <f t="shared" si="20"/>
        <v>#DIV/0!</v>
      </c>
      <c r="P105" s="203" t="e">
        <f t="shared" si="24"/>
        <v>#DIV/0!</v>
      </c>
      <c r="Q105" s="190" t="e">
        <f>IFERROR(VLOOKUP(A105,[1]Energiindhold!$A$2:$C$11,3,FALSE),IFERROR(VLOOKUP(A105,[1]Biogasudbytte!$A$2:$B$18,2,FALSE)*[1]Energiindhold!$C$10,0))*O105</f>
        <v>#DIV/0!</v>
      </c>
      <c r="R105" s="190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#DIV/0!</v>
      </c>
      <c r="S105" s="190">
        <f>IFERROR(VLOOKUP(A105,[1]Biogasudbytte!$A$2:$B$18,2,FALSE)*[1]Energiindhold!$C$10,0)*J105*IFERROR(VLOOKUP(A105,Biogasanlæg!$F$3:$G$8,2,FALSE),1)</f>
        <v>2.5126622186582961</v>
      </c>
      <c r="T105" s="191" t="e">
        <f t="shared" si="25"/>
        <v>#DIV/0!</v>
      </c>
      <c r="U105" s="189" t="e">
        <f>O105*IFERROR(VLOOKUP(A105,[1]Tørstofindhold!A$2:B$24,2,FALSE),0)</f>
        <v>#DIV/0!</v>
      </c>
      <c r="V105" s="190" t="e">
        <f>IF(D105=År1,P105,SUM(O105,P105))*IFERROR(VLOOKUP(A105,[1]Tørstofindhold!A$2:B$24,2,FALSE),0)</f>
        <v>#DIV/0!</v>
      </c>
      <c r="W105" s="190">
        <f>J105*IFERROR(VLOOKUP(A105,[1]Tørstofindhold!A$2:B$24,2,FALSE),0)</f>
        <v>349952.95524488803</v>
      </c>
      <c r="X105" s="191" t="e">
        <f t="shared" si="26"/>
        <v>#DIV/0!</v>
      </c>
      <c r="Y105" s="171" t="e">
        <f t="shared" si="21"/>
        <v>#DIV/0!</v>
      </c>
      <c r="Z105" s="103" t="e">
        <f t="shared" si="22"/>
        <v>#DIV/0!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6892.4253779859373</v>
      </c>
      <c r="K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#DIV/0!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 t="e">
        <f t="shared" si="23"/>
        <v>#DIV/0!</v>
      </c>
      <c r="O107" s="193" t="e">
        <f t="shared" si="20"/>
        <v>#DIV/0!</v>
      </c>
      <c r="P107" s="203">
        <f t="shared" si="24"/>
        <v>6892.4253779859373</v>
      </c>
      <c r="Q107" s="190" t="e">
        <f>IFERROR(VLOOKUP(A107,[1]Energiindhold!$A$2:$C$11,3,FALSE),IFERROR(VLOOKUP(A107,[1]Biogasudbytte!$A$2:$B$18,2,FALSE)*[1]Energiindhold!$C$10,0))*O107</f>
        <v>#DIV/0!</v>
      </c>
      <c r="R107" s="190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#DIV/0!</v>
      </c>
      <c r="S107" s="190">
        <f>IFERROR(VLOOKUP(A107,[1]Biogasudbytte!$A$2:$B$18,2,FALSE)*[1]Energiindhold!$C$10,0)*J107*IFERROR(VLOOKUP(A107,Biogasanlæg!$F$3:$G$8,2,FALSE),1)</f>
        <v>3.2414387310130063E-3</v>
      </c>
      <c r="T107" s="191" t="e">
        <f t="shared" si="25"/>
        <v>#DIV/0!</v>
      </c>
      <c r="U107" s="189" t="e">
        <f>O107*IFERROR(VLOOKUP(A107,[1]Tørstofindhold!A$2:B$24,2,FALSE),0)</f>
        <v>#DIV/0!</v>
      </c>
      <c r="V107" s="190" t="e">
        <f>IF(D107=År1,P107,SUM(O107,P107))*IFERROR(VLOOKUP(A107,[1]Tørstofindhold!A$2:B$24,2,FALSE),0)</f>
        <v>#DIV/0!</v>
      </c>
      <c r="W107" s="190">
        <f>J107*IFERROR(VLOOKUP(A107,[1]Tørstofindhold!A$2:B$24,2,FALSE),0)</f>
        <v>434.22279881311403</v>
      </c>
      <c r="X107" s="191" t="e">
        <f t="shared" si="26"/>
        <v>#DIV/0!</v>
      </c>
      <c r="Y107" s="171" t="e">
        <f t="shared" si="21"/>
        <v>#DIV/0!</v>
      </c>
      <c r="Z107" s="103" t="e">
        <f t="shared" si="22"/>
        <v>#DIV/0!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0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18335.399813490942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-18335.399813490942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1</v>
      </c>
      <c r="Z108" s="103">
        <f t="shared" si="22"/>
        <v>0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792091.46065631567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792091.46065631567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116507.263767978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-151471.65658304346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7962055.5016258964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0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#N/A</v>
      </c>
      <c r="N112" s="202" t="e">
        <f t="shared" si="23"/>
        <v>#N/A</v>
      </c>
      <c r="O112" s="193" t="e">
        <f t="shared" si="20"/>
        <v>#N/A</v>
      </c>
      <c r="P112" s="203">
        <f t="shared" si="24"/>
        <v>0</v>
      </c>
      <c r="Q112" s="190" t="e">
        <f>IFERROR(VLOOKUP(A112,[1]Energiindhold!$A$2:$C$11,3,FALSE),IFERROR(VLOOKUP(A112,[1]Biogasudbytte!$A$2:$B$18,2,FALSE)*[1]Energiindhold!$C$10,0))*O112</f>
        <v>#N/A</v>
      </c>
      <c r="R112" s="190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#N/A</v>
      </c>
      <c r="S112" s="190">
        <f>IFERROR(VLOOKUP(A112,[1]Biogasudbytte!$A$2:$B$18,2,FALSE)*[1]Energiindhold!$C$10,0)*J112*IFERROR(VLOOKUP(A112,Biogasanlæg!$F$3:$G$8,2,FALSE),1)</f>
        <v>0</v>
      </c>
      <c r="T112" s="191" t="e">
        <f t="shared" si="25"/>
        <v>#N/A</v>
      </c>
      <c r="U112" s="189" t="e">
        <f>O112*IFERROR(VLOOKUP(A112,[1]Tørstofindhold!A$2:B$24,2,FALSE),0)</f>
        <v>#N/A</v>
      </c>
      <c r="V112" s="190" t="e">
        <f>IF(D112=År1,P112,SUM(O112,P112))*IFERROR(VLOOKUP(A112,[1]Tørstofindhold!A$2:B$24,2,FALSE),0)</f>
        <v>#N/A</v>
      </c>
      <c r="W112" s="190">
        <f>J112*IFERROR(VLOOKUP(A112,[1]Tørstofindhold!A$2:B$24,2,FALSE),0)</f>
        <v>0</v>
      </c>
      <c r="X112" s="191" t="e">
        <f t="shared" si="26"/>
        <v>#N/A</v>
      </c>
      <c r="Y112" s="171" t="e">
        <f t="shared" si="21"/>
        <v>#N/A</v>
      </c>
      <c r="Z112" s="103" t="e">
        <f t="shared" si="22"/>
        <v>#N/A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1257296.7096095001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976624.05092606181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0</v>
      </c>
      <c r="Z114" s="103">
        <f t="shared" si="22"/>
        <v>1</v>
      </c>
    </row>
    <row r="115" spans="1:26" hidden="1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2932613.2066284004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0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367504.60397489293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0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1792713.787726023</v>
      </c>
      <c r="N115" s="202">
        <f t="shared" si="23"/>
        <v>772394.81492748437</v>
      </c>
      <c r="O115" s="193">
        <f t="shared" si="20"/>
        <v>772394.81492748437</v>
      </c>
      <c r="P115" s="203">
        <f t="shared" si="24"/>
        <v>0</v>
      </c>
      <c r="Q115" s="190">
        <f>IFERROR(VLOOKUP(A115,[1]Energiindhold!$A$2:$C$11,3,FALSE),IFERROR(VLOOKUP(A115,[1]Biogasudbytte!$A$2:$B$18,2,FALSE)*[1]Energiindhold!$C$10,0))*O115</f>
        <v>7.9833232244420076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7.9833232244420076</v>
      </c>
      <c r="S115" s="190">
        <f>IFERROR(VLOOKUP(A115,[1]Biogasudbytte!$A$2:$B$18,2,FALSE)*[1]Energiindhold!$C$10,0)*J115*IFERROR(VLOOKUP(A115,Biogasanlæg!$F$3:$G$8,2,FALSE),1)</f>
        <v>0</v>
      </c>
      <c r="T115" s="191">
        <f t="shared" si="25"/>
        <v>7.9833232244420076</v>
      </c>
      <c r="U115" s="189">
        <f>O115*IFERROR(VLOOKUP(A115,[1]Tørstofindhold!A$2:B$24,2,FALSE),0)</f>
        <v>656535.59268836165</v>
      </c>
      <c r="V115" s="190">
        <f>IF(D115=År1,P115,SUM(O115,P115))*IFERROR(VLOOKUP(A115,[1]Tørstofindhold!A$2:B$24,2,FALSE),0)</f>
        <v>656535.59268836165</v>
      </c>
      <c r="W115" s="190">
        <f>J115*IFERROR(VLOOKUP(A115,[1]Tørstofindhold!A$2:B$24,2,FALSE),0)</f>
        <v>0</v>
      </c>
      <c r="X115" s="191">
        <f t="shared" si="26"/>
        <v>656535.59268836165</v>
      </c>
      <c r="Y115" s="171">
        <f t="shared" si="21"/>
        <v>0</v>
      </c>
      <c r="Z115" s="103">
        <f t="shared" si="22"/>
        <v>1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0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97631.532652811788</v>
      </c>
      <c r="O116" s="193">
        <f t="shared" si="20"/>
        <v>97631.532652811788</v>
      </c>
      <c r="P116" s="203">
        <f t="shared" si="24"/>
        <v>427250.44238658639</v>
      </c>
      <c r="Q116" s="190">
        <f>IFERROR(VLOOKUP(A116,[1]Energiindhold!$A$2:$C$11,3,FALSE),IFERROR(VLOOKUP(A116,[1]Biogasudbytte!$A$2:$B$18,2,FALSE)*[1]Energiindhold!$C$10,0))*O116</f>
        <v>1.7429396506893622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90">
        <f>IFERROR(VLOOKUP(A116,[1]Biogasudbytte!$A$2:$B$18,2,FALSE)*[1]Energiindhold!$C$10,0)*J116*IFERROR(VLOOKUP(A116,Biogasanlæg!$F$3:$G$8,2,FALSE),1)</f>
        <v>0.72550115870339082</v>
      </c>
      <c r="T116" s="191">
        <f t="shared" si="25"/>
        <v>1.7429396506893622</v>
      </c>
      <c r="U116" s="189">
        <f>O116*IFERROR(VLOOKUP(A116,[1]Tørstofindhold!A$2:B$24,2,FALSE),0)</f>
        <v>29289.459795843537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128175.13271597591</v>
      </c>
      <c r="X116" s="191">
        <f t="shared" si="26"/>
        <v>29289.459795843533</v>
      </c>
      <c r="Y116" s="171">
        <f t="shared" si="21"/>
        <v>0</v>
      </c>
      <c r="Z116" s="103">
        <f t="shared" si="22"/>
        <v>1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0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0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313710.11126185022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317335.22806602163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-3625.1168041714118</v>
      </c>
      <c r="O118" s="193">
        <f t="shared" si="20"/>
        <v>0</v>
      </c>
      <c r="P118" s="203">
        <f t="shared" si="24"/>
        <v>317335.22806602163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1.1687965772712623</v>
      </c>
      <c r="S118" s="190">
        <f>IFERROR(VLOOKUP(A118,[1]Biogasudbytte!$A$2:$B$18,2,FALSE)*[1]Energiindhold!$C$10,0)*J118*IFERROR(VLOOKUP(A118,Biogasanlæg!$F$3:$G$8,2,FALSE),1)</f>
        <v>1.1687965772712623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133280.79578772909</v>
      </c>
      <c r="W118" s="190">
        <f>J118*IFERROR(VLOOKUP(A118,[1]Tørstofindhold!A$2:B$24,2,FALSE),0)</f>
        <v>133280.79578772909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520573.94312179892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520573.94312179892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1748472.631855153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1620124.8331607163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3920720.3662957777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0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3613249.8155772374</v>
      </c>
      <c r="O121" s="193">
        <f t="shared" si="20"/>
        <v>3613249.8155772374</v>
      </c>
      <c r="P121" s="203">
        <f t="shared" si="24"/>
        <v>0</v>
      </c>
      <c r="Q121" s="190">
        <f>IFERROR(VLOOKUP(A121,[1]Energiindhold!$A$2:$C$11,3,FALSE),IFERROR(VLOOKUP(A121,[1]Biogasudbytte!$A$2:$B$18,2,FALSE)*[1]Energiindhold!$C$10,0))*O121</f>
        <v>12.374874763377859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12.374874763377859</v>
      </c>
      <c r="S121" s="190">
        <f>IFERROR(VLOOKUP(A121,[1]Biogasudbytte!$A$2:$B$18,2,FALSE)*[1]Energiindhold!$C$10,0)*J121*IFERROR(VLOOKUP(A121,Biogasanlæg!$F$3:$G$8,2,FALSE),1)</f>
        <v>0</v>
      </c>
      <c r="T121" s="191">
        <f t="shared" si="25"/>
        <v>12.374874763377859</v>
      </c>
      <c r="U121" s="189">
        <f>O121*IFERROR(VLOOKUP(A121,[1]Tørstofindhold!A$2:B$24,2,FALSE),0)</f>
        <v>1120107.4428289435</v>
      </c>
      <c r="V121" s="190">
        <f>IF(D121=År1,P121,SUM(O121,P121))*IFERROR(VLOOKUP(A121,[1]Tørstofindhold!A$2:B$24,2,FALSE),0)</f>
        <v>1120107.4428289435</v>
      </c>
      <c r="W121" s="190">
        <f>J121*IFERROR(VLOOKUP(A121,[1]Tørstofindhold!A$2:B$24,2,FALSE),0)</f>
        <v>0</v>
      </c>
      <c r="X121" s="191">
        <f t="shared" si="26"/>
        <v>1120107.4428289435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#DIV/0!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si="23"/>
        <v>#DIV/0!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si="21"/>
        <v>#DIV/0!</v>
      </c>
      <c r="Z122" s="103" t="e">
        <f t="shared" si="22"/>
        <v>#DIV/0!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6367703.2512749117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5094162.6010199301</v>
      </c>
      <c r="K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#DIV/0!</v>
      </c>
      <c r="L123" s="193" t="e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#DIV/0!</v>
      </c>
      <c r="M123" s="157" t="e">
        <f>SUMIFS('Forbrug af biomasse'!E:E,'Forbrug af biomasse'!C:C,'Resultat-Produktion &amp; forbrug'!$A123,'Forbrug af biomasse'!D:D,'Resultat-Produktion &amp; forbrug'!$D123,'Forbrug af biomasse'!G:G,1,'Forbrug af biomasse'!B:B,$E123)</f>
        <v>#DIV/0!</v>
      </c>
      <c r="N123" s="202" t="e">
        <f t="shared" si="23"/>
        <v>#DIV/0!</v>
      </c>
      <c r="O123" s="193" t="e">
        <f t="shared" si="20"/>
        <v>#DIV/0!</v>
      </c>
      <c r="P123" s="203" t="e">
        <f t="shared" si="24"/>
        <v>#DIV/0!</v>
      </c>
      <c r="Q123" s="190" t="e">
        <f>IFERROR(VLOOKUP(A123,[1]Energiindhold!$A$2:$C$11,3,FALSE),IFERROR(VLOOKUP(A123,[1]Biogasudbytte!$A$2:$B$18,2,FALSE)*[1]Energiindhold!$C$10,0))*O123</f>
        <v>#DIV/0!</v>
      </c>
      <c r="R123" s="190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#DIV/0!</v>
      </c>
      <c r="S123" s="190">
        <f>IFERROR(VLOOKUP(A123,[1]Biogasudbytte!$A$2:$B$18,2,FALSE)*[1]Energiindhold!$C$10,0)*J123*IFERROR(VLOOKUP(A123,Biogasanlæg!$F$3:$G$8,2,FALSE),1)</f>
        <v>2.5786141670102789</v>
      </c>
      <c r="T123" s="191" t="e">
        <f t="shared" si="25"/>
        <v>#DIV/0!</v>
      </c>
      <c r="U123" s="189" t="e">
        <f>O123*IFERROR(VLOOKUP(A123,[1]Tørstofindhold!A$2:B$24,2,FALSE),0)</f>
        <v>#DIV/0!</v>
      </c>
      <c r="V123" s="190" t="e">
        <f>IF(D123=År1,P123,SUM(O123,P123))*IFERROR(VLOOKUP(A123,[1]Tørstofindhold!A$2:B$24,2,FALSE),0)</f>
        <v>#DIV/0!</v>
      </c>
      <c r="W123" s="190">
        <f>J123*IFERROR(VLOOKUP(A123,[1]Tørstofindhold!A$2:B$24,2,FALSE),0)</f>
        <v>387156.35767751466</v>
      </c>
      <c r="X123" s="191" t="e">
        <f t="shared" si="26"/>
        <v>#DIV/0!</v>
      </c>
      <c r="Y123" s="171" t="e">
        <f t="shared" si="21"/>
        <v>#DIV/0!</v>
      </c>
      <c r="Z123" s="103" t="e">
        <f t="shared" si="22"/>
        <v>#DIV/0!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0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0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0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0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3204301.4084430053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0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550329.17750715138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2653972.2309358539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0</v>
      </c>
      <c r="O125" s="193">
        <f t="shared" si="20"/>
        <v>0</v>
      </c>
      <c r="P125" s="203">
        <f t="shared" si="24"/>
        <v>3204301.4084430053</v>
      </c>
      <c r="Q125" s="190">
        <f>IFERROR(VLOOKUP(A125,[1]Energiindhold!$A$2:$C$11,3,FALSE),IFERROR(VLOOKUP(A125,[1]Biogasudbytte!$A$2:$B$18,2,FALSE)*[1]Energiindhold!$C$10,0))*O125</f>
        <v>0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1.9756817472506736</v>
      </c>
      <c r="S125" s="190">
        <f>IFERROR(VLOOKUP(A125,[1]Biogasudbytte!$A$2:$B$18,2,FALSE)*[1]Energiindhold!$C$10,0)*J125*IFERROR(VLOOKUP(A125,Biogasanlæg!$F$3:$G$8,2,FALSE),1)</f>
        <v>1.9756817472506736</v>
      </c>
      <c r="T125" s="191">
        <f t="shared" si="25"/>
        <v>0</v>
      </c>
      <c r="U125" s="189">
        <f>O125*IFERROR(VLOOKUP(A125,[1]Tørstofindhold!A$2:B$24,2,FALSE),0)</f>
        <v>0</v>
      </c>
      <c r="V125" s="190">
        <f>IF(D125=År1,P125,SUM(O125,P125))*IFERROR(VLOOKUP(A125,[1]Tørstofindhold!A$2:B$24,2,FALSE),0)</f>
        <v>961290.42253290152</v>
      </c>
      <c r="W125" s="190">
        <f>J125*IFERROR(VLOOKUP(A125,[1]Tørstofindhold!A$2:B$24,2,FALSE),0)</f>
        <v>165098.7532521454</v>
      </c>
      <c r="X125" s="191">
        <f t="shared" si="26"/>
        <v>796191.66928075615</v>
      </c>
      <c r="Y125" s="171">
        <f t="shared" si="21"/>
        <v>0</v>
      </c>
      <c r="Z125" s="103">
        <f t="shared" si="22"/>
        <v>0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0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-490824.54885344987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1</v>
      </c>
      <c r="Z126" s="103">
        <f t="shared" si="22"/>
        <v>0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0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31184.283836637289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-31184.283836637289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1143602.1995332621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1143602.1995332621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0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97651.319921337825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0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97651.319921337825</v>
      </c>
      <c r="O130" s="193">
        <f t="shared" si="20"/>
        <v>0</v>
      </c>
      <c r="P130" s="203">
        <f t="shared" si="24"/>
        <v>0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0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0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0</v>
      </c>
      <c r="W130" s="190">
        <f>J130*IFERROR(VLOOKUP(A130,[1]Tørstofindhold!A$2:B$24,2,FALSE),0)</f>
        <v>0</v>
      </c>
      <c r="X130" s="191">
        <f t="shared" si="26"/>
        <v>0</v>
      </c>
      <c r="Y130" s="171">
        <f t="shared" si="21"/>
        <v>0</v>
      </c>
      <c r="Z130" s="103">
        <f t="shared" si="22"/>
        <v>1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0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0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2389980.9824422216</v>
      </c>
      <c r="G133" s="193" t="e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#DIV/0!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 t="e">
        <f t="shared" si="23"/>
        <v>#DIV/0!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 t="e">
        <f t="shared" si="43"/>
        <v>#DIV/0!</v>
      </c>
      <c r="Z133" s="103" t="e">
        <f t="shared" si="44"/>
        <v>#DIV/0!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547384.79935736058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547384.79935736058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0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0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0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0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0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0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0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0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557517.61958207632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0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557517.61958207632</v>
      </c>
      <c r="O137" s="193">
        <f t="shared" si="39"/>
        <v>557517.61958207632</v>
      </c>
      <c r="P137" s="203">
        <f t="shared" si="24"/>
        <v>0</v>
      </c>
      <c r="Q137" s="190">
        <f>IFERROR(VLOOKUP(A137,[1]Energiindhold!$A$2:$C$11,3,FALSE),IFERROR(VLOOKUP(A137,[1]Biogasudbytte!$A$2:$B$18,2,FALSE)*[1]Energiindhold!$C$10,0))*O137</f>
        <v>1.5131251202505385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1.5131251202505385</v>
      </c>
      <c r="S137" s="190">
        <f>IFERROR(VLOOKUP(A137,[1]Biogasudbytte!$A$2:$B$18,2,FALSE)*[1]Energiindhold!$C$10,0)*J137*IFERROR(VLOOKUP(A137,Biogasanlæg!$F$3:$G$8,2,FALSE),1)</f>
        <v>0</v>
      </c>
      <c r="T137" s="191">
        <f t="shared" si="25"/>
        <v>1.5131251202505385</v>
      </c>
      <c r="U137" s="189">
        <f>O137*IFERROR(VLOOKUP(A137,[1]Tørstofindhold!A$2:B$24,2,FALSE),0)</f>
        <v>111503.52391641527</v>
      </c>
      <c r="V137" s="190">
        <f>IF(D137=År1,P137,SUM(O137,P137))*IFERROR(VLOOKUP(A137,[1]Tørstofindhold!A$2:B$24,2,FALSE),0)</f>
        <v>111503.52391641527</v>
      </c>
      <c r="W137" s="190">
        <f>J137*IFERROR(VLOOKUP(A137,[1]Tørstofindhold!A$2:B$24,2,FALSE),0)</f>
        <v>0</v>
      </c>
      <c r="X137" s="191">
        <f t="shared" si="26"/>
        <v>111503.52391641527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0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0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0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0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0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0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0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4002333.5486616795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3201866.838929344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800466.70973233553</v>
      </c>
      <c r="O140" s="193">
        <f t="shared" si="39"/>
        <v>800466.70973233553</v>
      </c>
      <c r="P140" s="203">
        <f t="shared" si="24"/>
        <v>3201866.838929344</v>
      </c>
      <c r="Q140" s="190">
        <f>IFERROR(VLOOKUP(A140,[1]Energiindhold!$A$2:$C$11,3,FALSE),IFERROR(VLOOKUP(A140,[1]Biogasudbytte!$A$2:$B$18,2,FALSE)*[1]Energiindhold!$C$10,0))*O140</f>
        <v>0.39944089282353279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1.9972044641176652</v>
      </c>
      <c r="S140" s="190">
        <f>IFERROR(VLOOKUP(A140,[1]Biogasudbytte!$A$2:$B$18,2,FALSE)*[1]Energiindhold!$C$10,0)*J140*IFERROR(VLOOKUP(A140,Biogasanlæg!$F$3:$G$8,2,FALSE),1)</f>
        <v>1.5977635712941323</v>
      </c>
      <c r="T140" s="191">
        <f t="shared" si="25"/>
        <v>0.3994408928235329</v>
      </c>
      <c r="U140" s="189">
        <f>O140*IFERROR(VLOOKUP(A140,[1]Tørstofindhold!A$2:B$24,2,FALSE),0)</f>
        <v>48028.002583940128</v>
      </c>
      <c r="V140" s="190">
        <f>IF(D140=År1,P140,SUM(O140,P140))*IFERROR(VLOOKUP(A140,[1]Tørstofindhold!A$2:B$24,2,FALSE),0)</f>
        <v>240140.01291970076</v>
      </c>
      <c r="W140" s="190">
        <f>J140*IFERROR(VLOOKUP(A140,[1]Tørstofindhold!A$2:B$24,2,FALSE),0)</f>
        <v>192112.01033576063</v>
      </c>
      <c r="X140" s="191">
        <f t="shared" si="26"/>
        <v>48028.002583940135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7216145.8837897805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5772916.7070318246</v>
      </c>
      <c r="K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#DIV/0!</v>
      </c>
      <c r="L141" s="193" t="e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#DIV/0!</v>
      </c>
      <c r="M141" s="157" t="e">
        <f>SUMIFS('Forbrug af biomasse'!E:E,'Forbrug af biomasse'!C:C,'Resultat-Produktion &amp; forbrug'!$A141,'Forbrug af biomasse'!D:D,'Resultat-Produktion &amp; forbrug'!$D141,'Forbrug af biomasse'!G:G,1,'Forbrug af biomasse'!B:B,$E141)</f>
        <v>#DIV/0!</v>
      </c>
      <c r="N141" s="202" t="e">
        <f t="shared" si="23"/>
        <v>#DIV/0!</v>
      </c>
      <c r="O141" s="193" t="e">
        <f t="shared" si="39"/>
        <v>#DIV/0!</v>
      </c>
      <c r="P141" s="203" t="e">
        <f t="shared" si="24"/>
        <v>#DIV/0!</v>
      </c>
      <c r="Q141" s="190" t="e">
        <f>IFERROR(VLOOKUP(A141,[1]Energiindhold!$A$2:$C$11,3,FALSE),IFERROR(VLOOKUP(A141,[1]Biogasudbytte!$A$2:$B$18,2,FALSE)*[1]Energiindhold!$C$10,0))*O141</f>
        <v>#DIV/0!</v>
      </c>
      <c r="R141" s="190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#DIV/0!</v>
      </c>
      <c r="S141" s="190">
        <f>IFERROR(VLOOKUP(A141,[1]Biogasudbytte!$A$2:$B$18,2,FALSE)*[1]Energiindhold!$C$10,0)*J141*IFERROR(VLOOKUP(A141,Biogasanlæg!$F$3:$G$8,2,FALSE),1)</f>
        <v>2.4869725173893107</v>
      </c>
      <c r="T141" s="191" t="e">
        <f t="shared" si="25"/>
        <v>#DIV/0!</v>
      </c>
      <c r="U141" s="189" t="e">
        <f>O141*IFERROR(VLOOKUP(A141,[1]Tørstofindhold!A$2:B$24,2,FALSE),0)</f>
        <v>#DIV/0!</v>
      </c>
      <c r="V141" s="190" t="e">
        <f>IF(D141=År1,P141,SUM(O141,P141))*IFERROR(VLOOKUP(A141,[1]Tørstofindhold!A$2:B$24,2,FALSE),0)</f>
        <v>#DIV/0!</v>
      </c>
      <c r="W141" s="190">
        <f>J141*IFERROR(VLOOKUP(A141,[1]Tørstofindhold!A$2:B$24,2,FALSE),0)</f>
        <v>288645.83535159123</v>
      </c>
      <c r="X141" s="191" t="e">
        <f t="shared" si="26"/>
        <v>#DIV/0!</v>
      </c>
      <c r="Y141" s="171" t="e">
        <f t="shared" si="43"/>
        <v>#DIV/0!</v>
      </c>
      <c r="Z141" s="103" t="e">
        <f t="shared" si="44"/>
        <v>#DIV/0!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0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63313.545971354491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-63313.545971354491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1</v>
      </c>
      <c r="Z142" s="103">
        <f t="shared" si="44"/>
        <v>0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0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1598532.5988841166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1598532.5988841166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1598532.5988841166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23.168442362062383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23.168442362062383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790607.58119810268</v>
      </c>
      <c r="W145" s="190">
        <f>J145*IFERROR(VLOOKUP(A145,[1]Tørstofindhold!A$2:B$24,2,FALSE),0)</f>
        <v>0</v>
      </c>
      <c r="X145" s="191">
        <f t="shared" si="26"/>
        <v>790607.58119810268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0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0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27039.772448692573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0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281273226277.80957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281273226277.80957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si="39"/>
        <v>0</v>
      </c>
      <c r="P150" s="203">
        <f t="shared" ref="P150:P215" ca="1" si="49">SUM(J150,L150)</f>
        <v>281273226277.80957</v>
      </c>
      <c r="Q150" s="190">
        <f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#DIV/0!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si="48"/>
        <v>#DIV/0!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si="43"/>
        <v>#DIV/0!</v>
      </c>
      <c r="Z151" s="103" t="e">
        <f t="shared" si="44"/>
        <v>#DIV/0!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#DIV/0!</v>
      </c>
      <c r="L153" s="193" t="e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#DIV/0!</v>
      </c>
      <c r="M153" s="157" t="e">
        <f>SUMIFS('Forbrug af biomasse'!E:E,'Forbrug af biomasse'!C:C,'Resultat-Produktion &amp; forbrug'!$A153,'Forbrug af biomasse'!D:D,'Resultat-Produktion &amp; forbrug'!$D153,'Forbrug af biomasse'!G:G,1,'Forbrug af biomasse'!B:B,$E153)</f>
        <v>#DIV/0!</v>
      </c>
      <c r="N153" s="202" t="e">
        <f t="shared" si="48"/>
        <v>#DIV/0!</v>
      </c>
      <c r="O153" s="193" t="e">
        <f t="shared" si="39"/>
        <v>#DIV/0!</v>
      </c>
      <c r="P153" s="203" t="e">
        <f t="shared" si="49"/>
        <v>#DIV/0!</v>
      </c>
      <c r="Q153" s="190" t="e">
        <f>IFERROR(VLOOKUP(A153,[1]Energiindhold!$A$2:$C$11,3,FALSE),IFERROR(VLOOKUP(A153,[1]Biogasudbytte!$A$2:$B$18,2,FALSE)*[1]Energiindhold!$C$10,0))*O153</f>
        <v>#DIV/0!</v>
      </c>
      <c r="R153" s="190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#DIV/0!</v>
      </c>
      <c r="S153" s="190">
        <f>IFERROR(VLOOKUP(A153,[1]Biogasudbytte!$A$2:$B$18,2,FALSE)*[1]Energiindhold!$C$10,0)*J153*IFERROR(VLOOKUP(A153,Biogasanlæg!$F$3:$G$8,2,FALSE),1)</f>
        <v>0.18501207548067011</v>
      </c>
      <c r="T153" s="191" t="e">
        <f t="shared" si="50"/>
        <v>#DIV/0!</v>
      </c>
      <c r="U153" s="189" t="e">
        <f>O153*IFERROR(VLOOKUP(A153,[1]Tørstofindhold!A$2:B$24,2,FALSE),0)</f>
        <v>#DIV/0!</v>
      </c>
      <c r="V153" s="190" t="e">
        <f>IF(D153=År1,P153,SUM(O153,P153))*IFERROR(VLOOKUP(A153,[1]Tørstofindhold!A$2:B$24,2,FALSE),0)</f>
        <v>#DIV/0!</v>
      </c>
      <c r="W153" s="190">
        <f>J153*IFERROR(VLOOKUP(A153,[1]Tørstofindhold!A$2:B$24,2,FALSE),0)</f>
        <v>25767.69853491227</v>
      </c>
      <c r="X153" s="191" t="e">
        <f t="shared" si="51"/>
        <v>#DIV/0!</v>
      </c>
      <c r="Y153" s="171" t="e">
        <f t="shared" si="43"/>
        <v>#DIV/0!</v>
      </c>
      <c r="Z153" s="103" t="e">
        <f t="shared" si="44"/>
        <v>#DIV/0!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#DIV/0!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 t="e">
        <f t="shared" si="48"/>
        <v>#DIV/0!</v>
      </c>
      <c r="O155" s="193" t="e">
        <f t="shared" si="39"/>
        <v>#DIV/0!</v>
      </c>
      <c r="P155" s="203">
        <f t="shared" si="49"/>
        <v>337.693821952441</v>
      </c>
      <c r="Q155" s="190" t="e">
        <f>IFERROR(VLOOKUP(A155,[1]Energiindhold!$A$2:$C$11,3,FALSE),IFERROR(VLOOKUP(A155,[1]Biogasudbytte!$A$2:$B$18,2,FALSE)*[1]Energiindhold!$C$10,0))*O155</f>
        <v>#DIV/0!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 t="e">
        <f>O155*IFERROR(VLOOKUP(A155,[1]Tørstofindhold!A$2:B$24,2,FALSE),0)</f>
        <v>#DIV/0!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 t="e">
        <f t="shared" si="43"/>
        <v>#DIV/0!</v>
      </c>
      <c r="Z155" s="103" t="e">
        <f t="shared" si="44"/>
        <v>#DIV/0!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0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-29120.587456275069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1</v>
      </c>
      <c r="Z156" s="103">
        <f t="shared" si="44"/>
        <v>0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2073818.1184375903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0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9934.501967658216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#N/A</v>
      </c>
      <c r="N160" s="202" t="e">
        <f t="shared" si="48"/>
        <v>#N/A</v>
      </c>
      <c r="O160" s="193" t="e">
        <f t="shared" si="39"/>
        <v>#N/A</v>
      </c>
      <c r="P160" s="203">
        <f t="shared" si="49"/>
        <v>9934.501967658216</v>
      </c>
      <c r="Q160" s="190" t="e">
        <f>IFERROR(VLOOKUP(A160,[1]Energiindhold!$A$2:$C$11,3,FALSE),IFERROR(VLOOKUP(A160,[1]Biogasudbytte!$A$2:$B$18,2,FALSE)*[1]Energiindhold!$C$10,0))*O160</f>
        <v>#N/A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1.827824180774516E-2</v>
      </c>
      <c r="S160" s="190">
        <f>IFERROR(VLOOKUP(A160,[1]Biogasudbytte!$A$2:$B$18,2,FALSE)*[1]Energiindhold!$C$10,0)*J160*IFERROR(VLOOKUP(A160,Biogasanlæg!$F$3:$G$8,2,FALSE),1)</f>
        <v>1.827824180774516E-2</v>
      </c>
      <c r="T160" s="191">
        <f t="shared" si="50"/>
        <v>0</v>
      </c>
      <c r="U160" s="189" t="e">
        <f>O160*IFERROR(VLOOKUP(A160,[1]Tørstofindhold!A$2:B$24,2,FALSE),0)</f>
        <v>#N/A</v>
      </c>
      <c r="V160" s="190">
        <f>IF(D160=År1,P160,SUM(O160,P160))*IFERROR(VLOOKUP(A160,[1]Tørstofindhold!A$2:B$24,2,FALSE),0)</f>
        <v>2781.6605509443007</v>
      </c>
      <c r="W160" s="190">
        <f>J160*IFERROR(VLOOKUP(A160,[1]Tørstofindhold!A$2:B$24,2,FALSE),0)</f>
        <v>2781.6605509443007</v>
      </c>
      <c r="X160" s="191">
        <f t="shared" si="51"/>
        <v>0</v>
      </c>
      <c r="Y160" s="171" t="e">
        <f t="shared" si="43"/>
        <v>#N/A</v>
      </c>
      <c r="Z160" s="103" t="e">
        <f t="shared" si="44"/>
        <v>#N/A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0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0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829064.34713722649</v>
      </c>
      <c r="O163" s="193">
        <f t="shared" si="39"/>
        <v>829064.34713722649</v>
      </c>
      <c r="P163" s="203">
        <f t="shared" si="49"/>
        <v>22795.107252838847</v>
      </c>
      <c r="Q163" s="190">
        <f>IFERROR(VLOOKUP(A163,[1]Energiindhold!$A$2:$C$11,3,FALSE),IFERROR(VLOOKUP(A163,[1]Biogasudbytte!$A$2:$B$18,2,FALSE)*[1]Energiindhold!$C$10,0))*O163</f>
        <v>8.5690485346912393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0.13142610267053248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0</v>
      </c>
      <c r="U163" s="189">
        <f>O163*IFERROR(VLOOKUP(A163,[1]Tørstofindhold!A$2:B$24,2,FALSE),0)</f>
        <v>704704.69506664248</v>
      </c>
      <c r="V163" s="190">
        <f>IF(D163=År1,P163,SUM(O163,P163))*IFERROR(VLOOKUP(A163,[1]Tørstofindhold!A$2:B$24,2,FALSE),0)</f>
        <v>19375.841164913018</v>
      </c>
      <c r="W163" s="190">
        <f>J163*IFERROR(VLOOKUP(A163,[1]Tørstofindhold!A$2:B$24,2,FALSE),0)</f>
        <v>19375.841164913018</v>
      </c>
      <c r="X163" s="191">
        <f t="shared" si="51"/>
        <v>0</v>
      </c>
      <c r="Y163" s="171">
        <f t="shared" si="43"/>
        <v>0</v>
      </c>
      <c r="Z163" s="103">
        <f t="shared" si="44"/>
        <v>1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0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452310.61214957217</v>
      </c>
      <c r="O164" s="193">
        <f t="shared" si="39"/>
        <v>452310.61214957217</v>
      </c>
      <c r="P164" s="203">
        <f t="shared" si="49"/>
        <v>35.900188095894634</v>
      </c>
      <c r="Q164" s="190">
        <f>IFERROR(VLOOKUP(A164,[1]Energiindhold!$A$2:$C$11,3,FALSE),IFERROR(VLOOKUP(A164,[1]Biogasudbytte!$A$2:$B$18,2,FALSE)*[1]Energiindhold!$C$10,0))*O164</f>
        <v>8.0747487919351268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6.0961032399995807E-5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0</v>
      </c>
      <c r="U164" s="189">
        <f>O164*IFERROR(VLOOKUP(A164,[1]Tørstofindhold!A$2:B$24,2,FALSE),0)</f>
        <v>135693.18364487163</v>
      </c>
      <c r="V164" s="190">
        <f>IF(D164=År1,P164,SUM(O164,P164))*IFERROR(VLOOKUP(A164,[1]Tørstofindhold!A$2:B$24,2,FALSE),0)</f>
        <v>10.77005642876839</v>
      </c>
      <c r="W164" s="190">
        <f>J164*IFERROR(VLOOKUP(A164,[1]Tørstofindhold!A$2:B$24,2,FALSE),0)</f>
        <v>10.77005642876839</v>
      </c>
      <c r="X164" s="191">
        <f t="shared" si="51"/>
        <v>0</v>
      </c>
      <c r="Y164" s="171">
        <f t="shared" si="43"/>
        <v>0</v>
      </c>
      <c r="Z164" s="103">
        <f t="shared" si="44"/>
        <v>1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0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0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0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192885.68333055501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308397.11495476513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-115511.43162421012</v>
      </c>
      <c r="O166" s="193">
        <f t="shared" si="39"/>
        <v>0</v>
      </c>
      <c r="P166" s="203">
        <f t="shared" si="49"/>
        <v>308397.11495476513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1.1358760721153502</v>
      </c>
      <c r="S166" s="190">
        <f>IFERROR(VLOOKUP(A166,[1]Biogasudbytte!$A$2:$B$18,2,FALSE)*[1]Energiindhold!$C$10,0)*J166*IFERROR(VLOOKUP(A166,Biogasanlæg!$F$3:$G$8,2,FALSE),1)</f>
        <v>1.1358760721153502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129526.78828100135</v>
      </c>
      <c r="W166" s="190">
        <f>J166*IFERROR(VLOOKUP(A166,[1]Tørstofindhold!A$2:B$24,2,FALSE),0)</f>
        <v>129526.78828100135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0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2030687.2286463161</v>
      </c>
      <c r="O169" s="193">
        <f t="shared" si="39"/>
        <v>2030687.2286463161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6.9548194619016233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629513.04088035796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#DIV/0!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si="48"/>
        <v>#DIV/0!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si="43"/>
        <v>#DIV/0!</v>
      </c>
      <c r="Z170" s="103" t="e">
        <f t="shared" si="44"/>
        <v>#DIV/0!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#DIV/0!</v>
      </c>
      <c r="L171" s="193" t="e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#DIV/0!</v>
      </c>
      <c r="M171" s="157" t="e">
        <f>SUMIFS('Forbrug af biomasse'!E:E,'Forbrug af biomasse'!C:C,'Resultat-Produktion &amp; forbrug'!$A171,'Forbrug af biomasse'!D:D,'Resultat-Produktion &amp; forbrug'!$D171,'Forbrug af biomasse'!G:G,1,'Forbrug af biomasse'!B:B,$E171)</f>
        <v>#DIV/0!</v>
      </c>
      <c r="N171" s="202" t="e">
        <f t="shared" si="48"/>
        <v>#DIV/0!</v>
      </c>
      <c r="O171" s="193" t="e">
        <f t="shared" si="39"/>
        <v>#DIV/0!</v>
      </c>
      <c r="P171" s="203" t="e">
        <f t="shared" si="49"/>
        <v>#DIV/0!</v>
      </c>
      <c r="Q171" s="190" t="e">
        <f>IFERROR(VLOOKUP(A171,[1]Energiindhold!$A$2:$C$11,3,FALSE),IFERROR(VLOOKUP(A171,[1]Biogasudbytte!$A$2:$B$18,2,FALSE)*[1]Energiindhold!$C$10,0))*O171</f>
        <v>#DIV/0!</v>
      </c>
      <c r="R171" s="190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#DIV/0!</v>
      </c>
      <c r="S171" s="190">
        <f>IFERROR(VLOOKUP(A171,[1]Biogasudbytte!$A$2:$B$18,2,FALSE)*[1]Energiindhold!$C$10,0)*J171*IFERROR(VLOOKUP(A171,Biogasanlæg!$F$3:$G$8,2,FALSE),1)</f>
        <v>0.14509686284560222</v>
      </c>
      <c r="T171" s="191" t="e">
        <f t="shared" si="50"/>
        <v>#DIV/0!</v>
      </c>
      <c r="U171" s="189" t="e">
        <f>O171*IFERROR(VLOOKUP(A171,[1]Tørstofindhold!A$2:B$24,2,FALSE),0)</f>
        <v>#DIV/0!</v>
      </c>
      <c r="V171" s="190" t="e">
        <f>IF(D171=År1,P171,SUM(O171,P171))*IFERROR(VLOOKUP(A171,[1]Tørstofindhold!A$2:B$24,2,FALSE),0)</f>
        <v>#DIV/0!</v>
      </c>
      <c r="W171" s="190">
        <f>J171*IFERROR(VLOOKUP(A171,[1]Tørstofindhold!A$2:B$24,2,FALSE),0)</f>
        <v>21785.024548619625</v>
      </c>
      <c r="X171" s="191" t="e">
        <f t="shared" si="51"/>
        <v>#DIV/0!</v>
      </c>
      <c r="Y171" s="171" t="e">
        <f t="shared" si="43"/>
        <v>#DIV/0!</v>
      </c>
      <c r="Z171" s="103" t="e">
        <f t="shared" si="44"/>
        <v>#DIV/0!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0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0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0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0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0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350952.19300340564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0</v>
      </c>
      <c r="O173" s="193">
        <f t="shared" si="39"/>
        <v>0</v>
      </c>
      <c r="P173" s="203">
        <f t="shared" si="49"/>
        <v>366156.75807184458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109847.02742155337</v>
      </c>
      <c r="W173" s="190">
        <f>J173*IFERROR(VLOOKUP(A173,[1]Tørstofindhold!A$2:B$24,2,FALSE),0)</f>
        <v>4561.3695205316753</v>
      </c>
      <c r="X173" s="191">
        <f t="shared" si="51"/>
        <v>105285.6579010217</v>
      </c>
      <c r="Y173" s="171">
        <f t="shared" si="43"/>
        <v>0</v>
      </c>
      <c r="Z173" s="103">
        <f t="shared" si="44"/>
        <v>0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0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-389767.86287629709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1</v>
      </c>
      <c r="Z174" s="103">
        <f t="shared" si="44"/>
        <v>0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0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-49527.399127557059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1</v>
      </c>
      <c r="Z176" s="103">
        <f t="shared" si="44"/>
        <v>0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0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0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37577.319945022478</v>
      </c>
      <c r="O178" s="193">
        <f t="shared" si="39"/>
        <v>0</v>
      </c>
      <c r="P178" s="203">
        <f t="shared" si="49"/>
        <v>0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0</v>
      </c>
      <c r="W178" s="190">
        <f>J178*IFERROR(VLOOKUP(A178,[1]Tørstofindhold!A$2:B$24,2,FALSE),0)</f>
        <v>0</v>
      </c>
      <c r="X178" s="191">
        <f t="shared" si="51"/>
        <v>0</v>
      </c>
      <c r="Y178" s="171">
        <f t="shared" si="43"/>
        <v>0</v>
      </c>
      <c r="Z178" s="103">
        <f t="shared" si="44"/>
        <v>1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0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0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 t="e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#N/A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 t="e">
        <f t="shared" si="48"/>
        <v>#N/A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 t="e">
        <f t="shared" si="43"/>
        <v>#N/A</v>
      </c>
      <c r="Z181" s="103" t="e">
        <f t="shared" si="44"/>
        <v>#N/A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0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0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0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0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0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0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0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0</v>
      </c>
      <c r="N184" s="202">
        <f t="shared" si="48"/>
        <v>0</v>
      </c>
      <c r="O184" s="193">
        <f t="shared" si="39"/>
        <v>0</v>
      </c>
      <c r="P184" s="203">
        <f t="shared" si="49"/>
        <v>0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0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0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0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2228429.7897947957</v>
      </c>
      <c r="O185" s="193">
        <f t="shared" si="39"/>
        <v>2228429.7897947957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6.0480475866946675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445685.95795895916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0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0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0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0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0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0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0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3178286.4109467091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1228354.3922656265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1949932.0186810826</v>
      </c>
      <c r="O188" s="193">
        <f t="shared" si="39"/>
        <v>1949932.0186810826</v>
      </c>
      <c r="P188" s="203">
        <f t="shared" si="49"/>
        <v>1228354.3922656265</v>
      </c>
      <c r="Q188" s="190">
        <f>IFERROR(VLOOKUP(A188,[1]Energiindhold!$A$2:$C$11,3,FALSE),IFERROR(VLOOKUP(A188,[1]Biogasudbytte!$A$2:$B$18,2,FALSE)*[1]Energiindhold!$C$10,0))*O188</f>
        <v>0.97303557664204721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0.61296112528447033</v>
      </c>
      <c r="S188" s="190">
        <f>IFERROR(VLOOKUP(A188,[1]Biogasudbytte!$A$2:$B$18,2,FALSE)*[1]Energiindhold!$C$10,0)*J188*IFERROR(VLOOKUP(A188,Biogasanlæg!$F$3:$G$8,2,FALSE),1)</f>
        <v>0.61296112528447033</v>
      </c>
      <c r="T188" s="191">
        <f t="shared" si="50"/>
        <v>0</v>
      </c>
      <c r="U188" s="189">
        <f>O188*IFERROR(VLOOKUP(A188,[1]Tørstofindhold!A$2:B$24,2,FALSE),0)</f>
        <v>116995.92112086495</v>
      </c>
      <c r="V188" s="190">
        <f>IF(D188=År1,P188,SUM(O188,P188))*IFERROR(VLOOKUP(A188,[1]Tørstofindhold!A$2:B$24,2,FALSE),0)</f>
        <v>73701.263535937585</v>
      </c>
      <c r="W188" s="190">
        <f>J188*IFERROR(VLOOKUP(A188,[1]Tørstofindhold!A$2:B$24,2,FALSE),0)</f>
        <v>73701.263535937585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#DIV/0!</v>
      </c>
      <c r="L189" s="193" t="e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#DIV/0!</v>
      </c>
      <c r="M189" s="157" t="e">
        <f>SUMIFS('Forbrug af biomasse'!E:E,'Forbrug af biomasse'!C:C,'Resultat-Produktion &amp; forbrug'!$A189,'Forbrug af biomasse'!D:D,'Resultat-Produktion &amp; forbrug'!$D189,'Forbrug af biomasse'!G:G,1,'Forbrug af biomasse'!B:B,$E189)</f>
        <v>#DIV/0!</v>
      </c>
      <c r="N189" s="202" t="e">
        <f t="shared" si="48"/>
        <v>#DIV/0!</v>
      </c>
      <c r="O189" s="193" t="e">
        <f t="shared" si="39"/>
        <v>#DIV/0!</v>
      </c>
      <c r="P189" s="203" t="e">
        <f t="shared" si="49"/>
        <v>#DIV/0!</v>
      </c>
      <c r="Q189" s="190" t="e">
        <f>IFERROR(VLOOKUP(A189,[1]Energiindhold!$A$2:$C$11,3,FALSE),IFERROR(VLOOKUP(A189,[1]Biogasudbytte!$A$2:$B$18,2,FALSE)*[1]Energiindhold!$C$10,0))*O189</f>
        <v>#DIV/0!</v>
      </c>
      <c r="R189" s="190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#DIV/0!</v>
      </c>
      <c r="S189" s="190">
        <f>IFERROR(VLOOKUP(A189,[1]Biogasudbytte!$A$2:$B$18,2,FALSE)*[1]Energiindhold!$C$10,0)*J189*IFERROR(VLOOKUP(A189,Biogasanlæg!$F$3:$G$8,2,FALSE),1)</f>
        <v>0.16388806376141279</v>
      </c>
      <c r="T189" s="191" t="e">
        <f t="shared" si="50"/>
        <v>#DIV/0!</v>
      </c>
      <c r="U189" s="189" t="e">
        <f>O189*IFERROR(VLOOKUP(A189,[1]Tørstofindhold!A$2:B$24,2,FALSE),0)</f>
        <v>#DIV/0!</v>
      </c>
      <c r="V189" s="190" t="e">
        <f>IF(D189=År1,P189,SUM(O189,P189))*IFERROR(VLOOKUP(A189,[1]Tørstofindhold!A$2:B$24,2,FALSE),0)</f>
        <v>#DIV/0!</v>
      </c>
      <c r="W189" s="190">
        <f>J189*IFERROR(VLOOKUP(A189,[1]Tørstofindhold!A$2:B$24,2,FALSE),0)</f>
        <v>19021.363017805568</v>
      </c>
      <c r="X189" s="191" t="e">
        <f t="shared" si="51"/>
        <v>#DIV/0!</v>
      </c>
      <c r="Y189" s="171" t="e">
        <f t="shared" si="43"/>
        <v>#DIV/0!</v>
      </c>
      <c r="Z189" s="103" t="e">
        <f t="shared" si="44"/>
        <v>#DIV/0!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0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-100555.62853170674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1</v>
      </c>
      <c r="Z190" s="103">
        <f t="shared" si="44"/>
        <v>0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0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478572.02297745162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478572.02297745162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478572.02297745162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6.9362165890071248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6.9362165890071248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236693.7463642646</v>
      </c>
      <c r="W193" s="190">
        <f>J193*IFERROR(VLOOKUP(A193,[1]Tørstofindhold!A$2:B$24,2,FALSE),0)</f>
        <v>0</v>
      </c>
      <c r="X193" s="191">
        <f t="shared" si="51"/>
        <v>236693.7463642646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0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236972.56744938664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0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199360.11394988192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0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475197856480.41125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475197856480.41125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si="59"/>
        <v>0</v>
      </c>
      <c r="P198" s="203">
        <f t="shared" ca="1" si="49"/>
        <v>475197856480.41125</v>
      </c>
      <c r="Q198" s="190">
        <f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#DIV/0!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si="48"/>
        <v>#DIV/0!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si="60"/>
        <v>#DIV/0!</v>
      </c>
      <c r="Z199" s="103" t="e">
        <f t="shared" si="61"/>
        <v>#DIV/0!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288837.5497709263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179079.28085797431</v>
      </c>
      <c r="K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#DIV/0!</v>
      </c>
      <c r="L201" s="193" t="e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#DIV/0!</v>
      </c>
      <c r="M201" s="157" t="e">
        <f>SUMIFS('Forbrug af biomasse'!E:E,'Forbrug af biomasse'!C:C,'Resultat-Produktion &amp; forbrug'!$A201,'Forbrug af biomasse'!D:D,'Resultat-Produktion &amp; forbrug'!$D201,'Forbrug af biomasse'!G:G,1,'Forbrug af biomasse'!B:B,$E201)</f>
        <v>#DIV/0!</v>
      </c>
      <c r="N201" s="202" t="e">
        <f t="shared" si="48"/>
        <v>#DIV/0!</v>
      </c>
      <c r="O201" s="193" t="e">
        <f t="shared" si="59"/>
        <v>#DIV/0!</v>
      </c>
      <c r="P201" s="203" t="e">
        <f t="shared" si="49"/>
        <v>#DIV/0!</v>
      </c>
      <c r="Q201" s="190" t="e">
        <f>IFERROR(VLOOKUP(A201,[1]Energiindhold!$A$2:$C$11,3,FALSE),IFERROR(VLOOKUP(A201,[1]Biogasudbytte!$A$2:$B$18,2,FALSE)*[1]Energiindhold!$C$10,0))*O201</f>
        <v>#DIV/0!</v>
      </c>
      <c r="R201" s="190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#DIV/0!</v>
      </c>
      <c r="S201" s="190">
        <f>IFERROR(VLOOKUP(A201,[1]Biogasudbytte!$A$2:$B$18,2,FALSE)*[1]Energiindhold!$C$10,0)*J201*IFERROR(VLOOKUP(A201,Biogasanlæg!$F$3:$G$8,2,FALSE),1)</f>
        <v>0.38573677096807668</v>
      </c>
      <c r="T201" s="191" t="e">
        <f t="shared" si="50"/>
        <v>#DIV/0!</v>
      </c>
      <c r="U201" s="189" t="e">
        <f>O201*IFERROR(VLOOKUP(A201,[1]Tørstofindhold!A$2:B$24,2,FALSE),0)</f>
        <v>#DIV/0!</v>
      </c>
      <c r="V201" s="190" t="e">
        <f>IF(D201=År1,P201,SUM(O201,P201))*IFERROR(VLOOKUP(A201,[1]Tørstofindhold!A$2:B$24,2,FALSE),0)</f>
        <v>#DIV/0!</v>
      </c>
      <c r="W201" s="190">
        <f>J201*IFERROR(VLOOKUP(A201,[1]Tørstofindhold!A$2:B$24,2,FALSE),0)</f>
        <v>53723.78425739229</v>
      </c>
      <c r="X201" s="191" t="e">
        <f t="shared" si="51"/>
        <v>#DIV/0!</v>
      </c>
      <c r="Y201" s="171" t="e">
        <f t="shared" si="60"/>
        <v>#DIV/0!</v>
      </c>
      <c r="Z201" s="103" t="e">
        <f t="shared" si="61"/>
        <v>#DIV/0!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434.12519359476988</v>
      </c>
      <c r="K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#DIV/0!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 t="e">
        <f t="shared" si="48"/>
        <v>#DIV/0!</v>
      </c>
      <c r="O203" s="193" t="e">
        <f t="shared" si="59"/>
        <v>#DIV/0!</v>
      </c>
      <c r="P203" s="203">
        <f t="shared" si="49"/>
        <v>434.12519359476988</v>
      </c>
      <c r="Q203" s="190" t="e">
        <f>IFERROR(VLOOKUP(A203,[1]Energiindhold!$A$2:$C$11,3,FALSE),IFERROR(VLOOKUP(A203,[1]Biogasudbytte!$A$2:$B$18,2,FALSE)*[1]Energiindhold!$C$10,0))*O203</f>
        <v>#DIV/0!</v>
      </c>
      <c r="R203" s="190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#DIV/0!</v>
      </c>
      <c r="S203" s="190">
        <f>IFERROR(VLOOKUP(A203,[1]Biogasudbytte!$A$2:$B$18,2,FALSE)*[1]Energiindhold!$C$10,0)*J203*IFERROR(VLOOKUP(A203,Biogasanlæg!$F$3:$G$8,2,FALSE),1)</f>
        <v>2.0416473729568434E-4</v>
      </c>
      <c r="T203" s="191" t="e">
        <f t="shared" si="50"/>
        <v>#DIV/0!</v>
      </c>
      <c r="U203" s="189" t="e">
        <f>O203*IFERROR(VLOOKUP(A203,[1]Tørstofindhold!A$2:B$24,2,FALSE),0)</f>
        <v>#DIV/0!</v>
      </c>
      <c r="V203" s="190" t="e">
        <f>IF(D203=År1,P203,SUM(O203,P203))*IFERROR(VLOOKUP(A203,[1]Tørstofindhold!A$2:B$24,2,FALSE),0)</f>
        <v>#DIV/0!</v>
      </c>
      <c r="W203" s="190">
        <f>J203*IFERROR(VLOOKUP(A203,[1]Tørstofindhold!A$2:B$24,2,FALSE),0)</f>
        <v>27.349887196470501</v>
      </c>
      <c r="X203" s="191" t="e">
        <f t="shared" si="51"/>
        <v>#DIV/0!</v>
      </c>
      <c r="Y203" s="171" t="e">
        <f t="shared" si="60"/>
        <v>#DIV/0!</v>
      </c>
      <c r="Z203" s="103" t="e">
        <f t="shared" si="61"/>
        <v>#DIV/0!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0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-24448.094774678073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1</v>
      </c>
      <c r="Z204" s="103">
        <f t="shared" si="61"/>
        <v>0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325188.93567900889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325188.93567900889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45453.077491377226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-177870.86516193207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4023734.8162977309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0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#N/A</v>
      </c>
      <c r="N208" s="202" t="e">
        <f t="shared" si="48"/>
        <v>#N/A</v>
      </c>
      <c r="O208" s="193" t="e">
        <f t="shared" si="59"/>
        <v>#N/A</v>
      </c>
      <c r="P208" s="203">
        <f t="shared" si="49"/>
        <v>0</v>
      </c>
      <c r="Q208" s="190" t="e">
        <f>IFERROR(VLOOKUP(A208,[1]Energiindhold!$A$2:$C$11,3,FALSE),IFERROR(VLOOKUP(A208,[1]Biogasudbytte!$A$2:$B$18,2,FALSE)*[1]Energiindhold!$C$10,0))*O208</f>
        <v>#N/A</v>
      </c>
      <c r="R208" s="190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#N/A</v>
      </c>
      <c r="S208" s="190">
        <f>IFERROR(VLOOKUP(A208,[1]Biogasudbytte!$A$2:$B$18,2,FALSE)*[1]Energiindhold!$C$10,0)*J208*IFERROR(VLOOKUP(A208,Biogasanlæg!$F$3:$G$8,2,FALSE),1)</f>
        <v>0</v>
      </c>
      <c r="T208" s="191" t="e">
        <f t="shared" si="50"/>
        <v>#N/A</v>
      </c>
      <c r="U208" s="189" t="e">
        <f>O208*IFERROR(VLOOKUP(A208,[1]Tørstofindhold!A$2:B$24,2,FALSE),0)</f>
        <v>#N/A</v>
      </c>
      <c r="V208" s="190" t="e">
        <f>IF(D208=År1,P208,SUM(O208,P208))*IFERROR(VLOOKUP(A208,[1]Tørstofindhold!A$2:B$24,2,FALSE),0)</f>
        <v>#N/A</v>
      </c>
      <c r="W208" s="190">
        <f>J208*IFERROR(VLOOKUP(A208,[1]Tørstofindhold!A$2:B$24,2,FALSE),0)</f>
        <v>0</v>
      </c>
      <c r="X208" s="191" t="e">
        <f t="shared" si="51"/>
        <v>#N/A</v>
      </c>
      <c r="Y208" s="171" t="e">
        <f t="shared" si="60"/>
        <v>#N/A</v>
      </c>
      <c r="Z208" s="103" t="e">
        <f t="shared" si="61"/>
        <v>#N/A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488829.33816016692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254926.89296012194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0</v>
      </c>
      <c r="Z210" s="103">
        <f t="shared" si="61"/>
        <v>1</v>
      </c>
    </row>
    <row r="211" spans="1:26" hidden="1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936016.68504196673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0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82995.732675897758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0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395325.39162780321</v>
      </c>
      <c r="N211" s="202">
        <f t="shared" si="48"/>
        <v>457695.56073826575</v>
      </c>
      <c r="O211" s="193">
        <f t="shared" si="59"/>
        <v>457695.56073826575</v>
      </c>
      <c r="P211" s="203">
        <f t="shared" si="49"/>
        <v>0</v>
      </c>
      <c r="Q211" s="190">
        <f>IFERROR(VLOOKUP(A211,[1]Energiindhold!$A$2:$C$11,3,FALSE),IFERROR(VLOOKUP(A211,[1]Biogasudbytte!$A$2:$B$18,2,FALSE)*[1]Energiindhold!$C$10,0))*O211</f>
        <v>4.7306526780722251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4.7306526780722251</v>
      </c>
      <c r="S211" s="190">
        <f>IFERROR(VLOOKUP(A211,[1]Biogasudbytte!$A$2:$B$18,2,FALSE)*[1]Energiindhold!$C$10,0)*J211*IFERROR(VLOOKUP(A211,Biogasanlæg!$F$3:$G$8,2,FALSE),1)</f>
        <v>0</v>
      </c>
      <c r="T211" s="191">
        <f t="shared" si="50"/>
        <v>4.7306526780722251</v>
      </c>
      <c r="U211" s="189">
        <f>O211*IFERROR(VLOOKUP(A211,[1]Tørstofindhold!A$2:B$24,2,FALSE),0)</f>
        <v>389041.22662752587</v>
      </c>
      <c r="V211" s="190">
        <f>IF(D211=År1,P211,SUM(O211,P211))*IFERROR(VLOOKUP(A211,[1]Tørstofindhold!A$2:B$24,2,FALSE),0)</f>
        <v>389041.22662752587</v>
      </c>
      <c r="W211" s="190">
        <f>J211*IFERROR(VLOOKUP(A211,[1]Tørstofindhold!A$2:B$24,2,FALSE),0)</f>
        <v>0</v>
      </c>
      <c r="X211" s="191">
        <f t="shared" si="51"/>
        <v>389041.22662752587</v>
      </c>
      <c r="Y211" s="171">
        <f t="shared" si="60"/>
        <v>0</v>
      </c>
      <c r="Z211" s="103">
        <f t="shared" si="61"/>
        <v>1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0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84832.957970540854</v>
      </c>
      <c r="O212" s="193">
        <f t="shared" si="59"/>
        <v>84832.957970540854</v>
      </c>
      <c r="P212" s="203">
        <f t="shared" si="49"/>
        <v>371241.93216106802</v>
      </c>
      <c r="Q212" s="190">
        <f>IFERROR(VLOOKUP(A212,[1]Energiindhold!$A$2:$C$11,3,FALSE),IFERROR(VLOOKUP(A212,[1]Biogasudbytte!$A$2:$B$18,2,FALSE)*[1]Energiindhold!$C$10,0))*O212</f>
        <v>1.5144566731111488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90">
        <f>IFERROR(VLOOKUP(A212,[1]Biogasudbytte!$A$2:$B$18,2,FALSE)*[1]Energiindhold!$C$10,0)*J212*IFERROR(VLOOKUP(A212,Biogasanlæg!$F$3:$G$8,2,FALSE),1)</f>
        <v>0.63039478774474478</v>
      </c>
      <c r="T212" s="191">
        <f t="shared" si="50"/>
        <v>1.5144566731111486</v>
      </c>
      <c r="U212" s="189">
        <f>O212*IFERROR(VLOOKUP(A212,[1]Tørstofindhold!A$2:B$24,2,FALSE),0)</f>
        <v>25449.887391162254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111372.5796483204</v>
      </c>
      <c r="X212" s="191">
        <f t="shared" si="51"/>
        <v>25449.887391162265</v>
      </c>
      <c r="Y212" s="171">
        <f t="shared" si="60"/>
        <v>0</v>
      </c>
      <c r="Z212" s="103">
        <f t="shared" si="61"/>
        <v>1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0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0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188503.10094476934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197954.83404148166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-9451.7330967123271</v>
      </c>
      <c r="O214" s="193">
        <f t="shared" si="59"/>
        <v>0</v>
      </c>
      <c r="P214" s="203">
        <f t="shared" si="49"/>
        <v>197954.83404148166</v>
      </c>
      <c r="Q214" s="190">
        <f>IFERROR(VLOOKUP(A214,[1]Energiindhold!$A$2:$C$11,3,FALSE),IFERROR(VLOOKUP(A214,[1]Biogasudbytte!$A$2:$B$18,2,FALSE)*[1]Energiindhold!$C$10,0))*O214</f>
        <v>0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0.72909942552564067</v>
      </c>
      <c r="S214" s="190">
        <f>IFERROR(VLOOKUP(A214,[1]Biogasudbytte!$A$2:$B$18,2,FALSE)*[1]Energiindhold!$C$10,0)*J214*IFERROR(VLOOKUP(A214,Biogasanlæg!$F$3:$G$8,2,FALSE),1)</f>
        <v>0.72909942552564067</v>
      </c>
      <c r="T214" s="191">
        <f t="shared" si="50"/>
        <v>0</v>
      </c>
      <c r="U214" s="189">
        <f>O214*IFERROR(VLOOKUP(A214,[1]Tørstofindhold!A$2:B$24,2,FALSE),0)</f>
        <v>0</v>
      </c>
      <c r="V214" s="190">
        <f>IF(D214=År1,P214,SUM(O214,P214))*IFERROR(VLOOKUP(A214,[1]Tørstofindhold!A$2:B$24,2,FALSE),0)</f>
        <v>83141.030297422301</v>
      </c>
      <c r="W214" s="190">
        <f>J214*IFERROR(VLOOKUP(A214,[1]Tørstofindhold!A$2:B$24,2,FALSE),0)</f>
        <v>83141.030297422301</v>
      </c>
      <c r="X214" s="191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204048.45051038259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204048.45051038259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680680.18601722247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573719.77137800585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1541299.6719009152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0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1285064.8324355392</v>
      </c>
      <c r="O217" s="193">
        <f t="shared" si="59"/>
        <v>1285064.8324355392</v>
      </c>
      <c r="P217" s="203">
        <f t="shared" si="63"/>
        <v>0</v>
      </c>
      <c r="Q217" s="190">
        <f>IFERROR(VLOOKUP(A217,[1]Energiindhold!$A$2:$C$11,3,FALSE),IFERROR(VLOOKUP(A217,[1]Biogasudbytte!$A$2:$B$18,2,FALSE)*[1]Energiindhold!$C$10,0))*O217</f>
        <v>4.4011671420151819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4.4011671420151819</v>
      </c>
      <c r="S217" s="190">
        <f>IFERROR(VLOOKUP(A217,[1]Biogasudbytte!$A$2:$B$18,2,FALSE)*[1]Energiindhold!$C$10,0)*J217*IFERROR(VLOOKUP(A217,Biogasanlæg!$F$3:$G$8,2,FALSE),1)</f>
        <v>0</v>
      </c>
      <c r="T217" s="191">
        <f t="shared" si="64"/>
        <v>4.4011671420151819</v>
      </c>
      <c r="U217" s="189">
        <f>O217*IFERROR(VLOOKUP(A217,[1]Tørstofindhold!A$2:B$24,2,FALSE),0)</f>
        <v>398370.09805501718</v>
      </c>
      <c r="V217" s="190">
        <f>IF(D217=År1,P217,SUM(O217,P217))*IFERROR(VLOOKUP(A217,[1]Tørstofindhold!A$2:B$24,2,FALSE),0)</f>
        <v>398370.09805501718</v>
      </c>
      <c r="W217" s="190">
        <f>J217*IFERROR(VLOOKUP(A217,[1]Tørstofindhold!A$2:B$24,2,FALSE),0)</f>
        <v>0</v>
      </c>
      <c r="X217" s="191">
        <f t="shared" si="65"/>
        <v>398370.09805501718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#DIV/0!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si="62"/>
        <v>#DIV/0!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si="60"/>
        <v>#DIV/0!</v>
      </c>
      <c r="Z218" s="103" t="e">
        <f t="shared" si="61"/>
        <v>#DIV/0!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457703.4296424397</v>
      </c>
      <c r="K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#DIV/0!</v>
      </c>
      <c r="L219" s="193" t="e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#DIV/0!</v>
      </c>
      <c r="M219" s="157" t="e">
        <f>SUMIFS('Forbrug af biomasse'!E:E,'Forbrug af biomasse'!C:C,'Resultat-Produktion &amp; forbrug'!$A219,'Forbrug af biomasse'!D:D,'Resultat-Produktion &amp; forbrug'!$D219,'Forbrug af biomasse'!G:G,1,'Forbrug af biomasse'!B:B,$E219)</f>
        <v>#DIV/0!</v>
      </c>
      <c r="N219" s="202" t="e">
        <f t="shared" si="62"/>
        <v>#DIV/0!</v>
      </c>
      <c r="O219" s="193" t="e">
        <f t="shared" si="59"/>
        <v>#DIV/0!</v>
      </c>
      <c r="P219" s="203" t="e">
        <f t="shared" si="63"/>
        <v>#DIV/0!</v>
      </c>
      <c r="Q219" s="190" t="e">
        <f>IFERROR(VLOOKUP(A219,[1]Energiindhold!$A$2:$C$11,3,FALSE),IFERROR(VLOOKUP(A219,[1]Biogasudbytte!$A$2:$B$18,2,FALSE)*[1]Energiindhold!$C$10,0))*O219</f>
        <v>#DIV/0!</v>
      </c>
      <c r="R219" s="190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#DIV/0!</v>
      </c>
      <c r="S219" s="190">
        <f>IFERROR(VLOOKUP(A219,[1]Biogasudbytte!$A$2:$B$18,2,FALSE)*[1]Energiindhold!$C$10,0)*J219*IFERROR(VLOOKUP(A219,Biogasanlæg!$F$3:$G$8,2,FALSE),1)</f>
        <v>0.23168489905070658</v>
      </c>
      <c r="T219" s="191" t="e">
        <f t="shared" si="64"/>
        <v>#DIV/0!</v>
      </c>
      <c r="U219" s="189" t="e">
        <f>O219*IFERROR(VLOOKUP(A219,[1]Tørstofindhold!A$2:B$24,2,FALSE),0)</f>
        <v>#DIV/0!</v>
      </c>
      <c r="V219" s="190" t="e">
        <f>IF(D219=År1,P219,SUM(O219,P219))*IFERROR(VLOOKUP(A219,[1]Tørstofindhold!A$2:B$24,2,FALSE),0)</f>
        <v>#DIV/0!</v>
      </c>
      <c r="W219" s="190">
        <f>J219*IFERROR(VLOOKUP(A219,[1]Tørstofindhold!A$2:B$24,2,FALSE),0)</f>
        <v>34785.460652825415</v>
      </c>
      <c r="X219" s="191" t="e">
        <f t="shared" si="65"/>
        <v>#DIV/0!</v>
      </c>
      <c r="Y219" s="171" t="e">
        <f t="shared" si="60"/>
        <v>#DIV/0!</v>
      </c>
      <c r="Z219" s="103" t="e">
        <f t="shared" si="61"/>
        <v>#DIV/0!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0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0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0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0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1235469.8186668158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0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1235469.8186668158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0</v>
      </c>
      <c r="O221" s="193">
        <f t="shared" si="59"/>
        <v>0</v>
      </c>
      <c r="P221" s="203">
        <f t="shared" si="63"/>
        <v>1235469.8186668158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</v>
      </c>
      <c r="S221" s="190">
        <f>IFERROR(VLOOKUP(A221,[1]Biogasudbytte!$A$2:$B$18,2,FALSE)*[1]Energiindhold!$C$10,0)*J221*IFERROR(VLOOKUP(A221,Biogasanlæg!$F$3:$G$8,2,FALSE),1)</f>
        <v>0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370640.94560004474</v>
      </c>
      <c r="W221" s="190">
        <f>J221*IFERROR(VLOOKUP(A221,[1]Tørstofindhold!A$2:B$24,2,FALSE),0)</f>
        <v>0</v>
      </c>
      <c r="X221" s="191">
        <f t="shared" si="65"/>
        <v>370640.94560004474</v>
      </c>
      <c r="Y221" s="171">
        <f t="shared" si="60"/>
        <v>0</v>
      </c>
      <c r="Z221" s="103">
        <f t="shared" si="61"/>
        <v>0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0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-409035.43180711387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1</v>
      </c>
      <c r="Z222" s="103">
        <f t="shared" si="61"/>
        <v>0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0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-41580.567343702467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449217.90264651313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449217.90264651313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0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39848.41282272341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0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39848.41282272341</v>
      </c>
      <c r="O226" s="193">
        <f t="shared" si="59"/>
        <v>0</v>
      </c>
      <c r="P226" s="203">
        <f t="shared" si="63"/>
        <v>0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0</v>
      </c>
      <c r="W226" s="190">
        <f>J226*IFERROR(VLOOKUP(A226,[1]Tørstofindhold!A$2:B$24,2,FALSE),0)</f>
        <v>0</v>
      </c>
      <c r="X226" s="191">
        <f t="shared" si="65"/>
        <v>0</v>
      </c>
      <c r="Y226" s="171">
        <f t="shared" si="60"/>
        <v>0</v>
      </c>
      <c r="Z226" s="103">
        <f t="shared" si="61"/>
        <v>1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0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0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3" t="e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#DIV/0!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 t="e">
        <f t="shared" si="62"/>
        <v>#DIV/0!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 t="e">
        <f t="shared" si="60"/>
        <v>#DIV/0!</v>
      </c>
      <c r="Z229" s="103" t="e">
        <f t="shared" si="61"/>
        <v>#DIV/0!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214510.72415794732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214510.72415794732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0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0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0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0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0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0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0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0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0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224907.22799024681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0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224907.22799024681</v>
      </c>
      <c r="O233" s="193">
        <f t="shared" si="59"/>
        <v>224907.22799024681</v>
      </c>
      <c r="P233" s="203">
        <f t="shared" si="63"/>
        <v>0</v>
      </c>
      <c r="Q233" s="190">
        <f>IFERROR(VLOOKUP(A233,[1]Energiindhold!$A$2:$C$11,3,FALSE),IFERROR(VLOOKUP(A233,[1]Biogasudbytte!$A$2:$B$18,2,FALSE)*[1]Energiindhold!$C$10,0))*O233</f>
        <v>0.61040721305464951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0.61040721305464951</v>
      </c>
      <c r="S233" s="190">
        <f>IFERROR(VLOOKUP(A233,[1]Biogasudbytte!$A$2:$B$18,2,FALSE)*[1]Energiindhold!$C$10,0)*J233*IFERROR(VLOOKUP(A233,Biogasanlæg!$F$3:$G$8,2,FALSE),1)</f>
        <v>0</v>
      </c>
      <c r="T233" s="191">
        <f t="shared" si="64"/>
        <v>0.61040721305464951</v>
      </c>
      <c r="U233" s="189">
        <f>O233*IFERROR(VLOOKUP(A233,[1]Tørstofindhold!A$2:B$24,2,FALSE),0)</f>
        <v>44981.445598049366</v>
      </c>
      <c r="V233" s="190">
        <f>IF(D233=År1,P233,SUM(O233,P233))*IFERROR(VLOOKUP(A233,[1]Tørstofindhold!A$2:B$24,2,FALSE),0)</f>
        <v>44981.445598049366</v>
      </c>
      <c r="W233" s="190">
        <f>J233*IFERROR(VLOOKUP(A233,[1]Tørstofindhold!A$2:B$24,2,FALSE),0)</f>
        <v>0</v>
      </c>
      <c r="X233" s="191">
        <f t="shared" si="65"/>
        <v>44981.445598049366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0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0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0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0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0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0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0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3335400.0632957984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1667700.0316478992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1667700.0316478992</v>
      </c>
      <c r="O236" s="193">
        <f t="shared" si="59"/>
        <v>1667700.0316478992</v>
      </c>
      <c r="P236" s="203">
        <f t="shared" si="63"/>
        <v>1667700.0316478992</v>
      </c>
      <c r="Q236" s="190">
        <f>IFERROR(VLOOKUP(A236,[1]Energiindhold!$A$2:$C$11,3,FALSE),IFERROR(VLOOKUP(A236,[1]Biogasudbytte!$A$2:$B$18,2,FALSE)*[1]Energiindhold!$C$10,0))*O236</f>
        <v>0.83219899279261833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1.6643979855852367</v>
      </c>
      <c r="S236" s="190">
        <f>IFERROR(VLOOKUP(A236,[1]Biogasudbytte!$A$2:$B$18,2,FALSE)*[1]Energiindhold!$C$10,0)*J236*IFERROR(VLOOKUP(A236,Biogasanlæg!$F$3:$G$8,2,FALSE),1)</f>
        <v>0.83219899279261833</v>
      </c>
      <c r="T236" s="191">
        <f t="shared" si="64"/>
        <v>0.83219899279261833</v>
      </c>
      <c r="U236" s="189">
        <f>O236*IFERROR(VLOOKUP(A236,[1]Tørstofindhold!A$2:B$24,2,FALSE),0)</f>
        <v>100062.00189887395</v>
      </c>
      <c r="V236" s="190">
        <f>IF(D236=År1,P236,SUM(O236,P236))*IFERROR(VLOOKUP(A236,[1]Tørstofindhold!A$2:B$24,2,FALSE),0)</f>
        <v>200124.00379774789</v>
      </c>
      <c r="W236" s="190">
        <f>J236*IFERROR(VLOOKUP(A236,[1]Tørstofindhold!A$2:B$24,2,FALSE),0)</f>
        <v>100062.00189887395</v>
      </c>
      <c r="X236" s="191">
        <f t="shared" si="65"/>
        <v>100062.00189887395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1747439.8704342765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1083412.7196692515</v>
      </c>
      <c r="K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#DIV/0!</v>
      </c>
      <c r="L237" s="193" t="e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#DIV/0!</v>
      </c>
      <c r="M237" s="157" t="e">
        <f>SUMIFS('Forbrug af biomasse'!E:E,'Forbrug af biomasse'!C:C,'Resultat-Produktion &amp; forbrug'!$A237,'Forbrug af biomasse'!D:D,'Resultat-Produktion &amp; forbrug'!$D237,'Forbrug af biomasse'!G:G,1,'Forbrug af biomasse'!B:B,$E237)</f>
        <v>#DIV/0!</v>
      </c>
      <c r="N237" s="202" t="e">
        <f t="shared" si="62"/>
        <v>#DIV/0!</v>
      </c>
      <c r="O237" s="193" t="e">
        <f t="shared" si="59"/>
        <v>#DIV/0!</v>
      </c>
      <c r="P237" s="203" t="e">
        <f t="shared" si="63"/>
        <v>#DIV/0!</v>
      </c>
      <c r="Q237" s="190" t="e">
        <f>IFERROR(VLOOKUP(A237,[1]Energiindhold!$A$2:$C$11,3,FALSE),IFERROR(VLOOKUP(A237,[1]Biogasudbytte!$A$2:$B$18,2,FALSE)*[1]Energiindhold!$C$10,0))*O237</f>
        <v>#DIV/0!</v>
      </c>
      <c r="R237" s="190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#DIV/0!</v>
      </c>
      <c r="S237" s="190">
        <f>IFERROR(VLOOKUP(A237,[1]Biogasudbytte!$A$2:$B$18,2,FALSE)*[1]Energiindhold!$C$10,0)*J237*IFERROR(VLOOKUP(A237,Biogasanlæg!$F$3:$G$8,2,FALSE),1)</f>
        <v>0.46673419963351359</v>
      </c>
      <c r="T237" s="191" t="e">
        <f t="shared" si="64"/>
        <v>#DIV/0!</v>
      </c>
      <c r="U237" s="189" t="e">
        <f>O237*IFERROR(VLOOKUP(A237,[1]Tørstofindhold!A$2:B$24,2,FALSE),0)</f>
        <v>#DIV/0!</v>
      </c>
      <c r="V237" s="190" t="e">
        <f>IF(D237=År1,P237,SUM(O237,P237))*IFERROR(VLOOKUP(A237,[1]Tørstofindhold!A$2:B$24,2,FALSE),0)</f>
        <v>#DIV/0!</v>
      </c>
      <c r="W237" s="190">
        <f>J237*IFERROR(VLOOKUP(A237,[1]Tørstofindhold!A$2:B$24,2,FALSE),0)</f>
        <v>54170.635983462576</v>
      </c>
      <c r="X237" s="191" t="e">
        <f t="shared" si="65"/>
        <v>#DIV/0!</v>
      </c>
      <c r="Y237" s="171" t="e">
        <f t="shared" si="60"/>
        <v>#DIV/0!</v>
      </c>
      <c r="Z237" s="103" t="e">
        <f t="shared" si="61"/>
        <v>#DIV/0!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0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-84421.151879638346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1</v>
      </c>
      <c r="Z238" s="103">
        <f t="shared" si="61"/>
        <v>0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0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454741.34795789153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454741.34795789153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454741.34795789153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6.5908250586591448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6.5908250586591448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224907.49167750718</v>
      </c>
      <c r="W241" s="190">
        <f>J241*IFERROR(VLOOKUP(A241,[1]Tørstofindhold!A$2:B$24,2,FALSE),0)</f>
        <v>0</v>
      </c>
      <c r="X241" s="191">
        <f t="shared" si="65"/>
        <v>224907.49167750718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0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221015.95064111016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0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98440.006733673188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122575.94390743697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0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480703525861.91327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480703525861.91327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si="59"/>
        <v>0</v>
      </c>
      <c r="P246" s="203">
        <f t="shared" ca="1" si="63"/>
        <v>480703525861.91327</v>
      </c>
      <c r="Q246" s="190">
        <f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#DIV/0!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si="62"/>
        <v>#DIV/0!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si="60"/>
        <v>#DIV/0!</v>
      </c>
      <c r="Z247" s="103" t="e">
        <f t="shared" si="61"/>
        <v>#DIV/0!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194332.65736576461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155466.12589261169</v>
      </c>
      <c r="K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#DIV/0!</v>
      </c>
      <c r="L249" s="193" t="e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#DIV/0!</v>
      </c>
      <c r="M249" s="157" t="e">
        <f>SUMIFS('Forbrug af biomasse'!E:E,'Forbrug af biomasse'!C:C,'Resultat-Produktion &amp; forbrug'!$A249,'Forbrug af biomasse'!D:D,'Resultat-Produktion &amp; forbrug'!$D249,'Forbrug af biomasse'!G:G,1,'Forbrug af biomasse'!B:B,$E249)</f>
        <v>#DIV/0!</v>
      </c>
      <c r="N249" s="202" t="e">
        <f t="shared" si="62"/>
        <v>#DIV/0!</v>
      </c>
      <c r="O249" s="193" t="e">
        <f t="shared" si="59"/>
        <v>#DIV/0!</v>
      </c>
      <c r="P249" s="203" t="e">
        <f t="shared" si="63"/>
        <v>#DIV/0!</v>
      </c>
      <c r="Q249" s="190" t="e">
        <f>IFERROR(VLOOKUP(A249,[1]Energiindhold!$A$2:$C$11,3,FALSE),IFERROR(VLOOKUP(A249,[1]Biogasudbytte!$A$2:$B$18,2,FALSE)*[1]Energiindhold!$C$10,0))*O249</f>
        <v>#DIV/0!</v>
      </c>
      <c r="R249" s="190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#DIV/0!</v>
      </c>
      <c r="S249" s="190">
        <f>IFERROR(VLOOKUP(A249,[1]Biogasudbytte!$A$2:$B$18,2,FALSE)*[1]Energiindhold!$C$10,0)*J249*IFERROR(VLOOKUP(A249,Biogasanlæg!$F$3:$G$8,2,FALSE),1)</f>
        <v>0.3348740351726856</v>
      </c>
      <c r="T249" s="191" t="e">
        <f t="shared" si="64"/>
        <v>#DIV/0!</v>
      </c>
      <c r="U249" s="189" t="e">
        <f>O249*IFERROR(VLOOKUP(A249,[1]Tørstofindhold!A$2:B$24,2,FALSE),0)</f>
        <v>#DIV/0!</v>
      </c>
      <c r="V249" s="190" t="e">
        <f>IF(D249=År1,P249,SUM(O249,P249))*IFERROR(VLOOKUP(A249,[1]Tørstofindhold!A$2:B$24,2,FALSE),0)</f>
        <v>#DIV/0!</v>
      </c>
      <c r="W249" s="190">
        <f>J249*IFERROR(VLOOKUP(A249,[1]Tørstofindhold!A$2:B$24,2,FALSE),0)</f>
        <v>46639.837767783501</v>
      </c>
      <c r="X249" s="191" t="e">
        <f t="shared" si="65"/>
        <v>#DIV/0!</v>
      </c>
      <c r="Y249" s="171" t="e">
        <f t="shared" si="60"/>
        <v>#DIV/0!</v>
      </c>
      <c r="Z249" s="103" t="e">
        <f t="shared" si="61"/>
        <v>#DIV/0!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578.47871789484259</v>
      </c>
      <c r="K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#DIV/0!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 t="e">
        <f t="shared" si="62"/>
        <v>#DIV/0!</v>
      </c>
      <c r="O251" s="193" t="e">
        <f t="shared" si="59"/>
        <v>#DIV/0!</v>
      </c>
      <c r="P251" s="203">
        <f t="shared" si="63"/>
        <v>578.47871789484259</v>
      </c>
      <c r="Q251" s="190" t="e">
        <f>IFERROR(VLOOKUP(A251,[1]Energiindhold!$A$2:$C$11,3,FALSE),IFERROR(VLOOKUP(A251,[1]Biogasudbytte!$A$2:$B$18,2,FALSE)*[1]Energiindhold!$C$10,0))*O251</f>
        <v>#DIV/0!</v>
      </c>
      <c r="R251" s="190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#DIV/0!</v>
      </c>
      <c r="S251" s="190">
        <f>IFERROR(VLOOKUP(A251,[1]Biogasudbytte!$A$2:$B$18,2,FALSE)*[1]Energiindhold!$C$10,0)*J251*IFERROR(VLOOKUP(A251,Biogasanlæg!$F$3:$G$8,2,FALSE),1)</f>
        <v>2.7205275623876551E-4</v>
      </c>
      <c r="T251" s="191" t="e">
        <f t="shared" si="64"/>
        <v>#DIV/0!</v>
      </c>
      <c r="U251" s="189" t="e">
        <f>O251*IFERROR(VLOOKUP(A251,[1]Tørstofindhold!A$2:B$24,2,FALSE),0)</f>
        <v>#DIV/0!</v>
      </c>
      <c r="V251" s="190" t="e">
        <f>IF(D251=År1,P251,SUM(O251,P251))*IFERROR(VLOOKUP(A251,[1]Tørstofindhold!A$2:B$24,2,FALSE),0)</f>
        <v>#DIV/0!</v>
      </c>
      <c r="W251" s="190">
        <f>J251*IFERROR(VLOOKUP(A251,[1]Tørstofindhold!A$2:B$24,2,FALSE),0)</f>
        <v>36.444159227375081</v>
      </c>
      <c r="X251" s="191" t="e">
        <f t="shared" si="65"/>
        <v>#DIV/0!</v>
      </c>
      <c r="Y251" s="171" t="e">
        <f t="shared" si="60"/>
        <v>#DIV/0!</v>
      </c>
      <c r="Z251" s="103" t="e">
        <f t="shared" si="61"/>
        <v>#DIV/0!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0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15996.501094221892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-15996.501094221892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1</v>
      </c>
      <c r="Z252" s="103">
        <f t="shared" si="61"/>
        <v>0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287387.86171913851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287387.86171913851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42271.361313865054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-191523.65467860876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2888780.562395826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0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#N/A</v>
      </c>
      <c r="N256" s="202" t="e">
        <f t="shared" si="62"/>
        <v>#N/A</v>
      </c>
      <c r="O256" s="193" t="e">
        <f t="shared" si="59"/>
        <v>#N/A</v>
      </c>
      <c r="P256" s="203">
        <f t="shared" si="63"/>
        <v>0</v>
      </c>
      <c r="Q256" s="190" t="e">
        <f>IFERROR(VLOOKUP(A256,[1]Energiindhold!$A$2:$C$11,3,FALSE),IFERROR(VLOOKUP(A256,[1]Biogasudbytte!$A$2:$B$18,2,FALSE)*[1]Energiindhold!$C$10,0))*O256</f>
        <v>#N/A</v>
      </c>
      <c r="R256" s="190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#N/A</v>
      </c>
      <c r="S256" s="190">
        <f>IFERROR(VLOOKUP(A256,[1]Biogasudbytte!$A$2:$B$18,2,FALSE)*[1]Energiindhold!$C$10,0)*J256*IFERROR(VLOOKUP(A256,Biogasanlæg!$F$3:$G$8,2,FALSE),1)</f>
        <v>0</v>
      </c>
      <c r="T256" s="191" t="e">
        <f t="shared" si="64"/>
        <v>#N/A</v>
      </c>
      <c r="U256" s="189" t="e">
        <f>O256*IFERROR(VLOOKUP(A256,[1]Tørstofindhold!A$2:B$24,2,FALSE),0)</f>
        <v>#N/A</v>
      </c>
      <c r="V256" s="190" t="e">
        <f>IF(D256=År1,P256,SUM(O256,P256))*IFERROR(VLOOKUP(A256,[1]Tørstofindhold!A$2:B$24,2,FALSE),0)</f>
        <v>#N/A</v>
      </c>
      <c r="W256" s="190">
        <f>J256*IFERROR(VLOOKUP(A256,[1]Tørstofindhold!A$2:B$24,2,FALSE),0)</f>
        <v>0</v>
      </c>
      <c r="X256" s="191" t="e">
        <f t="shared" si="65"/>
        <v>#N/A</v>
      </c>
      <c r="Y256" s="171" t="e">
        <f t="shared" si="60"/>
        <v>#N/A</v>
      </c>
      <c r="Z256" s="103" t="e">
        <f t="shared" si="61"/>
        <v>#N/A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456174.53044673882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211305.01369672679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0</v>
      </c>
      <c r="Z258" s="103">
        <f t="shared" si="61"/>
        <v>1</v>
      </c>
    </row>
    <row r="259" spans="1:26" hidden="1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1064014.7311507878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0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51992.644823495335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0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707286.21227397677</v>
      </c>
      <c r="N259" s="202">
        <f t="shared" si="62"/>
        <v>304735.87405331573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304735.87405331573</v>
      </c>
      <c r="P259" s="203">
        <f t="shared" si="63"/>
        <v>0</v>
      </c>
      <c r="Q259" s="190">
        <f>IFERROR(VLOOKUP(A259,[1]Energiindhold!$A$2:$C$11,3,FALSE),IFERROR(VLOOKUP(A259,[1]Biogasudbytte!$A$2:$B$18,2,FALSE)*[1]Energiindhold!$C$10,0))*O259</f>
        <v>3.1496909788019121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3.1496909788019121</v>
      </c>
      <c r="S259" s="190">
        <f>IFERROR(VLOOKUP(A259,[1]Biogasudbytte!$A$2:$B$18,2,FALSE)*[1]Energiindhold!$C$10,0)*J259*IFERROR(VLOOKUP(A259,Biogasanlæg!$F$3:$G$8,2,FALSE),1)</f>
        <v>0</v>
      </c>
      <c r="T259" s="191">
        <f t="shared" si="64"/>
        <v>3.1496909788019121</v>
      </c>
      <c r="U259" s="189">
        <f>O259*IFERROR(VLOOKUP(A259,[1]Tørstofindhold!A$2:B$24,2,FALSE),0)</f>
        <v>259025.49294531837</v>
      </c>
      <c r="V259" s="190">
        <f>IF(D259=År1,P259,SUM(O259,P259))*IFERROR(VLOOKUP(A259,[1]Tørstofindhold!A$2:B$24,2,FALSE),0)</f>
        <v>259025.49294531837</v>
      </c>
      <c r="W259" s="190">
        <f>J259*IFERROR(VLOOKUP(A259,[1]Tørstofindhold!A$2:B$24,2,FALSE),0)</f>
        <v>0</v>
      </c>
      <c r="X259" s="191">
        <f t="shared" si="65"/>
        <v>259025.49294531837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1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0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85177.467347188154</v>
      </c>
      <c r="O260" s="193">
        <f t="shared" si="75"/>
        <v>85177.467347188154</v>
      </c>
      <c r="P260" s="203">
        <f t="shared" si="63"/>
        <v>372749.55761341366</v>
      </c>
      <c r="Q260" s="190">
        <f>IFERROR(VLOOKUP(A260,[1]Energiindhold!$A$2:$C$11,3,FALSE),IFERROR(VLOOKUP(A260,[1]Biogasudbytte!$A$2:$B$18,2,FALSE)*[1]Energiindhold!$C$10,0))*O260</f>
        <v>1.5206069304744962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90">
        <f>IFERROR(VLOOKUP(A260,[1]Biogasudbytte!$A$2:$B$18,2,FALSE)*[1]Energiindhold!$C$10,0)*J260*IFERROR(VLOOKUP(A260,Biogasanlæg!$F$3:$G$8,2,FALSE),1)</f>
        <v>0.63295484129660939</v>
      </c>
      <c r="T260" s="191">
        <f t="shared" si="64"/>
        <v>1.520606930474496</v>
      </c>
      <c r="U260" s="189">
        <f>O260*IFERROR(VLOOKUP(A260,[1]Tørstofindhold!A$2:B$24,2,FALSE),0)</f>
        <v>25553.240204156446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111824.86728402409</v>
      </c>
      <c r="X260" s="191">
        <f t="shared" si="65"/>
        <v>25553.240204156449</v>
      </c>
      <c r="Y260" s="171">
        <f t="shared" si="76"/>
        <v>0</v>
      </c>
      <c r="Z260" s="103">
        <f t="shared" si="77"/>
        <v>1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0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0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180578.07913814983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182664.77193397845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-2086.6927958286251</v>
      </c>
      <c r="O262" s="193">
        <f t="shared" si="75"/>
        <v>0</v>
      </c>
      <c r="P262" s="203">
        <f t="shared" si="63"/>
        <v>182664.77193397845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0.67278367272873807</v>
      </c>
      <c r="S262" s="190">
        <f>IFERROR(VLOOKUP(A262,[1]Biogasudbytte!$A$2:$B$18,2,FALSE)*[1]Energiindhold!$C$10,0)*J262*IFERROR(VLOOKUP(A262,Biogasanlæg!$F$3:$G$8,2,FALSE),1)</f>
        <v>0.67278367272873807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76719.204212270954</v>
      </c>
      <c r="W262" s="190">
        <f>J262*IFERROR(VLOOKUP(A262,[1]Tørstofindhold!A$2:B$24,2,FALSE),0)</f>
        <v>76719.204212270954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188875.23433835641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188875.23433835641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634382.54064061423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522407.03298106097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1422520.7615932694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0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1154271.74324401</v>
      </c>
      <c r="O265" s="193">
        <f t="shared" si="75"/>
        <v>1154271.74324401</v>
      </c>
      <c r="P265" s="203">
        <f t="shared" si="63"/>
        <v>0</v>
      </c>
      <c r="Q265" s="190">
        <f>IFERROR(VLOOKUP(A265,[1]Energiindhold!$A$2:$C$11,3,FALSE),IFERROR(VLOOKUP(A265,[1]Biogasudbytte!$A$2:$B$18,2,FALSE)*[1]Energiindhold!$C$10,0))*O265</f>
        <v>3.9532191225666811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3.9532191225666811</v>
      </c>
      <c r="S265" s="190">
        <f>IFERROR(VLOOKUP(A265,[1]Biogasudbytte!$A$2:$B$18,2,FALSE)*[1]Energiindhold!$C$10,0)*J265*IFERROR(VLOOKUP(A265,Biogasanlæg!$F$3:$G$8,2,FALSE),1)</f>
        <v>0</v>
      </c>
      <c r="T265" s="191">
        <f t="shared" si="64"/>
        <v>3.9532191225666811</v>
      </c>
      <c r="U265" s="189">
        <f>O265*IFERROR(VLOOKUP(A265,[1]Tørstofindhold!A$2:B$24,2,FALSE),0)</f>
        <v>357824.24040564313</v>
      </c>
      <c r="V265" s="190">
        <f>IF(D265=År1,P265,SUM(O265,P265))*IFERROR(VLOOKUP(A265,[1]Tørstofindhold!A$2:B$24,2,FALSE),0)</f>
        <v>357824.24040564313</v>
      </c>
      <c r="W265" s="190">
        <f>J265*IFERROR(VLOOKUP(A265,[1]Tørstofindhold!A$2:B$24,2,FALSE),0)</f>
        <v>0</v>
      </c>
      <c r="X265" s="191">
        <f t="shared" si="65"/>
        <v>357824.24040564313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#DIV/0!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si="62"/>
        <v>#DIV/0!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si="76"/>
        <v>#DIV/0!</v>
      </c>
      <c r="Z266" s="103" t="e">
        <f t="shared" si="77"/>
        <v>#DIV/0!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452578.20336624543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362062.56269299635</v>
      </c>
      <c r="K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#DIV/0!</v>
      </c>
      <c r="L267" s="193" t="e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#DIV/0!</v>
      </c>
      <c r="M267" s="157" t="e">
        <f>SUMIFS('Forbrug af biomasse'!E:E,'Forbrug af biomasse'!C:C,'Resultat-Produktion &amp; forbrug'!$A267,'Forbrug af biomasse'!D:D,'Resultat-Produktion &amp; forbrug'!$D267,'Forbrug af biomasse'!G:G,1,'Forbrug af biomasse'!B:B,$E267)</f>
        <v>#DIV/0!</v>
      </c>
      <c r="N267" s="202" t="e">
        <f t="shared" si="62"/>
        <v>#DIV/0!</v>
      </c>
      <c r="O267" s="193" t="e">
        <f t="shared" si="75"/>
        <v>#DIV/0!</v>
      </c>
      <c r="P267" s="203" t="e">
        <f t="shared" si="63"/>
        <v>#DIV/0!</v>
      </c>
      <c r="Q267" s="190" t="e">
        <f>IFERROR(VLOOKUP(A267,[1]Energiindhold!$A$2:$C$11,3,FALSE),IFERROR(VLOOKUP(A267,[1]Biogasudbytte!$A$2:$B$18,2,FALSE)*[1]Energiindhold!$C$10,0))*O267</f>
        <v>#DIV/0!</v>
      </c>
      <c r="R267" s="190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#DIV/0!</v>
      </c>
      <c r="S267" s="190">
        <f>IFERROR(VLOOKUP(A267,[1]Biogasudbytte!$A$2:$B$18,2,FALSE)*[1]Energiindhold!$C$10,0)*J267*IFERROR(VLOOKUP(A267,Biogasanlæg!$F$3:$G$8,2,FALSE),1)</f>
        <v>0.18327244860956785</v>
      </c>
      <c r="T267" s="191" t="e">
        <f t="shared" si="64"/>
        <v>#DIV/0!</v>
      </c>
      <c r="U267" s="189" t="e">
        <f>O267*IFERROR(VLOOKUP(A267,[1]Tørstofindhold!A$2:B$24,2,FALSE),0)</f>
        <v>#DIV/0!</v>
      </c>
      <c r="V267" s="190" t="e">
        <f>IF(D267=År1,P267,SUM(O267,P267))*IFERROR(VLOOKUP(A267,[1]Tørstofindhold!A$2:B$24,2,FALSE),0)</f>
        <v>#DIV/0!</v>
      </c>
      <c r="W267" s="190">
        <f>J267*IFERROR(VLOOKUP(A267,[1]Tørstofindhold!A$2:B$24,2,FALSE),0)</f>
        <v>27516.754764667723</v>
      </c>
      <c r="X267" s="191" t="e">
        <f t="shared" si="65"/>
        <v>#DIV/0!</v>
      </c>
      <c r="Y267" s="171" t="e">
        <f t="shared" si="76"/>
        <v>#DIV/0!</v>
      </c>
      <c r="Z267" s="103" t="e">
        <f t="shared" si="77"/>
        <v>#DIV/0!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0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0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0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0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1162586.9095964739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0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199670.8224928487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962916.08710362518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0</v>
      </c>
      <c r="O269" s="193">
        <f t="shared" si="75"/>
        <v>0</v>
      </c>
      <c r="P269" s="203">
        <f t="shared" si="63"/>
        <v>1162586.9095964739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0.71681825274932687</v>
      </c>
      <c r="S269" s="190">
        <f>IFERROR(VLOOKUP(A269,[1]Biogasudbytte!$A$2:$B$18,2,FALSE)*[1]Energiindhold!$C$10,0)*J269*IFERROR(VLOOKUP(A269,Biogasanlæg!$F$3:$G$8,2,FALSE),1)</f>
        <v>0.71681825274932687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348776.07287894218</v>
      </c>
      <c r="W269" s="190">
        <f>J269*IFERROR(VLOOKUP(A269,[1]Tørstofindhold!A$2:B$24,2,FALSE),0)</f>
        <v>59901.24674785461</v>
      </c>
      <c r="X269" s="191">
        <f t="shared" si="65"/>
        <v>288874.82613108755</v>
      </c>
      <c r="Y269" s="171">
        <f t="shared" si="76"/>
        <v>0</v>
      </c>
      <c r="Z269" s="103">
        <f t="shared" si="77"/>
        <v>0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0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-428214.02929147833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1</v>
      </c>
      <c r="Z270" s="103">
        <f t="shared" si="77"/>
        <v>0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0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27206.356861018925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-27206.356861018925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414923.14293457061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414923.14293457061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0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35429.762263631419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0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35429.762263631419</v>
      </c>
      <c r="O274" s="193">
        <f t="shared" si="75"/>
        <v>0</v>
      </c>
      <c r="P274" s="203">
        <f t="shared" si="63"/>
        <v>0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0</v>
      </c>
      <c r="W274" s="190">
        <f>J274*IFERROR(VLOOKUP(A274,[1]Tørstofindhold!A$2:B$24,2,FALSE),0)</f>
        <v>0</v>
      </c>
      <c r="X274" s="191">
        <f t="shared" si="65"/>
        <v>0</v>
      </c>
      <c r="Y274" s="171">
        <f t="shared" si="76"/>
        <v>0</v>
      </c>
      <c r="Z274" s="103">
        <f t="shared" si="77"/>
        <v>1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0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0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169865.53179855406</v>
      </c>
      <c r="G277" s="193" t="e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#DIV/0!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 t="e">
        <f t="shared" si="62"/>
        <v>#DIV/0!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 t="e">
        <f t="shared" ref="Y277:Y290" si="90">IF(SUMIFS($N$3:$N$290,$A$3:$A$290,A277,$D$3:$D$290,D277)&lt;0,1,0)</f>
        <v>#DIV/0!</v>
      </c>
      <c r="Z277" s="103" t="e">
        <f t="shared" ref="Z277:Z290" si="91">IF(SUMIFS($N$3:$N$290,$A$3:$A$290,A277,$D$3:$D$290,D277)&gt;0,1,0)</f>
        <v>#DIV/0!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198603.01144531288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198603.01144531288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0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0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0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0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0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0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0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0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0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202279.77798791436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0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202279.77798791436</v>
      </c>
      <c r="O281" s="193">
        <f t="shared" si="89"/>
        <v>202279.77798791436</v>
      </c>
      <c r="P281" s="203">
        <f t="shared" si="63"/>
        <v>0</v>
      </c>
      <c r="Q281" s="190">
        <f>IFERROR(VLOOKUP(A281,[1]Energiindhold!$A$2:$C$11,3,FALSE),IFERROR(VLOOKUP(A281,[1]Biogasudbytte!$A$2:$B$18,2,FALSE)*[1]Energiindhold!$C$10,0))*O281</f>
        <v>0.54899540865031915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0.54899540865031915</v>
      </c>
      <c r="S281" s="190">
        <f>IFERROR(VLOOKUP(A281,[1]Biogasudbytte!$A$2:$B$18,2,FALSE)*[1]Energiindhold!$C$10,0)*J281*IFERROR(VLOOKUP(A281,Biogasanlæg!$F$3:$G$8,2,FALSE),1)</f>
        <v>0</v>
      </c>
      <c r="T281" s="191">
        <f t="shared" si="64"/>
        <v>0.54899540865031915</v>
      </c>
      <c r="U281" s="189">
        <f>O281*IFERROR(VLOOKUP(A281,[1]Tørstofindhold!A$2:B$24,2,FALSE),0)</f>
        <v>40455.955597582877</v>
      </c>
      <c r="V281" s="190">
        <f>IF(D281=År1,P281,SUM(O281,P281))*IFERROR(VLOOKUP(A281,[1]Tørstofindhold!A$2:B$24,2,FALSE),0)</f>
        <v>40455.955597582877</v>
      </c>
      <c r="W281" s="190">
        <f>J281*IFERROR(VLOOKUP(A281,[1]Tørstofindhold!A$2:B$24,2,FALSE),0)</f>
        <v>0</v>
      </c>
      <c r="X281" s="191">
        <f t="shared" si="65"/>
        <v>40455.955597582877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0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0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0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0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0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0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3491788.2152479719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2793430.5721983779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698357.64304959401</v>
      </c>
      <c r="O284" s="193">
        <f t="shared" si="89"/>
        <v>698357.64304959401</v>
      </c>
      <c r="P284" s="203">
        <f t="shared" si="94"/>
        <v>2793430.5721983779</v>
      </c>
      <c r="Q284" s="190">
        <f>IFERROR(VLOOKUP(A284,[1]Energiindhold!$A$2:$C$11,3,FALSE),IFERROR(VLOOKUP(A284,[1]Biogasudbytte!$A$2:$B$18,2,FALSE)*[1]Energiindhold!$C$10,0))*O284</f>
        <v>0.34848744745817795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1.7424372372908907</v>
      </c>
      <c r="S284" s="190">
        <f>IFERROR(VLOOKUP(A284,[1]Biogasudbytte!$A$2:$B$18,2,FALSE)*[1]Energiindhold!$C$10,0)*J284*IFERROR(VLOOKUP(A284,Biogasanlæg!$F$3:$G$8,2,FALSE),1)</f>
        <v>1.3939497898327127</v>
      </c>
      <c r="T284" s="191">
        <f t="shared" si="95"/>
        <v>0.34848744745817806</v>
      </c>
      <c r="U284" s="189">
        <f>O284*IFERROR(VLOOKUP(A284,[1]Tørstofindhold!A$2:B$24,2,FALSE),0)</f>
        <v>41901.45858297564</v>
      </c>
      <c r="V284" s="190">
        <f>IF(D284=År1,P284,SUM(O284,P284))*IFERROR(VLOOKUP(A284,[1]Tørstofindhold!A$2:B$24,2,FALSE),0)</f>
        <v>209507.29291487832</v>
      </c>
      <c r="W284" s="190">
        <f>J284*IFERROR(VLOOKUP(A284,[1]Tørstofindhold!A$2:B$24,2,FALSE),0)</f>
        <v>167605.83433190268</v>
      </c>
      <c r="X284" s="191">
        <f t="shared" si="96"/>
        <v>41901.45858297564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1045598.7208186348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836478.97665490792</v>
      </c>
      <c r="K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#DIV/0!</v>
      </c>
      <c r="L285" s="193" t="e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#DIV/0!</v>
      </c>
      <c r="M285" s="157" t="e">
        <f>SUMIFS('Forbrug af biomasse'!E:E,'Forbrug af biomasse'!C:C,'Resultat-Produktion &amp; forbrug'!$A285,'Forbrug af biomasse'!D:D,'Resultat-Produktion &amp; forbrug'!$D285,'Forbrug af biomasse'!G:G,1,'Forbrug af biomasse'!B:B,$E285)</f>
        <v>#DIV/0!</v>
      </c>
      <c r="N285" s="202" t="e">
        <f t="shared" si="93"/>
        <v>#DIV/0!</v>
      </c>
      <c r="O285" s="193" t="e">
        <f t="shared" si="89"/>
        <v>#DIV/0!</v>
      </c>
      <c r="P285" s="203" t="e">
        <f t="shared" si="94"/>
        <v>#DIV/0!</v>
      </c>
      <c r="Q285" s="190" t="e">
        <f>IFERROR(VLOOKUP(A285,[1]Energiindhold!$A$2:$C$11,3,FALSE),IFERROR(VLOOKUP(A285,[1]Biogasudbytte!$A$2:$B$18,2,FALSE)*[1]Energiindhold!$C$10,0))*O285</f>
        <v>#DIV/0!</v>
      </c>
      <c r="R285" s="190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#DIV/0!</v>
      </c>
      <c r="S285" s="190">
        <f>IFERROR(VLOOKUP(A285,[1]Biogasudbytte!$A$2:$B$18,2,FALSE)*[1]Energiindhold!$C$10,0)*J285*IFERROR(VLOOKUP(A285,Biogasanlæg!$F$3:$G$8,2,FALSE),1)</f>
        <v>0.36035514314293438</v>
      </c>
      <c r="T285" s="191" t="e">
        <f t="shared" si="95"/>
        <v>#DIV/0!</v>
      </c>
      <c r="U285" s="189" t="e">
        <f>O285*IFERROR(VLOOKUP(A285,[1]Tørstofindhold!A$2:B$24,2,FALSE),0)</f>
        <v>#DIV/0!</v>
      </c>
      <c r="V285" s="190" t="e">
        <f>IF(D285=År1,P285,SUM(O285,P285))*IFERROR(VLOOKUP(A285,[1]Tørstofindhold!A$2:B$24,2,FALSE),0)</f>
        <v>#DIV/0!</v>
      </c>
      <c r="W285" s="190">
        <f>J285*IFERROR(VLOOKUP(A285,[1]Tørstofindhold!A$2:B$24,2,FALSE),0)</f>
        <v>41823.948832745402</v>
      </c>
      <c r="X285" s="191" t="e">
        <f t="shared" si="96"/>
        <v>#DIV/0!</v>
      </c>
      <c r="Y285" s="171" t="e">
        <f t="shared" si="90"/>
        <v>#DIV/0!</v>
      </c>
      <c r="Z285" s="103" t="e">
        <f t="shared" si="91"/>
        <v>#DIV/0!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0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55237.148778432362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-55237.148778432362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1</v>
      </c>
      <c r="Z286" s="103">
        <f t="shared" si="91"/>
        <v>0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0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435372.79157102475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435372.79157102475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435372.79157102475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6.3101055521575393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6.3101055521575393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215328.126497836</v>
      </c>
      <c r="W289" s="190">
        <f>J289*IFERROR(VLOOKUP(A289,[1]Tørstofindhold!A$2:B$24,2,FALSE),0)</f>
        <v>0</v>
      </c>
      <c r="X289" s="191">
        <f t="shared" si="96"/>
        <v>215328.126497836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0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Biogasgylle"/>
        <filter val="Kunstgødning"/>
      </filters>
    </filterColumn>
    <filterColumn colId="3">
      <filters>
        <filter val="2030"/>
        <filter val="2050"/>
      </filters>
    </filterColumn>
    <filterColumn colId="10">
      <filters>
        <filter val="1.136.584"/>
        <filter val="1.144.486"/>
        <filter val="1.273.541"/>
        <filter val="1.443.229"/>
        <filter val="1.723"/>
        <filter val="1.801.732"/>
        <filter val="1.924.034"/>
        <filter val="11.134.650"/>
        <filter val="110.402"/>
        <filter val="12.818.096"/>
        <filter val="14.714"/>
        <filter val="14.824.449"/>
        <filter val="145"/>
        <filter val="209.120"/>
        <filter val="266"/>
        <filter val="280.528"/>
        <filter val="3.170"/>
        <filter val="3.214.902"/>
        <filter val="3.219.780"/>
        <filter val="3.946.983"/>
        <filter val="309.416"/>
        <filter val="338"/>
        <filter val="377.070"/>
        <filter val="4.104"/>
        <filter val="4.582.749"/>
        <filter val="41.551"/>
        <filter val="479.704"/>
        <filter val="515.528"/>
        <filter val="567.745"/>
        <filter val="638.439"/>
        <filter val="664.027"/>
        <filter val="7.001.760"/>
        <filter val="730.308"/>
        <filter val="9.058.051"/>
        <filter val="90.516"/>
        <filter val="93.457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2" t="s">
        <v>23</v>
      </c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281</v>
      </c>
      <c r="X3" s="35">
        <f>C24+C51</f>
        <v>11808068</v>
      </c>
      <c r="Y3" s="11">
        <f>D24+D51</f>
        <v>9597731.076909367</v>
      </c>
      <c r="Z3" s="23">
        <f>E24+E51</f>
        <v>6343027.2216558158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561138.95623976586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17988.68709801232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0.29674680641973877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0.43582889538516162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0.28302441074714974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87576.600106784259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2807.4829574932523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4.6313085394988143E-2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9.2448553566549435E-2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6.0035481067577209E-2</v>
      </c>
      <c r="U6" s="94"/>
      <c r="W6" s="31" t="s">
        <v>284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161327.44991893266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1542.0658644465243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1.7086450333499009E-2</v>
      </c>
      <c r="I7" s="11">
        <f>IF(Landbrug!$E$47&gt;0,SUMIF(Landbrug!$B$32:$B$45,$B7,IF($I$4=År2,Landbrug!$D$32:$D$45,Landbrug!$E$32:$E$45)),'[1]Afgrødefordeling - jordtype'!$G5)*(1-Landbrug!$E$5)*Arealanvendelse!P$26</f>
        <v>131334.20298292433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3.7361084700125495E-2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1.6296325462585758E-2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25178.272530700477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240.66923895986218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2.6666714393322154E-3</v>
      </c>
      <c r="R7" s="11">
        <f>IF(Landbrug!$E$47&gt;0,SUMIF(Landbrug!$B$32:$B$45,$B7,IF($R$4=År2,Landbrug!$D$32:$D$45,Landbrug!$E$32:$E$45)),'[1]Afgrødefordeling - jordtype'!$G5)*(Landbrug!$E$5)*Arealanvendelse!P$26</f>
        <v>27858.770329711224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7.9250785727538933E-3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3.4567963102454641E-3</v>
      </c>
      <c r="U7" s="94"/>
      <c r="W7" s="31" t="s">
        <v>285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127659.1125445467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1651.2179103063932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2.2126179468366147E-2</v>
      </c>
      <c r="I8" s="11">
        <f>IF(Landbrug!$E$47&gt;0,SUMIF(Landbrug!$B$32:$B$45,$B8,IF($I$4=År2,Landbrug!$D$32:$D$45,Landbrug!$E$32:$E$45)),'[1]Afgrødefordeling - jordtype'!$G6)*(1-Landbrug!$E$5)*Arealanvendelse!P$26</f>
        <v>103925.32583866185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4.0005614304589723E-2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2.1103003539193144E-2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19923.67652429342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257.704529354177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3.4532187609588785E-3</v>
      </c>
      <c r="R8" s="11">
        <f>IF(Landbrug!$E$47&gt;0,SUMIF(Landbrug!$B$32:$B$45,$B8,IF($R$4=År2,Landbrug!$D$32:$D$45,Landbrug!$E$32:$E$45)),'[1]Afgrødefordeling - jordtype'!$G6)*(Landbrug!$E$5)*Arealanvendelse!P$26</f>
        <v>22044.766086988879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8.4860393979432746E-3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4.4763946901318786E-3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182370.16077792388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15238.021720870902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0.51029954485989426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0.36918592992793164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0.48670187804556381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28462.395034704889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2378.1883610607765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7.9642125498364996E-2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7.8312166954409748E-2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0.10323979231269535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56113.895623976576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71.268800751408534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5.9312754358377721E-4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1.7266964808312041E-3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5.6569968029666602E-4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8757.6600106784263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11.122876417849888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9.2569038593999904E-5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3.6626895047934632E-4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1.1999690188111097E-4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42085.421717982426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1125.1496418632635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3.1394414813143305E-2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2.7260061998102159E-2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2.9942649966292749E-2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6568.2450080088183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175.60138919253245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4.8997063581206323E-3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5.7824373935368217E-3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6.3514712049711885E-3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7014.236952997072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29.518660249897398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3.3950117003646611E-4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7.1517643393687155E-4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3.2380169396541565E-4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1094.7075013348033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4.6069585361111542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5.2985731739795291E-5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1.5170409204721518E-4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6.8685207810845745E-5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70142.369529970732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3810.4154462517859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4.2220294070089238E-2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9.2318530299077425E-2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4.0267910529275863E-2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10947.075013348032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594.6891158890071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6.5892944502451414E-3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1.9582718548289149E-2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8.5416779910585158E-3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14028.473905994144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64.91370276951497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1.2099053290264164E-3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1.5727255257291396E-3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1.1539559496494725E-3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2189.4150026696066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10.131040316629504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1.8882915539718639E-4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3.3360844485163561E-4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2.4477853477413049E-4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1148.0573462747577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2.1398266344745977E-2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2.7815068567234969E-2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2.040875113805252E-2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179.17658005444198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3.3396138225904128E-3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5.9001660597165087E-3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4.329129029283868E-3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2833.7440917610315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6.8082129291564208E-2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6.8655791864482674E-2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6.4933822734728863E-2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442.26063859854253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1.0625534629319271E-2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1.4563349789435716E-2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1.3773841186154611E-2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325.57753513414758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6.0683334637179846E-3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7.888074139408327E-3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5.7877168873610831E-3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50.812678893768705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9.4708094520454093E-4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1.6732278477532812E-3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1.2276975215614421E-3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534.71836671684468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1.4324445842879414E-2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1.2955126399086169E-2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1.3662043722977473E-2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83.453155499160744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2.2356071546690416E-3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2.7480571149576727E-3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2.8980092745709792E-3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70142.369529970732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15113.849399235503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0.52979341323357754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0.36617748993000948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0.50529429585861441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10947.075013348032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2358.8088657766393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8.2684521140500539E-2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7.7674013015456553E-2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0.10718363851546366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1402662.8067230999</v>
      </c>
      <c r="G20" s="38">
        <f t="shared" si="2"/>
        <v>61477.205584644296</v>
      </c>
      <c r="H20" s="38">
        <f t="shared" si="2"/>
        <v>1.5616828121838626</v>
      </c>
      <c r="I20" s="38">
        <f t="shared" si="2"/>
        <v>1141886.2807745344</v>
      </c>
      <c r="J20" s="38">
        <f t="shared" si="2"/>
        <v>1.489466265955707</v>
      </c>
      <c r="K20" s="39">
        <f t="shared" si="2"/>
        <v>1.489466265955707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218912.69237874972</v>
      </c>
      <c r="P20" s="38">
        <f t="shared" si="2"/>
        <v>9594.708386042752</v>
      </c>
      <c r="Q20" s="38">
        <f t="shared" si="2"/>
        <v>0.24373084352002478</v>
      </c>
      <c r="R20" s="38">
        <f t="shared" si="2"/>
        <v>242218.30198247702</v>
      </c>
      <c r="S20" s="38">
        <f t="shared" si="2"/>
        <v>0.31594738974818026</v>
      </c>
      <c r="T20" s="39">
        <f t="shared" si="2"/>
        <v>0.31594738974818021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1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5" t="s">
        <v>24</v>
      </c>
      <c r="B29" s="376"/>
      <c r="C29" s="376"/>
      <c r="D29" s="376"/>
      <c r="E29" s="376"/>
      <c r="F29" s="376"/>
      <c r="G29" s="376"/>
      <c r="H29" s="376"/>
      <c r="I29" s="376"/>
      <c r="J29" s="376"/>
      <c r="K29" s="376"/>
      <c r="L29" s="376"/>
      <c r="M29" s="376"/>
      <c r="N29" s="376"/>
      <c r="O29" s="376"/>
      <c r="P29" s="376"/>
      <c r="Q29" s="376"/>
      <c r="R29" s="376"/>
      <c r="S29" s="376"/>
      <c r="T29" s="376"/>
      <c r="U29" s="377"/>
    </row>
    <row r="30" spans="1:21" x14ac:dyDescent="0.25">
      <c r="A30" s="56"/>
      <c r="B30" s="53"/>
      <c r="C30" s="378" t="s">
        <v>7</v>
      </c>
      <c r="D30" s="379"/>
      <c r="E30" s="379"/>
      <c r="F30" s="379"/>
      <c r="G30" s="379"/>
      <c r="H30" s="379"/>
      <c r="I30" s="379"/>
      <c r="J30" s="379"/>
      <c r="K30" s="380"/>
      <c r="L30" s="378" t="s">
        <v>8</v>
      </c>
      <c r="M30" s="379"/>
      <c r="N30" s="379"/>
      <c r="O30" s="379"/>
      <c r="P30" s="379"/>
      <c r="Q30" s="379"/>
      <c r="R30" s="379"/>
      <c r="S30" s="379"/>
      <c r="T30" s="380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182635.09976023421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2543.5266161074505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4.5754933628917617E-2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6.1624419250252083E-2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4.3639098547811596E-2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28503.743893215742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396.96658170463104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7.1409433987328075E-3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1.3071846507629228E-2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9.2567784798388234E-3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52507.591181067335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68.781025480452769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8.3106047603679744E-4</v>
      </c>
      <c r="I34" s="11">
        <f>IF(Landbrug!$E$47&gt;0,SUMIF(Landbrug!$B$32:$B$45,$B34,IF($I$31=År2,Landbrug!$D$32:$D$45,Landbrug!$E$32:$E$45)),'[1]Afgrødefordeling - jordtype'!$P5)*(1-Landbrug!$E$5)*Arealanvendelse!P$36</f>
        <v>47650.900017075655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1.6664228020370887E-3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7.9262993379232123E-4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8194.826369299526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10.734610913134247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1.2970308007510711E-4</v>
      </c>
      <c r="R34" s="11">
        <f>IF(Landbrug!$E$47&gt;0,SUMIF(Landbrug!$B$32:$B$45,$B34,IF($R$31=År2,Landbrug!$D$32:$D$45,Landbrug!$E$32:$E$45)),'[1]Afgrødefordeling - jordtype'!$P5)*(Landbrug!$E$5)*Arealanvendelse!P$36</f>
        <v>10107.766670288775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3.5348362467453397E-4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1.6813362231958326E-4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41549.485195453271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277.81730642917057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4.0595359645178462E-3</v>
      </c>
      <c r="I35" s="11">
        <f>IF(Landbrug!$E$47&gt;0,SUMIF(Landbrug!$B$32:$B$45,$B35,IF($I$31=År2,Landbrug!$D$32:$D$45,Landbrug!$E$32:$E$45)),'[1]Afgrødefordeling - jordtype'!$P6)*(1-Landbrug!$E$5)*Arealanvendelse!P$36</f>
        <v>37706.364361338121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6.7309420148972078E-3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3.8718117580661539E-3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6484.6017357065812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43.358770367558421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6.3356919677446158E-4</v>
      </c>
      <c r="R35" s="11">
        <f>IF(Landbrug!$E$47&gt;0,SUMIF(Landbrug!$B$32:$B$45,$B35,IF($R$31=År2,Landbrug!$D$32:$D$45,Landbrug!$E$32:$E$45)),'[1]Afgrødefordeling - jordtype'!$P6)*(Landbrug!$E$5)*Arealanvendelse!P$36</f>
        <v>7998.3197130111166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1.4277755789175895E-3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8.2129340322615392E-4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59356.407422076118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816.89928733229783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2.9831848636857054E-2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1.9791789812224642E-2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2.8452341185441699E-2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9263.7167652951175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127.4929523582199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4.6558376485268237E-3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4.1982584450173483E-3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6.0353450999421779E-3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18263.509976023419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15.471187824817051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1.4040654632499296E-4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3.7483506513290803E-4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1.3391375805562911E-4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2850.3743893215742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2.4145784466477478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2.1913160409102947E-5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7.9510468361525957E-5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2.8405948678466784E-5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13697.632482017563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26.302435262527187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8.0030056464171814E-4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6.37253916533074E-4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7.6329244604556935E-4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2137.7807919911802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4.1050043473308326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1.2490240026200229E-4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1.351750732039854E-4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1.6191051885815108E-4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2282.9387470029274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73.48347036613049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9.2161460426674424E-4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1.7803533712322671E-3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8.7899658788446707E-4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356.29679866519677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11.468518496448112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1.4383580529018554E-4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3.7765071510987484E-4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1.8645382167246271E-4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22829.387470029276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78.344719162303662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9.466157148310761E-4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1.8981314326050301E-3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9.0284157772906114E-4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3562.9679866519677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12.227210505099418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1.4773771271930092E-4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4.0263394024955173E-4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1.9151184982131597E-4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4565.8774940058547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16.900566419398675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3.4350362462884858E-4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4.094659690212412E-4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3.2761906395237006E-4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712.59359733039355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2.6376606550506607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5.36103922831151E-5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8.6856417671172357E-5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6.9494952959593638E-5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120.67824120695344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2.452782483126852E-3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2.9237856145973122E-3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2.3393590156990207E-3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18.834176373339556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3.8280420256893069E-4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6.2019694855094509E-4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4.9622766999676197E-4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876.11830838913772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2.2953573895167008E-2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2.1226544910947009E-2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2.1892136952037899E-2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136.73522732084808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3.5823496830607472E-3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4.5026004356554256E-3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4.6437866261898574E-3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26.483091404220694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5.3826822503920445E-4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6.4163084333437122E-4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5.1337720885242047E-4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4.1331992364968713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8.4007179630396072E-5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1.3610351222244238E-4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1.0889819581718008E-4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56.207011126951372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1.6419437573988649E-3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1.3617802921958929E-3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1.56601572237464E-3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8.7721924880213127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2.5625711820675929E-4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2.8886248622337122E-4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3.3218515323098425E-4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22829.387470029276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1628.961148843877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5.7100799688875818E-2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3.9466378744780817E-2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5.4460300281297752E-2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3562.9679866519677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254.23093074442014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8.9116855005759964E-3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8.3716560973777481E-3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1.1552184908154068E-2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456527.67249041918</v>
      </c>
      <c r="G47" s="38">
        <f t="shared" si="3"/>
        <v>6625.9744153556876</v>
      </c>
      <c r="H47" s="38">
        <f t="shared" si="3"/>
        <v>0.16831718781063046</v>
      </c>
      <c r="I47" s="38">
        <f t="shared" si="3"/>
        <v>414301.13222777314</v>
      </c>
      <c r="J47" s="38">
        <f t="shared" si="3"/>
        <v>0.16053373403979093</v>
      </c>
      <c r="K47" s="39">
        <f t="shared" si="3"/>
        <v>0.16053373403904062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71249.983567868912</v>
      </c>
      <c r="P47" s="38">
        <f t="shared" si="3"/>
        <v>1034.1116139572466</v>
      </c>
      <c r="Q47" s="38">
        <f t="shared" si="3"/>
        <v>2.6269156479115735E-2</v>
      </c>
      <c r="R47" s="38">
        <f t="shared" si="3"/>
        <v>87882.058351345782</v>
      </c>
      <c r="S47" s="38">
        <f t="shared" si="3"/>
        <v>3.4052610250864743E-2</v>
      </c>
      <c r="T47" s="39">
        <f t="shared" si="3"/>
        <v>3.4052610250705585E-2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1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AC202" sqref="AC202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175</v>
      </c>
      <c r="B3" s="77" t="s">
        <v>62</v>
      </c>
    </row>
    <row r="4" spans="1:42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205</v>
      </c>
      <c r="AG4" s="171" t="s">
        <v>204</v>
      </c>
      <c r="AH4" s="171" t="s">
        <v>209</v>
      </c>
      <c r="AI4" s="171" t="s">
        <v>239</v>
      </c>
      <c r="AJ4" s="171" t="s">
        <v>232</v>
      </c>
      <c r="AK4" s="171" t="s">
        <v>111</v>
      </c>
      <c r="AL4" s="171" t="s">
        <v>116</v>
      </c>
      <c r="AM4" s="171" t="s">
        <v>316</v>
      </c>
      <c r="AN4" s="171" t="s">
        <v>317</v>
      </c>
      <c r="AO4" s="171" t="s">
        <v>119</v>
      </c>
      <c r="AP4" s="171" t="s">
        <v>61</v>
      </c>
    </row>
    <row r="5" spans="1:42" x14ac:dyDescent="0.25">
      <c r="A5" s="78" t="s">
        <v>110</v>
      </c>
      <c r="B5" s="240"/>
      <c r="C5" s="240"/>
      <c r="D5" s="240">
        <v>1462906</v>
      </c>
      <c r="E5" s="240">
        <v>3591674.3050150182</v>
      </c>
      <c r="F5" s="240"/>
      <c r="G5" s="240">
        <v>17519.019493513748</v>
      </c>
      <c r="H5" s="240"/>
      <c r="I5" s="240"/>
      <c r="J5" s="240">
        <v>428226</v>
      </c>
      <c r="K5" s="240">
        <v>85676.999999999985</v>
      </c>
      <c r="L5" s="240"/>
      <c r="M5" s="240">
        <v>75934</v>
      </c>
      <c r="N5" s="240">
        <v>1600078</v>
      </c>
      <c r="O5" s="240"/>
      <c r="P5" s="240">
        <v>2095654</v>
      </c>
      <c r="Q5" s="240"/>
      <c r="R5" s="240">
        <v>3785.9999999999991</v>
      </c>
      <c r="S5" s="240">
        <v>16707252.628844582</v>
      </c>
      <c r="T5" s="240"/>
      <c r="U5" s="240">
        <v>1080026</v>
      </c>
      <c r="V5" s="240"/>
      <c r="W5" s="240"/>
      <c r="X5" s="240"/>
      <c r="Y5" s="240">
        <v>28645.000000000004</v>
      </c>
      <c r="Z5" s="240"/>
      <c r="AA5" s="240">
        <v>12361269.40396174</v>
      </c>
      <c r="AB5" s="240">
        <v>18084794.991926327</v>
      </c>
      <c r="AC5" s="240"/>
      <c r="AD5" s="240"/>
      <c r="AE5" s="240"/>
      <c r="AF5" s="240"/>
      <c r="AG5" s="240"/>
      <c r="AH5" s="240">
        <v>3149729.2875139294</v>
      </c>
      <c r="AI5" s="240"/>
      <c r="AJ5" s="240"/>
      <c r="AK5" s="240"/>
      <c r="AL5" s="240"/>
      <c r="AM5" s="240"/>
      <c r="AN5" s="240"/>
      <c r="AO5" s="240"/>
      <c r="AP5" s="240">
        <v>60773171.636755109</v>
      </c>
    </row>
    <row r="6" spans="1:42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>
        <v>0</v>
      </c>
      <c r="AI6" s="240"/>
      <c r="AJ6" s="240"/>
      <c r="AK6" s="240"/>
      <c r="AL6" s="240"/>
      <c r="AM6" s="240"/>
      <c r="AN6" s="240"/>
      <c r="AO6" s="240"/>
      <c r="AP6" s="240">
        <v>13090417.500000002</v>
      </c>
    </row>
    <row r="7" spans="1:42" x14ac:dyDescent="0.25">
      <c r="A7" s="79">
        <v>2030</v>
      </c>
      <c r="B7" s="240"/>
      <c r="C7" s="240"/>
      <c r="D7" s="240">
        <v>363995</v>
      </c>
      <c r="E7" s="240">
        <v>1512611.3283061129</v>
      </c>
      <c r="F7" s="240"/>
      <c r="G7" s="240">
        <v>5606.6153976329697</v>
      </c>
      <c r="H7" s="240"/>
      <c r="I7" s="240"/>
      <c r="J7" s="240">
        <v>142742</v>
      </c>
      <c r="K7" s="240">
        <v>0</v>
      </c>
      <c r="L7" s="240"/>
      <c r="M7" s="240">
        <v>0</v>
      </c>
      <c r="N7" s="240">
        <v>800000</v>
      </c>
      <c r="O7" s="240"/>
      <c r="P7" s="240">
        <v>600000.00000000012</v>
      </c>
      <c r="Q7" s="240"/>
      <c r="R7" s="240">
        <v>0</v>
      </c>
      <c r="S7" s="240">
        <v>6897517.7984649893</v>
      </c>
      <c r="T7" s="240"/>
      <c r="U7" s="240">
        <v>0</v>
      </c>
      <c r="V7" s="240"/>
      <c r="W7" s="240"/>
      <c r="X7" s="240"/>
      <c r="Y7" s="240">
        <v>0</v>
      </c>
      <c r="Z7" s="240"/>
      <c r="AA7" s="240">
        <v>3645941.0625492036</v>
      </c>
      <c r="AB7" s="240">
        <v>8560529.974906262</v>
      </c>
      <c r="AC7" s="240"/>
      <c r="AD7" s="240"/>
      <c r="AE7" s="240"/>
      <c r="AF7" s="240"/>
      <c r="AG7" s="240"/>
      <c r="AH7" s="240">
        <v>1727125.9811688233</v>
      </c>
      <c r="AI7" s="240"/>
      <c r="AJ7" s="240"/>
      <c r="AK7" s="240"/>
      <c r="AL7" s="240"/>
      <c r="AM7" s="240"/>
      <c r="AN7" s="240"/>
      <c r="AO7" s="240"/>
      <c r="AP7" s="240">
        <v>24256069.760793023</v>
      </c>
    </row>
    <row r="8" spans="1:42" x14ac:dyDescent="0.25">
      <c r="A8" s="79">
        <v>2050</v>
      </c>
      <c r="B8" s="240"/>
      <c r="C8" s="240"/>
      <c r="D8" s="240">
        <v>369777</v>
      </c>
      <c r="E8" s="240">
        <v>1321975.9767089051</v>
      </c>
      <c r="F8" s="240"/>
      <c r="G8" s="240">
        <v>7470.90409588078</v>
      </c>
      <c r="H8" s="240"/>
      <c r="I8" s="240"/>
      <c r="J8" s="240">
        <v>142742</v>
      </c>
      <c r="K8" s="240">
        <v>0</v>
      </c>
      <c r="L8" s="240"/>
      <c r="M8" s="240">
        <v>0</v>
      </c>
      <c r="N8" s="240">
        <v>800000</v>
      </c>
      <c r="O8" s="240"/>
      <c r="P8" s="240">
        <v>500000.00000000012</v>
      </c>
      <c r="Q8" s="240"/>
      <c r="R8" s="240">
        <v>0</v>
      </c>
      <c r="S8" s="240">
        <v>5456225.1637129262</v>
      </c>
      <c r="T8" s="240"/>
      <c r="U8" s="240">
        <v>750000.00000000012</v>
      </c>
      <c r="V8" s="240"/>
      <c r="W8" s="240"/>
      <c r="X8" s="240"/>
      <c r="Y8" s="240">
        <v>0</v>
      </c>
      <c r="Z8" s="240"/>
      <c r="AA8" s="240">
        <v>6046494.3414125368</v>
      </c>
      <c r="AB8" s="240">
        <v>6609395.6836867323</v>
      </c>
      <c r="AC8" s="240"/>
      <c r="AD8" s="240"/>
      <c r="AE8" s="240"/>
      <c r="AF8" s="240"/>
      <c r="AG8" s="240"/>
      <c r="AH8" s="240">
        <v>1422603.3063451063</v>
      </c>
      <c r="AI8" s="240"/>
      <c r="AJ8" s="240"/>
      <c r="AK8" s="240"/>
      <c r="AL8" s="240"/>
      <c r="AM8" s="240"/>
      <c r="AN8" s="240"/>
      <c r="AO8" s="240"/>
      <c r="AP8" s="240">
        <v>23426684.375962086</v>
      </c>
    </row>
    <row r="9" spans="1:42" x14ac:dyDescent="0.25">
      <c r="A9" s="78" t="s">
        <v>113</v>
      </c>
      <c r="B9" s="240"/>
      <c r="C9" s="240">
        <v>162904.67913357209</v>
      </c>
      <c r="D9" s="240"/>
      <c r="E9" s="240"/>
      <c r="F9" s="240"/>
      <c r="G9" s="240"/>
      <c r="H9" s="240"/>
      <c r="I9" s="240"/>
      <c r="J9" s="240"/>
      <c r="K9" s="240">
        <v>32012199.058547139</v>
      </c>
      <c r="L9" s="240"/>
      <c r="M9" s="240">
        <v>1899685.3776374569</v>
      </c>
      <c r="N9" s="240"/>
      <c r="O9" s="240">
        <v>5421074.2654714445</v>
      </c>
      <c r="P9" s="240"/>
      <c r="Q9" s="240">
        <v>0</v>
      </c>
      <c r="R9" s="240">
        <v>15315681.673813308</v>
      </c>
      <c r="S9" s="240"/>
      <c r="T9" s="240">
        <v>3736937.6464744452</v>
      </c>
      <c r="U9" s="240">
        <v>14862120.36943309</v>
      </c>
      <c r="V9" s="240"/>
      <c r="W9" s="240"/>
      <c r="X9" s="240"/>
      <c r="Y9" s="240">
        <v>2231833.5263562161</v>
      </c>
      <c r="Z9" s="240">
        <v>115548.49351931627</v>
      </c>
      <c r="AA9" s="240"/>
      <c r="AB9" s="240"/>
      <c r="AC9" s="240"/>
      <c r="AD9" s="240"/>
      <c r="AE9" s="240"/>
      <c r="AF9" s="240">
        <v>3231770.9608799992</v>
      </c>
      <c r="AG9" s="240">
        <v>1561356.6904091518</v>
      </c>
      <c r="AH9" s="240"/>
      <c r="AI9" s="240">
        <v>532028.44251516566</v>
      </c>
      <c r="AJ9" s="240"/>
      <c r="AK9" s="240"/>
      <c r="AL9" s="240"/>
      <c r="AM9" s="240"/>
      <c r="AN9" s="240"/>
      <c r="AO9" s="240"/>
      <c r="AP9" s="240">
        <v>81083141.184190303</v>
      </c>
    </row>
    <row r="10" spans="1:42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0</v>
      </c>
      <c r="AG10" s="240">
        <v>0</v>
      </c>
      <c r="AH10" s="240"/>
      <c r="AI10" s="240">
        <v>240377.87559326066</v>
      </c>
      <c r="AJ10" s="240"/>
      <c r="AK10" s="240"/>
      <c r="AL10" s="240"/>
      <c r="AM10" s="240"/>
      <c r="AN10" s="240"/>
      <c r="AO10" s="240"/>
      <c r="AP10" s="240">
        <v>35984266.24676016</v>
      </c>
    </row>
    <row r="11" spans="1:42" x14ac:dyDescent="0.25">
      <c r="A11" s="79">
        <v>2030</v>
      </c>
      <c r="B11" s="240"/>
      <c r="C11" s="240">
        <v>55232.015680024619</v>
      </c>
      <c r="D11" s="240"/>
      <c r="E11" s="240"/>
      <c r="F11" s="240"/>
      <c r="G11" s="240"/>
      <c r="H11" s="240"/>
      <c r="I11" s="240"/>
      <c r="J11" s="240"/>
      <c r="K11" s="240">
        <v>11152926.943241669</v>
      </c>
      <c r="L11" s="240"/>
      <c r="M11" s="240">
        <v>629723.56088841078</v>
      </c>
      <c r="N11" s="240"/>
      <c r="O11" s="240">
        <v>0</v>
      </c>
      <c r="P11" s="240"/>
      <c r="Q11" s="240">
        <v>0</v>
      </c>
      <c r="R11" s="240">
        <v>5319268.9308093684</v>
      </c>
      <c r="S11" s="240"/>
      <c r="T11" s="240">
        <v>1242212.0827176087</v>
      </c>
      <c r="U11" s="240">
        <v>5194673.4173534214</v>
      </c>
      <c r="V11" s="240"/>
      <c r="W11" s="240"/>
      <c r="X11" s="240"/>
      <c r="Y11" s="240">
        <v>785800.95035671385</v>
      </c>
      <c r="Z11" s="240">
        <v>43516.133566079996</v>
      </c>
      <c r="AA11" s="240"/>
      <c r="AB11" s="240"/>
      <c r="AC11" s="240"/>
      <c r="AD11" s="240"/>
      <c r="AE11" s="240"/>
      <c r="AF11" s="240">
        <v>1972571.9885723072</v>
      </c>
      <c r="AG11" s="240">
        <v>953003.32509715192</v>
      </c>
      <c r="AH11" s="240"/>
      <c r="AI11" s="240">
        <v>178014.39078613737</v>
      </c>
      <c r="AJ11" s="240"/>
      <c r="AK11" s="240"/>
      <c r="AL11" s="240"/>
      <c r="AM11" s="240"/>
      <c r="AN11" s="240"/>
      <c r="AO11" s="240"/>
      <c r="AP11" s="240">
        <v>27526943.739068896</v>
      </c>
    </row>
    <row r="12" spans="1:42" x14ac:dyDescent="0.25">
      <c r="A12" s="79">
        <v>2050</v>
      </c>
      <c r="B12" s="240"/>
      <c r="C12" s="240">
        <v>35257.571224615385</v>
      </c>
      <c r="D12" s="240"/>
      <c r="E12" s="240"/>
      <c r="F12" s="240"/>
      <c r="G12" s="240"/>
      <c r="H12" s="240"/>
      <c r="I12" s="240"/>
      <c r="J12" s="240"/>
      <c r="K12" s="240">
        <v>7119514.1300354563</v>
      </c>
      <c r="L12" s="240"/>
      <c r="M12" s="240">
        <v>401986.47517170728</v>
      </c>
      <c r="N12" s="240"/>
      <c r="O12" s="240">
        <v>0</v>
      </c>
      <c r="P12" s="240"/>
      <c r="Q12" s="240">
        <v>0</v>
      </c>
      <c r="R12" s="240">
        <v>3395575.9333028104</v>
      </c>
      <c r="S12" s="240"/>
      <c r="T12" s="240">
        <v>792970.89637693239</v>
      </c>
      <c r="U12" s="240">
        <v>3316039.9045004183</v>
      </c>
      <c r="V12" s="240"/>
      <c r="W12" s="240"/>
      <c r="X12" s="240"/>
      <c r="Y12" s="240">
        <v>501619.08151384618</v>
      </c>
      <c r="Z12" s="240">
        <v>27778.692480000002</v>
      </c>
      <c r="AA12" s="240"/>
      <c r="AB12" s="240"/>
      <c r="AC12" s="240"/>
      <c r="AD12" s="240"/>
      <c r="AE12" s="240"/>
      <c r="AF12" s="240">
        <v>1259198.9723076918</v>
      </c>
      <c r="AG12" s="240">
        <v>608353.36531200004</v>
      </c>
      <c r="AH12" s="240"/>
      <c r="AI12" s="240">
        <v>113636.17613576764</v>
      </c>
      <c r="AJ12" s="240"/>
      <c r="AK12" s="240"/>
      <c r="AL12" s="240"/>
      <c r="AM12" s="240"/>
      <c r="AN12" s="240"/>
      <c r="AO12" s="240"/>
      <c r="AP12" s="240">
        <v>17571931.198361244</v>
      </c>
    </row>
    <row r="13" spans="1:42" x14ac:dyDescent="0.25">
      <c r="A13" s="78" t="s">
        <v>128</v>
      </c>
      <c r="B13" s="240">
        <v>182574.19618217932</v>
      </c>
      <c r="C13" s="240">
        <v>292325.4025919938</v>
      </c>
      <c r="D13" s="240"/>
      <c r="E13" s="240"/>
      <c r="F13" s="240">
        <v>281468.55244752642</v>
      </c>
      <c r="G13" s="240"/>
      <c r="H13" s="240">
        <v>150285.8346094953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255601.5233243031</v>
      </c>
      <c r="X13" s="240"/>
      <c r="Y13" s="240"/>
      <c r="Z13" s="240"/>
      <c r="AA13" s="240"/>
      <c r="AB13" s="240"/>
      <c r="AC13" s="240">
        <v>518948.54735540331</v>
      </c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>
        <v>9638396.1067842171</v>
      </c>
    </row>
    <row r="14" spans="1:42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>
        <v>3083197.0190696353</v>
      </c>
    </row>
    <row r="15" spans="1:42" x14ac:dyDescent="0.25">
      <c r="A15" s="79">
        <v>2030</v>
      </c>
      <c r="B15" s="240">
        <v>60789.12467762841</v>
      </c>
      <c r="C15" s="240">
        <v>81052.166236837889</v>
      </c>
      <c r="D15" s="240"/>
      <c r="E15" s="240"/>
      <c r="F15" s="240">
        <v>93716.56721134379</v>
      </c>
      <c r="G15" s="240"/>
      <c r="H15" s="240">
        <v>52683.90805394463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89603.169774824273</v>
      </c>
      <c r="X15" s="240"/>
      <c r="Y15" s="240"/>
      <c r="Z15" s="240"/>
      <c r="AA15" s="240"/>
      <c r="AB15" s="240"/>
      <c r="AC15" s="240">
        <v>181921.58711858263</v>
      </c>
      <c r="AD15" s="240"/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>
        <v>3209159.2069398002</v>
      </c>
    </row>
    <row r="16" spans="1:42" x14ac:dyDescent="0.25">
      <c r="A16" s="79">
        <v>2050</v>
      </c>
      <c r="B16" s="240">
        <v>63381.970906546776</v>
      </c>
      <c r="C16" s="240">
        <v>211273.23635515591</v>
      </c>
      <c r="D16" s="240"/>
      <c r="E16" s="240"/>
      <c r="F16" s="240">
        <v>97713.871814259604</v>
      </c>
      <c r="G16" s="240"/>
      <c r="H16" s="240">
        <v>34331.900907712836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58390.640697656214</v>
      </c>
      <c r="X16" s="240"/>
      <c r="Y16" s="240"/>
      <c r="Z16" s="240"/>
      <c r="AA16" s="240"/>
      <c r="AB16" s="240"/>
      <c r="AC16" s="240">
        <v>118550.69474978685</v>
      </c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>
        <v>3346039.8807747816</v>
      </c>
    </row>
    <row r="17" spans="1:42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3652684.2752178712</v>
      </c>
      <c r="N17" s="240">
        <v>1348349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517514.09980247903</v>
      </c>
      <c r="AE17" s="240">
        <v>8862084.0365267936</v>
      </c>
      <c r="AF17" s="240"/>
      <c r="AG17" s="240"/>
      <c r="AH17" s="240"/>
      <c r="AI17" s="240"/>
      <c r="AJ17" s="240">
        <v>632719.51157744695</v>
      </c>
      <c r="AK17" s="240"/>
      <c r="AL17" s="240"/>
      <c r="AM17" s="240">
        <v>2228800.0000000005</v>
      </c>
      <c r="AN17" s="240">
        <v>557200.00000000012</v>
      </c>
      <c r="AO17" s="240"/>
      <c r="AP17" s="240">
        <v>17799350.923124593</v>
      </c>
    </row>
    <row r="18" spans="1:42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/>
      <c r="AH18" s="240"/>
      <c r="AI18" s="240"/>
      <c r="AJ18" s="240">
        <v>112887.06079513082</v>
      </c>
      <c r="AK18" s="240"/>
      <c r="AL18" s="240"/>
      <c r="AM18" s="240">
        <v>0</v>
      </c>
      <c r="AN18" s="240">
        <v>0</v>
      </c>
      <c r="AO18" s="240"/>
      <c r="AP18" s="240">
        <v>6209404.1530503789</v>
      </c>
    </row>
    <row r="19" spans="1:42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1083774.8488732176</v>
      </c>
      <c r="N19" s="240">
        <v>182809.00000000006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174650.63022250982</v>
      </c>
      <c r="AE19" s="240">
        <v>2874812.4442172255</v>
      </c>
      <c r="AF19" s="240"/>
      <c r="AG19" s="240"/>
      <c r="AH19" s="240"/>
      <c r="AI19" s="240"/>
      <c r="AJ19" s="240">
        <v>281116.35132546059</v>
      </c>
      <c r="AK19" s="240"/>
      <c r="AL19" s="240"/>
      <c r="AM19" s="240">
        <v>828800.00000000047</v>
      </c>
      <c r="AN19" s="240">
        <v>207200.00000000012</v>
      </c>
      <c r="AO19" s="240"/>
      <c r="AP19" s="240">
        <v>5633163.2746384144</v>
      </c>
    </row>
    <row r="20" spans="1:42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675144.21380909206</v>
      </c>
      <c r="N20" s="240">
        <v>182808.99999999994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133081.08218496924</v>
      </c>
      <c r="AE20" s="240">
        <v>2977033.0999848829</v>
      </c>
      <c r="AF20" s="240"/>
      <c r="AG20" s="240"/>
      <c r="AH20" s="240"/>
      <c r="AI20" s="240"/>
      <c r="AJ20" s="240">
        <v>238716.0994568555</v>
      </c>
      <c r="AK20" s="240"/>
      <c r="AL20" s="240"/>
      <c r="AM20" s="240">
        <v>1400000</v>
      </c>
      <c r="AN20" s="240">
        <v>350000</v>
      </c>
      <c r="AO20" s="240"/>
      <c r="AP20" s="240">
        <v>5956783.4954357995</v>
      </c>
    </row>
    <row r="21" spans="1:42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/>
      <c r="AH21" s="240"/>
      <c r="AI21" s="240"/>
      <c r="AJ21" s="240">
        <v>104203.4407339669</v>
      </c>
      <c r="AK21" s="240"/>
      <c r="AL21" s="240"/>
      <c r="AM21" s="240"/>
      <c r="AN21" s="240"/>
      <c r="AO21" s="240">
        <v>2490322.2580733313</v>
      </c>
      <c r="AP21" s="240">
        <v>2594525.6988072982</v>
      </c>
    </row>
    <row r="22" spans="1:42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/>
      <c r="AH22" s="240"/>
      <c r="AI22" s="240"/>
      <c r="AJ22" s="240">
        <v>104203.4407339669</v>
      </c>
      <c r="AK22" s="240"/>
      <c r="AL22" s="240"/>
      <c r="AM22" s="240"/>
      <c r="AN22" s="240"/>
      <c r="AO22" s="240">
        <v>827693.20492220437</v>
      </c>
      <c r="AP22" s="240">
        <v>931896.64565617125</v>
      </c>
    </row>
    <row r="23" spans="1:42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/>
      <c r="AH23" s="240"/>
      <c r="AI23" s="240"/>
      <c r="AJ23" s="240">
        <v>0</v>
      </c>
      <c r="AK23" s="240"/>
      <c r="AL23" s="240"/>
      <c r="AM23" s="240"/>
      <c r="AN23" s="240"/>
      <c r="AO23" s="240">
        <v>792049.6289698272</v>
      </c>
      <c r="AP23" s="240">
        <v>792049.6289698272</v>
      </c>
    </row>
    <row r="24" spans="1:42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/>
      <c r="AH24" s="240"/>
      <c r="AI24" s="240"/>
      <c r="AJ24" s="240">
        <v>0</v>
      </c>
      <c r="AK24" s="240"/>
      <c r="AL24" s="240"/>
      <c r="AM24" s="240"/>
      <c r="AN24" s="240"/>
      <c r="AO24" s="240">
        <v>870579.42418129975</v>
      </c>
      <c r="AP24" s="240">
        <v>870579.42418129975</v>
      </c>
    </row>
    <row r="25" spans="1:42" x14ac:dyDescent="0.25">
      <c r="A25" s="78" t="s">
        <v>115</v>
      </c>
      <c r="B25" s="240"/>
      <c r="C25" s="240"/>
      <c r="D25" s="240"/>
      <c r="E25" s="240">
        <v>1299848.2278888109</v>
      </c>
      <c r="F25" s="240"/>
      <c r="G25" s="240">
        <v>9745.5386870355615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15288057.532998173</v>
      </c>
      <c r="T25" s="240"/>
      <c r="U25" s="240"/>
      <c r="V25" s="240"/>
      <c r="W25" s="240"/>
      <c r="X25" s="240"/>
      <c r="Y25" s="240"/>
      <c r="Z25" s="240"/>
      <c r="AA25" s="240"/>
      <c r="AB25" s="240">
        <v>21641256.02382122</v>
      </c>
      <c r="AC25" s="240"/>
      <c r="AD25" s="240"/>
      <c r="AE25" s="240"/>
      <c r="AF25" s="240"/>
      <c r="AG25" s="240"/>
      <c r="AH25" s="240"/>
      <c r="AI25" s="240"/>
      <c r="AJ25" s="240"/>
      <c r="AK25" s="240">
        <v>41197272.0123064</v>
      </c>
      <c r="AL25" s="240">
        <v>4221117.4685264993</v>
      </c>
      <c r="AM25" s="240"/>
      <c r="AN25" s="240"/>
      <c r="AO25" s="240"/>
      <c r="AP25" s="240">
        <v>83657296.804228127</v>
      </c>
    </row>
    <row r="26" spans="1:42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/>
      <c r="AI26" s="240"/>
      <c r="AJ26" s="240"/>
      <c r="AK26" s="240">
        <v>8803491.7355084848</v>
      </c>
      <c r="AL26" s="240">
        <v>944815.08868008247</v>
      </c>
      <c r="AM26" s="240"/>
      <c r="AN26" s="240"/>
      <c r="AO26" s="240"/>
      <c r="AP26" s="240">
        <v>35015134.317045711</v>
      </c>
    </row>
    <row r="27" spans="1:42" x14ac:dyDescent="0.25">
      <c r="A27" s="79">
        <v>2030</v>
      </c>
      <c r="B27" s="240"/>
      <c r="C27" s="240"/>
      <c r="D27" s="240"/>
      <c r="E27" s="240">
        <v>350967.65152171784</v>
      </c>
      <c r="F27" s="240"/>
      <c r="G27" s="240">
        <v>3436.3126630653683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4227510.9087366061</v>
      </c>
      <c r="T27" s="240"/>
      <c r="U27" s="240"/>
      <c r="V27" s="240"/>
      <c r="W27" s="240"/>
      <c r="X27" s="240"/>
      <c r="Y27" s="240"/>
      <c r="Z27" s="240"/>
      <c r="AA27" s="240"/>
      <c r="AB27" s="240">
        <v>5246776.4362328704</v>
      </c>
      <c r="AC27" s="240"/>
      <c r="AD27" s="240"/>
      <c r="AE27" s="240"/>
      <c r="AF27" s="240"/>
      <c r="AG27" s="240"/>
      <c r="AH27" s="240"/>
      <c r="AI27" s="240"/>
      <c r="AJ27" s="240"/>
      <c r="AK27" s="240">
        <v>18044229.187614657</v>
      </c>
      <c r="AL27" s="240">
        <v>1660014.4487791653</v>
      </c>
      <c r="AM27" s="240"/>
      <c r="AN27" s="240"/>
      <c r="AO27" s="240"/>
      <c r="AP27" s="240">
        <v>29532934.945548084</v>
      </c>
    </row>
    <row r="28" spans="1:42" x14ac:dyDescent="0.25">
      <c r="A28" s="79">
        <v>2050</v>
      </c>
      <c r="B28" s="240"/>
      <c r="C28" s="240"/>
      <c r="D28" s="240"/>
      <c r="E28" s="240">
        <v>125115.58350994992</v>
      </c>
      <c r="F28" s="240"/>
      <c r="G28" s="240">
        <v>1867.7260239701945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1364056.2909282311</v>
      </c>
      <c r="T28" s="240"/>
      <c r="U28" s="240"/>
      <c r="V28" s="240"/>
      <c r="W28" s="240"/>
      <c r="X28" s="240"/>
      <c r="Y28" s="240"/>
      <c r="Z28" s="240"/>
      <c r="AA28" s="240"/>
      <c r="AB28" s="240">
        <v>1652348.9209216826</v>
      </c>
      <c r="AC28" s="240"/>
      <c r="AD28" s="240"/>
      <c r="AE28" s="240"/>
      <c r="AF28" s="240"/>
      <c r="AG28" s="240"/>
      <c r="AH28" s="240"/>
      <c r="AI28" s="240"/>
      <c r="AJ28" s="240"/>
      <c r="AK28" s="240">
        <v>14349551.089183256</v>
      </c>
      <c r="AL28" s="240">
        <v>1616287.9310672511</v>
      </c>
      <c r="AM28" s="240"/>
      <c r="AN28" s="240"/>
      <c r="AO28" s="240"/>
      <c r="AP28" s="240">
        <v>19109227.54163434</v>
      </c>
    </row>
    <row r="29" spans="1:42" x14ac:dyDescent="0.25">
      <c r="A29" s="78" t="s">
        <v>210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>
        <v>9339855.7817607038</v>
      </c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>
        <v>9339855.7817607038</v>
      </c>
    </row>
    <row r="30" spans="1:42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>
        <v>0</v>
      </c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>
        <v>0</v>
      </c>
    </row>
    <row r="31" spans="1:42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>
        <v>5700756.0608161455</v>
      </c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>
        <v>5700756.0608161455</v>
      </c>
    </row>
    <row r="32" spans="1:42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>
        <v>3639099.7209445592</v>
      </c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>
        <v>3639099.7209445592</v>
      </c>
    </row>
    <row r="33" spans="1:42" x14ac:dyDescent="0.25">
      <c r="A33" s="78" t="s">
        <v>238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>
        <v>2302884.2259731684</v>
      </c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>
        <v>2302884.2259731684</v>
      </c>
    </row>
    <row r="34" spans="1:42" x14ac:dyDescent="0.25">
      <c r="A34" s="79">
        <v>2019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>
        <v>678407.81727843033</v>
      </c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>
        <v>678407.81727843033</v>
      </c>
    </row>
    <row r="35" spans="1:42" x14ac:dyDescent="0.25">
      <c r="A35" s="79">
        <v>2030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>
        <v>878488.59789206437</v>
      </c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>
        <v>878488.59789206437</v>
      </c>
    </row>
    <row r="36" spans="1:42" x14ac:dyDescent="0.25">
      <c r="A36" s="79">
        <v>2050</v>
      </c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>
        <v>745987.81080267346</v>
      </c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>
        <v>745987.81080267346</v>
      </c>
    </row>
    <row r="37" spans="1:42" x14ac:dyDescent="0.25">
      <c r="A37" s="78" t="s">
        <v>320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>
        <v>3980000.0000000009</v>
      </c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>
        <v>3980000.0000000009</v>
      </c>
    </row>
    <row r="38" spans="1:42" x14ac:dyDescent="0.25">
      <c r="A38" s="79">
        <v>2019</v>
      </c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>
        <v>0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>
        <v>0</v>
      </c>
    </row>
    <row r="39" spans="1:42" x14ac:dyDescent="0.25">
      <c r="A39" s="79">
        <v>2030</v>
      </c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>
        <v>1480000.0000000007</v>
      </c>
      <c r="N39" s="240"/>
      <c r="O39" s="240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>
        <v>1480000.0000000007</v>
      </c>
    </row>
    <row r="40" spans="1:42" x14ac:dyDescent="0.25">
      <c r="A40" s="79">
        <v>2050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>
        <v>2500000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>
        <v>2500000</v>
      </c>
    </row>
    <row r="41" spans="1:42" x14ac:dyDescent="0.25">
      <c r="A41" s="78" t="s">
        <v>61</v>
      </c>
      <c r="B41" s="240">
        <v>182574.19618217932</v>
      </c>
      <c r="C41" s="240">
        <v>455230.08172556589</v>
      </c>
      <c r="D41" s="240">
        <v>1462906</v>
      </c>
      <c r="E41" s="240">
        <v>4891522.5329038296</v>
      </c>
      <c r="F41" s="240">
        <v>281468.55244752642</v>
      </c>
      <c r="G41" s="240">
        <v>27264.558180549309</v>
      </c>
      <c r="H41" s="240">
        <v>150285.8346094953</v>
      </c>
      <c r="I41" s="240">
        <v>1445379.0531089196</v>
      </c>
      <c r="J41" s="240">
        <v>428226</v>
      </c>
      <c r="K41" s="240">
        <v>41437731.840307847</v>
      </c>
      <c r="L41" s="240">
        <v>1513844.376677237</v>
      </c>
      <c r="M41" s="240">
        <v>9608303.6528553292</v>
      </c>
      <c r="N41" s="240">
        <v>2948427</v>
      </c>
      <c r="O41" s="240">
        <v>5421074.2654714445</v>
      </c>
      <c r="P41" s="240">
        <v>2095654</v>
      </c>
      <c r="Q41" s="240">
        <v>692260.49385742994</v>
      </c>
      <c r="R41" s="240">
        <v>16977849.955801435</v>
      </c>
      <c r="S41" s="240">
        <v>31995310.161842752</v>
      </c>
      <c r="T41" s="240">
        <v>3736937.6464744452</v>
      </c>
      <c r="U41" s="240">
        <v>15942146.36943309</v>
      </c>
      <c r="V41" s="240">
        <v>2647325.8446415998</v>
      </c>
      <c r="W41" s="240">
        <v>255601.5233243031</v>
      </c>
      <c r="X41" s="240">
        <v>2302884.2259731684</v>
      </c>
      <c r="Y41" s="240">
        <v>2260478.5263562161</v>
      </c>
      <c r="Z41" s="240">
        <v>115548.49351931627</v>
      </c>
      <c r="AA41" s="240">
        <v>12361269.40396174</v>
      </c>
      <c r="AB41" s="240">
        <v>39726051.015747547</v>
      </c>
      <c r="AC41" s="240">
        <v>518948.54735540331</v>
      </c>
      <c r="AD41" s="240">
        <v>517514.09980247903</v>
      </c>
      <c r="AE41" s="240">
        <v>8862084.0365267936</v>
      </c>
      <c r="AF41" s="240">
        <v>3231770.9608799992</v>
      </c>
      <c r="AG41" s="240">
        <v>1561356.6904091518</v>
      </c>
      <c r="AH41" s="240">
        <v>3149729.2875139294</v>
      </c>
      <c r="AI41" s="240">
        <v>532028.44251516566</v>
      </c>
      <c r="AJ41" s="240">
        <v>736922.95231141383</v>
      </c>
      <c r="AK41" s="240">
        <v>41197272.0123064</v>
      </c>
      <c r="AL41" s="240">
        <v>4221117.4685264993</v>
      </c>
      <c r="AM41" s="240">
        <v>2228800.0000000005</v>
      </c>
      <c r="AN41" s="240">
        <v>557200.00000000012</v>
      </c>
      <c r="AO41" s="240">
        <v>2490322.2580733313</v>
      </c>
      <c r="AP41" s="240">
        <v>271168622.36162359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287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205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0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1660014.4487791653</v>
      </c>
      <c r="F7" s="76">
        <v>0</v>
      </c>
      <c r="G7" s="76">
        <v>142742</v>
      </c>
      <c r="H7" s="76">
        <v>10506.319254641596</v>
      </c>
      <c r="I7" s="76">
        <v>295986.95488590782</v>
      </c>
      <c r="J7" s="76">
        <v>0</v>
      </c>
      <c r="K7" s="76">
        <v>2109249.751176971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1616287.9310672511</v>
      </c>
      <c r="F8" s="76">
        <v>3343.8010555246146</v>
      </c>
      <c r="G8" s="76">
        <v>142742</v>
      </c>
      <c r="H8" s="76">
        <v>6706.74960651531</v>
      </c>
      <c r="I8" s="76">
        <v>342995.31126165221</v>
      </c>
      <c r="J8" s="76">
        <v>0</v>
      </c>
      <c r="K8" s="76">
        <v>2112075.9778813436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4221117.4685264993</v>
      </c>
      <c r="F9" s="76">
        <v>3343.8010555246146</v>
      </c>
      <c r="G9" s="76">
        <v>428226</v>
      </c>
      <c r="H9" s="76">
        <v>17213.068861156906</v>
      </c>
      <c r="I9" s="76">
        <v>1059612.2559889879</v>
      </c>
      <c r="J9" s="76">
        <v>5421074.2654714445</v>
      </c>
      <c r="K9" s="76">
        <v>12007028.398879377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8554687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0.85546875" style="171" bestFit="1" customWidth="1"/>
    <col min="10" max="10" width="13.140625" style="171" bestFit="1" customWidth="1"/>
    <col min="11" max="12" width="9.85546875" style="171" bestFit="1" customWidth="1"/>
    <col min="13" max="13" width="13.85546875" style="171" bestFit="1" customWidth="1"/>
    <col min="14" max="14" width="9.85546875" style="171" bestFit="1" customWidth="1"/>
    <col min="15" max="15" width="16" style="171" bestFit="1" customWidth="1"/>
    <col min="16" max="16" width="10" style="171" bestFit="1" customWidth="1"/>
    <col min="17" max="17" width="8.7109375" style="171" bestFit="1" customWidth="1"/>
    <col min="18" max="18" width="11" style="171" bestFit="1" customWidth="1"/>
    <col min="19" max="19" width="9.85546875" style="171" bestFit="1" customWidth="1"/>
    <col min="20" max="20" width="21" style="171" bestFit="1" customWidth="1"/>
    <col min="21" max="21" width="20.7109375" style="171" bestFit="1" customWidth="1"/>
    <col min="22" max="22" width="9.85546875" style="171" bestFit="1" customWidth="1"/>
    <col min="23" max="23" width="7.140625" style="171" bestFit="1" customWidth="1"/>
    <col min="24" max="24" width="16" style="171" bestFit="1" customWidth="1"/>
    <col min="25" max="27" width="9.85546875" style="171" bestFit="1" customWidth="1"/>
    <col min="28" max="28" width="9.28515625" style="171" bestFit="1" customWidth="1"/>
    <col min="29" max="29" width="11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6</v>
      </c>
      <c r="J5" s="171" t="s">
        <v>104</v>
      </c>
      <c r="K5" s="171" t="s">
        <v>12</v>
      </c>
      <c r="L5" s="171" t="s">
        <v>48</v>
      </c>
      <c r="M5" s="171" t="s">
        <v>109</v>
      </c>
      <c r="N5" s="171" t="s">
        <v>53</v>
      </c>
      <c r="O5" s="171" t="s">
        <v>117</v>
      </c>
      <c r="P5" s="171" t="s">
        <v>107</v>
      </c>
      <c r="Q5" s="171" t="s">
        <v>14</v>
      </c>
      <c r="R5" s="171" t="s">
        <v>118</v>
      </c>
      <c r="S5" s="171" t="s">
        <v>52</v>
      </c>
      <c r="T5" s="171" t="s">
        <v>122</v>
      </c>
      <c r="U5" s="171" t="s">
        <v>108</v>
      </c>
      <c r="V5" s="171" t="s">
        <v>13</v>
      </c>
      <c r="W5" s="171" t="s">
        <v>100</v>
      </c>
      <c r="X5" s="171" t="s">
        <v>141</v>
      </c>
      <c r="Y5" s="171" t="s">
        <v>209</v>
      </c>
      <c r="Z5" s="171" t="s">
        <v>56</v>
      </c>
      <c r="AA5" s="171" t="s">
        <v>55</v>
      </c>
      <c r="AB5" s="171" t="s">
        <v>239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835972.72038527858</v>
      </c>
      <c r="D7" s="98">
        <v>4254375.7434823737</v>
      </c>
      <c r="E7" s="98">
        <v>576116.71098848025</v>
      </c>
      <c r="F7" s="98">
        <v>144189.02716916322</v>
      </c>
      <c r="G7" s="98">
        <v>1327159.1732761196</v>
      </c>
      <c r="H7" s="98">
        <v>651527.44368819008</v>
      </c>
      <c r="I7" s="98">
        <v>1487443.4103780887</v>
      </c>
      <c r="J7" s="98">
        <v>54089.706503608206</v>
      </c>
      <c r="K7" s="98">
        <v>2603685.0557626397</v>
      </c>
      <c r="L7" s="98">
        <v>506782.85975210578</v>
      </c>
      <c r="M7" s="98">
        <v>146751.43669059611</v>
      </c>
      <c r="N7" s="98">
        <v>67599.913366085384</v>
      </c>
      <c r="O7" s="98">
        <v>1798536.4273682984</v>
      </c>
      <c r="P7" s="98">
        <v>148232.6739623498</v>
      </c>
      <c r="Q7" s="98">
        <v>1367.9773147687811</v>
      </c>
      <c r="R7" s="98">
        <v>4173274.1072842204</v>
      </c>
      <c r="S7" s="98">
        <v>107785.76819097856</v>
      </c>
      <c r="T7" s="98">
        <v>170927.12035893119</v>
      </c>
      <c r="U7" s="98">
        <v>74870.869608389519</v>
      </c>
      <c r="V7" s="98">
        <v>1080224.9231294955</v>
      </c>
      <c r="W7" s="98">
        <v>14400</v>
      </c>
      <c r="X7" s="98">
        <v>3645941.0625492036</v>
      </c>
      <c r="Y7" s="98">
        <v>1058561.0852325046</v>
      </c>
      <c r="Z7" s="98">
        <v>848084.29990278604</v>
      </c>
      <c r="AA7" s="98">
        <v>1861865.4474307869</v>
      </c>
      <c r="AB7" s="98">
        <v>261229.90815989478</v>
      </c>
      <c r="AC7" s="98">
        <v>28071941.176548492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583643.97890224867</v>
      </c>
      <c r="D8" s="98">
        <v>7186599.8576386888</v>
      </c>
      <c r="E8" s="98">
        <v>205378.41066727636</v>
      </c>
      <c r="F8" s="98">
        <v>153901.96523502804</v>
      </c>
      <c r="G8" s="98">
        <v>1079479.3223754542</v>
      </c>
      <c r="H8" s="98">
        <v>92224.67040210776</v>
      </c>
      <c r="I8" s="98">
        <v>1187929.0646227887</v>
      </c>
      <c r="J8" s="98">
        <v>44787.470491779066</v>
      </c>
      <c r="K8" s="98">
        <v>2142531.8661417775</v>
      </c>
      <c r="L8" s="98">
        <v>1371945.625518437</v>
      </c>
      <c r="M8" s="98">
        <v>59006.072343790955</v>
      </c>
      <c r="N8" s="98">
        <v>300848.41353906074</v>
      </c>
      <c r="O8" s="98">
        <v>724834.80451910477</v>
      </c>
      <c r="P8" s="98">
        <v>243411.82603765032</v>
      </c>
      <c r="Q8" s="98"/>
      <c r="R8" s="98">
        <v>2559846.5142407757</v>
      </c>
      <c r="S8" s="98">
        <v>258178.31605614454</v>
      </c>
      <c r="T8" s="98">
        <v>103731.07060017808</v>
      </c>
      <c r="U8" s="98">
        <v>44164.318545236878</v>
      </c>
      <c r="V8" s="98">
        <v>648616.74048751721</v>
      </c>
      <c r="W8" s="98">
        <v>18000</v>
      </c>
      <c r="X8" s="98">
        <v>1511623.5853531337</v>
      </c>
      <c r="Y8" s="98">
        <v>355650.82658627635</v>
      </c>
      <c r="Z8" s="98">
        <v>709449.17746015533</v>
      </c>
      <c r="AA8" s="98">
        <v>1558525.3424678326</v>
      </c>
      <c r="AB8" s="98">
        <v>259357.72926556907</v>
      </c>
      <c r="AC8" s="98">
        <v>23565984.337175287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1632327.7090432742</v>
      </c>
      <c r="D9" s="98">
        <v>14671504.673362575</v>
      </c>
      <c r="E9" s="98">
        <v>2133713.1287986143</v>
      </c>
      <c r="F9" s="98">
        <v>436366.27243309037</v>
      </c>
      <c r="G9" s="98">
        <v>3909196.5312597882</v>
      </c>
      <c r="H9" s="98">
        <v>4861755.8243904645</v>
      </c>
      <c r="I9" s="98">
        <v>2675372.4750008774</v>
      </c>
      <c r="J9" s="98">
        <v>98877.176995387272</v>
      </c>
      <c r="K9" s="98">
        <v>6787090.6727705514</v>
      </c>
      <c r="L9" s="98">
        <v>3853398.8145819618</v>
      </c>
      <c r="M9" s="98">
        <v>257649.64165448339</v>
      </c>
      <c r="N9" s="98">
        <v>1634710.5731726382</v>
      </c>
      <c r="O9" s="98">
        <v>5060154.4732163427</v>
      </c>
      <c r="P9" s="98">
        <v>392524.60000000009</v>
      </c>
      <c r="Q9" s="98">
        <v>9432.1836548653446</v>
      </c>
      <c r="R9" s="98">
        <v>12002120.621524995</v>
      </c>
      <c r="S9" s="98">
        <v>2022328.7257480375</v>
      </c>
      <c r="T9" s="98">
        <v>491668.55839463254</v>
      </c>
      <c r="U9" s="98">
        <v>224981.49972558167</v>
      </c>
      <c r="V9" s="98">
        <v>3111493.0947959195</v>
      </c>
      <c r="W9" s="98">
        <v>32476.5</v>
      </c>
      <c r="X9" s="98">
        <v>9525888.5495809969</v>
      </c>
      <c r="Y9" s="98">
        <v>1414211.9118187809</v>
      </c>
      <c r="Z9" s="98">
        <v>2469108.1198480078</v>
      </c>
      <c r="AA9" s="98">
        <v>5425492.9612993961</v>
      </c>
      <c r="AB9" s="98">
        <v>619413.67047141842</v>
      </c>
      <c r="AC9" s="98">
        <v>86263119.535235107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AC202" sqref="AC202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5.9185756611736293</v>
      </c>
      <c r="C7" s="238">
        <v>0</v>
      </c>
      <c r="D7" s="238">
        <v>1.7339476307410988</v>
      </c>
      <c r="E7" s="238">
        <v>12.937347298228788</v>
      </c>
      <c r="F7" s="238">
        <v>0.14596282488120896</v>
      </c>
      <c r="G7" s="238">
        <v>1.2409553954691868</v>
      </c>
      <c r="H7" s="238">
        <v>9.8390722963911195</v>
      </c>
      <c r="I7" s="238">
        <v>44.879863833162844</v>
      </c>
      <c r="J7" s="238">
        <v>14.320480000000003</v>
      </c>
      <c r="K7" s="238">
        <v>91.016204940047885</v>
      </c>
    </row>
    <row r="8" spans="1:11" x14ac:dyDescent="0.25">
      <c r="A8" s="79">
        <v>2050</v>
      </c>
      <c r="B8" s="238">
        <v>4.413950742288951</v>
      </c>
      <c r="C8" s="238">
        <v>0</v>
      </c>
      <c r="D8" s="238">
        <v>1.9504339469703251</v>
      </c>
      <c r="E8" s="238">
        <v>11.676881539930978</v>
      </c>
      <c r="F8" s="238">
        <v>0.23461711386879117</v>
      </c>
      <c r="G8" s="238">
        <v>0.44238509657731323</v>
      </c>
      <c r="H8" s="238">
        <v>8.3550634809899407</v>
      </c>
      <c r="I8" s="238">
        <v>45.596526266723075</v>
      </c>
      <c r="J8" s="238">
        <v>24.189999999999991</v>
      </c>
      <c r="K8" s="238">
        <v>96.859858187349374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7.6088641505357533</v>
      </c>
      <c r="C11" s="238">
        <v>2.1694819870080004</v>
      </c>
      <c r="D11" s="238">
        <v>0</v>
      </c>
      <c r="E11" s="238">
        <v>0</v>
      </c>
      <c r="F11" s="238">
        <v>0</v>
      </c>
      <c r="G11" s="238">
        <v>10.44013238392133</v>
      </c>
      <c r="H11" s="238">
        <v>0</v>
      </c>
      <c r="I11" s="238">
        <v>0</v>
      </c>
      <c r="J11" s="238">
        <v>0</v>
      </c>
      <c r="K11" s="238">
        <v>20.218478521465084</v>
      </c>
    </row>
    <row r="12" spans="1:11" x14ac:dyDescent="0.25">
      <c r="A12" s="79">
        <v>2050</v>
      </c>
      <c r="B12" s="238">
        <v>8.2851701255222014</v>
      </c>
      <c r="C12" s="238">
        <v>2.1694819870080004</v>
      </c>
      <c r="D12" s="238">
        <v>2.6925000000000003</v>
      </c>
      <c r="E12" s="238">
        <v>0</v>
      </c>
      <c r="F12" s="238">
        <v>0</v>
      </c>
      <c r="G12" s="238">
        <v>8.4602640214703264</v>
      </c>
      <c r="H12" s="238">
        <v>0</v>
      </c>
      <c r="I12" s="238">
        <v>0</v>
      </c>
      <c r="J12" s="238">
        <v>0</v>
      </c>
      <c r="K12" s="238">
        <v>21.60741613400053</v>
      </c>
    </row>
    <row r="13" spans="1:11" x14ac:dyDescent="0.25">
      <c r="A13" s="78" t="s">
        <v>295</v>
      </c>
      <c r="B13" s="238">
        <v>27.876456927964881</v>
      </c>
      <c r="C13" s="238">
        <v>0</v>
      </c>
      <c r="D13" s="238">
        <v>3.6843815777114237</v>
      </c>
      <c r="E13" s="238">
        <v>44.187819326716962</v>
      </c>
      <c r="F13" s="238">
        <v>0.38057993875000012</v>
      </c>
      <c r="G13" s="238">
        <v>1.6833404920465</v>
      </c>
      <c r="H13" s="238">
        <v>22.145182905210639</v>
      </c>
      <c r="I13" s="238">
        <v>137.96548502422775</v>
      </c>
      <c r="J13" s="238">
        <v>38.510479999999994</v>
      </c>
      <c r="K13" s="238">
        <v>276.43372619262817</v>
      </c>
    </row>
    <row r="14" spans="1:11" x14ac:dyDescent="0.25">
      <c r="A14" s="78" t="s">
        <v>247</v>
      </c>
      <c r="B14" s="238">
        <v>23.377188980264954</v>
      </c>
      <c r="C14" s="238">
        <v>6.5084459610240017</v>
      </c>
      <c r="D14" s="238">
        <v>4.1126719861750001</v>
      </c>
      <c r="E14" s="238">
        <v>0.45076703431999998</v>
      </c>
      <c r="F14" s="238">
        <v>0</v>
      </c>
      <c r="G14" s="238">
        <v>23.992679363396661</v>
      </c>
      <c r="H14" s="238">
        <v>0</v>
      </c>
      <c r="I14" s="238">
        <v>0</v>
      </c>
      <c r="J14" s="238">
        <v>0</v>
      </c>
      <c r="K14" s="238">
        <v>58.441753325180613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1228117.319874564</v>
      </c>
      <c r="C4" s="239">
        <v>128467.8</v>
      </c>
      <c r="D4" s="239">
        <v>224264.81188071458</v>
      </c>
      <c r="E4" s="239">
        <v>1078311.3080653877</v>
      </c>
      <c r="F4" s="239">
        <v>24394.90109435247</v>
      </c>
      <c r="G4" s="239">
        <v>1579209.4799870809</v>
      </c>
      <c r="H4" s="239">
        <v>1494314.3329114441</v>
      </c>
      <c r="I4" s="239">
        <v>5757079.9538135435</v>
      </c>
    </row>
    <row r="5" spans="1:9" x14ac:dyDescent="0.25">
      <c r="A5" s="78">
        <v>2050</v>
      </c>
      <c r="B5" s="239">
        <v>1156722.2438764875</v>
      </c>
      <c r="C5" s="239">
        <v>128467.8</v>
      </c>
      <c r="D5" s="239">
        <v>392713.09498553735</v>
      </c>
      <c r="E5" s="239">
        <v>999175.72564844368</v>
      </c>
      <c r="F5" s="239">
        <v>39211.773905647548</v>
      </c>
      <c r="G5" s="239">
        <v>1203819.8797974139</v>
      </c>
      <c r="H5" s="239">
        <v>1527619.6031409521</v>
      </c>
      <c r="I5" s="239">
        <v>5447730.1213544821</v>
      </c>
    </row>
    <row r="6" spans="1:9" x14ac:dyDescent="0.25">
      <c r="A6" s="78" t="s">
        <v>61</v>
      </c>
      <c r="B6" s="239">
        <v>3462144.5037510511</v>
      </c>
      <c r="C6" s="239">
        <v>385403.4</v>
      </c>
      <c r="D6" s="239">
        <v>745704.26686625194</v>
      </c>
      <c r="E6" s="239">
        <v>3752905.0243690587</v>
      </c>
      <c r="F6" s="239">
        <v>63606.675000000017</v>
      </c>
      <c r="G6" s="239">
        <v>3487045.4756178283</v>
      </c>
      <c r="H6" s="239">
        <v>4597807.4144835724</v>
      </c>
      <c r="I6" s="239">
        <v>16494616.760087762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6670104.6479239594</v>
      </c>
      <c r="C4" s="98">
        <v>-24610.813181900667</v>
      </c>
      <c r="D4" s="98">
        <v>4409198.4139820281</v>
      </c>
      <c r="E4" s="98">
        <v>6029088.3887261674</v>
      </c>
      <c r="F4" s="98">
        <v>-2465700.867643958</v>
      </c>
      <c r="G4" s="98">
        <v>-311923.80729170947</v>
      </c>
      <c r="H4" s="98">
        <v>-965946.66666666698</v>
      </c>
      <c r="I4" s="98">
        <v>13340209.295847923</v>
      </c>
    </row>
    <row r="5" spans="1:9" x14ac:dyDescent="0.25">
      <c r="A5" s="78">
        <v>2050</v>
      </c>
      <c r="B5" s="98">
        <v>-197697.29237007059</v>
      </c>
      <c r="C5" s="98">
        <v>-40179.115818099352</v>
      </c>
      <c r="D5" s="98">
        <v>2751010.6362999445</v>
      </c>
      <c r="E5" s="98">
        <v>4256145.2345297476</v>
      </c>
      <c r="F5" s="98">
        <v>-5288328.8186776675</v>
      </c>
      <c r="G5" s="98">
        <v>-244678.56203733059</v>
      </c>
      <c r="H5" s="98">
        <v>-1631666.6666666665</v>
      </c>
      <c r="I5" s="98">
        <v>-395394.58474014234</v>
      </c>
    </row>
    <row r="6" spans="1:9" x14ac:dyDescent="0.25">
      <c r="A6" s="78" t="s">
        <v>61</v>
      </c>
      <c r="B6" s="98">
        <v>20989869.797929734</v>
      </c>
      <c r="C6" s="98">
        <v>-64948.366200000019</v>
      </c>
      <c r="D6" s="98">
        <v>12679470.951018691</v>
      </c>
      <c r="E6" s="98">
        <v>20010699.812990095</v>
      </c>
      <c r="F6" s="98">
        <v>-8315929.6863216255</v>
      </c>
      <c r="G6" s="98">
        <v>-721809.5802240998</v>
      </c>
      <c r="H6" s="98">
        <v>-2597613.3333333335</v>
      </c>
      <c r="I6" s="98">
        <v>41979739.595859461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12593640.930550024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1297712.0380249654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2504185.6622308115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0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6589395.1930627171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4049664.7353122975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3681286.419871856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1012581.156045878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63.641820188302866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-2130264.6471044431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0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989054.05705101741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2526380.4485877971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3122963.8436412625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25.532937823350352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62.943553832608508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-4628267.5003342489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0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1972866.1701858998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139776.81037761859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267273.60617884179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0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1330717.8864919471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359533.67866973061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1198152.1265894875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109136.14560816411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6.8564629231947585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-335436.22053951514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0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689589.57771813369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224630.18771214719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1133079.0796839043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2.7519439331686595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6.7812042161024424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-660061.31834341818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0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972256.90230214107</v>
      </c>
      <c r="C6" s="98">
        <v>1327159.1732761196</v>
      </c>
      <c r="D6" s="98">
        <v>185260.28214531712</v>
      </c>
      <c r="E6" s="98">
        <v>17505210.447746005</v>
      </c>
      <c r="F6" s="98">
        <v>1991486.5691634244</v>
      </c>
      <c r="G6" s="98">
        <v>848084.29990278604</v>
      </c>
      <c r="H6" s="98">
        <v>2834177.1534986477</v>
      </c>
      <c r="I6" s="98">
        <v>6378219.6730499323</v>
      </c>
      <c r="J6" s="98">
        <v>5262273.3307195064</v>
      </c>
      <c r="K6" s="98">
        <v>1861865.4474307869</v>
      </c>
      <c r="L6" s="98">
        <v>174650.63022250982</v>
      </c>
      <c r="M6" s="98">
        <v>878488.59789206437</v>
      </c>
      <c r="N6" s="98">
        <v>893586.71854769241</v>
      </c>
      <c r="O6" s="98">
        <v>41112719.225896932</v>
      </c>
    </row>
    <row r="7" spans="1:15" x14ac:dyDescent="0.25">
      <c r="A7" s="78">
        <v>2050</v>
      </c>
      <c r="B7" s="98">
        <v>830174.78648201993</v>
      </c>
      <c r="C7" s="98">
        <v>1079479.3223754542</v>
      </c>
      <c r="D7" s="98">
        <v>158778.62508184306</v>
      </c>
      <c r="E7" s="98">
        <v>10850838.521382123</v>
      </c>
      <c r="F7" s="98">
        <v>1713471.2400562391</v>
      </c>
      <c r="G7" s="98">
        <v>709449.17746015533</v>
      </c>
      <c r="H7" s="98">
        <v>2382855.1724957675</v>
      </c>
      <c r="I7" s="98">
        <v>5343241.1278890474</v>
      </c>
      <c r="J7" s="98">
        <v>4366888.3180394787</v>
      </c>
      <c r="K7" s="98">
        <v>1558525.3424678326</v>
      </c>
      <c r="L7" s="98">
        <v>133081.08218496924</v>
      </c>
      <c r="M7" s="98">
        <v>745987.81080267346</v>
      </c>
      <c r="N7" s="98">
        <v>759797.39756999072</v>
      </c>
      <c r="O7" s="98">
        <v>30632567.924287595</v>
      </c>
    </row>
    <row r="8" spans="1:15" x14ac:dyDescent="0.25">
      <c r="A8" s="78" t="s">
        <v>61</v>
      </c>
      <c r="B8" s="98">
        <v>2087557.7907688399</v>
      </c>
      <c r="C8" s="98">
        <v>3909196.5312597882</v>
      </c>
      <c r="D8" s="98">
        <v>385766.79711993167</v>
      </c>
      <c r="E8" s="98">
        <v>46299487.66469831</v>
      </c>
      <c r="F8" s="98">
        <v>3985567.2306726081</v>
      </c>
      <c r="G8" s="98">
        <v>2469108.1198480078</v>
      </c>
      <c r="H8" s="98">
        <v>7479351.1666279826</v>
      </c>
      <c r="I8" s="98">
        <v>20831248.770383395</v>
      </c>
      <c r="J8" s="98">
        <v>17576856.942605726</v>
      </c>
      <c r="K8" s="98">
        <v>5425492.9612993961</v>
      </c>
      <c r="L8" s="98">
        <v>517514.09980247903</v>
      </c>
      <c r="M8" s="98">
        <v>2302884.2259731684</v>
      </c>
      <c r="N8" s="98">
        <v>4282807.2521042535</v>
      </c>
      <c r="O8" s="98">
        <v>117552839.55316389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15811176.57096003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4836920.0011490174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735284.33485275437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663977.87373411702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13481473.73577025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1502657.2310032574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2153496.967481425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668679.49055744556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4026803.5120526911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139807.2046539399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1412647.5447842737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1001970.2375971108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644035.8493924035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134802.2173997864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3920720.3662957777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609158.83584090974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547384.79935736058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7962055.5016258964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1257296.7096095001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1748472.631855153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557517.61958207632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3204301.4084430053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116507.263767978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1143602.1995332621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792091.46065631567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520573.94312179892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97651.319921337825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2073818.1184375903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1541299.6719009152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236972.56744938664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214510.72415794732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4023734.8162977309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488829.33816016692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680680.18601722247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224907.22799024681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1235469.8186668158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45453.077491377226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449217.90264651313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325188.93567900889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204048.45051038259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39848.41282272341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1422520.7615932694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221015.95064111016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198603.01144531288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2888780.562395826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456174.53044673882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634382.54064061423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202279.77798791436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1162586.9095964739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42271.361313865054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414923.14293457061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287387.86171913851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188875.23433835641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35429.762263631419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2874812.4442172255</v>
      </c>
      <c r="C7" s="239">
        <v>792049.6289698272</v>
      </c>
      <c r="D7" s="239">
        <v>3666862.0731870527</v>
      </c>
    </row>
    <row r="8" spans="1:4" x14ac:dyDescent="0.25">
      <c r="A8" s="78">
        <v>2050</v>
      </c>
      <c r="B8" s="239">
        <v>2977033.0999848829</v>
      </c>
      <c r="C8" s="239">
        <v>870579.42418129975</v>
      </c>
      <c r="D8" s="239">
        <v>3847612.5241661826</v>
      </c>
    </row>
    <row r="9" spans="1:4" x14ac:dyDescent="0.25">
      <c r="A9" s="78" t="s">
        <v>61</v>
      </c>
      <c r="B9" s="239">
        <v>8862084.0365267936</v>
      </c>
      <c r="C9" s="239">
        <v>2490322.2580733313</v>
      </c>
      <c r="D9" s="239">
        <v>11352406.294600125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2228369.9999999995</v>
      </c>
      <c r="E6" s="239">
        <v>572920</v>
      </c>
      <c r="F6" s="239">
        <v>811900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1886540</v>
      </c>
      <c r="E7" s="239">
        <v>651650.00000000012</v>
      </c>
      <c r="F7" s="239">
        <v>1075000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6693280</v>
      </c>
      <c r="E8" s="239">
        <v>1697490</v>
      </c>
      <c r="F8" s="239">
        <v>2448800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249070.41145368534</v>
      </c>
      <c r="C7" s="239">
        <v>21590.944766009088</v>
      </c>
      <c r="D7" s="239">
        <v>298013.90675097884</v>
      </c>
      <c r="E7" s="239">
        <v>86085.718291457015</v>
      </c>
      <c r="F7" s="239">
        <v>16716.162692950904</v>
      </c>
      <c r="G7" s="239">
        <v>65820.275689989794</v>
      </c>
      <c r="H7" s="239">
        <v>883591.45920908672</v>
      </c>
      <c r="I7" s="239">
        <v>111977.52639575016</v>
      </c>
      <c r="J7" s="239">
        <v>61589.234291461878</v>
      </c>
      <c r="K7" s="239">
        <v>197847.00478896068</v>
      </c>
      <c r="L7" s="239">
        <v>10867.259065585897</v>
      </c>
      <c r="M7" s="239">
        <v>126838.32883502003</v>
      </c>
      <c r="N7" s="239">
        <v>6954.7525926161206</v>
      </c>
      <c r="O7" s="239">
        <v>91124.170336585928</v>
      </c>
      <c r="P7" s="239">
        <v>2228087.1551601388</v>
      </c>
    </row>
    <row r="8" spans="1:16" x14ac:dyDescent="0.25">
      <c r="A8" s="78">
        <v>2050</v>
      </c>
      <c r="B8" s="239">
        <v>216951.70801995497</v>
      </c>
      <c r="C8" s="239">
        <v>18865.364198504856</v>
      </c>
      <c r="D8" s="239">
        <v>160356.6559175018</v>
      </c>
      <c r="E8" s="239">
        <v>75461.443395327253</v>
      </c>
      <c r="F8" s="239">
        <v>14313.043935558482</v>
      </c>
      <c r="G8" s="239">
        <v>56596.151034252514</v>
      </c>
      <c r="H8" s="239">
        <v>754615.39892948361</v>
      </c>
      <c r="I8" s="239">
        <v>94326.964105956184</v>
      </c>
      <c r="J8" s="239">
        <v>52763.968072249161</v>
      </c>
      <c r="K8" s="239">
        <v>171674.86292287466</v>
      </c>
      <c r="L8" s="239">
        <v>9432.6844828219237</v>
      </c>
      <c r="M8" s="239">
        <v>179222.0901799573</v>
      </c>
      <c r="N8" s="239">
        <v>5504.0224764256391</v>
      </c>
      <c r="O8" s="239">
        <v>76207.415665262117</v>
      </c>
      <c r="P8" s="239">
        <v>1886291.7733361307</v>
      </c>
    </row>
    <row r="9" spans="1:16" x14ac:dyDescent="0.25">
      <c r="A9" s="78" t="s">
        <v>61</v>
      </c>
      <c r="B9" s="239">
        <v>542875.3323400626</v>
      </c>
      <c r="C9" s="239">
        <v>45571.089857619852</v>
      </c>
      <c r="D9" s="239">
        <v>747301.97832412855</v>
      </c>
      <c r="E9" s="239">
        <v>174299.24025561227</v>
      </c>
      <c r="F9" s="239">
        <v>49971.903095255606</v>
      </c>
      <c r="G9" s="239">
        <v>177491.94752622381</v>
      </c>
      <c r="H9" s="239">
        <v>2976028.1908215717</v>
      </c>
      <c r="I9" s="239">
        <v>386445.16638481076</v>
      </c>
      <c r="J9" s="239">
        <v>184291.83843285142</v>
      </c>
      <c r="K9" s="239">
        <v>530953.49004452862</v>
      </c>
      <c r="L9" s="239">
        <v>54266.300412126846</v>
      </c>
      <c r="M9" s="239">
        <v>527065.43409128336</v>
      </c>
      <c r="N9" s="239">
        <v>21038.402455616168</v>
      </c>
      <c r="O9" s="239">
        <v>275148.61445457692</v>
      </c>
      <c r="P9" s="239">
        <v>6692748.9284962695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1736185.6747403902</v>
      </c>
      <c r="J16" s="76">
        <f t="shared" si="2"/>
        <v>1736185.6747403902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161327.44991893266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622723.95668708009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249997.45289925087</v>
      </c>
      <c r="J17" s="76">
        <f t="shared" si="2"/>
        <v>249997.45289925087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127659.1125445467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561700.09519600554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405687.89375531499</v>
      </c>
      <c r="J18" s="76">
        <f t="shared" si="2"/>
        <v>405687.89375531499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182370.16077792388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9049207.377800582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9049207.377800582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56113.895623976576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1164363.334197514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1164363.334197514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42085.421717982426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1787405.7149748409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1787405.7149748409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7014.236952997072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569932.92495695606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569932.92495695606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14028.473905994144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119101.74346189029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119101.74346189029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181905.72916666337</v>
      </c>
      <c r="J26" s="76">
        <f t="shared" si="2"/>
        <v>181905.72916666337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70142.369529970732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967263.27581829659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967263.27581829659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131334.20298292433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506950.02351408789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251070.28250042663</v>
      </c>
      <c r="J31" s="76">
        <f t="shared" si="2"/>
        <v>251070.28250042663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103925.32583866185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457271.4336901122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407428.84741789004</v>
      </c>
      <c r="J32" s="76">
        <f t="shared" si="2"/>
        <v>407428.84741789004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181546.81419684191</v>
      </c>
      <c r="J58" s="76">
        <f t="shared" si="2"/>
        <v>181546.81419684191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25178.272530700477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55397.235222047188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22239.657804158789</v>
      </c>
      <c r="J59" s="76">
        <f t="shared" si="2"/>
        <v>22239.657804158789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19923.67652429342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48215.297188790079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34823.498394603637</v>
      </c>
      <c r="J60" s="76">
        <f t="shared" si="2"/>
        <v>34823.498394603637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28462.395034704889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1101597.1524652042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1101597.1524652042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8757.6600106784263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103581.2237762991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103581.2237762991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6568.2450080088183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159006.78585816649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159006.78585816649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1094.7075013348033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50700.969451373152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50700.969451373152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2189.4150026696066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10595.236022419027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10595.236022419027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16182.249548410109</v>
      </c>
      <c r="J68" s="76">
        <f t="shared" si="2"/>
        <v>16182.249548410109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10947.075013348032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150960.16443406939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150960.16443406939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27858.770329711224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61294.866479430631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30356.67961141522</v>
      </c>
      <c r="J73" s="76">
        <f t="shared" si="15"/>
        <v>30356.67961141522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22044.766086988879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53348.333930513094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47533.365532087177</v>
      </c>
      <c r="J74" s="76">
        <f t="shared" si="15"/>
        <v>47533.365532087177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17988.68709801232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151320.83586847963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66789.233931450202</v>
      </c>
      <c r="J100" s="76">
        <f t="shared" si="15"/>
        <v>66789.233931450202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1542.0658644465243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7142.8490841163002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2867.5532044291281</v>
      </c>
      <c r="J101" s="76">
        <f t="shared" si="15"/>
        <v>2867.5532044291281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1651.2179103063932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8718.4305664177573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6296.8864765952239</v>
      </c>
      <c r="J102" s="76">
        <f t="shared" si="15"/>
        <v>6296.8864765952239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15238.021720870902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907332.76534753689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907332.76534753689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71.268800751408534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1774.5931387100727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1774.5931387100727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1125.1496418632635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57343.340795151846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57343.340795151846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29.518660249897398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2878.2015474705927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2878.2015474705927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3810.4154462517859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203521.90981520037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203521.90981520037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64.91370276951497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661.34080381581862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661.34080381581862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1148.0573462747577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41048.942200513149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41048.942200513149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2833.7440917610315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48589.16970625348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10915.582241463493</v>
      </c>
      <c r="J110" s="76">
        <f t="shared" si="15"/>
        <v>10915.582241463493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325.57753513414758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19534.652108048856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19534.652108048856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534.71836671684468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15650.293660005213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15650.293660005213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15113.849399235503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250103.97985854914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250103.97985854914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0.43582889538516162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3.6661926679799794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1.9962419077150988</v>
      </c>
      <c r="J114" s="76">
        <f t="shared" si="15"/>
        <v>1.9962419077150988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3.7361084700125495E-2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0.1730565443309813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8.5707374412459486E-2</v>
      </c>
      <c r="J115" s="76">
        <f t="shared" si="15"/>
        <v>8.5707374412459486E-2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4.0005614304589723E-2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0.21122964352823376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0.1882056123836563</v>
      </c>
      <c r="J116" s="76">
        <f t="shared" si="15"/>
        <v>0.1882056123836563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0.36918592992793164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21.982807011628761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21.982807011628761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1.7266964808312041E-3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4.2994742372696987E-2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4.2994742372696987E-2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2.7260061998102159E-2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1.3893112232302602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1.3893112232302602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7.1517643393687155E-4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6.9732904591384981E-2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6.9732904591384981E-2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9.2318530299077425E-2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4.9309173403343243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4.9309173403343243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1.5727255257291396E-3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1.6022927656128474E-2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1.6022927656128474E-2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2.7815068567234969E-2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0.99453145404679411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0.99453145404679411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6.8655791864482674E-2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1.1772156603412456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0.32625232294002171</v>
      </c>
      <c r="J124" s="76">
        <f t="shared" si="15"/>
        <v>0.32625232294002171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7.888074139408327E-3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0.47328444836449962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0.47328444836449962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1.2955126399086169E-2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0.37917443119276595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0.37917443119276595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0.36617748993000948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6.059505103361797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6.059505103361797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2807.4829574932523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15823.086247750271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6983.9146926007761</v>
      </c>
      <c r="J142" s="76">
        <f t="shared" si="29"/>
        <v>6983.9146926007761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240.66923895986218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635.42455147138662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255.09620702985131</v>
      </c>
      <c r="J143" s="76">
        <f t="shared" si="29"/>
        <v>255.09620702985131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257.704529354177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748.37395324453018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540.51308773086191</v>
      </c>
      <c r="J144" s="76">
        <f t="shared" si="29"/>
        <v>540.51308773086191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2378.1883610607765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110453.34126138227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110453.34126138227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11.122876417849888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157.86698499854344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157.86698499854344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175.60138919253245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5101.237079984895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5101.237079984895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4.6069585361111542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256.04347870273068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256.04347870273068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594.6891158890071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26363.734098026827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26363.734098026827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10.131040316629504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58.832572085118187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58.832572085118187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179.17658005444198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3651.6949159878468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3651.6949159878468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442.26063859854253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4322.4700680880987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971.04514853250407</v>
      </c>
      <c r="J152" s="76">
        <f t="shared" si="29"/>
        <v>971.04514853250407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50.812678893768705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1737.7936181668899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1737.7936181668899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83.453155499160744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1392.2428868640475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1392.2428868640475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2358.8088657766393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39033.569110871831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39033.569110871831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9.2448553566549435E-2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0.52104374584321522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0.28370831961163073</v>
      </c>
      <c r="J156" s="76">
        <f t="shared" si="29"/>
        <v>0.28370831961163073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7.9250785727538933E-3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2.0924109450927736E-2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1.0362800724415557E-2</v>
      </c>
      <c r="J157" s="76">
        <f t="shared" si="29"/>
        <v>1.0362800724415557E-2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8.4860393979432746E-3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2.464345841162727E-2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2.1957321444759904E-2</v>
      </c>
      <c r="J158" s="76">
        <f t="shared" si="29"/>
        <v>2.1957321444759904E-2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7.8312166954409748E-2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3.6371553419240317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3.6371553419240317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3.6626895047934632E-4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5.1984552141533628E-3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5.1984552141533628E-3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5.7824373935368217E-3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0.16798035699056785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0.16798035699056785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1.5170409204721518E-4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8.4313421005947301E-3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8.4313421005947301E-3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1.9582718548289149E-2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0.86814029537401272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0.86814029537401272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3.3360844485163561E-4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1.9373176166046242E-3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1.9373176166046242E-3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5.9001660597165087E-3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0.1202478939892942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0.1202478939892942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1.4563349789435716E-2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0.14233607529580511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3.9446871773657161E-2</v>
      </c>
      <c r="J166" s="76">
        <f t="shared" si="29"/>
        <v>3.9446871773657161E-2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1.6732278477532812E-3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5.722439239316221E-2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5.722439239316221E-2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2.7480571149576727E-3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4.584563577148898E-2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4.584563577148898E-2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7.7674013015456553E-2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1.2853495673797752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1.2853495673797752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0.29674680641973877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2.9122731582033161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1.285404565201989</v>
      </c>
      <c r="J184" s="76">
        <f t="shared" si="29"/>
        <v>1.285404565201989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1.7086450333499009E-2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9.2335177602228646E-2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3.7068686639843931E-2</v>
      </c>
      <c r="J185" s="76">
        <f t="shared" si="29"/>
        <v>3.7068686639843931E-2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2.2126179468366147E-2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0.13629726552513546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9.8440700025529099E-2</v>
      </c>
      <c r="J186" s="76">
        <f t="shared" si="29"/>
        <v>9.8440700025529099E-2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0.51029954485989426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35.44948878232713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35.44948878232713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5.9312754358377721E-4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1.7230355141108728E-2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1.7230355141108728E-2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3.1394414813143305E-2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1.8666886496674167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1.8666886496674167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3.3950117003646611E-4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3.8620031605222829E-2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3.8620031605222829E-2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4.2220294070089238E-2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2.6309154046835412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2.6309154046835412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1.2099053290264164E-3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1.4380934740807986E-2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1.4380934740807986E-2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2.1398266344745977E-2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0.89261414925364546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0.89261414925364546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6.8082129291564208E-2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1.3619424919198089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0.3059610890362896</v>
      </c>
      <c r="J194" s="76">
        <f t="shared" si="29"/>
        <v>0.3059610890362896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6.0683334637179846E-3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0.42478334246025895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0.42478334246025895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1.4324445842879414E-2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0.48912741902515072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0.48912741902515072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0.52979341323357754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10.228191635887448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10.228191635887448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0.28302441074714974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2.7776015670725269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1.5124040532709913</v>
      </c>
      <c r="J198" s="76">
        <f t="shared" si="29"/>
        <v>1.5124040532709913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1.6296325462585758E-2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8.8065342799813429E-2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4.3614931392998796E-2</v>
      </c>
      <c r="J199" s="76">
        <f t="shared" si="29"/>
        <v>4.3614931392998796E-2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2.1103003539193144E-2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0.12999450180142977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0.11582510110507394</v>
      </c>
      <c r="J200" s="76">
        <f t="shared" si="29"/>
        <v>0.11582510110507394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0.48670187804556381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33.810206064069227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33.810206064069227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5.6569968029666602E-4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1.6433575712618147E-2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1.6433575712618147E-2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2.9942649966292749E-2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1.780367787255051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1.780367787255051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3.2380169396541565E-4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3.6834134189952412E-2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3.6834134189952412E-2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4.0267910529275863E-2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2.5092545767212968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2.5092545767212968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1.1539559496494725E-3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1.3715920417533629E-2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1.3715920417533629E-2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2.040875113805252E-2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0.85133719437486421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0.85133719437486421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6.4933822734728863E-2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1.2989624922934593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0.35999311324133687</v>
      </c>
      <c r="J208" s="76">
        <f t="shared" si="29"/>
        <v>0.35999311324133687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5.7877168873610831E-3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0.4051401821152758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0.4051401821152758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1.3662043722977473E-2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0.4665088100528893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0.4665088100528893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0.50529429585861441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9.7552116758464091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9.7552116758464091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4.6313085394988143E-2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0.30452613544449708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0.13441022303181491</v>
      </c>
      <c r="J226" s="76">
        <f t="shared" si="42"/>
        <v>0.13441022303181491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2.6666714393322154E-3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8.2140947011462347E-3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3.2976132218913178E-3</v>
      </c>
      <c r="J227" s="76">
        <f t="shared" si="42"/>
        <v>3.2976132218913178E-3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3.4532187609588785E-3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1.1699505162128679E-2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8.4499676033474407E-3</v>
      </c>
      <c r="J228" s="76">
        <f t="shared" si="42"/>
        <v>8.4499676033474407E-3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7.9642125498364996E-2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4.3154117558139271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4.3154117558139271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9.2569038593999904E-5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1.5328044255587476E-3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1.5328044255587476E-3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4.8997063581206323E-3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0.16605975906578929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0.16605975906578929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5.2985731739795291E-5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3.4356201526264695E-3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3.4356201526264695E-3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6.5892944502451414E-3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0.34080239432923787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0.34080239432923787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1.8882915539718639E-4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1.2793213043990458E-3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1.2793213043990458E-3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3.3396138225904128E-3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7.940654194805552E-2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7.940654194805552E-2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1.0625534629319271E-2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0.12115777428118996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2.721815699577166E-2</v>
      </c>
      <c r="J236" s="76">
        <f t="shared" si="42"/>
        <v>2.721815699577166E-2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9.4708094520454093E-4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3.778852971366118E-2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3.778852971366118E-2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2.2356071546690416E-3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4.3512549010387688E-2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4.3512549010387688E-2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8.2684521140500539E-2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1.5963073651385034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1.5963073651385034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6.0035481067577209E-2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0.39475610150212581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0.21494469726790755</v>
      </c>
      <c r="J240" s="76">
        <f t="shared" si="42"/>
        <v>0.21494469726790755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3.4567963102454641E-3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1.06479005385229E-2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5.2734417047898552E-3</v>
      </c>
      <c r="J241" s="76">
        <f t="shared" si="42"/>
        <v>5.2734417047898552E-3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4.4763946901318786E-3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1.5166025210166807E-2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1.3512928462258628E-2</v>
      </c>
      <c r="J242" s="76">
        <f t="shared" si="42"/>
        <v>1.3512928462258628E-2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0.10323979231269535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5.5940522760550913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5.5940522760550913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1.1999690188111097E-4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1.9869686997983755E-3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1.9869686997983755E-3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6.3514712049711885E-3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0.21526265064083791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0.21526265064083791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6.8685207810845745E-5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4.4535816793306099E-3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4.4535816793306099E-3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8.5416779910585158E-3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0.4417808815379009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0.4417808815379009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2.4477853477413049E-4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1.6583794686654296E-3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1.6583794686654296E-3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4.329129029283868E-3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0.10293440622896084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0.10293440622896084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1.3773841186154611E-2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0.15705637406820919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4.3526440055543465E-2</v>
      </c>
      <c r="J250" s="76">
        <f t="shared" si="42"/>
        <v>4.3526440055543465E-2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1.2276975215614421E-3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4.8985131110301533E-2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4.8985131110301533E-2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2.8980092745709792E-3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5.6405156124576618E-2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5.6405156124576618E-2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0.10718363851546366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2.0692873251795416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2.0692873251795416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565080.07576828043</v>
      </c>
      <c r="J268" s="76">
        <f t="shared" si="42"/>
        <v>565080.07576828043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52507.591181067335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202679.30195891994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81367.207252939435</v>
      </c>
      <c r="J269" s="76">
        <f t="shared" si="42"/>
        <v>81367.207252939435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41549.485195453271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182817.73485999441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132040.10900263098</v>
      </c>
      <c r="J270" s="76">
        <f t="shared" si="42"/>
        <v>132040.10900263098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59356.407422076118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2945264.936283417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2945264.936283417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18263.509976023419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378967.83200248599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378967.83200248599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13697.632482017563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581750.77213309507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581750.77213309507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2282.9387470029274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185497.2916221483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185497.2916221483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4565.8774940058547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38764.299924109706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38764.299924109706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59205.247869328668</v>
      </c>
      <c r="J278" s="76">
        <f t="shared" si="55"/>
        <v>59205.247869328668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22829.387470029276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314817.25321170373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314817.25321170373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47650.900017075655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183932.47406591204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91093.749053643376</v>
      </c>
      <c r="J283" s="76">
        <f t="shared" si="55"/>
        <v>91093.749053643376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37706.364361338121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165908.00318988774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147824.03084219</v>
      </c>
      <c r="J284" s="76">
        <f t="shared" si="55"/>
        <v>147824.03084219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59088.431044209217</v>
      </c>
      <c r="J310" s="76">
        <f t="shared" si="55"/>
        <v>59088.431044209217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8194.826369299526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18030.256977732817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7238.3891307672693</v>
      </c>
      <c r="J311" s="76">
        <f t="shared" si="55"/>
        <v>7238.3891307672693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6484.6017357065812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15692.736200409927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11334.078720746074</v>
      </c>
      <c r="J312" s="76">
        <f t="shared" si="55"/>
        <v>11334.078720746074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9263.7167652951175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358539.18819727615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358539.18819727615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2850.3743893215742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33712.803089700916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33712.803089700916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2137.7807919911802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51752.27967126204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51752.27967126204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356.29679866519677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16501.753283611917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16501.753283611917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712.59359733039355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3448.4541955609734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3448.4541955609734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5266.8714723061748</v>
      </c>
      <c r="J320" s="76">
        <f t="shared" si="55"/>
        <v>5266.8714723061748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3562.9679866519677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49133.328535930639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49133.328535930639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10107.766670288775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22239.108227969366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11014.062385576879</v>
      </c>
      <c r="J325" s="76">
        <f t="shared" si="55"/>
        <v>11014.062385576879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7998.3197130111166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19355.933705486907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17246.136931588837</v>
      </c>
      <c r="J326" s="76">
        <f t="shared" si="55"/>
        <v>17246.136931588837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2543.5266161074505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21396.145894695874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9443.7238942713921</v>
      </c>
      <c r="J352" s="76">
        <f t="shared" si="60"/>
        <v>9443.7238942713921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68.781025480452769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318.59371002545726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127.9019622752524</v>
      </c>
      <c r="J353" s="76">
        <f t="shared" si="60"/>
        <v>127.9019622752524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277.81730642917057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1466.8753779460208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1059.4507417215134</v>
      </c>
      <c r="J354" s="76">
        <f t="shared" si="60"/>
        <v>1059.4507417215134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816.89928733229783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48641.451164914346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48641.451164914346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15.471187824817051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385.23257683794458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385.23257683794458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26.302435262527187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1340.5057006495601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1340.5057006495601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73.48347036613049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7164.9673911620484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7164.9673911620484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78.344719162303662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4184.5481398969632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4184.5481398969632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16.900566419398675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172.18297068083373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172.18297068083373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120.67824120695344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4314.8664692035982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4314.8664692035982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876.11830838913772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15022.479020898631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3374.8077239149588</v>
      </c>
      <c r="J362" s="76">
        <f t="shared" si="60"/>
        <v>3374.8077239149588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26.483091404220694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1588.9854842532416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1588.9854842532416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56.207011126951372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1645.0832524961379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1645.0832524961379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1628.961148843877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26956.049091068475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26956.049091068475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6.1624419250252083E-2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0.51838461473312047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0.28226042272218416</v>
      </c>
      <c r="J366" s="76">
        <f t="shared" si="60"/>
        <v>0.28226042272218416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1.6664228020370887E-3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7.7188704190357948E-3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3.8228205677115386E-3</v>
      </c>
      <c r="J367" s="76">
        <f t="shared" si="60"/>
        <v>3.8228205677115386E-3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6.7309420148972078E-3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3.5539373838657261E-2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3.1665582090243616E-2</v>
      </c>
      <c r="J368" s="76">
        <f t="shared" si="60"/>
        <v>3.1665582090243616E-2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1.9791789812224642E-2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1.1784823325791041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1.1784823325791041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3.7483506513290803E-4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9.3333931218094104E-3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9.3333931218094104E-3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6.37253916533074E-4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3.2477696431815778E-2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3.2477696431815778E-2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1.7803533712322671E-3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0.17359242542665901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0.17359242542665901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1.8981314326050301E-3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0.10138299607829987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0.10138299607829987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4.094659690212412E-4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4.1716392923884056E-3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4.1716392923884056E-3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2.9237856145973122E-3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0.10454034120310714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0.10454034120310714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2.1226544910947009E-2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0.36396377356519294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0.10086854141682021</v>
      </c>
      <c r="J376" s="76">
        <f t="shared" si="60"/>
        <v>0.10086854141682021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6.4163084333437122E-4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3.8497850600062278E-2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3.8497850600062278E-2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1.3617802921958929E-3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3.9856984161831012E-2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3.9856984161831012E-2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3.9466378744780817E-2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0.65308963546863297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0.65308963546863297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396.96658170463104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2237.319533150569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987.49690894433229</v>
      </c>
      <c r="J394" s="76">
        <f t="shared" si="60"/>
        <v>987.49690894433229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10.734610913134247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28.341949117293566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11.37809941859037</v>
      </c>
      <c r="J395" s="76">
        <f t="shared" si="60"/>
        <v>11.37809941859037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43.358770367558421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125.91386914738968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90.941291991702187</v>
      </c>
      <c r="J396" s="76">
        <f t="shared" si="60"/>
        <v>90.941291991702187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127.4929523582199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5921.32347706992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5921.32347706992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2.4145784466477478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34.270111893271483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34.270111893271483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4.1050043473308326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119.25076724275564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119.25076724275564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11.468518496448112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637.39218583805734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637.39218583805734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12.227210505099418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542.05620702364729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542.05620702364729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2.6376606550506607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15.317317449583994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15.317317449583994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18.834176373339556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383.84852578637788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383.84852578637788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136.73522732084808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1336.3927868880339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300.22133451474684</v>
      </c>
      <c r="J404" s="76">
        <f t="shared" si="60"/>
        <v>300.22133451474684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4.1331992364968713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141.35541388819297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141.35541388819297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8.7721924880213127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146.34584540991651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146.34584540991651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254.23093074442014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4207.0134419586639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4207.0134419586639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1.3071846507629228E-2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7.3673449790858631E-2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4.0115193411122525E-2</v>
      </c>
      <c r="J408" s="76">
        <f t="shared" si="64"/>
        <v>4.0115193411122525E-2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3.5348362467453397E-4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9.3328160521069156E-4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4.6221375955057689E-4</v>
      </c>
      <c r="J409" s="76">
        <f t="shared" si="64"/>
        <v>4.6221375955057689E-4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1.4277755789175895E-3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4.1462602811766806E-3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3.6943179105284225E-3</v>
      </c>
      <c r="J410" s="76">
        <f t="shared" si="64"/>
        <v>3.6943179105284225E-3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4.1982584450173483E-3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0.19498525866308813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0.19498525866308813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7.9510468361525957E-5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1.1284920774551376E-3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1.1284920774551376E-3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1.351750732039854E-4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3.926848750392271E-3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3.926848750392271E-3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3.7765071510987484E-4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2.0988902347041496E-2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2.0988902347041496E-2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4.0263394024955173E-4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1.784955173378552E-2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1.784955173378552E-2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8.6856417671172357E-5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5.0438911444332531E-4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5.0438911444332531E-4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6.2019694855094509E-4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1.2639877618193865E-2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1.2639877618193865E-2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4.5026004356554256E-3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4.400652898560968E-2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1.2195923644033711E-2</v>
      </c>
      <c r="J418" s="76">
        <f t="shared" si="64"/>
        <v>1.2195923644033711E-2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1.3610351222244238E-4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4.6547401180075292E-3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4.6547401180075292E-3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2.8886248622337122E-4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4.8190717213850223E-3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4.8190717213850223E-3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8.3716560973777481E-3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0.13853416509940697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0.13853416509940697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4.5754933628917617E-2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0.44903891863419743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0.1981945527121689</v>
      </c>
      <c r="J436" s="76">
        <f t="shared" si="64"/>
        <v>0.1981945527121689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8.3106047603679744E-4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4.4910508125028531E-3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1.8029678349615972E-3</v>
      </c>
      <c r="J437" s="76">
        <f t="shared" si="64"/>
        <v>1.8029678349615972E-3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4.0595359645178462E-3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2.5006741541429935E-2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1.8061119078297768E-2</v>
      </c>
      <c r="J438" s="76">
        <f t="shared" si="64"/>
        <v>1.8061119078297768E-2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2.9831848636857054E-2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2.0723588611051857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2.0723588611051857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1.4040654632499296E-4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4.078810170741045E-3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4.078810170741045E-3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8.0030056464171814E-4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4.7585278758363492E-2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4.7585278758363492E-2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9.2161460426674424E-4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0.1048384756399913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0.1048384756399913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9.466157148310761E-4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5.8987411653983683E-2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5.8987411653983683E-2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3.4350362462884858E-4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4.0828840823384947E-3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4.0828840823384947E-3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2.452782483126852E-3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0.10231615562716326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0.10231615562716326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2.2953573895167008E-2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0.45917258984910614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0.10315336108488055</v>
      </c>
      <c r="J446" s="76">
        <f t="shared" si="64"/>
        <v>0.10315336108488055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5.3826822503920445E-4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3.7678775752744309E-2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3.7678775752744309E-2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1.6419437573988649E-3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5.6066372203863679E-2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5.6066372203863679E-2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5.7100799688875818E-2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1.1023880387934366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1.1023880387934366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4.3639098547811596E-2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0.42827411314822295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0.23319525460920743</v>
      </c>
      <c r="J450" s="76">
        <f t="shared" si="64"/>
        <v>0.23319525460920743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7.9262993379232123E-4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4.283372162213704E-3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2.1213678053840198E-3</v>
      </c>
      <c r="J451" s="76">
        <f t="shared" si="64"/>
        <v>2.1213678053840198E-3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3.8718117580661539E-3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2.3850360429687509E-2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2.1250671142851573E-2</v>
      </c>
      <c r="J452" s="76">
        <f t="shared" si="64"/>
        <v>2.1250671142851573E-2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2.8452341185441699E-2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1.9765272374702638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1.9765272374702638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1.3391375805562911E-4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3.8901946715160251E-3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3.8901946715160251E-3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7.6329244604556935E-4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4.5384803440057665E-2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4.5384803440057665E-2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8.7899658788446707E-4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9.99904536450784E-2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9.99904536450784E-2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9.0284157772906114E-4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5.625967007460872E-2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5.625967007460872E-2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3.2761906395237006E-4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3.894080194137871E-3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3.894080194137871E-3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2.3393590156990207E-3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9.7584772707988071E-2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9.7584772707988071E-2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2.1892136952037899E-2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0.43793917528960996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0.12137000726209812</v>
      </c>
      <c r="J460" s="76">
        <f t="shared" si="64"/>
        <v>0.12137000726209812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5.1337720885242047E-4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3.5936404619669425E-2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3.5936404619669425E-2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1.56601572237464E-3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5.3473707593280385E-2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5.3473707593280385E-2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5.4460300281297752E-2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1.0514105572307344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1.0514105572307344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7.1409433987328075E-3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4.6954416405159731E-2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2.0724505540827377E-2</v>
      </c>
      <c r="J478" s="76">
        <f t="shared" si="68"/>
        <v>2.0724505540827377E-2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1.2970308007510711E-4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3.9952180349375088E-4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1.6039118485583221E-4</v>
      </c>
      <c r="J479" s="76">
        <f t="shared" si="68"/>
        <v>1.6039118485583221E-4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6.3356919677446158E-4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2.1465324386718758E-3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1.5503330538307624E-3</v>
      </c>
      <c r="J480" s="76">
        <f t="shared" si="68"/>
        <v>1.5503330538307624E-3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4.6558376485268237E-3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0.25227674921893189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0.25227674921893189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2.1913160409102947E-5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3.628490666341311E-4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3.628490666341311E-4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1.2490240026200229E-4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4.2331643935908337E-3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4.2331643935908337E-3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1.4383580529018554E-4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9.3263823127136773E-3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9.3263823127136773E-3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1.4773771271930092E-4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7.6410860992241307E-3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7.6410860992241307E-3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5.36103922831151E-5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3.6321147992595049E-4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3.6321147992595049E-4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3.8280420256893069E-4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9.1019978907632502E-3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9.1019978907632502E-3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3.5823496830607472E-3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4.0847781258830901E-2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9.176475301134749E-3</v>
      </c>
      <c r="J488" s="76">
        <f t="shared" ref="J488:J505" si="70">IF(I488&lt;&gt;0,I488,H488)</f>
        <v>9.176475301134749E-3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8.4007179630396072E-5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3.351886467252803E-3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3.351886467252803E-3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2.5625711820675929E-4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4.9876385446096065E-3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4.9876385446096065E-3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8.9116855005759964E-3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0.17204900027412021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0.17204900027412021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9.2567784798388234E-3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6.0866836080762599E-2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3.3141992245975242E-2</v>
      </c>
      <c r="J492" s="76">
        <f t="shared" si="70"/>
        <v>3.3141992245975242E-2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1.6813362231958326E-4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5.1789863415856597E-4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2.5649265283279502E-4</v>
      </c>
      <c r="J493" s="76">
        <f t="shared" si="70"/>
        <v>2.5649265283279502E-4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8.2129340322615392E-4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2.7825420501302097E-3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2.4792449666660174E-3</v>
      </c>
      <c r="J494" s="76">
        <f t="shared" si="70"/>
        <v>2.4792449666660174E-3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6.0353450999421779E-3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0.32702541565417098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0.32702541565417098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2.8405948678466784E-5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4.7035990119239225E-4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4.7035990119239225E-4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1.6191051885815108E-4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5.4874353250251532E-3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5.4874353250251532E-3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1.8645382167246271E-4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1.2089754849814026E-2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1.2089754849814026E-2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1.9151184982131597E-4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9.9051116101053494E-3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9.9051116101053494E-3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6.9494952959593638E-5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4.7082969620030604E-4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4.7082969620030604E-4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4.9622766999676197E-4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1.1798886154693104E-2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1.1798886154693104E-2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4.6437866261898574E-3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5.2950827557743746E-2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1.4674737241690045E-2</v>
      </c>
      <c r="J502" s="76">
        <f t="shared" si="70"/>
        <v>1.4674737241690045E-2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1.0889819581718008E-4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4.3450380131054853E-3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4.3450380131054853E-3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3.3218515323098425E-4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6.4654573726420821E-3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6.4654573726420821E-3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1.1552184908154068E-2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0.22302648183682244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0.22302648183682244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376929879188537</vt:r8>
  </property>
</Properties>
</file>